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\\GCF-FDI-FIC01\homedir$\carolina.alvespereir\Downloads\"/>
    </mc:Choice>
  </mc:AlternateContent>
  <xr:revisionPtr revIDLastSave="0" documentId="13_ncr:1_{69051296-3436-491D-9ABF-874B3E1BA583}" xr6:coauthVersionLast="47" xr6:coauthVersionMax="47" xr10:uidLastSave="{00000000-0000-0000-0000-000000000000}"/>
  <bookViews>
    <workbookView xWindow="-120" yWindow="-120" windowWidth="22290" windowHeight="134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9" i="1" l="1"/>
  <c r="B150" i="1"/>
  <c r="D150" i="1" s="1"/>
  <c r="B149" i="1"/>
  <c r="B148" i="1"/>
  <c r="B147" i="1"/>
  <c r="B146" i="1"/>
  <c r="B145" i="1"/>
  <c r="B144" i="1"/>
  <c r="B143" i="1"/>
  <c r="B142" i="1"/>
  <c r="B141" i="1"/>
  <c r="B98" i="1"/>
  <c r="D98" i="1" s="1"/>
  <c r="B97" i="1"/>
  <c r="B96" i="1"/>
  <c r="B95" i="1"/>
  <c r="B94" i="1"/>
  <c r="B93" i="1"/>
  <c r="B92" i="1"/>
  <c r="B91" i="1"/>
  <c r="B90" i="1"/>
  <c r="B89" i="1"/>
  <c r="B88" i="1"/>
  <c r="D71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Y194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AJ33" i="2"/>
  <c r="AK33" i="2" s="1"/>
  <c r="AL33" i="2" s="1"/>
  <c r="AM33" i="2" s="1"/>
  <c r="AO3" i="2" s="1"/>
  <c r="HA3" i="2" l="1"/>
  <c r="D15" i="4" s="1"/>
  <c r="T85" i="2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3" i="2" l="1"/>
  <c r="C15" i="4" s="1"/>
  <c r="E15" i="4" s="1"/>
  <c r="F15" i="4" s="1"/>
  <c r="G15" i="4" s="1"/>
  <c r="L15" i="4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E11" i="2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DT86" i="2" l="1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FE158" i="2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<sst xmlns="http://schemas.openxmlformats.org/spreadsheetml/2006/main" count="1191" uniqueCount="325">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</sst>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1.3378648143594587</c:v>
                </c:pt>
                <c:pt idx="2">
                  <c:v>1.5431717576773509</c:v>
                </c:pt>
                <c:pt idx="3">
                  <c:v>1.7801021440055935</c:v>
                </c:pt>
                <c:pt idx="4">
                  <c:v>2.0535440891531809</c:v>
                </c:pt>
                <c:pt idx="5">
                  <c:v>2.3691437765736296</c:v>
                </c:pt>
                <c:pt idx="6">
                  <c:v>2.7334233842039599</c:v>
                </c:pt>
                <c:pt idx="7">
                  <c:v>3.1539174087864832</c:v>
                </c:pt>
                <c:pt idx="8">
                  <c:v>3.6393302653933159</c:v>
                </c:pt>
                <c:pt idx="9">
                  <c:v>4.1997184910935852</c:v>
                </c:pt>
                <c:pt idx="10">
                  <c:v>4.8467014038298117</c:v>
                </c:pt>
                <c:pt idx="11">
                  <c:v>5.593704671767914</c:v>
                </c:pt>
                <c:pt idx="12">
                  <c:v>6.4562419475808843</c:v>
                </c:pt>
                <c:pt idx="13">
                  <c:v>7.4522405312848612</c:v>
                </c:pt>
                <c:pt idx="14">
                  <c:v>8.6024179616957106</c:v>
                </c:pt>
                <c:pt idx="15">
                  <c:v>9.9307175203767155</c:v>
                </c:pt>
                <c:pt idx="16">
                  <c:v>11.464811886333637</c:v>
                </c:pt>
                <c:pt idx="17">
                  <c:v>13.23668563158096</c:v>
                </c:pt>
                <c:pt idx="18">
                  <c:v>15.283308928199455</c:v>
                </c:pt>
                <c:pt idx="19">
                  <c:v>17.647416782698357</c:v>
                </c:pt>
                <c:pt idx="20">
                  <c:v>20.378410365152188</c:v>
                </c:pt>
                <c:pt idx="21">
                  <c:v>23.533399607071321</c:v>
                </c:pt>
                <c:pt idx="22">
                  <c:v>27.178409259300114</c:v>
                </c:pt>
                <c:pt idx="23">
                  <c:v>31.389774094287873</c:v>
                </c:pt>
                <c:pt idx="24">
                  <c:v>36.255752980974528</c:v>
                </c:pt>
                <c:pt idx="25">
                  <c:v>41.878396242286534</c:v>
                </c:pt>
                <c:pt idx="26">
                  <c:v>48.375706125626209</c:v>
                </c:pt>
                <c:pt idx="27">
                  <c:v>55.8841364924819</c:v>
                </c:pt>
                <c:pt idx="28">
                  <c:v>64.56148509958139</c:v>
                </c:pt>
                <c:pt idx="29">
                  <c:v>74.590240257450304</c:v>
                </c:pt>
                <c:pt idx="30">
                  <c:v>86.181453394205562</c:v>
                </c:pt>
                <c:pt idx="31">
                  <c:v>81.107240949926137</c:v>
                </c:pt>
                <c:pt idx="32">
                  <c:v>87.741213817240293</c:v>
                </c:pt>
                <c:pt idx="33">
                  <c:v>94.362587470900905</c:v>
                </c:pt>
                <c:pt idx="34">
                  <c:v>100.97237269819352</c:v>
                </c:pt>
                <c:pt idx="35">
                  <c:v>107.5714367632949</c:v>
                </c:pt>
                <c:pt idx="36">
                  <c:v>98.057660993219926</c:v>
                </c:pt>
                <c:pt idx="37">
                  <c:v>106.01963887584138</c:v>
                </c:pt>
                <c:pt idx="38">
                  <c:v>113.96687056723312</c:v>
                </c:pt>
                <c:pt idx="39">
                  <c:v>121.90053120862969</c:v>
                </c:pt>
                <c:pt idx="40">
                  <c:v>129.82163012145034</c:v>
                </c:pt>
                <c:pt idx="41">
                  <c:v>116.29027446560376</c:v>
                </c:pt>
                <c:pt idx="42">
                  <c:v>122.09387439509119</c:v>
                </c:pt>
                <c:pt idx="43">
                  <c:v>127.89076379214985</c:v>
                </c:pt>
                <c:pt idx="44">
                  <c:v>133.68129041989661</c:v>
                </c:pt>
                <c:pt idx="45">
                  <c:v>139.46576938145779</c:v>
                </c:pt>
                <c:pt idx="46">
                  <c:v>145.24448744581247</c:v>
                </c:pt>
                <c:pt idx="47">
                  <c:v>151.01770664748466</c:v>
                </c:pt>
                <c:pt idx="48">
                  <c:v>156.78566730569074</c:v>
                </c:pt>
                <c:pt idx="49">
                  <c:v>162.54859057495182</c:v>
                </c:pt>
                <c:pt idx="50">
                  <c:v>168.30668061428091</c:v>
                </c:pt>
                <c:pt idx="51">
                  <c:v>126.92506638022944</c:v>
                </c:pt>
                <c:pt idx="52">
                  <c:v>136.57426731714023</c:v>
                </c:pt>
                <c:pt idx="53">
                  <c:v>146.20706576742037</c:v>
                </c:pt>
                <c:pt idx="54">
                  <c:v>155.82469609939704</c:v>
                </c:pt>
                <c:pt idx="55">
                  <c:v>165.4282275996666</c:v>
                </c:pt>
                <c:pt idx="56">
                  <c:v>175.01859506721223</c:v>
                </c:pt>
                <c:pt idx="57">
                  <c:v>184.59662233510937</c:v>
                </c:pt>
                <c:pt idx="58">
                  <c:v>194.16304064471558</c:v>
                </c:pt>
                <c:pt idx="59">
                  <c:v>203.71850320234185</c:v>
                </c:pt>
                <c:pt idx="60">
                  <c:v>213.26359685720607</c:v>
                </c:pt>
                <c:pt idx="61">
                  <c:v>170.41680710330624</c:v>
                </c:pt>
                <c:pt idx="62">
                  <c:v>179.23440217916541</c:v>
                </c:pt>
                <c:pt idx="63">
                  <c:v>188.04183462381434</c:v>
                </c:pt>
                <c:pt idx="64">
                  <c:v>196.8396481215805</c:v>
                </c:pt>
                <c:pt idx="65">
                  <c:v>205.62833372118303</c:v>
                </c:pt>
                <c:pt idx="66">
                  <c:v>214.408337013227</c:v>
                </c:pt>
                <c:pt idx="67">
                  <c:v>223.18006406875648</c:v>
                </c:pt>
                <c:pt idx="68">
                  <c:v>231.94388639404454</c:v>
                </c:pt>
                <c:pt idx="69">
                  <c:v>240.70014509638659</c:v>
                </c:pt>
                <c:pt idx="70">
                  <c:v>249.44915441127628</c:v>
                </c:pt>
                <c:pt idx="71">
                  <c:v>208.11050084048546</c:v>
                </c:pt>
                <c:pt idx="72">
                  <c:v>216.3159249015803</c:v>
                </c:pt>
                <c:pt idx="73">
                  <c:v>224.51419034743674</c:v>
                </c:pt>
                <c:pt idx="74">
                  <c:v>232.70559575623523</c:v>
                </c:pt>
                <c:pt idx="75">
                  <c:v>240.89041694345062</c:v>
                </c:pt>
                <c:pt idx="76">
                  <c:v>249.06890942879195</c:v>
                </c:pt>
                <c:pt idx="77">
                  <c:v>257.24131056180096</c:v>
                </c:pt>
                <c:pt idx="78">
                  <c:v>265.40784136291478</c:v>
                </c:pt>
                <c:pt idx="79">
                  <c:v>273.56870812584941</c:v>
                </c:pt>
                <c:pt idx="80">
                  <c:v>281.72410381859368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2.2999352776840598</c:v>
                </c:pt>
                <c:pt idx="2">
                  <c:v>3.0542964343687884</c:v>
                </c:pt>
                <c:pt idx="3">
                  <c:v>4.0571027961893833</c:v>
                </c:pt>
                <c:pt idx="4">
                  <c:v>5.3904951439042428</c:v>
                </c:pt>
                <c:pt idx="5">
                  <c:v>7.1638693726092955</c:v>
                </c:pt>
                <c:pt idx="6">
                  <c:v>9.5229500962251041</c:v>
                </c:pt>
                <c:pt idx="7">
                  <c:v>12.661894206823819</c:v>
                </c:pt>
                <c:pt idx="8">
                  <c:v>16.839439003248639</c:v>
                </c:pt>
                <c:pt idx="9">
                  <c:v>22.400450117584857</c:v>
                </c:pt>
                <c:pt idx="10">
                  <c:v>29.804679689998366</c:v>
                </c:pt>
                <c:pt idx="11">
                  <c:v>41.317521939592524</c:v>
                </c:pt>
                <c:pt idx="12">
                  <c:v>63.20800396722894</c:v>
                </c:pt>
                <c:pt idx="13">
                  <c:v>84.898706575488632</c:v>
                </c:pt>
                <c:pt idx="14">
                  <c:v>106.44872103982642</c:v>
                </c:pt>
                <c:pt idx="15">
                  <c:v>127.89076379214985</c:v>
                </c:pt>
                <c:pt idx="16">
                  <c:v>89.632636103290352</c:v>
                </c:pt>
                <c:pt idx="17">
                  <c:v>113.21493371581612</c:v>
                </c:pt>
                <c:pt idx="18">
                  <c:v>136.67634522884143</c:v>
                </c:pt>
                <c:pt idx="19">
                  <c:v>160.04062964847932</c:v>
                </c:pt>
                <c:pt idx="20">
                  <c:v>183.32399225800427</c:v>
                </c:pt>
                <c:pt idx="21">
                  <c:v>146.61696480780643</c:v>
                </c:pt>
                <c:pt idx="22">
                  <c:v>171.10951614287214</c:v>
                </c:pt>
                <c:pt idx="23">
                  <c:v>195.5194448326491</c:v>
                </c:pt>
                <c:pt idx="24">
                  <c:v>219.85852553656548</c:v>
                </c:pt>
                <c:pt idx="25">
                  <c:v>244.13570624979198</c:v>
                </c:pt>
                <c:pt idx="26">
                  <c:v>207.11771656527881</c:v>
                </c:pt>
                <c:pt idx="27">
                  <c:v>230.84826880073933</c:v>
                </c:pt>
                <c:pt idx="28">
                  <c:v>254.52305628500753</c:v>
                </c:pt>
                <c:pt idx="29">
                  <c:v>278.1479941736672</c:v>
                </c:pt>
                <c:pt idx="30">
                  <c:v>301.72791008451264</c:v>
                </c:pt>
                <c:pt idx="31">
                  <c:v>263.17183371378781</c:v>
                </c:pt>
                <c:pt idx="32">
                  <c:v>285.05390064654028</c:v>
                </c:pt>
                <c:pt idx="33">
                  <c:v>306.89837346468795</c:v>
                </c:pt>
                <c:pt idx="34">
                  <c:v>328.70830305462459</c:v>
                </c:pt>
                <c:pt idx="35">
                  <c:v>350.48630242966351</c:v>
                </c:pt>
                <c:pt idx="36">
                  <c:v>309.19573362623765</c:v>
                </c:pt>
                <c:pt idx="37">
                  <c:v>328.13477724523256</c:v>
                </c:pt>
                <c:pt idx="38">
                  <c:v>347.04969773123526</c:v>
                </c:pt>
                <c:pt idx="39">
                  <c:v>365.94199430788308</c:v>
                </c:pt>
                <c:pt idx="40">
                  <c:v>384.81299880518822</c:v>
                </c:pt>
                <c:pt idx="41">
                  <c:v>343.89882034741709</c:v>
                </c:pt>
                <c:pt idx="42">
                  <c:v>360.21936255423617</c:v>
                </c:pt>
                <c:pt idx="43">
                  <c:v>376.52373693698843</c:v>
                </c:pt>
                <c:pt idx="44">
                  <c:v>392.81274199759076</c:v>
                </c:pt>
                <c:pt idx="45">
                  <c:v>409.08710462349296</c:v>
                </c:pt>
                <c:pt idx="46">
                  <c:v>385.95603867315384</c:v>
                </c:pt>
                <c:pt idx="47">
                  <c:v>399.95238247192304</c:v>
                </c:pt>
                <c:pt idx="48">
                  <c:v>413.93812717251495</c:v>
                </c:pt>
                <c:pt idx="49">
                  <c:v>427.91368129854658</c:v>
                </c:pt>
                <c:pt idx="50">
                  <c:v>441.87942451482218</c:v>
                </c:pt>
                <c:pt idx="51">
                  <c:v>423.92168304087505</c:v>
                </c:pt>
                <c:pt idx="52">
                  <c:v>435.89528407935273</c:v>
                </c:pt>
                <c:pt idx="53">
                  <c:v>447.86182820601556</c:v>
                </c:pt>
                <c:pt idx="54">
                  <c:v>459.82153055595586</c:v>
                </c:pt>
                <c:pt idx="55">
                  <c:v>471.77459416013545</c:v>
                </c:pt>
                <c:pt idx="56">
                  <c:v>456.68987728025746</c:v>
                </c:pt>
                <c:pt idx="57">
                  <c:v>467.22181647445228</c:v>
                </c:pt>
                <c:pt idx="58">
                  <c:v>477.74869681257422</c:v>
                </c:pt>
                <c:pt idx="59">
                  <c:v>488.27064548957588</c:v>
                </c:pt>
                <c:pt idx="60">
                  <c:v>498.78778377080289</c:v>
                </c:pt>
                <c:pt idx="61">
                  <c:v>483.15246787827937</c:v>
                </c:pt>
                <c:pt idx="62">
                  <c:v>491.68213062047835</c:v>
                </c:pt>
                <c:pt idx="63">
                  <c:v>500.2086561044996</c:v>
                </c:pt>
                <c:pt idx="64">
                  <c:v>508.73210536359443</c:v>
                </c:pt>
                <c:pt idx="65">
                  <c:v>517.25253721854074</c:v>
                </c:pt>
                <c:pt idx="66">
                  <c:v>501.91359014094843</c:v>
                </c:pt>
                <c:pt idx="67">
                  <c:v>509.30022739028874</c:v>
                </c:pt>
                <c:pt idx="68">
                  <c:v>516.68460115485652</c:v>
                </c:pt>
                <c:pt idx="69">
                  <c:v>524.06674835795855</c:v>
                </c:pt>
                <c:pt idx="70">
                  <c:v>531.44670479747958</c:v>
                </c:pt>
                <c:pt idx="71">
                  <c:v>516.96857083246095</c:v>
                </c:pt>
                <c:pt idx="72">
                  <c:v>523.78286035475526</c:v>
                </c:pt>
                <c:pt idx="73">
                  <c:v>530.5952820462802</c:v>
                </c:pt>
                <c:pt idx="74">
                  <c:v>537.40586328008555</c:v>
                </c:pt>
                <c:pt idx="75">
                  <c:v>544.21463067857633</c:v>
                </c:pt>
                <c:pt idx="76">
                  <c:v>530.02765090640889</c:v>
                </c:pt>
                <c:pt idx="77">
                  <c:v>535.70338904609127</c:v>
                </c:pt>
                <c:pt idx="78">
                  <c:v>541.37786301655638</c:v>
                </c:pt>
                <c:pt idx="79">
                  <c:v>547.05108794372779</c:v>
                </c:pt>
                <c:pt idx="80">
                  <c:v>552.72307861406443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2.108474572518316</c:v>
                </c:pt>
                <c:pt idx="2">
                  <c:v>2.8670085021075149</c:v>
                </c:pt>
                <c:pt idx="3">
                  <c:v>3.8995836938128075</c:v>
                </c:pt>
                <c:pt idx="4">
                  <c:v>5.3055980481022571</c:v>
                </c:pt>
                <c:pt idx="5">
                  <c:v>7.2206353449995211</c:v>
                </c:pt>
                <c:pt idx="6">
                  <c:v>9.8296836619511652</c:v>
                </c:pt>
                <c:pt idx="7">
                  <c:v>13.38519747861622</c:v>
                </c:pt>
                <c:pt idx="8">
                  <c:v>18.23178342374937</c:v>
                </c:pt>
                <c:pt idx="9">
                  <c:v>24.839945406389592</c:v>
                </c:pt>
                <c:pt idx="10">
                  <c:v>33.852222834482681</c:v>
                </c:pt>
                <c:pt idx="11">
                  <c:v>46.146285377623315</c:v>
                </c:pt>
                <c:pt idx="12">
                  <c:v>62.921232121831004</c:v>
                </c:pt>
                <c:pt idx="13">
                  <c:v>76.18607486224613</c:v>
                </c:pt>
                <c:pt idx="14">
                  <c:v>98.606475148853704</c:v>
                </c:pt>
                <c:pt idx="15">
                  <c:v>120.89957623101225</c:v>
                </c:pt>
                <c:pt idx="16">
                  <c:v>143.09228790376088</c:v>
                </c:pt>
                <c:pt idx="17">
                  <c:v>144.0693686174271</c:v>
                </c:pt>
                <c:pt idx="18">
                  <c:v>173.63723323162355</c:v>
                </c:pt>
                <c:pt idx="19">
                  <c:v>203.08648292325532</c:v>
                </c:pt>
                <c:pt idx="20">
                  <c:v>232.43676367300131</c:v>
                </c:pt>
                <c:pt idx="21">
                  <c:v>224.38246749836523</c:v>
                </c:pt>
                <c:pt idx="22">
                  <c:v>261.38115496288327</c:v>
                </c:pt>
                <c:pt idx="23">
                  <c:v>298.26146166084112</c:v>
                </c:pt>
                <c:pt idx="24">
                  <c:v>335.04008037896625</c:v>
                </c:pt>
                <c:pt idx="25">
                  <c:v>320.02021840206947</c:v>
                </c:pt>
                <c:pt idx="26">
                  <c:v>358.65860354345728</c:v>
                </c:pt>
                <c:pt idx="27">
                  <c:v>397.20588757494914</c:v>
                </c:pt>
                <c:pt idx="28">
                  <c:v>435.67214265339425</c:v>
                </c:pt>
                <c:pt idx="29">
                  <c:v>415.12396669309982</c:v>
                </c:pt>
                <c:pt idx="30">
                  <c:v>447.94867707425442</c:v>
                </c:pt>
                <c:pt idx="31">
                  <c:v>480.72192286008493</c:v>
                </c:pt>
                <c:pt idx="32">
                  <c:v>513.44770062938744</c:v>
                </c:pt>
                <c:pt idx="33">
                  <c:v>546.12945649641176</c:v>
                </c:pt>
                <c:pt idx="34">
                  <c:v>578.77019099216159</c:v>
                </c:pt>
                <c:pt idx="35">
                  <c:v>556.45244292282439</c:v>
                </c:pt>
                <c:pt idx="36">
                  <c:v>583.39990151993914</c:v>
                </c:pt>
                <c:pt idx="37">
                  <c:v>610.32142498620556</c:v>
                </c:pt>
                <c:pt idx="38">
                  <c:v>637.21831669029359</c:v>
                </c:pt>
                <c:pt idx="39">
                  <c:v>664.09176114300351</c:v>
                </c:pt>
                <c:pt idx="40">
                  <c:v>690.94283930246718</c:v>
                </c:pt>
                <c:pt idx="41">
                  <c:v>667.02966862520316</c:v>
                </c:pt>
                <c:pt idx="42">
                  <c:v>688.42647350626783</c:v>
                </c:pt>
                <c:pt idx="43">
                  <c:v>709.80964922991734</c:v>
                </c:pt>
                <c:pt idx="44">
                  <c:v>731.17966370340719</c:v>
                </c:pt>
                <c:pt idx="45">
                  <c:v>752.53695528551918</c:v>
                </c:pt>
                <c:pt idx="46">
                  <c:v>773.88193545498109</c:v>
                </c:pt>
                <c:pt idx="47">
                  <c:v>743.4302275687736</c:v>
                </c:pt>
                <c:pt idx="48">
                  <c:v>758.18827892720128</c:v>
                </c:pt>
                <c:pt idx="49">
                  <c:v>772.94049934451823</c:v>
                </c:pt>
                <c:pt idx="50">
                  <c:v>787.68701569748782</c:v>
                </c:pt>
                <c:pt idx="51">
                  <c:v>802.4279497290014</c:v>
                </c:pt>
                <c:pt idx="52">
                  <c:v>817.16341834824254</c:v>
                </c:pt>
                <c:pt idx="53">
                  <c:v>831.89353390809913</c:v>
                </c:pt>
                <c:pt idx="54">
                  <c:v>846.61840446192366</c:v>
                </c:pt>
                <c:pt idx="55">
                  <c:v>811.05042255184469</c:v>
                </c:pt>
                <c:pt idx="56">
                  <c:v>820.61136796298126</c:v>
                </c:pt>
                <c:pt idx="57">
                  <c:v>830.17006999793659</c:v>
                </c:pt>
                <c:pt idx="58">
                  <c:v>839.72655811403354</c:v>
                </c:pt>
                <c:pt idx="59">
                  <c:v>849.28086104383658</c:v>
                </c:pt>
                <c:pt idx="60">
                  <c:v>858.83300682110655</c:v>
                </c:pt>
                <c:pt idx="61">
                  <c:v>868.38302280554535</c:v>
                </c:pt>
                <c:pt idx="62">
                  <c:v>877.93093570639178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183.8758659829856</c:v>
                </c:pt>
                <c:pt idx="22">
                  <c:v>205.0891292024188</c:v>
                </c:pt>
                <c:pt idx="23">
                  <c:v>226.25164550125564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244.79583422246174</c:v>
                </c:pt>
                <c:pt idx="27">
                  <c:v>267.41787510049454</c:v>
                </c:pt>
                <c:pt idx="28">
                  <c:v>289.99681160231404</c:v>
                </c:pt>
                <c:pt idx="29">
                  <c:v>312.53647021104257</c:v>
                </c:pt>
                <c:pt idx="30">
                  <c:v>335.04008037896625</c:v>
                </c:pt>
                <c:pt idx="31">
                  <c:v>289.99681160231404</c:v>
                </c:pt>
                <c:pt idx="32">
                  <c:v>314.07191886152782</c:v>
                </c:pt>
                <c:pt idx="33">
                  <c:v>338.10611860508033</c:v>
                </c:pt>
                <c:pt idx="34">
                  <c:v>362.10272554390014</c:v>
                </c:pt>
                <c:pt idx="35">
                  <c:v>386.06457932909711</c:v>
                </c:pt>
                <c:pt idx="36">
                  <c:v>342.1932186321871</c:v>
                </c:pt>
                <c:pt idx="37">
                  <c:v>364.6534648608133</c:v>
                </c:pt>
                <c:pt idx="38">
                  <c:v>387.08350012671559</c:v>
                </c:pt>
                <c:pt idx="39">
                  <c:v>409.48531996489623</c:v>
                </c:pt>
                <c:pt idx="40">
                  <c:v>431.86068387305687</c:v>
                </c:pt>
                <c:pt idx="41">
                  <c:v>396.25118655434966</c:v>
                </c:pt>
                <c:pt idx="42">
                  <c:v>421.69323961894696</c:v>
                </c:pt>
                <c:pt idx="43">
                  <c:v>447.10225323882656</c:v>
                </c:pt>
                <c:pt idx="44">
                  <c:v>472.48036714392646</c:v>
                </c:pt>
                <c:pt idx="45">
                  <c:v>497.8294726490094</c:v>
                </c:pt>
                <c:pt idx="46">
                  <c:v>447.61011165255627</c:v>
                </c:pt>
                <c:pt idx="47">
                  <c:v>469.69022691951341</c:v>
                </c:pt>
                <c:pt idx="48">
                  <c:v>491.74823970258649</c:v>
                </c:pt>
                <c:pt idx="49">
                  <c:v>513.78528004261909</c:v>
                </c:pt>
                <c:pt idx="50">
                  <c:v>535.80237321728112</c:v>
                </c:pt>
                <c:pt idx="51">
                  <c:v>500.61617734977295</c:v>
                </c:pt>
                <c:pt idx="52">
                  <c:v>524.92279412001812</c:v>
                </c:pt>
                <c:pt idx="53">
                  <c:v>549.20570960219959</c:v>
                </c:pt>
                <c:pt idx="54">
                  <c:v>573.46611798533252</c:v>
                </c:pt>
                <c:pt idx="55">
                  <c:v>597.7051042871891</c:v>
                </c:pt>
                <c:pt idx="56">
                  <c:v>558.55867937490257</c:v>
                </c:pt>
                <c:pt idx="57">
                  <c:v>580.03291566489895</c:v>
                </c:pt>
                <c:pt idx="58">
                  <c:v>601.49057626451452</c:v>
                </c:pt>
                <c:pt idx="59">
                  <c:v>622.93233512534789</c:v>
                </c:pt>
                <c:pt idx="60">
                  <c:v>644.35881606732414</c:v>
                </c:pt>
                <c:pt idx="61">
                  <c:v>625.95816246292009</c:v>
                </c:pt>
                <c:pt idx="62">
                  <c:v>647.88645878177363</c:v>
                </c:pt>
                <c:pt idx="63">
                  <c:v>669.79945190168917</c:v>
                </c:pt>
                <c:pt idx="64">
                  <c:v>691.69771238133637</c:v>
                </c:pt>
                <c:pt idx="65">
                  <c:v>713.58177174919854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1.9372195932743184</c:v>
                </c:pt>
                <c:pt idx="2">
                  <c:v>2.4198485086289616</c:v>
                </c:pt>
                <c:pt idx="3">
                  <c:v>3.0231903145261385</c:v>
                </c:pt>
                <c:pt idx="4">
                  <c:v>3.7775489714866755</c:v>
                </c:pt>
                <c:pt idx="5">
                  <c:v>4.720862313478416</c:v>
                </c:pt>
                <c:pt idx="6">
                  <c:v>5.900631269188306</c:v>
                </c:pt>
                <c:pt idx="7">
                  <c:v>7.3763380754840293</c:v>
                </c:pt>
                <c:pt idx="8">
                  <c:v>9.2224777619646083</c:v>
                </c:pt>
                <c:pt idx="9">
                  <c:v>11.532358849399607</c:v>
                </c:pt>
                <c:pt idx="10">
                  <c:v>14.422868954190093</c:v>
                </c:pt>
                <c:pt idx="11">
                  <c:v>18.040450894556724</c:v>
                </c:pt>
                <c:pt idx="12">
                  <c:v>22.568597551081712</c:v>
                </c:pt>
                <c:pt idx="13">
                  <c:v>29.379832297005887</c:v>
                </c:pt>
                <c:pt idx="14">
                  <c:v>36.146790464079764</c:v>
                </c:pt>
                <c:pt idx="15">
                  <c:v>42.87900426930301</c:v>
                </c:pt>
                <c:pt idx="16">
                  <c:v>49.582731081946882</c:v>
                </c:pt>
                <c:pt idx="17">
                  <c:v>52.257277240695743</c:v>
                </c:pt>
                <c:pt idx="18">
                  <c:v>60.260013971453361</c:v>
                </c:pt>
                <c:pt idx="19">
                  <c:v>68.235044895959192</c:v>
                </c:pt>
                <c:pt idx="20">
                  <c:v>76.18607486224613</c:v>
                </c:pt>
                <c:pt idx="21">
                  <c:v>78.170432272157356</c:v>
                </c:pt>
                <c:pt idx="22">
                  <c:v>86.754976621693785</c:v>
                </c:pt>
                <c:pt idx="23">
                  <c:v>95.31815555303865</c:v>
                </c:pt>
                <c:pt idx="24">
                  <c:v>103.86216297638167</c:v>
                </c:pt>
                <c:pt idx="25">
                  <c:v>97.94903248410327</c:v>
                </c:pt>
                <c:pt idx="26">
                  <c:v>107.79959559943795</c:v>
                </c:pt>
                <c:pt idx="27">
                  <c:v>117.62799280468744</c:v>
                </c:pt>
                <c:pt idx="28">
                  <c:v>127.43634005216967</c:v>
                </c:pt>
                <c:pt idx="29">
                  <c:v>118.28248521778211</c:v>
                </c:pt>
                <c:pt idx="30">
                  <c:v>126.12965241438131</c:v>
                </c:pt>
                <c:pt idx="31">
                  <c:v>133.96498182774511</c:v>
                </c:pt>
                <c:pt idx="32">
                  <c:v>141.78926461478019</c:v>
                </c:pt>
                <c:pt idx="33">
                  <c:v>149.60319730872013</c:v>
                </c:pt>
                <c:pt idx="34">
                  <c:v>157.40739759934175</c:v>
                </c:pt>
                <c:pt idx="35">
                  <c:v>134.61741712945886</c:v>
                </c:pt>
                <c:pt idx="36">
                  <c:v>144.39502686294233</c:v>
                </c:pt>
                <c:pt idx="37">
                  <c:v>154.15679349366337</c:v>
                </c:pt>
                <c:pt idx="38">
                  <c:v>163.90386287643108</c:v>
                </c:pt>
                <c:pt idx="39">
                  <c:v>173.63723323162355</c:v>
                </c:pt>
                <c:pt idx="40">
                  <c:v>183.35778156075915</c:v>
                </c:pt>
                <c:pt idx="41">
                  <c:v>161.95557497220057</c:v>
                </c:pt>
                <c:pt idx="42">
                  <c:v>170.39424217688835</c:v>
                </c:pt>
                <c:pt idx="43">
                  <c:v>178.82306978803445</c:v>
                </c:pt>
                <c:pt idx="44">
                  <c:v>187.24258760716552</c:v>
                </c:pt>
                <c:pt idx="45">
                  <c:v>195.65327382805231</c:v>
                </c:pt>
                <c:pt idx="46">
                  <c:v>204.05556211554111</c:v>
                </c:pt>
                <c:pt idx="47">
                  <c:v>184.81480707476351</c:v>
                </c:pt>
                <c:pt idx="48">
                  <c:v>190.15495553136066</c:v>
                </c:pt>
                <c:pt idx="49">
                  <c:v>195.49161038341603</c:v>
                </c:pt>
                <c:pt idx="50">
                  <c:v>200.82488064971199</c:v>
                </c:pt>
                <c:pt idx="51">
                  <c:v>206.15486907445248</c:v>
                </c:pt>
                <c:pt idx="52">
                  <c:v>211.48167264501083</c:v>
                </c:pt>
                <c:pt idx="53">
                  <c:v>216.80538305469648</c:v>
                </c:pt>
                <c:pt idx="54">
                  <c:v>222.12608711761615</c:v>
                </c:pt>
                <c:pt idx="55">
                  <c:v>205.02453479660156</c:v>
                </c:pt>
                <c:pt idx="56">
                  <c:v>208.57653261210177</c:v>
                </c:pt>
                <c:pt idx="57">
                  <c:v>212.12713384572248</c:v>
                </c:pt>
                <c:pt idx="58">
                  <c:v>215.67636522938469</c:v>
                </c:pt>
                <c:pt idx="59">
                  <c:v>219.22425254131755</c:v>
                </c:pt>
                <c:pt idx="60">
                  <c:v>222.77082065532954</c:v>
                </c:pt>
                <c:pt idx="61">
                  <c:v>226.31609358677363</c:v>
                </c:pt>
                <c:pt idx="62">
                  <c:v>229.86009453547467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2.0145808773528358</c:v>
                </c:pt>
                <c:pt idx="2">
                  <c:v>2.7928351000252465</c:v>
                </c:pt>
                <c:pt idx="3">
                  <c:v>3.8730351804186167</c:v>
                </c:pt>
                <c:pt idx="4">
                  <c:v>5.3728036608147471</c:v>
                </c:pt>
                <c:pt idx="5">
                  <c:v>7.4557551705464205</c:v>
                </c:pt>
                <c:pt idx="6">
                  <c:v>10.349542435124553</c:v>
                </c:pt>
                <c:pt idx="7">
                  <c:v>14.37100557008751</c:v>
                </c:pt>
                <c:pt idx="8">
                  <c:v>19.961228764171775</c:v>
                </c:pt>
                <c:pt idx="9">
                  <c:v>27.734418314448106</c:v>
                </c:pt>
                <c:pt idx="10">
                  <c:v>38.546066151679575</c:v>
                </c:pt>
                <c:pt idx="11">
                  <c:v>53.58802854611551</c:v>
                </c:pt>
                <c:pt idx="12">
                  <c:v>74.521175401475503</c:v>
                </c:pt>
                <c:pt idx="13">
                  <c:v>103.66049376987102</c:v>
                </c:pt>
                <c:pt idx="14">
                  <c:v>144.23343878702573</c:v>
                </c:pt>
                <c:pt idx="15">
                  <c:v>200.74058596732007</c:v>
                </c:pt>
                <c:pt idx="16">
                  <c:v>234.7496082755471</c:v>
                </c:pt>
                <c:pt idx="17">
                  <c:v>268.64606128457052</c:v>
                </c:pt>
                <c:pt idx="18">
                  <c:v>302.44614715027416</c:v>
                </c:pt>
                <c:pt idx="19">
                  <c:v>336.16214403365615</c:v>
                </c:pt>
                <c:pt idx="20">
                  <c:v>369.80366387000646</c:v>
                </c:pt>
                <c:pt idx="21">
                  <c:v>327.80021030320921</c:v>
                </c:pt>
                <c:pt idx="22">
                  <c:v>337.1174995288988</c:v>
                </c:pt>
                <c:pt idx="23">
                  <c:v>346.42912024520996</c:v>
                </c:pt>
                <c:pt idx="24">
                  <c:v>355.73524639197313</c:v>
                </c:pt>
                <c:pt idx="25">
                  <c:v>365.03604206029331</c:v>
                </c:pt>
                <c:pt idx="26">
                  <c:v>361.45943371216896</c:v>
                </c:pt>
                <c:pt idx="27">
                  <c:v>429.29168480110246</c:v>
                </c:pt>
                <c:pt idx="28">
                  <c:v>496.89315392930263</c:v>
                </c:pt>
                <c:pt idx="29">
                  <c:v>564.29962062366303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8.8044025208429719</c:v>
                </c:pt>
                <c:pt idx="2">
                  <c:v>17.221089273204196</c:v>
                </c:pt>
                <c:pt idx="3">
                  <c:v>25.512563294459923</c:v>
                </c:pt>
                <c:pt idx="4">
                  <c:v>33.726853274883347</c:v>
                </c:pt>
                <c:pt idx="5">
                  <c:v>41.885727391390851</c:v>
                </c:pt>
                <c:pt idx="6">
                  <c:v>50.00160312094232</c:v>
                </c:pt>
                <c:pt idx="7">
                  <c:v>58.082485530805052</c:v>
                </c:pt>
                <c:pt idx="8">
                  <c:v>66.133950466370564</c:v>
                </c:pt>
                <c:pt idx="9">
                  <c:v>74.160096244932106</c:v>
                </c:pt>
                <c:pt idx="10">
                  <c:v>82.164057018091427</c:v>
                </c:pt>
                <c:pt idx="11">
                  <c:v>90.148303834134651</c:v>
                </c:pt>
                <c:pt idx="12">
                  <c:v>98.114832690532054</c:v>
                </c:pt>
                <c:pt idx="13">
                  <c:v>106.06528794847596</c:v>
                </c:pt>
                <c:pt idx="14">
                  <c:v>114.0010466196989</c:v>
                </c:pt>
                <c:pt idx="15">
                  <c:v>121.9232778531174</c:v>
                </c:pt>
                <c:pt idx="16">
                  <c:v>129.83298609190561</c:v>
                </c:pt>
                <c:pt idx="17">
                  <c:v>137.73104312742694</c:v>
                </c:pt>
                <c:pt idx="18">
                  <c:v>145.61821239345747</c:v>
                </c:pt>
                <c:pt idx="19">
                  <c:v>153.49516770691636</c:v>
                </c:pt>
                <c:pt idx="20">
                  <c:v>161.362507950626</c:v>
                </c:pt>
                <c:pt idx="21">
                  <c:v>169.22076873606747</c:v>
                </c:pt>
                <c:pt idx="22">
                  <c:v>177.07043178171759</c:v>
                </c:pt>
                <c:pt idx="23">
                  <c:v>184.91193253803269</c:v>
                </c:pt>
                <c:pt idx="24">
                  <c:v>192.74566644892982</c:v>
                </c:pt>
                <c:pt idx="25">
                  <c:v>200.57199414028256</c:v>
                </c:pt>
                <c:pt idx="26">
                  <c:v>208.39124575488827</c:v>
                </c:pt>
                <c:pt idx="27">
                  <c:v>216.20372460175972</c:v>
                </c:pt>
                <c:pt idx="28">
                  <c:v>224.00971024958213</c:v>
                </c:pt>
                <c:pt idx="29">
                  <c:v>231.8094611658297</c:v>
                </c:pt>
                <c:pt idx="30">
                  <c:v>239.60321698163875</c:v>
                </c:pt>
                <c:pt idx="31">
                  <c:v>247.39120044621509</c:v>
                </c:pt>
                <c:pt idx="32">
                  <c:v>255.17361912197524</c:v>
                </c:pt>
                <c:pt idx="33">
                  <c:v>262.95066686184327</c:v>
                </c:pt>
                <c:pt idx="34">
                  <c:v>270.72252510244931</c:v>
                </c:pt>
                <c:pt idx="35">
                  <c:v>278.48936400091264</c:v>
                </c:pt>
                <c:pt idx="36">
                  <c:v>286.25134343805456</c:v>
                </c:pt>
                <c:pt idx="37">
                  <c:v>237.4118159146411</c:v>
                </c:pt>
                <c:pt idx="38">
                  <c:v>256.63221905446113</c:v>
                </c:pt>
                <c:pt idx="39">
                  <c:v>275.82006911547222</c:v>
                </c:pt>
                <c:pt idx="40">
                  <c:v>294.97794877206235</c:v>
                </c:pt>
                <c:pt idx="41">
                  <c:v>314.10807777988271</c:v>
                </c:pt>
                <c:pt idx="42">
                  <c:v>333.21238343704948</c:v>
                </c:pt>
                <c:pt idx="43">
                  <c:v>352.29255402604258</c:v>
                </c:pt>
                <c:pt idx="44">
                  <c:v>371.35008006494377</c:v>
                </c:pt>
                <c:pt idx="45">
                  <c:v>304.18312189352014</c:v>
                </c:pt>
                <c:pt idx="46">
                  <c:v>325.96051291867633</c:v>
                </c:pt>
                <c:pt idx="47">
                  <c:v>347.70577372743418</c:v>
                </c:pt>
                <c:pt idx="48">
                  <c:v>369.42119511414558</c:v>
                </c:pt>
                <c:pt idx="49">
                  <c:v>391.10877666986568</c:v>
                </c:pt>
                <c:pt idx="50">
                  <c:v>412.77027822799613</c:v>
                </c:pt>
                <c:pt idx="51">
                  <c:v>434.40725994376595</c:v>
                </c:pt>
                <c:pt idx="52">
                  <c:v>456.02111397099435</c:v>
                </c:pt>
                <c:pt idx="53">
                  <c:v>354.223437181012</c:v>
                </c:pt>
                <c:pt idx="54">
                  <c:v>373.76087912744418</c:v>
                </c:pt>
                <c:pt idx="55">
                  <c:v>393.27607323395705</c:v>
                </c:pt>
                <c:pt idx="56">
                  <c:v>412.77027822799613</c:v>
                </c:pt>
                <c:pt idx="57">
                  <c:v>432.24462429583883</c:v>
                </c:pt>
                <c:pt idx="58">
                  <c:v>451.70013152794922</c:v>
                </c:pt>
                <c:pt idx="59">
                  <c:v>471.13772502101688</c:v>
                </c:pt>
                <c:pt idx="60">
                  <c:v>490.55824735832431</c:v>
                </c:pt>
                <c:pt idx="61">
                  <c:v>403.46694653037821</c:v>
                </c:pt>
                <c:pt idx="62">
                  <c:v>420.14556032232667</c:v>
                </c:pt>
                <c:pt idx="63">
                  <c:v>436.80991738516144</c:v>
                </c:pt>
                <c:pt idx="64">
                  <c:v>453.46063798380879</c:v>
                </c:pt>
                <c:pt idx="65">
                  <c:v>470.09829313332119</c:v>
                </c:pt>
                <c:pt idx="66">
                  <c:v>486.72341015001916</c:v>
                </c:pt>
                <c:pt idx="67">
                  <c:v>503.33647740486361</c:v>
                </c:pt>
                <c:pt idx="68">
                  <c:v>519.93794841677959</c:v>
                </c:pt>
                <c:pt idx="69">
                  <c:v>536.52824539615131</c:v>
                </c:pt>
                <c:pt idx="70">
                  <c:v>454.31416423194418</c:v>
                </c:pt>
                <c:pt idx="71">
                  <c:v>469.88507028774637</c:v>
                </c:pt>
                <c:pt idx="72">
                  <c:v>485.44498879797311</c:v>
                </c:pt>
                <c:pt idx="73">
                  <c:v>500.99432141253783</c:v>
                </c:pt>
                <c:pt idx="74">
                  <c:v>516.53344282577962</c:v>
                </c:pt>
                <c:pt idx="75">
                  <c:v>532.06270335879174</c:v>
                </c:pt>
                <c:pt idx="76">
                  <c:v>547.58243122468434</c:v>
                </c:pt>
                <c:pt idx="77">
                  <c:v>563.09293452377176</c:v>
                </c:pt>
                <c:pt idx="78">
                  <c:v>578.5945030075876</c:v>
                </c:pt>
                <c:pt idx="79">
                  <c:v>499.71668415449676</c:v>
                </c:pt>
                <c:pt idx="80">
                  <c:v>514.61820052476094</c:v>
                </c:pt>
                <c:pt idx="81">
                  <c:v>529.51061140708282</c:v>
                </c:pt>
                <c:pt idx="82">
                  <c:v>544.39420886236155</c:v>
                </c:pt>
                <c:pt idx="83">
                  <c:v>559.2692676862448</c:v>
                </c:pt>
                <c:pt idx="84">
                  <c:v>574.13604687135296</c:v>
                </c:pt>
                <c:pt idx="85">
                  <c:v>588.99479091023716</c:v>
                </c:pt>
                <c:pt idx="86">
                  <c:v>603.84573096007898</c:v>
                </c:pt>
                <c:pt idx="87">
                  <c:v>618.68908588691181</c:v>
                </c:pt>
                <c:pt idx="88">
                  <c:v>546.73227677798229</c:v>
                </c:pt>
                <c:pt idx="89">
                  <c:v>560.7563140447694</c:v>
                </c:pt>
                <c:pt idx="90">
                  <c:v>574.77301329675186</c:v>
                </c:pt>
                <c:pt idx="91">
                  <c:v>588.7825786199727</c:v>
                </c:pt>
                <c:pt idx="92">
                  <c:v>602.78520360071263</c:v>
                </c:pt>
                <c:pt idx="93">
                  <c:v>616.7810721021084</c:v>
                </c:pt>
                <c:pt idx="94">
                  <c:v>630.77035896665097</c:v>
                </c:pt>
                <c:pt idx="95">
                  <c:v>644.75323065315456</c:v>
                </c:pt>
                <c:pt idx="96">
                  <c:v>658.72984581562605</c:v>
                </c:pt>
                <c:pt idx="97">
                  <c:v>588.35814925949501</c:v>
                </c:pt>
                <c:pt idx="98">
                  <c:v>601.93675380071136</c:v>
                </c:pt>
                <c:pt idx="99">
                  <c:v>615.50899495391707</c:v>
                </c:pt>
                <c:pt idx="100">
                  <c:v>629.07503274134626</c:v>
                </c:pt>
                <c:pt idx="101">
                  <c:v>642.635019724024</c:v>
                </c:pt>
                <c:pt idx="102">
                  <c:v>656.18910150302543</c:v>
                </c:pt>
                <c:pt idx="103">
                  <c:v>669.73741717718713</c:v>
                </c:pt>
                <c:pt idx="104">
                  <c:v>683.28009976187866</c:v>
                </c:pt>
                <c:pt idx="105">
                  <c:v>696.81727657286763</c:v>
                </c:pt>
                <c:pt idx="106">
                  <c:v>628.22733419629901</c:v>
                </c:pt>
                <c:pt idx="107">
                  <c:v>641.57586023448323</c:v>
                </c:pt>
                <c:pt idx="108">
                  <c:v>654.91865339125661</c:v>
                </c:pt>
                <c:pt idx="109">
                  <c:v>668.25584686179866</c:v>
                </c:pt>
                <c:pt idx="110">
                  <c:v>681.58756809397516</c:v>
                </c:pt>
                <c:pt idx="111">
                  <c:v>694.91393914623495</c:v>
                </c:pt>
                <c:pt idx="112">
                  <c:v>708.2350770166446</c:v>
                </c:pt>
                <c:pt idx="113">
                  <c:v>721.55109394589601</c:v>
                </c:pt>
                <c:pt idx="114">
                  <c:v>734.86209769679965</c:v>
                </c:pt>
                <c:pt idx="115">
                  <c:v>666.13920061354315</c:v>
                </c:pt>
                <c:pt idx="116">
                  <c:v>679.26019614635629</c:v>
                </c:pt>
                <c:pt idx="117">
                  <c:v>692.37598973245292</c:v>
                </c:pt>
                <c:pt idx="118">
                  <c:v>705.48669374356086</c:v>
                </c:pt>
                <c:pt idx="119">
                  <c:v>718.59241603672206</c:v>
                </c:pt>
                <c:pt idx="120">
                  <c:v>731.6932602164178</c:v>
                </c:pt>
                <c:pt idx="121">
                  <c:v>744.78932587695897</c:v>
                </c:pt>
                <c:pt idx="122">
                  <c:v>757.88070882695445</c:v>
                </c:pt>
                <c:pt idx="123">
                  <c:v>770.96750129747295</c:v>
                </c:pt>
                <c:pt idx="124">
                  <c:v>706.33237341600227</c:v>
                </c:pt>
                <c:pt idx="125">
                  <c:v>719.6491152090033</c:v>
                </c:pt>
                <c:pt idx="126">
                  <c:v>732.96082869312124</c:v>
                </c:pt>
                <c:pt idx="127">
                  <c:v>746.2676179992435</c:v>
                </c:pt>
                <c:pt idx="128">
                  <c:v>759.5695832444593</c:v>
                </c:pt>
                <c:pt idx="129">
                  <c:v>772.86682075581473</c:v>
                </c:pt>
                <c:pt idx="130">
                  <c:v>786.15942327787707</c:v>
                </c:pt>
                <c:pt idx="131">
                  <c:v>799.44748016554638</c:v>
                </c:pt>
                <c:pt idx="132">
                  <c:v>812.7310775633897</c:v>
                </c:pt>
                <c:pt idx="133">
                  <c:v>746.47879772357555</c:v>
                </c:pt>
                <c:pt idx="134">
                  <c:v>759.99178993037003</c:v>
                </c:pt>
                <c:pt idx="135">
                  <c:v>773.49990620972676</c:v>
                </c:pt>
                <c:pt idx="136">
                  <c:v>787.00324364912785</c:v>
                </c:pt>
                <c:pt idx="137">
                  <c:v>800.50189573532555</c:v>
                </c:pt>
                <c:pt idx="138">
                  <c:v>813.9959525476055</c:v>
                </c:pt>
                <c:pt idx="139">
                  <c:v>827.48550093758092</c:v>
                </c:pt>
                <c:pt idx="140">
                  <c:v>840.97062469666037</c:v>
                </c:pt>
                <c:pt idx="141">
                  <c:v>854.45140471222987</c:v>
                </c:pt>
                <c:pt idx="142">
                  <c:v>782.52023774531926</c:v>
                </c:pt>
                <c:pt idx="143">
                  <c:v>795.96770927094894</c:v>
                </c:pt>
                <c:pt idx="144">
                  <c:v>809.41059169599203</c:v>
                </c:pt>
                <c:pt idx="145">
                  <c:v>822.84897191684365</c:v>
                </c:pt>
                <c:pt idx="146">
                  <c:v>836.28293376251315</c:v>
                </c:pt>
                <c:pt idx="147">
                  <c:v>849.71255815145241</c:v>
                </c:pt>
                <c:pt idx="148">
                  <c:v>863.13792323796235</c:v>
                </c:pt>
                <c:pt idx="149">
                  <c:v>876.55910454902858</c:v>
                </c:pt>
                <c:pt idx="150">
                  <c:v>889.97617511234773</c:v>
                </c:pt>
                <c:pt idx="151">
                  <c:v>903.38920557623862</c:v>
                </c:pt>
                <c:pt idx="152">
                  <c:v>916.79826432207267</c:v>
                </c:pt>
                <c:pt idx="153">
                  <c:v>930.20341756978689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2.831109883706608</c:v>
                </c:pt>
                <c:pt idx="2">
                  <c:v>3.588743690716981</c:v>
                </c:pt>
                <c:pt idx="3">
                  <c:v>4.5499209827563751</c:v>
                </c:pt>
                <c:pt idx="4">
                  <c:v>5.769525756466181</c:v>
                </c:pt>
                <c:pt idx="5">
                  <c:v>7.3172916476627918</c:v>
                </c:pt>
                <c:pt idx="6">
                  <c:v>9.2818324115941682</c:v>
                </c:pt>
                <c:pt idx="7">
                  <c:v>11.775769532514182</c:v>
                </c:pt>
                <c:pt idx="8">
                  <c:v>14.942256403107324</c:v>
                </c:pt>
                <c:pt idx="9">
                  <c:v>18.963280438167057</c:v>
                </c:pt>
                <c:pt idx="10">
                  <c:v>24.070228873283444</c:v>
                </c:pt>
                <c:pt idx="11">
                  <c:v>30.557337019171232</c:v>
                </c:pt>
                <c:pt idx="12">
                  <c:v>38.798807265050783</c:v>
                </c:pt>
                <c:pt idx="13">
                  <c:v>49.270603186045356</c:v>
                </c:pt>
                <c:pt idx="14">
                  <c:v>62.578198509588582</c:v>
                </c:pt>
                <c:pt idx="15">
                  <c:v>79.491911760197141</c:v>
                </c:pt>
                <c:pt idx="16">
                  <c:v>100.99190495548567</c:v>
                </c:pt>
                <c:pt idx="17">
                  <c:v>128.32549533436566</c:v>
                </c:pt>
                <c:pt idx="18">
                  <c:v>163.08015665156708</c:v>
                </c:pt>
                <c:pt idx="19">
                  <c:v>207.27651430938363</c:v>
                </c:pt>
                <c:pt idx="20">
                  <c:v>263.48682168593842</c:v>
                </c:pt>
                <c:pt idx="21">
                  <c:v>199.49292850815041</c:v>
                </c:pt>
                <c:pt idx="22">
                  <c:v>216.47300307155021</c:v>
                </c:pt>
                <c:pt idx="23">
                  <c:v>233.42244664801697</c:v>
                </c:pt>
                <c:pt idx="24">
                  <c:v>250.34379664975143</c:v>
                </c:pt>
                <c:pt idx="25">
                  <c:v>267.23921926263699</c:v>
                </c:pt>
                <c:pt idx="26">
                  <c:v>284.11058429716292</c:v>
                </c:pt>
                <c:pt idx="27">
                  <c:v>300.95952130477974</c:v>
                </c:pt>
                <c:pt idx="28">
                  <c:v>317.78746245668026</c:v>
                </c:pt>
                <c:pt idx="29">
                  <c:v>334.59567585759874</c:v>
                </c:pt>
                <c:pt idx="30">
                  <c:v>351.38529181133845</c:v>
                </c:pt>
                <c:pt idx="31">
                  <c:v>282.79919105709729</c:v>
                </c:pt>
                <c:pt idx="32">
                  <c:v>296.46858031425882</c:v>
                </c:pt>
                <c:pt idx="33">
                  <c:v>310.12391968967148</c:v>
                </c:pt>
                <c:pt idx="34">
                  <c:v>323.76591506204625</c:v>
                </c:pt>
                <c:pt idx="35">
                  <c:v>337.39520795625043</c:v>
                </c:pt>
                <c:pt idx="36">
                  <c:v>351.01238382795651</c:v>
                </c:pt>
                <c:pt idx="37">
                  <c:v>364.61797899508082</c:v>
                </c:pt>
                <c:pt idx="38">
                  <c:v>378.21248648031383</c:v>
                </c:pt>
                <c:pt idx="39">
                  <c:v>391.79636096959183</c:v>
                </c:pt>
                <c:pt idx="40">
                  <c:v>405.37002304691265</c:v>
                </c:pt>
                <c:pt idx="41">
                  <c:v>343.36583983111797</c:v>
                </c:pt>
                <c:pt idx="42">
                  <c:v>353.99540526070876</c:v>
                </c:pt>
                <c:pt idx="43">
                  <c:v>364.61797899508082</c:v>
                </c:pt>
                <c:pt idx="44">
                  <c:v>375.23379351840327</c:v>
                </c:pt>
                <c:pt idx="45">
                  <c:v>385.84306708196351</c:v>
                </c:pt>
                <c:pt idx="46">
                  <c:v>396.44600495131112</c:v>
                </c:pt>
                <c:pt idx="47">
                  <c:v>407.04280051298934</c:v>
                </c:pt>
                <c:pt idx="48">
                  <c:v>417.63363625997869</c:v>
                </c:pt>
                <c:pt idx="49">
                  <c:v>428.21868467194827</c:v>
                </c:pt>
                <c:pt idx="50">
                  <c:v>438.79810900392067</c:v>
                </c:pt>
                <c:pt idx="51">
                  <c:v>385.65699465901594</c:v>
                </c:pt>
                <c:pt idx="52">
                  <c:v>393.84235089269191</c:v>
                </c:pt>
                <c:pt idx="53">
                  <c:v>402.02401961743982</c:v>
                </c:pt>
                <c:pt idx="54">
                  <c:v>410.20208650717791</c:v>
                </c:pt>
                <c:pt idx="55">
                  <c:v>418.37663353903241</c:v>
                </c:pt>
                <c:pt idx="56">
                  <c:v>426.54773922354428</c:v>
                </c:pt>
                <c:pt idx="57">
                  <c:v>434.71547881631085</c:v>
                </c:pt>
                <c:pt idx="58">
                  <c:v>442.87992451288665</c:v>
                </c:pt>
                <c:pt idx="59">
                  <c:v>451.0411456285596</c:v>
                </c:pt>
                <c:pt idx="60">
                  <c:v>459.19920876443285</c:v>
                </c:pt>
                <c:pt idx="61">
                  <c:v>417.07636960303012</c:v>
                </c:pt>
                <c:pt idx="62">
                  <c:v>423.20542522400018</c:v>
                </c:pt>
                <c:pt idx="63">
                  <c:v>429.33257037940683</c:v>
                </c:pt>
                <c:pt idx="64">
                  <c:v>435.45783620208493</c:v>
                </c:pt>
                <c:pt idx="65">
                  <c:v>441.58125287689433</c:v>
                </c:pt>
                <c:pt idx="66">
                  <c:v>447.70284968262354</c:v>
                </c:pt>
                <c:pt idx="67">
                  <c:v>453.82265503147863</c:v>
                </c:pt>
                <c:pt idx="68">
                  <c:v>459.94069650633213</c:v>
                </c:pt>
                <c:pt idx="69">
                  <c:v>466.05700089588487</c:v>
                </c:pt>
                <c:pt idx="70">
                  <c:v>472.17159422788467</c:v>
                </c:pt>
                <c:pt idx="71">
                  <c:v>3.9806453659427267E-12</c:v>
                </c:pt>
                <c:pt idx="72">
                  <c:v>3.9806453659427267E-12</c:v>
                </c:pt>
                <c:pt idx="73">
                  <c:v>3.9806453659427267E-12</c:v>
                </c:pt>
                <c:pt idx="74">
                  <c:v>3.9806453659427267E-12</c:v>
                </c:pt>
                <c:pt idx="75">
                  <c:v>3.9806453659427267E-12</c:v>
                </c:pt>
                <c:pt idx="76">
                  <c:v>3.9806453659427267E-12</c:v>
                </c:pt>
                <c:pt idx="77">
                  <c:v>3.9806453659427267E-12</c:v>
                </c:pt>
                <c:pt idx="78">
                  <c:v>3.9806453659427267E-12</c:v>
                </c:pt>
                <c:pt idx="79">
                  <c:v>3.9806453659427267E-12</c:v>
                </c:pt>
                <c:pt idx="80">
                  <c:v>3.9806453659427267E-12</c:v>
                </c:pt>
                <c:pt idx="81">
                  <c:v>3.9806453659427267E-12</c:v>
                </c:pt>
                <c:pt idx="82">
                  <c:v>3.9806453659427267E-12</c:v>
                </c:pt>
                <c:pt idx="83">
                  <c:v>3.9806453659427267E-12</c:v>
                </c:pt>
                <c:pt idx="84">
                  <c:v>3.9806453659427267E-12</c:v>
                </c:pt>
                <c:pt idx="85">
                  <c:v>3.9806453659427267E-12</c:v>
                </c:pt>
                <c:pt idx="86">
                  <c:v>3.9806453659427267E-12</c:v>
                </c:pt>
                <c:pt idx="87">
                  <c:v>3.9806453659427267E-12</c:v>
                </c:pt>
                <c:pt idx="88">
                  <c:v>3.9806453659427267E-12</c:v>
                </c:pt>
                <c:pt idx="89">
                  <c:v>3.9806453659427267E-12</c:v>
                </c:pt>
                <c:pt idx="90">
                  <c:v>3.9806453659427267E-12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2.6595386134925825</c:v>
                </c:pt>
                <c:pt idx="2">
                  <c:v>3.5323035021622449</c:v>
                </c:pt>
                <c:pt idx="3">
                  <c:v>4.692650921844737</c:v>
                </c:pt>
                <c:pt idx="4">
                  <c:v>6.2357049593981602</c:v>
                </c:pt>
                <c:pt idx="5">
                  <c:v>8.2881662669602747</c:v>
                </c:pt>
                <c:pt idx="6">
                  <c:v>11.018828465208463</c:v>
                </c:pt>
                <c:pt idx="7">
                  <c:v>14.652607557738149</c:v>
                </c:pt>
                <c:pt idx="8">
                  <c:v>19.489261112185506</c:v>
                </c:pt>
                <c:pt idx="9">
                  <c:v>25.928369126675168</c:v>
                </c:pt>
                <c:pt idx="10">
                  <c:v>34.50267666064763</c:v>
                </c:pt>
                <c:pt idx="11">
                  <c:v>47.836408422767676</c:v>
                </c:pt>
                <c:pt idx="12">
                  <c:v>73.192655685481199</c:v>
                </c:pt>
                <c:pt idx="13">
                  <c:v>98.320643945681809</c:v>
                </c:pt>
                <c:pt idx="14">
                  <c:v>123.28788824388072</c:v>
                </c:pt>
                <c:pt idx="15">
                  <c:v>148.13176890752257</c:v>
                </c:pt>
                <c:pt idx="16">
                  <c:v>103.80507195429512</c:v>
                </c:pt>
                <c:pt idx="17">
                  <c:v>131.12740977560796</c:v>
                </c:pt>
                <c:pt idx="18">
                  <c:v>158.31162856255909</c:v>
                </c:pt>
                <c:pt idx="19">
                  <c:v>185.38487428970882</c:v>
                </c:pt>
                <c:pt idx="20">
                  <c:v>212.3656623867605</c:v>
                </c:pt>
                <c:pt idx="21">
                  <c:v>169.83009610749727</c:v>
                </c:pt>
                <c:pt idx="22">
                  <c:v>198.21136212170688</c:v>
                </c:pt>
                <c:pt idx="23">
                  <c:v>226.49822720784584</c:v>
                </c:pt>
                <c:pt idx="24">
                  <c:v>254.70414456356778</c:v>
                </c:pt>
                <c:pt idx="25">
                  <c:v>282.83933776674917</c:v>
                </c:pt>
                <c:pt idx="26">
                  <c:v>239.93902342659797</c:v>
                </c:pt>
                <c:pt idx="27">
                  <c:v>267.44020689106793</c:v>
                </c:pt>
                <c:pt idx="28">
                  <c:v>294.87767605242163</c:v>
                </c:pt>
                <c:pt idx="29">
                  <c:v>322.25818930207646</c:v>
                </c:pt>
                <c:pt idx="30">
                  <c:v>349.5872624595583</c:v>
                </c:pt>
                <c:pt idx="31">
                  <c:v>304.90122958502059</c:v>
                </c:pt>
                <c:pt idx="32">
                  <c:v>330.26204698031853</c:v>
                </c:pt>
                <c:pt idx="33">
                  <c:v>355.57991102673373</c:v>
                </c:pt>
                <c:pt idx="34">
                  <c:v>380.85830753019786</c:v>
                </c:pt>
                <c:pt idx="35">
                  <c:v>406.10022200250313</c:v>
                </c:pt>
                <c:pt idx="36">
                  <c:v>358.24259793484322</c:v>
                </c:pt>
                <c:pt idx="37">
                  <c:v>380.19356610697963</c:v>
                </c:pt>
                <c:pt idx="38">
                  <c:v>402.1169722695181</c:v>
                </c:pt>
                <c:pt idx="39">
                  <c:v>424.01452936813217</c:v>
                </c:pt>
                <c:pt idx="40">
                  <c:v>445.88775909204747</c:v>
                </c:pt>
                <c:pt idx="41">
                  <c:v>398.46491002936631</c:v>
                </c:pt>
                <c:pt idx="42">
                  <c:v>417.38154142593044</c:v>
                </c:pt>
                <c:pt idx="43">
                  <c:v>436.27970019200114</c:v>
                </c:pt>
                <c:pt idx="44">
                  <c:v>455.16029866004811</c:v>
                </c:pt>
                <c:pt idx="45">
                  <c:v>474.02416733906381</c:v>
                </c:pt>
                <c:pt idx="46">
                  <c:v>447.2126582919654</c:v>
                </c:pt>
                <c:pt idx="47">
                  <c:v>463.43593860392747</c:v>
                </c:pt>
                <c:pt idx="48">
                  <c:v>479.64710886178568</c:v>
                </c:pt>
                <c:pt idx="49">
                  <c:v>495.84663582629855</c:v>
                </c:pt>
                <c:pt idx="50">
                  <c:v>512.03495328543977</c:v>
                </c:pt>
                <c:pt idx="51">
                  <c:v>491.21936176570603</c:v>
                </c:pt>
                <c:pt idx="52">
                  <c:v>505.09844897378457</c:v>
                </c:pt>
                <c:pt idx="53">
                  <c:v>518.96947327099519</c:v>
                </c:pt>
                <c:pt idx="54">
                  <c:v>532.83268046104342</c:v>
                </c:pt>
                <c:pt idx="55">
                  <c:v>546.6883025179983</c:v>
                </c:pt>
                <c:pt idx="56">
                  <c:v>529.20258282443945</c:v>
                </c:pt>
                <c:pt idx="57">
                  <c:v>541.41085047775255</c:v>
                </c:pt>
                <c:pt idx="58">
                  <c:v>553.6133381090558</c:v>
                </c:pt>
                <c:pt idx="59">
                  <c:v>565.81019104559675</c:v>
                </c:pt>
                <c:pt idx="60">
                  <c:v>578.0015478397188</c:v>
                </c:pt>
                <c:pt idx="61">
                  <c:v>559.87728185241235</c:v>
                </c:pt>
                <c:pt idx="62">
                  <c:v>569.7647402875856</c:v>
                </c:pt>
                <c:pt idx="63">
                  <c:v>579.64861423230218</c:v>
                </c:pt>
                <c:pt idx="64">
                  <c:v>589.52897342041638</c:v>
                </c:pt>
                <c:pt idx="65">
                  <c:v>599.40588505791095</c:v>
                </c:pt>
                <c:pt idx="66">
                  <c:v>581.6249650643291</c:v>
                </c:pt>
                <c:pt idx="67">
                  <c:v>590.1875407239371</c:v>
                </c:pt>
                <c:pt idx="68">
                  <c:v>598.74753022738321</c:v>
                </c:pt>
                <c:pt idx="69">
                  <c:v>607.304975761582</c:v>
                </c:pt>
                <c:pt idx="70">
                  <c:v>615.85991822759047</c:v>
                </c:pt>
                <c:pt idx="71">
                  <c:v>599.07670952302124</c:v>
                </c:pt>
                <c:pt idx="72">
                  <c:v>606.97588978345107</c:v>
                </c:pt>
                <c:pt idx="73">
                  <c:v>614.87293594423443</c:v>
                </c:pt>
                <c:pt idx="74">
                  <c:v>622.76787928058957</c:v>
                </c:pt>
                <c:pt idx="75">
                  <c:v>630.66075021008271</c:v>
                </c:pt>
                <c:pt idx="76">
                  <c:v>614.21492950597656</c:v>
                </c:pt>
                <c:pt idx="77">
                  <c:v>620.79433890850089</c:v>
                </c:pt>
                <c:pt idx="78">
                  <c:v>627.37230392798813</c:v>
                </c:pt>
                <c:pt idx="79">
                  <c:v>633.94884184663977</c:v>
                </c:pt>
                <c:pt idx="80">
                  <c:v>640.52396955880056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48.765659367999113</c:v>
                </c:pt>
                <c:pt idx="12">
                  <c:v>74.616063262010528</c:v>
                </c:pt>
                <c:pt idx="13">
                  <c:v>100.2341790211712</c:v>
                </c:pt>
                <c:pt idx="14">
                  <c:v>125.68871343321821</c:v>
                </c:pt>
                <c:pt idx="15">
                  <c:v>151.01770664748466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244.6190581615721</c:v>
                </c:pt>
                <c:pt idx="27">
                  <c:v>272.65800236133896</c:v>
                </c:pt>
                <c:pt idx="28">
                  <c:v>300.63210759978887</c:v>
                </c:pt>
                <c:pt idx="29">
                  <c:v>328.5482515646346</c:v>
                </c:pt>
                <c:pt idx="30">
                  <c:v>356.41204743833867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365.23675297080769</c:v>
                </c:pt>
                <c:pt idx="37">
                  <c:v>387.61730275601627</c:v>
                </c:pt>
                <c:pt idx="38">
                  <c:v>409.96980401857422</c:v>
                </c:pt>
                <c:pt idx="39">
                  <c:v>432.29599994035453</c:v>
                </c:pt>
                <c:pt idx="40">
                  <c:v>454.59743907080411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539.54369365856019</c:v>
                </c:pt>
                <c:pt idx="57">
                  <c:v>551.99106495921342</c:v>
                </c:pt>
                <c:pt idx="58">
                  <c:v>564.43255421132858</c:v>
                </c:pt>
                <c:pt idx="59">
                  <c:v>576.86830930740882</c:v>
                </c:pt>
                <c:pt idx="60">
                  <c:v>589.29847124546529</c:v>
                </c:pt>
                <c:pt idx="61">
                  <c:v>570.81918970877257</c:v>
                </c:pt>
                <c:pt idx="62">
                  <c:v>580.90031938116931</c:v>
                </c:pt>
                <c:pt idx="63">
                  <c:v>590.97780129118485</c:v>
                </c:pt>
                <c:pt idx="64">
                  <c:v>601.05170640358597</c:v>
                </c:pt>
                <c:pt idx="65">
                  <c:v>611.12210311064734</c:v>
                </c:pt>
                <c:pt idx="66">
                  <c:v>592.99286623276123</c:v>
                </c:pt>
                <c:pt idx="67">
                  <c:v>601.7231745921265</c:v>
                </c:pt>
                <c:pt idx="68">
                  <c:v>610.45085114558412</c:v>
                </c:pt>
                <c:pt idx="69">
                  <c:v>619.17593882471431</c:v>
                </c:pt>
                <c:pt idx="70">
                  <c:v>627.89847925254264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626.22126355197054</c:v>
                </c:pt>
                <c:pt idx="77">
                  <c:v>632.92957124167299</c:v>
                </c:pt>
                <c:pt idx="78">
                  <c:v>639.63640905269347</c:v>
                </c:pt>
                <c:pt idx="79">
                  <c:v>646.34179457229197</c:v>
                </c:pt>
                <c:pt idx="80">
                  <c:v>653.0457449930251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198" sqref="C198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12.39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42</v>
      </c>
      <c r="C9" s="32">
        <v>0.16</v>
      </c>
      <c r="D9" s="33">
        <f t="shared" ref="D9:D18" si="0">C9*$C$5</f>
        <v>1.9824000000000002</v>
      </c>
      <c r="E9" s="34">
        <v>65</v>
      </c>
      <c r="F9" s="35" t="str">
        <f t="array" ref="F9">IF(E9="","",IF(INDEX(A:A,MAX(IF(ISNUMBER($A$36:$A$55),ROW($A$36:$A$55),"")))&lt;&gt;E9,"Corrigez : révolution incorrecte","OK"))</f>
        <v>Corrigez : révolution incorrecte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36</v>
      </c>
      <c r="C10" s="32">
        <v>0.1</v>
      </c>
      <c r="D10" s="33">
        <f t="shared" si="0"/>
        <v>1.2390000000000001</v>
      </c>
      <c r="E10" s="34">
        <v>62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35</v>
      </c>
      <c r="C11" s="32">
        <v>0.12</v>
      </c>
      <c r="D11" s="33">
        <f t="shared" si="0"/>
        <v>1.4868000000000001</v>
      </c>
      <c r="E11" s="34">
        <v>65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138</v>
      </c>
      <c r="C12" s="32">
        <v>0.1</v>
      </c>
      <c r="D12" s="33">
        <f t="shared" si="0"/>
        <v>1.2390000000000001</v>
      </c>
      <c r="E12" s="34">
        <v>62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18</v>
      </c>
      <c r="C13" s="32">
        <v>0.16</v>
      </c>
      <c r="D13" s="33">
        <f t="shared" si="0"/>
        <v>1.9824000000000002</v>
      </c>
      <c r="E13" s="34">
        <v>65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14</v>
      </c>
      <c r="C14" s="32">
        <v>0.22</v>
      </c>
      <c r="D14" s="33">
        <f t="shared" si="0"/>
        <v>2.7258</v>
      </c>
      <c r="E14" s="34">
        <v>153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13</v>
      </c>
      <c r="C15" s="32">
        <v>0.08</v>
      </c>
      <c r="D15" s="33">
        <f t="shared" si="0"/>
        <v>0.99120000000000008</v>
      </c>
      <c r="E15" s="34">
        <v>70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29</v>
      </c>
      <c r="C16" s="32">
        <v>0.02</v>
      </c>
      <c r="D16" s="33">
        <f t="shared" si="0"/>
        <v>0.24780000000000002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 t="s">
        <v>23</v>
      </c>
      <c r="C17" s="32">
        <v>0.02</v>
      </c>
      <c r="D17" s="33">
        <f t="shared" si="0"/>
        <v>0.24780000000000002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 t="s">
        <v>50</v>
      </c>
      <c r="C18" s="32">
        <v>0.02</v>
      </c>
      <c r="D18" s="33">
        <f t="shared" si="0"/>
        <v>0.24780000000000002</v>
      </c>
      <c r="E18" s="34">
        <v>80</v>
      </c>
      <c r="F18" s="35" t="str">
        <f t="array" ref="F18">IF(E18="","",IF(INDEX(A:A,MAX(IF(ISNUMBER($A$270:$A$289),ROW($A$270:$A$289),"")))&lt;&gt;E18,"Corrigez : révolution incorrecte","OK"))</f>
        <v>OK</v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12.389999999999999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de Weymouth</v>
      </c>
      <c r="C32" s="23" t="s">
        <v>41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30</v>
      </c>
      <c r="B36" s="60">
        <v>86</v>
      </c>
      <c r="C36" s="60">
        <v>1</v>
      </c>
      <c r="D36" s="60">
        <v>12</v>
      </c>
      <c r="E36" s="51">
        <v>0</v>
      </c>
      <c r="F36" s="51">
        <v>0.6</v>
      </c>
      <c r="G36" s="51">
        <v>0.4</v>
      </c>
      <c r="H36" s="51">
        <v>0</v>
      </c>
      <c r="I36" s="49">
        <f>IFERROR(B36/A36,"")</f>
        <v>2.8666666666666667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35</v>
      </c>
      <c r="B37" s="60">
        <v>108</v>
      </c>
      <c r="C37" s="60">
        <v>2</v>
      </c>
      <c r="D37" s="60">
        <v>18</v>
      </c>
      <c r="E37" s="51">
        <v>0</v>
      </c>
      <c r="F37" s="51">
        <v>0.6</v>
      </c>
      <c r="G37" s="51">
        <v>0.4</v>
      </c>
      <c r="H37" s="51">
        <v>0</v>
      </c>
      <c r="I37" s="53">
        <f t="shared" ref="I37:I55" si="1">IF(A37&lt;&gt;0,(B37-(B36-D36))/(A37-A36),"")</f>
        <v>6.8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131</v>
      </c>
      <c r="C38" s="60">
        <v>3</v>
      </c>
      <c r="D38" s="60">
        <v>20</v>
      </c>
      <c r="E38" s="51">
        <v>0</v>
      </c>
      <c r="F38" s="51">
        <v>0.6</v>
      </c>
      <c r="G38" s="51">
        <v>0.4</v>
      </c>
      <c r="H38" s="51">
        <v>0</v>
      </c>
      <c r="I38" s="53">
        <f t="shared" si="1"/>
        <v>8.1999999999999993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171</v>
      </c>
      <c r="C39" s="60">
        <v>4</v>
      </c>
      <c r="D39" s="60">
        <v>53</v>
      </c>
      <c r="E39" s="51">
        <v>0.2</v>
      </c>
      <c r="F39" s="51">
        <v>0.4</v>
      </c>
      <c r="G39" s="51">
        <v>0.4</v>
      </c>
      <c r="H39" s="51">
        <v>0</v>
      </c>
      <c r="I39" s="49">
        <f t="shared" si="1"/>
        <v>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218</v>
      </c>
      <c r="C40" s="60">
        <v>5</v>
      </c>
      <c r="D40" s="60">
        <v>54</v>
      </c>
      <c r="E40" s="51">
        <v>0.2</v>
      </c>
      <c r="F40" s="51">
        <v>0.4</v>
      </c>
      <c r="G40" s="51">
        <v>0.4</v>
      </c>
      <c r="H40" s="51">
        <v>0</v>
      </c>
      <c r="I40" s="49">
        <f t="shared" si="1"/>
        <v>10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256</v>
      </c>
      <c r="C41" s="60">
        <v>6</v>
      </c>
      <c r="D41" s="60">
        <v>52</v>
      </c>
      <c r="E41" s="51">
        <v>0.3</v>
      </c>
      <c r="F41" s="51">
        <v>0.4</v>
      </c>
      <c r="G41" s="51">
        <v>0.3</v>
      </c>
      <c r="H41" s="51">
        <v>0</v>
      </c>
      <c r="I41" s="53">
        <f t="shared" si="1"/>
        <v>9.1999999999999993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v>290</v>
      </c>
      <c r="C42" s="60" t="s">
        <v>324</v>
      </c>
      <c r="D42" s="60">
        <v>290</v>
      </c>
      <c r="E42" s="51">
        <v>0.7</v>
      </c>
      <c r="F42" s="51">
        <v>0.2</v>
      </c>
      <c r="G42" s="51">
        <v>0.1</v>
      </c>
      <c r="H42" s="51">
        <v>0</v>
      </c>
      <c r="I42" s="53">
        <f t="shared" si="1"/>
        <v>8.6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Pin maritime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12</v>
      </c>
      <c r="B62" s="60">
        <v>46</v>
      </c>
      <c r="C62" s="60">
        <v>1</v>
      </c>
      <c r="D62" s="60">
        <v>7</v>
      </c>
      <c r="E62" s="51">
        <v>0</v>
      </c>
      <c r="F62" s="51">
        <v>0.6</v>
      </c>
      <c r="G62" s="51">
        <v>0.4</v>
      </c>
      <c r="H62" s="51">
        <v>0</v>
      </c>
      <c r="I62" s="53">
        <f>IFERROR(B62/A62,"")</f>
        <v>3.8333333333333335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16</v>
      </c>
      <c r="B63" s="60">
        <v>107</v>
      </c>
      <c r="C63" s="60">
        <v>2</v>
      </c>
      <c r="D63" s="60">
        <v>22</v>
      </c>
      <c r="E63" s="51">
        <v>0</v>
      </c>
      <c r="F63" s="51">
        <v>0.6</v>
      </c>
      <c r="G63" s="51">
        <v>0.4</v>
      </c>
      <c r="H63" s="51">
        <v>0</v>
      </c>
      <c r="I63" s="49">
        <f>IF(A63&lt;&gt;0,(B63-(B62-D62))/(A63-A62),"")</f>
        <v>17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20</v>
      </c>
      <c r="B64" s="60">
        <v>176</v>
      </c>
      <c r="C64" s="60">
        <v>3</v>
      </c>
      <c r="D64" s="60">
        <v>35</v>
      </c>
      <c r="E64" s="51">
        <v>0</v>
      </c>
      <c r="F64" s="51">
        <v>0.6</v>
      </c>
      <c r="G64" s="51">
        <v>0.4</v>
      </c>
      <c r="H64" s="51">
        <v>0</v>
      </c>
      <c r="I64" s="49">
        <f>IF(A64&lt;&gt;0,(B64-(B63-D63))/(A64-A63),"")</f>
        <v>22.75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24</v>
      </c>
      <c r="B65" s="60">
        <v>256</v>
      </c>
      <c r="C65" s="60">
        <v>4</v>
      </c>
      <c r="D65" s="60">
        <v>42</v>
      </c>
      <c r="E65" s="51">
        <v>0</v>
      </c>
      <c r="F65" s="51">
        <v>0.6</v>
      </c>
      <c r="G65" s="51">
        <v>0.4</v>
      </c>
      <c r="H65" s="51">
        <v>0</v>
      </c>
      <c r="I65" s="49">
        <f>IF(A65&lt;&gt;0,(B65-(B64-D64))/(A65-A64),"")</f>
        <v>28.75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28</v>
      </c>
      <c r="B66" s="60">
        <v>335</v>
      </c>
      <c r="C66" s="60">
        <v>5</v>
      </c>
      <c r="D66" s="60">
        <v>42</v>
      </c>
      <c r="E66" s="51">
        <v>0</v>
      </c>
      <c r="F66" s="51">
        <v>0.6</v>
      </c>
      <c r="G66" s="51">
        <v>0.4</v>
      </c>
      <c r="H66" s="51">
        <v>0</v>
      </c>
      <c r="I66" s="49">
        <f t="shared" ref="I66:I81" si="2">IF(A66&lt;&gt;0,(B66-(B65-D65))/(A66-A65),"")</f>
        <v>30.25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34</v>
      </c>
      <c r="B67" s="60">
        <v>448</v>
      </c>
      <c r="C67" s="60">
        <v>6</v>
      </c>
      <c r="D67" s="60">
        <v>39</v>
      </c>
      <c r="E67" s="51">
        <v>0.2</v>
      </c>
      <c r="F67" s="51">
        <v>0.4</v>
      </c>
      <c r="G67" s="51">
        <v>0.4</v>
      </c>
      <c r="H67" s="51">
        <v>0</v>
      </c>
      <c r="I67" s="49">
        <f t="shared" si="2"/>
        <v>25.833333333333332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40</v>
      </c>
      <c r="B68" s="60">
        <v>537</v>
      </c>
      <c r="C68" s="60">
        <v>7</v>
      </c>
      <c r="D68" s="60">
        <v>36</v>
      </c>
      <c r="E68" s="51">
        <v>0.2</v>
      </c>
      <c r="F68" s="51">
        <v>0.4</v>
      </c>
      <c r="G68" s="51">
        <v>0.4</v>
      </c>
      <c r="H68" s="51">
        <v>0</v>
      </c>
      <c r="I68" s="49">
        <f t="shared" si="2"/>
        <v>21.333333333333332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46</v>
      </c>
      <c r="B69" s="50">
        <v>603</v>
      </c>
      <c r="C69" s="50">
        <v>8</v>
      </c>
      <c r="D69" s="50">
        <v>36</v>
      </c>
      <c r="E69" s="51">
        <v>0.3</v>
      </c>
      <c r="F69" s="51">
        <v>0.4</v>
      </c>
      <c r="G69" s="51">
        <v>0.3</v>
      </c>
      <c r="H69" s="51">
        <v>0</v>
      </c>
      <c r="I69" s="49">
        <f t="shared" si="2"/>
        <v>17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54</v>
      </c>
      <c r="B70" s="50">
        <v>661</v>
      </c>
      <c r="C70" s="50">
        <v>9</v>
      </c>
      <c r="D70" s="50">
        <v>36</v>
      </c>
      <c r="E70" s="51">
        <v>0.3</v>
      </c>
      <c r="F70" s="51">
        <v>0.4</v>
      </c>
      <c r="G70" s="51">
        <v>0.3</v>
      </c>
      <c r="H70" s="51">
        <v>0</v>
      </c>
      <c r="I70" s="49">
        <f t="shared" si="2"/>
        <v>11.75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62</v>
      </c>
      <c r="B71" s="50">
        <v>686</v>
      </c>
      <c r="C71" s="50" t="s">
        <v>324</v>
      </c>
      <c r="D71" s="50">
        <f>686</f>
        <v>686</v>
      </c>
      <c r="E71" s="51">
        <v>0.7</v>
      </c>
      <c r="F71" s="51">
        <v>0.2</v>
      </c>
      <c r="G71" s="51">
        <v>0.1</v>
      </c>
      <c r="H71" s="51">
        <v>0</v>
      </c>
      <c r="I71" s="49">
        <f t="shared" si="2"/>
        <v>7.625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Pin laricio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17</v>
      </c>
      <c r="B88" s="60">
        <f>103+D88</f>
        <v>118</v>
      </c>
      <c r="C88" s="60">
        <v>1</v>
      </c>
      <c r="D88" s="60">
        <v>15</v>
      </c>
      <c r="E88" s="51">
        <v>0</v>
      </c>
      <c r="F88" s="51">
        <v>0.6</v>
      </c>
      <c r="G88" s="51">
        <v>0.4</v>
      </c>
      <c r="H88" s="87">
        <v>0</v>
      </c>
      <c r="I88" s="53">
        <f>IFERROR(B88/A88,"")</f>
        <v>6.9411764705882355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20</v>
      </c>
      <c r="B89" s="60">
        <f>122+D89</f>
        <v>137</v>
      </c>
      <c r="C89" s="60">
        <v>2</v>
      </c>
      <c r="D89" s="60">
        <v>15</v>
      </c>
      <c r="E89" s="51">
        <v>0</v>
      </c>
      <c r="F89" s="51">
        <v>0.6</v>
      </c>
      <c r="G89" s="51">
        <v>0.4</v>
      </c>
      <c r="H89" s="87">
        <v>0</v>
      </c>
      <c r="I89" s="53">
        <f t="shared" ref="I89:I107" si="3">IF(A89&lt;&gt;0,(B89-(B88-D88))/(A89-A88),"")</f>
        <v>11.333333333333334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25</v>
      </c>
      <c r="B90" s="60">
        <f>168+D90</f>
        <v>204</v>
      </c>
      <c r="C90" s="60">
        <v>3</v>
      </c>
      <c r="D90" s="60">
        <v>36</v>
      </c>
      <c r="E90" s="87">
        <v>0</v>
      </c>
      <c r="F90" s="87">
        <v>0.6</v>
      </c>
      <c r="G90" s="87">
        <v>0.4</v>
      </c>
      <c r="H90" s="87">
        <v>0</v>
      </c>
      <c r="I90" s="53">
        <f t="shared" si="3"/>
        <v>16.399999999999999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30</v>
      </c>
      <c r="B91" s="60">
        <f>202+D91</f>
        <v>256</v>
      </c>
      <c r="C91" s="60">
        <v>4</v>
      </c>
      <c r="D91" s="60">
        <v>54</v>
      </c>
      <c r="E91" s="87">
        <v>0</v>
      </c>
      <c r="F91" s="87">
        <v>0.6</v>
      </c>
      <c r="G91" s="87">
        <v>0.4</v>
      </c>
      <c r="H91" s="87">
        <v>0</v>
      </c>
      <c r="I91" s="53">
        <f t="shared" si="3"/>
        <v>17.600000000000001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35</v>
      </c>
      <c r="B92" s="60">
        <f>244+D92</f>
        <v>296</v>
      </c>
      <c r="C92" s="60">
        <v>5</v>
      </c>
      <c r="D92" s="60">
        <v>52</v>
      </c>
      <c r="E92" s="87">
        <v>0</v>
      </c>
      <c r="F92" s="87">
        <v>0.6</v>
      </c>
      <c r="G92" s="87">
        <v>0.4</v>
      </c>
      <c r="H92" s="87">
        <v>0</v>
      </c>
      <c r="I92" s="53">
        <f t="shared" si="3"/>
        <v>18.8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40</v>
      </c>
      <c r="B93" s="60">
        <f>284+D93</f>
        <v>332</v>
      </c>
      <c r="C93" s="60">
        <v>6</v>
      </c>
      <c r="D93" s="60">
        <v>48</v>
      </c>
      <c r="E93" s="87">
        <v>0</v>
      </c>
      <c r="F93" s="87">
        <v>0.6</v>
      </c>
      <c r="G93" s="87">
        <v>0.4</v>
      </c>
      <c r="H93" s="87">
        <v>0</v>
      </c>
      <c r="I93" s="53">
        <f t="shared" si="3"/>
        <v>17.600000000000001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45</v>
      </c>
      <c r="B94" s="60">
        <f>327+D94</f>
        <v>384</v>
      </c>
      <c r="C94" s="60">
        <v>7</v>
      </c>
      <c r="D94" s="60">
        <v>57</v>
      </c>
      <c r="E94" s="87">
        <v>0.2</v>
      </c>
      <c r="F94" s="87">
        <v>0.4</v>
      </c>
      <c r="G94" s="87">
        <v>0.4</v>
      </c>
      <c r="H94" s="87">
        <v>0</v>
      </c>
      <c r="I94" s="53">
        <f t="shared" si="3"/>
        <v>20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50</v>
      </c>
      <c r="B95" s="60">
        <f>367+D95</f>
        <v>414</v>
      </c>
      <c r="C95" s="60">
        <v>8</v>
      </c>
      <c r="D95" s="60">
        <v>47</v>
      </c>
      <c r="E95" s="87">
        <v>0.3</v>
      </c>
      <c r="F95" s="87">
        <v>0.4</v>
      </c>
      <c r="G95" s="87">
        <v>0.3</v>
      </c>
      <c r="H95" s="87">
        <v>0</v>
      </c>
      <c r="I95" s="53">
        <f t="shared" si="3"/>
        <v>17.399999999999999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55</v>
      </c>
      <c r="B96" s="60">
        <f>415+D96</f>
        <v>463</v>
      </c>
      <c r="C96" s="60">
        <v>9</v>
      </c>
      <c r="D96" s="60">
        <v>48</v>
      </c>
      <c r="E96" s="87">
        <v>0.3</v>
      </c>
      <c r="F96" s="87">
        <v>0.4</v>
      </c>
      <c r="G96" s="87">
        <v>0.3</v>
      </c>
      <c r="H96" s="87">
        <v>0</v>
      </c>
      <c r="I96" s="53">
        <f t="shared" si="3"/>
        <v>19.2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60</v>
      </c>
      <c r="B97" s="60">
        <f>468+D97</f>
        <v>500</v>
      </c>
      <c r="C97" s="60">
        <v>10</v>
      </c>
      <c r="D97" s="60">
        <v>32</v>
      </c>
      <c r="E97" s="87">
        <v>0.5</v>
      </c>
      <c r="F97" s="87">
        <v>0.3</v>
      </c>
      <c r="G97" s="87">
        <v>0.2</v>
      </c>
      <c r="H97" s="87">
        <v>0</v>
      </c>
      <c r="I97" s="53">
        <f t="shared" si="3"/>
        <v>17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65</v>
      </c>
      <c r="B98" s="60">
        <f>527+28</f>
        <v>555</v>
      </c>
      <c r="C98" s="60" t="s">
        <v>324</v>
      </c>
      <c r="D98" s="60">
        <f>B98</f>
        <v>555</v>
      </c>
      <c r="E98" s="87">
        <v>0.7</v>
      </c>
      <c r="F98" s="87">
        <v>0.2</v>
      </c>
      <c r="G98" s="87">
        <v>0.1</v>
      </c>
      <c r="H98" s="87">
        <v>0</v>
      </c>
      <c r="I98" s="53">
        <f t="shared" si="3"/>
        <v>17.399999999999999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Pin taeda</v>
      </c>
      <c r="C110" s="23" t="s">
        <v>36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12</v>
      </c>
      <c r="B114" s="60">
        <v>16</v>
      </c>
      <c r="C114" s="50">
        <v>1</v>
      </c>
      <c r="D114" s="60">
        <v>0</v>
      </c>
      <c r="E114" s="51">
        <v>0</v>
      </c>
      <c r="F114" s="51">
        <v>0.6</v>
      </c>
      <c r="G114" s="51">
        <v>0.4</v>
      </c>
      <c r="H114" s="51">
        <v>0</v>
      </c>
      <c r="I114" s="53">
        <f>IFERROR(B114/A114,"")</f>
        <v>1.3333333333333333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16</v>
      </c>
      <c r="B115" s="60">
        <v>36</v>
      </c>
      <c r="C115" s="50">
        <v>2</v>
      </c>
      <c r="D115" s="60">
        <v>4</v>
      </c>
      <c r="E115" s="51">
        <v>0</v>
      </c>
      <c r="F115" s="51">
        <v>0.6</v>
      </c>
      <c r="G115" s="51">
        <v>0.4</v>
      </c>
      <c r="H115" s="51">
        <v>0</v>
      </c>
      <c r="I115" s="53">
        <f t="shared" ref="I115:I133" si="4">IF(A115&lt;&gt;0,(B115-(B114-D114))/(A115-A114),"")</f>
        <v>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20</v>
      </c>
      <c r="B116" s="60">
        <v>56</v>
      </c>
      <c r="C116" s="50">
        <v>3</v>
      </c>
      <c r="D116" s="60">
        <v>5</v>
      </c>
      <c r="E116" s="51">
        <v>0</v>
      </c>
      <c r="F116" s="51">
        <v>0.6</v>
      </c>
      <c r="G116" s="51">
        <v>0.4</v>
      </c>
      <c r="H116" s="51">
        <v>0</v>
      </c>
      <c r="I116" s="53">
        <f t="shared" si="4"/>
        <v>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24</v>
      </c>
      <c r="B117" s="60">
        <v>77</v>
      </c>
      <c r="C117" s="50">
        <v>4</v>
      </c>
      <c r="D117" s="60">
        <v>12</v>
      </c>
      <c r="E117" s="51">
        <v>0</v>
      </c>
      <c r="F117" s="51">
        <v>0.6</v>
      </c>
      <c r="G117" s="51">
        <v>0.4</v>
      </c>
      <c r="H117" s="51">
        <v>0</v>
      </c>
      <c r="I117" s="53">
        <f t="shared" si="4"/>
        <v>6.5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28</v>
      </c>
      <c r="B118" s="60">
        <v>95</v>
      </c>
      <c r="C118" s="50">
        <v>5</v>
      </c>
      <c r="D118" s="60">
        <v>13</v>
      </c>
      <c r="E118" s="51">
        <v>0</v>
      </c>
      <c r="F118" s="51">
        <v>0.6</v>
      </c>
      <c r="G118" s="51">
        <v>0.4</v>
      </c>
      <c r="H118" s="51">
        <v>0</v>
      </c>
      <c r="I118" s="53">
        <f t="shared" si="4"/>
        <v>7.5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34</v>
      </c>
      <c r="B119" s="60">
        <v>118</v>
      </c>
      <c r="C119" s="50">
        <v>6</v>
      </c>
      <c r="D119" s="60">
        <v>25</v>
      </c>
      <c r="E119" s="51">
        <v>0.2</v>
      </c>
      <c r="F119" s="51">
        <v>0.4</v>
      </c>
      <c r="G119" s="51">
        <v>0.4</v>
      </c>
      <c r="H119" s="51">
        <v>0</v>
      </c>
      <c r="I119" s="53">
        <f t="shared" si="4"/>
        <v>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40</v>
      </c>
      <c r="B120" s="60">
        <v>138</v>
      </c>
      <c r="C120" s="60">
        <v>7</v>
      </c>
      <c r="D120" s="60">
        <v>23</v>
      </c>
      <c r="E120" s="87">
        <v>0.2</v>
      </c>
      <c r="F120" s="87">
        <v>0.4</v>
      </c>
      <c r="G120" s="87">
        <v>0.4</v>
      </c>
      <c r="H120" s="87">
        <v>0</v>
      </c>
      <c r="I120" s="53">
        <f t="shared" si="4"/>
        <v>7.5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46</v>
      </c>
      <c r="B121" s="60">
        <v>154</v>
      </c>
      <c r="C121" s="60">
        <v>8</v>
      </c>
      <c r="D121" s="60">
        <v>19</v>
      </c>
      <c r="E121" s="87">
        <v>0.3</v>
      </c>
      <c r="F121" s="87">
        <v>0.4</v>
      </c>
      <c r="G121" s="87">
        <v>0.3</v>
      </c>
      <c r="H121" s="87">
        <v>0</v>
      </c>
      <c r="I121" s="53">
        <f t="shared" si="4"/>
        <v>6.5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54</v>
      </c>
      <c r="B122" s="60">
        <v>168</v>
      </c>
      <c r="C122" s="60">
        <v>9</v>
      </c>
      <c r="D122" s="60">
        <v>16</v>
      </c>
      <c r="E122" s="87">
        <v>0.3</v>
      </c>
      <c r="F122" s="87">
        <v>0.4</v>
      </c>
      <c r="G122" s="87">
        <v>0.3</v>
      </c>
      <c r="H122" s="87">
        <v>0</v>
      </c>
      <c r="I122" s="53">
        <f t="shared" si="4"/>
        <v>4.125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62</v>
      </c>
      <c r="B123" s="60">
        <v>174</v>
      </c>
      <c r="C123" s="60" t="s">
        <v>324</v>
      </c>
      <c r="D123" s="60">
        <v>174</v>
      </c>
      <c r="E123" s="87">
        <v>0.7</v>
      </c>
      <c r="F123" s="87">
        <v>0.2</v>
      </c>
      <c r="G123" s="87">
        <v>0.1</v>
      </c>
      <c r="H123" s="87">
        <v>0</v>
      </c>
      <c r="I123" s="53">
        <f t="shared" si="4"/>
        <v>2.75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Douglas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15</v>
      </c>
      <c r="B140" s="60">
        <v>162</v>
      </c>
      <c r="C140" s="50">
        <v>0</v>
      </c>
      <c r="D140" s="60">
        <v>0</v>
      </c>
      <c r="E140" s="51">
        <v>0</v>
      </c>
      <c r="F140" s="51">
        <v>0.6</v>
      </c>
      <c r="G140" s="51">
        <v>0.4</v>
      </c>
      <c r="H140" s="51">
        <v>0</v>
      </c>
      <c r="I140" s="57">
        <f>IFERROR(B140/A140,"")</f>
        <v>10.8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20</v>
      </c>
      <c r="B141" s="60">
        <f>260+D141</f>
        <v>303</v>
      </c>
      <c r="C141" s="50">
        <v>1</v>
      </c>
      <c r="D141" s="60">
        <v>43</v>
      </c>
      <c r="E141" s="51">
        <v>0</v>
      </c>
      <c r="F141" s="51">
        <v>0.6</v>
      </c>
      <c r="G141" s="51">
        <v>0.4</v>
      </c>
      <c r="H141" s="51">
        <v>0</v>
      </c>
      <c r="I141" s="57">
        <f t="shared" ref="I141:I159" si="5">IF(A141&lt;&gt;0,(B141-(B140-D140))/(A141-A140),"")</f>
        <v>28.2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25</v>
      </c>
      <c r="B142" s="60">
        <f>359-D142</f>
        <v>299</v>
      </c>
      <c r="C142" s="50">
        <v>2</v>
      </c>
      <c r="D142" s="60">
        <v>60</v>
      </c>
      <c r="E142" s="51">
        <v>0</v>
      </c>
      <c r="F142" s="51">
        <v>0.6</v>
      </c>
      <c r="G142" s="51">
        <v>0.4</v>
      </c>
      <c r="H142" s="51">
        <v>0</v>
      </c>
      <c r="I142" s="57">
        <f t="shared" si="5"/>
        <v>7.8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30</v>
      </c>
      <c r="B143" s="60">
        <f>434+D143</f>
        <v>524</v>
      </c>
      <c r="C143" s="50">
        <v>3</v>
      </c>
      <c r="D143" s="60">
        <v>90</v>
      </c>
      <c r="E143" s="51">
        <v>0.2</v>
      </c>
      <c r="F143" s="51">
        <v>0.4</v>
      </c>
      <c r="G143" s="51">
        <v>0.4</v>
      </c>
      <c r="H143" s="51">
        <v>0</v>
      </c>
      <c r="I143" s="57">
        <f t="shared" si="5"/>
        <v>57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35</v>
      </c>
      <c r="B144" s="60">
        <f>504+D144</f>
        <v>576</v>
      </c>
      <c r="C144" s="50">
        <v>4</v>
      </c>
      <c r="D144" s="60">
        <v>72</v>
      </c>
      <c r="E144" s="51">
        <v>0.4</v>
      </c>
      <c r="F144" s="51">
        <v>0.3</v>
      </c>
      <c r="G144" s="51">
        <v>0.3</v>
      </c>
      <c r="H144" s="51">
        <v>0</v>
      </c>
      <c r="I144" s="57">
        <f t="shared" si="5"/>
        <v>28.4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40</v>
      </c>
      <c r="B145" s="60">
        <f>562+D145</f>
        <v>639</v>
      </c>
      <c r="C145" s="50">
        <v>5</v>
      </c>
      <c r="D145" s="60">
        <v>77</v>
      </c>
      <c r="E145" s="51">
        <v>0.5</v>
      </c>
      <c r="F145" s="51">
        <v>0.3</v>
      </c>
      <c r="G145" s="51">
        <v>0.2</v>
      </c>
      <c r="H145" s="51">
        <v>0</v>
      </c>
      <c r="I145" s="57">
        <f t="shared" si="5"/>
        <v>27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45</v>
      </c>
      <c r="B146" s="60">
        <f>622+D146</f>
        <v>686</v>
      </c>
      <c r="C146" s="50">
        <v>6</v>
      </c>
      <c r="D146" s="60">
        <v>64</v>
      </c>
      <c r="E146" s="51">
        <v>0.6</v>
      </c>
      <c r="F146" s="51">
        <v>0.2</v>
      </c>
      <c r="G146" s="51">
        <v>0.2</v>
      </c>
      <c r="H146" s="51">
        <v>0</v>
      </c>
      <c r="I146" s="57">
        <f t="shared" si="5"/>
        <v>24.8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50</v>
      </c>
      <c r="B147" s="60">
        <f>662+D147</f>
        <v>724</v>
      </c>
      <c r="C147" s="50">
        <v>7</v>
      </c>
      <c r="D147" s="60">
        <v>62</v>
      </c>
      <c r="E147" s="51">
        <v>0.6</v>
      </c>
      <c r="F147" s="51">
        <v>0.2</v>
      </c>
      <c r="G147" s="51">
        <v>0.2</v>
      </c>
      <c r="H147" s="51">
        <v>0</v>
      </c>
      <c r="I147" s="57">
        <f>IF(A147&lt;&gt;0,(B147-(B146-D146))/(A147-A146),"")</f>
        <v>20.399999999999999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55</v>
      </c>
      <c r="B148" s="60">
        <f>693+D148</f>
        <v>739</v>
      </c>
      <c r="C148" s="50">
        <v>8</v>
      </c>
      <c r="D148" s="60">
        <v>46</v>
      </c>
      <c r="E148" s="51">
        <v>0.7</v>
      </c>
      <c r="F148" s="51">
        <v>0.2</v>
      </c>
      <c r="G148" s="51">
        <v>0.1</v>
      </c>
      <c r="H148" s="51">
        <v>0</v>
      </c>
      <c r="I148" s="57">
        <f t="shared" si="5"/>
        <v>15.4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60</v>
      </c>
      <c r="B149" s="60">
        <f>719+D149</f>
        <v>754</v>
      </c>
      <c r="C149" s="50">
        <v>9</v>
      </c>
      <c r="D149" s="60">
        <v>35</v>
      </c>
      <c r="E149" s="51">
        <v>0.7</v>
      </c>
      <c r="F149" s="51">
        <v>0.2</v>
      </c>
      <c r="G149" s="51">
        <v>0.1</v>
      </c>
      <c r="H149" s="51">
        <v>0</v>
      </c>
      <c r="I149" s="57">
        <f t="shared" si="5"/>
        <v>12.2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65</v>
      </c>
      <c r="B150" s="60">
        <f>740+29</f>
        <v>769</v>
      </c>
      <c r="C150" s="50" t="s">
        <v>324</v>
      </c>
      <c r="D150" s="60">
        <f>B150</f>
        <v>769</v>
      </c>
      <c r="E150" s="51">
        <v>0.8</v>
      </c>
      <c r="F150" s="51">
        <v>0.1</v>
      </c>
      <c r="G150" s="51">
        <v>0.1</v>
      </c>
      <c r="H150" s="51">
        <v>0</v>
      </c>
      <c r="I150" s="57">
        <f t="shared" si="5"/>
        <v>10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Chêne sessile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36</v>
      </c>
      <c r="B166" s="60">
        <v>144</v>
      </c>
      <c r="C166" s="60">
        <v>1</v>
      </c>
      <c r="D166" s="60">
        <v>35</v>
      </c>
      <c r="E166" s="51">
        <v>0</v>
      </c>
      <c r="F166" s="51">
        <v>0</v>
      </c>
      <c r="G166" s="51">
        <v>0</v>
      </c>
      <c r="H166" s="51">
        <v>1</v>
      </c>
      <c r="I166" s="49">
        <f>IFERROR(B166/A166,"")</f>
        <v>4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44</v>
      </c>
      <c r="B167" s="60">
        <v>188</v>
      </c>
      <c r="C167" s="60">
        <v>2</v>
      </c>
      <c r="D167" s="60">
        <v>46</v>
      </c>
      <c r="E167" s="51">
        <v>0</v>
      </c>
      <c r="F167" s="51">
        <v>0.5</v>
      </c>
      <c r="G167" s="51">
        <v>0</v>
      </c>
      <c r="H167" s="51">
        <v>0.5</v>
      </c>
      <c r="I167" s="49">
        <f t="shared" ref="I167:I185" si="6">IF(A167&lt;&gt;0,(B167-(B166-D166))/(A167-A166),"")</f>
        <v>9.875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52</v>
      </c>
      <c r="B168" s="60">
        <v>232</v>
      </c>
      <c r="C168" s="60">
        <v>3</v>
      </c>
      <c r="D168" s="60">
        <v>63</v>
      </c>
      <c r="E168" s="51">
        <v>0</v>
      </c>
      <c r="F168" s="51">
        <v>0.5</v>
      </c>
      <c r="G168" s="51">
        <v>0</v>
      </c>
      <c r="H168" s="51">
        <v>0.5</v>
      </c>
      <c r="I168" s="49">
        <f t="shared" si="6"/>
        <v>11.25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60</v>
      </c>
      <c r="B169" s="60">
        <v>250</v>
      </c>
      <c r="C169" s="60">
        <v>4</v>
      </c>
      <c r="D169" s="60">
        <v>54</v>
      </c>
      <c r="E169" s="51">
        <v>0</v>
      </c>
      <c r="F169" s="51">
        <v>0.5</v>
      </c>
      <c r="G169" s="51">
        <v>0</v>
      </c>
      <c r="H169" s="51">
        <v>0.5</v>
      </c>
      <c r="I169" s="49">
        <f t="shared" si="6"/>
        <v>10.125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69</v>
      </c>
      <c r="B170" s="60">
        <v>274</v>
      </c>
      <c r="C170" s="60">
        <v>5</v>
      </c>
      <c r="D170" s="60">
        <v>51</v>
      </c>
      <c r="E170" s="51">
        <v>0</v>
      </c>
      <c r="F170" s="51">
        <v>0.5</v>
      </c>
      <c r="G170" s="51">
        <v>0</v>
      </c>
      <c r="H170" s="51">
        <v>0.5</v>
      </c>
      <c r="I170" s="49">
        <f t="shared" si="6"/>
        <v>8.6666666666666661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78</v>
      </c>
      <c r="B171" s="60">
        <v>296</v>
      </c>
      <c r="C171" s="60">
        <v>6</v>
      </c>
      <c r="D171" s="60">
        <v>49</v>
      </c>
      <c r="E171" s="51">
        <v>0.1</v>
      </c>
      <c r="F171" s="51">
        <v>0.5</v>
      </c>
      <c r="G171" s="51">
        <v>0</v>
      </c>
      <c r="H171" s="51">
        <v>0.4</v>
      </c>
      <c r="I171" s="49">
        <f t="shared" si="6"/>
        <v>8.1111111111111107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87</v>
      </c>
      <c r="B172" s="60">
        <v>317</v>
      </c>
      <c r="C172" s="60">
        <v>7</v>
      </c>
      <c r="D172" s="60">
        <v>45</v>
      </c>
      <c r="E172" s="51">
        <v>0.3</v>
      </c>
      <c r="F172" s="51">
        <v>0.35</v>
      </c>
      <c r="G172" s="51">
        <v>0</v>
      </c>
      <c r="H172" s="51">
        <v>0.35</v>
      </c>
      <c r="I172" s="49">
        <f t="shared" si="6"/>
        <v>7.7777777777777777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96</v>
      </c>
      <c r="B173" s="50">
        <v>338</v>
      </c>
      <c r="C173" s="50">
        <v>8</v>
      </c>
      <c r="D173" s="50">
        <v>44</v>
      </c>
      <c r="E173" s="51">
        <v>0.4</v>
      </c>
      <c r="F173" s="51">
        <v>0.3</v>
      </c>
      <c r="G173" s="51">
        <v>0</v>
      </c>
      <c r="H173" s="51">
        <v>0.3</v>
      </c>
      <c r="I173" s="49">
        <f t="shared" si="6"/>
        <v>7.333333333333333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105</v>
      </c>
      <c r="B174" s="50">
        <v>358</v>
      </c>
      <c r="C174" s="50">
        <v>9</v>
      </c>
      <c r="D174" s="50">
        <v>43</v>
      </c>
      <c r="E174" s="51">
        <v>0.7</v>
      </c>
      <c r="F174" s="51">
        <v>0.1</v>
      </c>
      <c r="G174" s="51">
        <v>0</v>
      </c>
      <c r="H174" s="51">
        <v>0.2</v>
      </c>
      <c r="I174" s="49">
        <f t="shared" si="6"/>
        <v>7.1111111111111107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>
        <v>114</v>
      </c>
      <c r="B175" s="50">
        <v>378</v>
      </c>
      <c r="C175" s="50">
        <v>10</v>
      </c>
      <c r="D175" s="50">
        <v>43</v>
      </c>
      <c r="E175" s="51">
        <v>0.7</v>
      </c>
      <c r="F175" s="51">
        <v>0.1</v>
      </c>
      <c r="G175" s="51">
        <v>0</v>
      </c>
      <c r="H175" s="51">
        <v>0.2</v>
      </c>
      <c r="I175" s="49">
        <f t="shared" si="6"/>
        <v>7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>
        <v>123</v>
      </c>
      <c r="B176" s="50">
        <v>397</v>
      </c>
      <c r="C176" s="50">
        <v>11</v>
      </c>
      <c r="D176" s="50">
        <v>41</v>
      </c>
      <c r="E176" s="51">
        <v>0.7</v>
      </c>
      <c r="F176" s="51">
        <v>0.1</v>
      </c>
      <c r="G176" s="51">
        <v>0</v>
      </c>
      <c r="H176" s="51">
        <v>0.2</v>
      </c>
      <c r="I176" s="49">
        <f t="shared" si="6"/>
        <v>6.8888888888888893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>
        <v>132</v>
      </c>
      <c r="B177" s="50">
        <v>419</v>
      </c>
      <c r="C177" s="50">
        <v>12</v>
      </c>
      <c r="D177" s="50">
        <v>42</v>
      </c>
      <c r="E177" s="51">
        <v>0.7</v>
      </c>
      <c r="F177" s="51">
        <v>0.1</v>
      </c>
      <c r="G177" s="51">
        <v>0</v>
      </c>
      <c r="H177" s="51">
        <v>0.2</v>
      </c>
      <c r="I177" s="49">
        <f t="shared" si="6"/>
        <v>7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>
        <v>141</v>
      </c>
      <c r="B178" s="50">
        <v>441</v>
      </c>
      <c r="C178" s="50">
        <v>13</v>
      </c>
      <c r="D178" s="50">
        <v>45</v>
      </c>
      <c r="E178" s="51">
        <v>0.7</v>
      </c>
      <c r="F178" s="51">
        <v>0.1</v>
      </c>
      <c r="G178" s="51">
        <v>0</v>
      </c>
      <c r="H178" s="51">
        <v>0.2</v>
      </c>
      <c r="I178" s="49">
        <f t="shared" si="6"/>
        <v>7.1111111111111107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>
        <v>153</v>
      </c>
      <c r="B179" s="50">
        <v>481</v>
      </c>
      <c r="C179" s="50" t="s">
        <v>324</v>
      </c>
      <c r="D179" s="50">
        <f>B179</f>
        <v>481</v>
      </c>
      <c r="E179" s="51">
        <v>0.7</v>
      </c>
      <c r="F179" s="51">
        <v>0.1</v>
      </c>
      <c r="G179" s="51">
        <v>0</v>
      </c>
      <c r="H179" s="51">
        <v>0.2</v>
      </c>
      <c r="I179" s="49">
        <f t="shared" si="6"/>
        <v>7.083333333333333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Chêne rouge d'Amérique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20</v>
      </c>
      <c r="B192" s="60">
        <v>137</v>
      </c>
      <c r="C192" s="60">
        <v>1</v>
      </c>
      <c r="D192" s="60">
        <v>43</v>
      </c>
      <c r="E192" s="51">
        <v>0</v>
      </c>
      <c r="F192" s="51">
        <v>0</v>
      </c>
      <c r="G192" s="51">
        <v>0</v>
      </c>
      <c r="H192" s="51">
        <v>1</v>
      </c>
      <c r="I192" s="49">
        <f>IFERROR(B192/A192,"")</f>
        <v>6.85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30</v>
      </c>
      <c r="B193" s="60">
        <v>184</v>
      </c>
      <c r="C193" s="60">
        <v>2</v>
      </c>
      <c r="D193" s="60">
        <v>44</v>
      </c>
      <c r="E193" s="51">
        <v>0</v>
      </c>
      <c r="F193" s="51">
        <v>0</v>
      </c>
      <c r="G193" s="51">
        <v>0</v>
      </c>
      <c r="H193" s="51">
        <v>1</v>
      </c>
      <c r="I193" s="49">
        <f t="shared" ref="I193:I211" si="7">IF(A193&lt;&gt;0,(B193-(B192-D192))/(A193-A192),"")</f>
        <v>9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40</v>
      </c>
      <c r="B194" s="60">
        <v>213</v>
      </c>
      <c r="C194" s="60">
        <v>3</v>
      </c>
      <c r="D194" s="60">
        <v>39</v>
      </c>
      <c r="E194" s="51">
        <v>0.2</v>
      </c>
      <c r="F194" s="51">
        <v>0.3</v>
      </c>
      <c r="G194" s="51">
        <v>0.3</v>
      </c>
      <c r="H194" s="51">
        <v>0.2</v>
      </c>
      <c r="I194" s="49">
        <f t="shared" si="7"/>
        <v>7.3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50</v>
      </c>
      <c r="B195" s="60">
        <v>231</v>
      </c>
      <c r="C195" s="60">
        <v>4</v>
      </c>
      <c r="D195" s="60">
        <v>33</v>
      </c>
      <c r="E195" s="51">
        <v>0.3</v>
      </c>
      <c r="F195" s="51">
        <v>0.2</v>
      </c>
      <c r="G195" s="51">
        <v>0.3</v>
      </c>
      <c r="H195" s="51">
        <v>0.2</v>
      </c>
      <c r="I195" s="49">
        <f t="shared" si="7"/>
        <v>5.7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60</v>
      </c>
      <c r="B196" s="60">
        <v>242</v>
      </c>
      <c r="C196" s="60">
        <v>5</v>
      </c>
      <c r="D196" s="60">
        <v>26</v>
      </c>
      <c r="E196" s="51">
        <v>0.5</v>
      </c>
      <c r="F196" s="51">
        <v>0.2</v>
      </c>
      <c r="G196" s="51">
        <v>0.2</v>
      </c>
      <c r="H196" s="51">
        <v>0.1</v>
      </c>
      <c r="I196" s="49">
        <f t="shared" si="7"/>
        <v>4.4000000000000004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70</v>
      </c>
      <c r="B197" s="60">
        <v>249</v>
      </c>
      <c r="C197" s="60" t="s">
        <v>324</v>
      </c>
      <c r="D197" s="60">
        <v>249</v>
      </c>
      <c r="E197" s="51">
        <v>0.7</v>
      </c>
      <c r="F197" s="51">
        <v>0</v>
      </c>
      <c r="G197" s="51">
        <v>0.2</v>
      </c>
      <c r="H197" s="51">
        <v>0.1</v>
      </c>
      <c r="I197" s="49">
        <f t="shared" si="7"/>
        <v>3.3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Merisier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10</v>
      </c>
      <c r="B218" s="60">
        <v>19</v>
      </c>
      <c r="C218" s="50">
        <v>1</v>
      </c>
      <c r="D218" s="60">
        <v>7</v>
      </c>
      <c r="E218" s="63">
        <v>0</v>
      </c>
      <c r="F218" s="63">
        <v>0</v>
      </c>
      <c r="G218" s="63">
        <v>0</v>
      </c>
      <c r="H218" s="63">
        <v>1</v>
      </c>
      <c r="I218" s="53">
        <f>IFERROR(B218/A218,"")</f>
        <v>1.9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15</v>
      </c>
      <c r="B219" s="60">
        <v>85</v>
      </c>
      <c r="C219" s="50">
        <v>2</v>
      </c>
      <c r="D219" s="60">
        <v>42</v>
      </c>
      <c r="E219" s="63">
        <v>0</v>
      </c>
      <c r="F219" s="63">
        <v>0</v>
      </c>
      <c r="G219" s="63">
        <v>0</v>
      </c>
      <c r="H219" s="63">
        <v>1</v>
      </c>
      <c r="I219" s="53">
        <f t="shared" ref="I219:I237" si="8">IF(A219&lt;&gt;0,(B219-(B218-D218))/(A219-A218),"")</f>
        <v>14.6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20</v>
      </c>
      <c r="B220" s="60">
        <v>123</v>
      </c>
      <c r="C220" s="50">
        <v>3</v>
      </c>
      <c r="D220" s="60">
        <v>42</v>
      </c>
      <c r="E220" s="63">
        <v>0</v>
      </c>
      <c r="F220" s="63">
        <v>0</v>
      </c>
      <c r="G220" s="63">
        <v>0</v>
      </c>
      <c r="H220" s="63">
        <v>1</v>
      </c>
      <c r="I220" s="53">
        <f t="shared" si="8"/>
        <v>16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25</v>
      </c>
      <c r="B221" s="55">
        <v>165</v>
      </c>
      <c r="C221" s="55">
        <v>4</v>
      </c>
      <c r="D221" s="55">
        <v>42</v>
      </c>
      <c r="E221" s="63">
        <v>0</v>
      </c>
      <c r="F221" s="63">
        <v>0</v>
      </c>
      <c r="G221" s="63">
        <v>0</v>
      </c>
      <c r="H221" s="63">
        <v>1</v>
      </c>
      <c r="I221" s="53">
        <f t="shared" si="8"/>
        <v>16.8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30</v>
      </c>
      <c r="B222" s="55">
        <v>205</v>
      </c>
      <c r="C222" s="55">
        <v>5</v>
      </c>
      <c r="D222" s="55">
        <v>42</v>
      </c>
      <c r="E222" s="63">
        <v>0</v>
      </c>
      <c r="F222" s="63">
        <v>0</v>
      </c>
      <c r="G222" s="63">
        <v>0</v>
      </c>
      <c r="H222" s="63">
        <v>1</v>
      </c>
      <c r="I222" s="53">
        <f t="shared" si="8"/>
        <v>16.399999999999999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35</v>
      </c>
      <c r="B223" s="55">
        <v>239</v>
      </c>
      <c r="C223" s="55">
        <v>6</v>
      </c>
      <c r="D223" s="55">
        <v>42</v>
      </c>
      <c r="E223" s="63">
        <v>0</v>
      </c>
      <c r="F223" s="63">
        <v>0.3</v>
      </c>
      <c r="G223" s="63">
        <v>0.4</v>
      </c>
      <c r="H223" s="63">
        <v>0.3</v>
      </c>
      <c r="I223" s="53">
        <f t="shared" si="8"/>
        <v>15.2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40</v>
      </c>
      <c r="B224" s="55">
        <v>263</v>
      </c>
      <c r="C224" s="55">
        <v>7</v>
      </c>
      <c r="D224" s="55">
        <v>40</v>
      </c>
      <c r="E224" s="63">
        <v>0.1</v>
      </c>
      <c r="F224" s="63">
        <v>0.4</v>
      </c>
      <c r="G224" s="63">
        <v>0.3</v>
      </c>
      <c r="H224" s="63">
        <v>0.2</v>
      </c>
      <c r="I224" s="53">
        <f t="shared" si="8"/>
        <v>13.2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>
        <v>45</v>
      </c>
      <c r="B225" s="55">
        <v>280</v>
      </c>
      <c r="C225" s="55">
        <v>8</v>
      </c>
      <c r="D225" s="55">
        <v>26</v>
      </c>
      <c r="E225" s="63">
        <v>0.3</v>
      </c>
      <c r="F225" s="63">
        <v>0.2</v>
      </c>
      <c r="G225" s="63">
        <v>0.3</v>
      </c>
      <c r="H225" s="63">
        <v>0.2</v>
      </c>
      <c r="I225" s="53">
        <f t="shared" si="8"/>
        <v>11.4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>
        <v>50</v>
      </c>
      <c r="B226" s="55">
        <v>303</v>
      </c>
      <c r="C226" s="55">
        <v>9</v>
      </c>
      <c r="D226" s="55">
        <v>21</v>
      </c>
      <c r="E226" s="63">
        <v>0.5</v>
      </c>
      <c r="F226" s="63">
        <v>0</v>
      </c>
      <c r="G226" s="63">
        <v>0.3</v>
      </c>
      <c r="H226" s="63">
        <v>0.2</v>
      </c>
      <c r="I226" s="53">
        <f t="shared" si="8"/>
        <v>9.8000000000000007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>
        <v>55</v>
      </c>
      <c r="B227" s="55">
        <v>324</v>
      </c>
      <c r="C227" s="55">
        <v>10</v>
      </c>
      <c r="D227" s="55">
        <v>18</v>
      </c>
      <c r="E227" s="63">
        <v>0.7</v>
      </c>
      <c r="F227" s="63">
        <v>0</v>
      </c>
      <c r="G227" s="63">
        <v>0.2</v>
      </c>
      <c r="H227" s="63">
        <v>0.1</v>
      </c>
      <c r="I227" s="53">
        <f t="shared" si="8"/>
        <v>8.4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>
        <v>60</v>
      </c>
      <c r="B228" s="55">
        <v>343</v>
      </c>
      <c r="C228" s="55">
        <v>11</v>
      </c>
      <c r="D228" s="55">
        <v>17</v>
      </c>
      <c r="E228" s="63">
        <v>0.7</v>
      </c>
      <c r="F228" s="63">
        <v>0</v>
      </c>
      <c r="G228" s="63">
        <v>0.2</v>
      </c>
      <c r="H228" s="63">
        <v>0.1</v>
      </c>
      <c r="I228" s="53">
        <f t="shared" si="8"/>
        <v>7.4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>
        <v>65</v>
      </c>
      <c r="B229" s="55">
        <v>356</v>
      </c>
      <c r="C229" s="55">
        <v>12</v>
      </c>
      <c r="D229" s="55">
        <v>16</v>
      </c>
      <c r="E229" s="63">
        <v>0.7</v>
      </c>
      <c r="F229" s="63">
        <v>0</v>
      </c>
      <c r="G229" s="63">
        <v>0.2</v>
      </c>
      <c r="H229" s="63">
        <v>0.1</v>
      </c>
      <c r="I229" s="53">
        <f t="shared" si="8"/>
        <v>6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>
        <v>70</v>
      </c>
      <c r="B230" s="55">
        <v>366</v>
      </c>
      <c r="C230" s="55">
        <v>13</v>
      </c>
      <c r="D230" s="55">
        <v>15</v>
      </c>
      <c r="E230" s="64">
        <v>0.7</v>
      </c>
      <c r="F230" s="64">
        <v>0</v>
      </c>
      <c r="G230" s="64">
        <v>0.2</v>
      </c>
      <c r="H230" s="64">
        <v>0.1</v>
      </c>
      <c r="I230" s="53">
        <f t="shared" si="8"/>
        <v>5.2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>
        <v>75</v>
      </c>
      <c r="B231" s="60">
        <v>375</v>
      </c>
      <c r="C231" s="88">
        <v>14</v>
      </c>
      <c r="D231" s="60">
        <v>14</v>
      </c>
      <c r="E231" s="54">
        <v>0.7</v>
      </c>
      <c r="F231" s="54">
        <v>0</v>
      </c>
      <c r="G231" s="54">
        <v>0.2</v>
      </c>
      <c r="H231" s="54">
        <v>0.1</v>
      </c>
      <c r="I231" s="53">
        <f t="shared" si="8"/>
        <v>4.8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>
        <v>80</v>
      </c>
      <c r="B232" s="50">
        <v>381</v>
      </c>
      <c r="C232" s="50" t="s">
        <v>324</v>
      </c>
      <c r="D232" s="50">
        <v>381</v>
      </c>
      <c r="E232" s="54">
        <v>0.7</v>
      </c>
      <c r="F232" s="54">
        <v>0</v>
      </c>
      <c r="G232" s="54">
        <v>0.2</v>
      </c>
      <c r="H232" s="54">
        <v>0.1</v>
      </c>
      <c r="I232" s="53">
        <f t="shared" si="8"/>
        <v>4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>Erable sycomore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>
        <v>10</v>
      </c>
      <c r="B244" s="60">
        <v>19</v>
      </c>
      <c r="C244" s="60">
        <v>1</v>
      </c>
      <c r="D244" s="60">
        <v>7</v>
      </c>
      <c r="E244" s="51">
        <v>0</v>
      </c>
      <c r="F244" s="51">
        <v>0</v>
      </c>
      <c r="G244" s="51">
        <v>0</v>
      </c>
      <c r="H244" s="63">
        <v>1</v>
      </c>
      <c r="I244" s="53">
        <f>IFERROR(B244/A244,"")</f>
        <v>1.9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>
        <v>15</v>
      </c>
      <c r="B245" s="60">
        <v>85</v>
      </c>
      <c r="C245" s="60">
        <v>2</v>
      </c>
      <c r="D245" s="60">
        <v>42</v>
      </c>
      <c r="E245" s="63">
        <v>0</v>
      </c>
      <c r="F245" s="63">
        <v>0</v>
      </c>
      <c r="G245" s="63">
        <v>0</v>
      </c>
      <c r="H245" s="63">
        <v>1</v>
      </c>
      <c r="I245" s="53">
        <f>IF(A245&lt;&gt;0,(B245-(B244-D244))/(A245-A244),"")</f>
        <v>14.6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>
        <v>20</v>
      </c>
      <c r="B246" s="60">
        <v>123</v>
      </c>
      <c r="C246" s="60">
        <v>3</v>
      </c>
      <c r="D246" s="60">
        <v>42</v>
      </c>
      <c r="E246" s="63">
        <v>0</v>
      </c>
      <c r="F246" s="63">
        <v>0</v>
      </c>
      <c r="G246" s="63">
        <v>0</v>
      </c>
      <c r="H246" s="63">
        <v>1</v>
      </c>
      <c r="I246" s="53">
        <f>IF(A246&lt;&gt;0,(B246-(B245-D245))/(A246-A245),"")</f>
        <v>16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>
        <v>25</v>
      </c>
      <c r="B247" s="60">
        <v>165</v>
      </c>
      <c r="C247" s="60">
        <v>4</v>
      </c>
      <c r="D247" s="60">
        <v>42</v>
      </c>
      <c r="E247" s="63">
        <v>0</v>
      </c>
      <c r="F247" s="63">
        <v>0</v>
      </c>
      <c r="G247" s="63">
        <v>0</v>
      </c>
      <c r="H247" s="63">
        <v>1</v>
      </c>
      <c r="I247" s="53">
        <f t="shared" ref="I247:I263" si="9">IF(A247&lt;&gt;0,(B247-(B246-D246))/(A247-A246),"")</f>
        <v>16.8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>
        <v>30</v>
      </c>
      <c r="B248" s="60">
        <v>205</v>
      </c>
      <c r="C248" s="60">
        <v>5</v>
      </c>
      <c r="D248" s="60">
        <v>42</v>
      </c>
      <c r="E248" s="63">
        <v>0</v>
      </c>
      <c r="F248" s="63">
        <v>0</v>
      </c>
      <c r="G248" s="63">
        <v>0</v>
      </c>
      <c r="H248" s="63">
        <v>1</v>
      </c>
      <c r="I248" s="53">
        <f t="shared" si="9"/>
        <v>16.399999999999999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>
        <v>35</v>
      </c>
      <c r="B249" s="60">
        <v>239</v>
      </c>
      <c r="C249" s="60">
        <v>6</v>
      </c>
      <c r="D249" s="60">
        <v>42</v>
      </c>
      <c r="E249" s="63">
        <v>0</v>
      </c>
      <c r="F249" s="63">
        <v>0.3</v>
      </c>
      <c r="G249" s="63">
        <v>0.4</v>
      </c>
      <c r="H249" s="63">
        <v>0.3</v>
      </c>
      <c r="I249" s="53">
        <f t="shared" si="9"/>
        <v>15.2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>
        <v>40</v>
      </c>
      <c r="B250" s="60">
        <v>263</v>
      </c>
      <c r="C250" s="60">
        <v>7</v>
      </c>
      <c r="D250" s="60">
        <v>40</v>
      </c>
      <c r="E250" s="63">
        <v>0.1</v>
      </c>
      <c r="F250" s="63">
        <v>0.4</v>
      </c>
      <c r="G250" s="63">
        <v>0.3</v>
      </c>
      <c r="H250" s="63">
        <v>0.2</v>
      </c>
      <c r="I250" s="53">
        <f t="shared" si="9"/>
        <v>13.2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>
        <v>45</v>
      </c>
      <c r="B251" s="55">
        <v>280</v>
      </c>
      <c r="C251" s="55">
        <v>8</v>
      </c>
      <c r="D251" s="55">
        <v>26</v>
      </c>
      <c r="E251" s="63">
        <v>0.3</v>
      </c>
      <c r="F251" s="63">
        <v>0.2</v>
      </c>
      <c r="G251" s="63">
        <v>0.3</v>
      </c>
      <c r="H251" s="63">
        <v>0.2</v>
      </c>
      <c r="I251" s="53">
        <f t="shared" si="9"/>
        <v>11.4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>
        <v>50</v>
      </c>
      <c r="B252" s="55">
        <v>303</v>
      </c>
      <c r="C252" s="55">
        <v>9</v>
      </c>
      <c r="D252" s="55">
        <v>21</v>
      </c>
      <c r="E252" s="63">
        <v>0.5</v>
      </c>
      <c r="F252" s="63">
        <v>0</v>
      </c>
      <c r="G252" s="63">
        <v>0.3</v>
      </c>
      <c r="H252" s="63">
        <v>0.2</v>
      </c>
      <c r="I252" s="53">
        <f t="shared" si="9"/>
        <v>9.8000000000000007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>
        <v>55</v>
      </c>
      <c r="B253" s="55">
        <v>324</v>
      </c>
      <c r="C253" s="55">
        <v>10</v>
      </c>
      <c r="D253" s="55">
        <v>18</v>
      </c>
      <c r="E253" s="63">
        <v>0.7</v>
      </c>
      <c r="F253" s="63">
        <v>0</v>
      </c>
      <c r="G253" s="63">
        <v>0.2</v>
      </c>
      <c r="H253" s="63">
        <v>0.1</v>
      </c>
      <c r="I253" s="53">
        <f t="shared" si="9"/>
        <v>8.4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>
        <v>60</v>
      </c>
      <c r="B254" s="55">
        <v>343</v>
      </c>
      <c r="C254" s="55">
        <v>11</v>
      </c>
      <c r="D254" s="55">
        <v>17</v>
      </c>
      <c r="E254" s="63">
        <v>0.7</v>
      </c>
      <c r="F254" s="63">
        <v>0</v>
      </c>
      <c r="G254" s="63">
        <v>0.2</v>
      </c>
      <c r="H254" s="63">
        <v>0.1</v>
      </c>
      <c r="I254" s="53">
        <f t="shared" si="9"/>
        <v>7.4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>
        <v>65</v>
      </c>
      <c r="B255" s="55">
        <v>356</v>
      </c>
      <c r="C255" s="55">
        <v>12</v>
      </c>
      <c r="D255" s="55">
        <v>16</v>
      </c>
      <c r="E255" s="63">
        <v>0.7</v>
      </c>
      <c r="F255" s="63">
        <v>0</v>
      </c>
      <c r="G255" s="63">
        <v>0.2</v>
      </c>
      <c r="H255" s="63">
        <v>0.1</v>
      </c>
      <c r="I255" s="53">
        <f t="shared" si="9"/>
        <v>6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>
        <v>70</v>
      </c>
      <c r="B256" s="55">
        <v>366</v>
      </c>
      <c r="C256" s="55">
        <v>13</v>
      </c>
      <c r="D256" s="55">
        <v>15</v>
      </c>
      <c r="E256" s="64">
        <v>0.7</v>
      </c>
      <c r="F256" s="64">
        <v>0</v>
      </c>
      <c r="G256" s="64">
        <v>0.2</v>
      </c>
      <c r="H256" s="64">
        <v>0.1</v>
      </c>
      <c r="I256" s="53">
        <f t="shared" si="9"/>
        <v>5.2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>
        <v>75</v>
      </c>
      <c r="B257" s="60">
        <v>375</v>
      </c>
      <c r="C257" s="88">
        <v>14</v>
      </c>
      <c r="D257" s="60">
        <v>14</v>
      </c>
      <c r="E257" s="54">
        <v>0.7</v>
      </c>
      <c r="F257" s="54">
        <v>0</v>
      </c>
      <c r="G257" s="54">
        <v>0.2</v>
      </c>
      <c r="H257" s="54">
        <v>0.1</v>
      </c>
      <c r="I257" s="53">
        <f t="shared" si="9"/>
        <v>4.8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>
        <v>80</v>
      </c>
      <c r="B258" s="50">
        <v>381</v>
      </c>
      <c r="C258" s="50" t="s">
        <v>324</v>
      </c>
      <c r="D258" s="50">
        <v>381</v>
      </c>
      <c r="E258" s="54">
        <v>0.7</v>
      </c>
      <c r="F258" s="54">
        <v>0</v>
      </c>
      <c r="G258" s="54">
        <v>0.2</v>
      </c>
      <c r="H258" s="54">
        <v>0.1</v>
      </c>
      <c r="I258" s="53">
        <f t="shared" si="9"/>
        <v>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>Tilleul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>
        <v>10</v>
      </c>
      <c r="B270" s="60">
        <v>19</v>
      </c>
      <c r="C270" s="50">
        <v>1</v>
      </c>
      <c r="D270" s="60">
        <v>7</v>
      </c>
      <c r="E270" s="51">
        <v>0</v>
      </c>
      <c r="F270" s="51">
        <v>0</v>
      </c>
      <c r="G270" s="51">
        <v>0</v>
      </c>
      <c r="H270" s="51">
        <v>1</v>
      </c>
      <c r="I270" s="53">
        <f>IFERROR(B270/A270,"")</f>
        <v>1.9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>
        <v>15</v>
      </c>
      <c r="B271" s="60">
        <v>85</v>
      </c>
      <c r="C271" s="50">
        <v>2</v>
      </c>
      <c r="D271" s="60">
        <v>42</v>
      </c>
      <c r="E271" s="51">
        <v>0</v>
      </c>
      <c r="F271" s="51">
        <v>0</v>
      </c>
      <c r="G271" s="51">
        <v>0</v>
      </c>
      <c r="H271" s="51">
        <v>1</v>
      </c>
      <c r="I271" s="53">
        <f>IF(A271&lt;&gt;0,(B271-(B270-D270))/(A271-A270),"")</f>
        <v>14.6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>
        <v>20</v>
      </c>
      <c r="B272" s="60">
        <v>123</v>
      </c>
      <c r="C272" s="50">
        <v>3</v>
      </c>
      <c r="D272" s="60">
        <v>42</v>
      </c>
      <c r="E272" s="51">
        <v>0</v>
      </c>
      <c r="F272" s="51">
        <v>0</v>
      </c>
      <c r="G272" s="51">
        <v>0</v>
      </c>
      <c r="H272" s="51">
        <v>1</v>
      </c>
      <c r="I272" s="53">
        <f t="shared" ref="I272:I289" si="10">IF(A272&lt;&gt;0,(B272-(B271-D271))/(A272-A271),"")</f>
        <v>16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>
        <v>25</v>
      </c>
      <c r="B273" s="60">
        <v>165</v>
      </c>
      <c r="C273" s="50">
        <v>4</v>
      </c>
      <c r="D273" s="60">
        <v>42</v>
      </c>
      <c r="E273" s="51">
        <v>0</v>
      </c>
      <c r="F273" s="51">
        <v>0</v>
      </c>
      <c r="G273" s="51">
        <v>0</v>
      </c>
      <c r="H273" s="51">
        <v>1</v>
      </c>
      <c r="I273" s="53">
        <f t="shared" si="10"/>
        <v>16.8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>
        <v>30</v>
      </c>
      <c r="B274" s="60">
        <v>205</v>
      </c>
      <c r="C274" s="50">
        <v>5</v>
      </c>
      <c r="D274" s="60">
        <v>42</v>
      </c>
      <c r="E274" s="51">
        <v>0</v>
      </c>
      <c r="F274" s="51">
        <v>0</v>
      </c>
      <c r="G274" s="51">
        <v>0</v>
      </c>
      <c r="H274" s="51">
        <v>1</v>
      </c>
      <c r="I274" s="53">
        <f t="shared" si="10"/>
        <v>16.399999999999999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>
        <v>35</v>
      </c>
      <c r="B275" s="60">
        <v>239</v>
      </c>
      <c r="C275" s="50">
        <v>6</v>
      </c>
      <c r="D275" s="60">
        <v>42</v>
      </c>
      <c r="E275" s="63">
        <v>0</v>
      </c>
      <c r="F275" s="63">
        <v>0.3</v>
      </c>
      <c r="G275" s="63">
        <v>0.4</v>
      </c>
      <c r="H275" s="63">
        <v>0.3</v>
      </c>
      <c r="I275" s="53">
        <f t="shared" si="10"/>
        <v>15.2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>
        <v>40</v>
      </c>
      <c r="B276" s="60">
        <v>263</v>
      </c>
      <c r="C276" s="50">
        <v>7</v>
      </c>
      <c r="D276" s="60">
        <v>40</v>
      </c>
      <c r="E276" s="63">
        <v>0.1</v>
      </c>
      <c r="F276" s="63">
        <v>0.4</v>
      </c>
      <c r="G276" s="63">
        <v>0.3</v>
      </c>
      <c r="H276" s="63">
        <v>0.2</v>
      </c>
      <c r="I276" s="53">
        <f t="shared" si="10"/>
        <v>13.2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>
        <v>45</v>
      </c>
      <c r="B277" s="55">
        <v>280</v>
      </c>
      <c r="C277" s="55">
        <v>8</v>
      </c>
      <c r="D277" s="55">
        <v>26</v>
      </c>
      <c r="E277" s="63">
        <v>0.3</v>
      </c>
      <c r="F277" s="63">
        <v>0.2</v>
      </c>
      <c r="G277" s="63">
        <v>0.3</v>
      </c>
      <c r="H277" s="63">
        <v>0.2</v>
      </c>
      <c r="I277" s="53">
        <f t="shared" si="10"/>
        <v>11.4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>
        <v>50</v>
      </c>
      <c r="B278" s="55">
        <v>303</v>
      </c>
      <c r="C278" s="55">
        <v>9</v>
      </c>
      <c r="D278" s="55">
        <v>21</v>
      </c>
      <c r="E278" s="63">
        <v>0.5</v>
      </c>
      <c r="F278" s="63">
        <v>0</v>
      </c>
      <c r="G278" s="63">
        <v>0.3</v>
      </c>
      <c r="H278" s="63">
        <v>0.2</v>
      </c>
      <c r="I278" s="53">
        <f t="shared" si="10"/>
        <v>9.8000000000000007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>
        <v>55</v>
      </c>
      <c r="B279" s="55">
        <v>324</v>
      </c>
      <c r="C279" s="55">
        <v>10</v>
      </c>
      <c r="D279" s="55">
        <v>18</v>
      </c>
      <c r="E279" s="63">
        <v>0.7</v>
      </c>
      <c r="F279" s="63">
        <v>0</v>
      </c>
      <c r="G279" s="63">
        <v>0.2</v>
      </c>
      <c r="H279" s="63">
        <v>0.1</v>
      </c>
      <c r="I279" s="53">
        <f t="shared" si="10"/>
        <v>8.4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>
        <v>60</v>
      </c>
      <c r="B280" s="55">
        <v>343</v>
      </c>
      <c r="C280" s="55">
        <v>11</v>
      </c>
      <c r="D280" s="55">
        <v>17</v>
      </c>
      <c r="E280" s="63">
        <v>0.7</v>
      </c>
      <c r="F280" s="63">
        <v>0</v>
      </c>
      <c r="G280" s="63">
        <v>0.2</v>
      </c>
      <c r="H280" s="63">
        <v>0.1</v>
      </c>
      <c r="I280" s="53">
        <f t="shared" si="10"/>
        <v>7.4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>
        <v>65</v>
      </c>
      <c r="B281" s="55">
        <v>356</v>
      </c>
      <c r="C281" s="55">
        <v>12</v>
      </c>
      <c r="D281" s="55">
        <v>16</v>
      </c>
      <c r="E281" s="63">
        <v>0.7</v>
      </c>
      <c r="F281" s="63">
        <v>0</v>
      </c>
      <c r="G281" s="63">
        <v>0.2</v>
      </c>
      <c r="H281" s="63">
        <v>0.1</v>
      </c>
      <c r="I281" s="53">
        <f t="shared" si="10"/>
        <v>6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>
        <v>70</v>
      </c>
      <c r="B282" s="55">
        <v>366</v>
      </c>
      <c r="C282" s="55">
        <v>13</v>
      </c>
      <c r="D282" s="55">
        <v>15</v>
      </c>
      <c r="E282" s="64">
        <v>0.7</v>
      </c>
      <c r="F282" s="64">
        <v>0</v>
      </c>
      <c r="G282" s="64">
        <v>0.2</v>
      </c>
      <c r="H282" s="64">
        <v>0.1</v>
      </c>
      <c r="I282" s="53">
        <f t="shared" si="10"/>
        <v>5.2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>
        <v>75</v>
      </c>
      <c r="B283" s="60">
        <v>375</v>
      </c>
      <c r="C283" s="88">
        <v>14</v>
      </c>
      <c r="D283" s="60">
        <v>14</v>
      </c>
      <c r="E283" s="54">
        <v>0.7</v>
      </c>
      <c r="F283" s="54">
        <v>0</v>
      </c>
      <c r="G283" s="54">
        <v>0.2</v>
      </c>
      <c r="H283" s="54">
        <v>0.1</v>
      </c>
      <c r="I283" s="53">
        <f t="shared" si="10"/>
        <v>4.8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>
        <v>80</v>
      </c>
      <c r="B284" s="50">
        <v>381</v>
      </c>
      <c r="C284" s="50" t="s">
        <v>324</v>
      </c>
      <c r="D284" s="50">
        <v>381</v>
      </c>
      <c r="E284" s="51">
        <v>0.7</v>
      </c>
      <c r="F284" s="51">
        <v>0</v>
      </c>
      <c r="G284" s="51">
        <v>0.2</v>
      </c>
      <c r="H284" s="51">
        <v>0.1</v>
      </c>
      <c r="I284" s="53">
        <f t="shared" si="10"/>
        <v>4</v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de Weymouth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maritime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laricio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taeda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Douglas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Chêne sessile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Chêne rouge d'Amérique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Merisier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Erable sycomore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>Tilleul</v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46.095319339746538</v>
      </c>
      <c r="T3" s="59">
        <f>IF('Données projet'!E9&gt;30,$R$33-$H$33,LOOKUP('Données projet'!$E$9,$A$3:$A$203,R3:R203)-LOOKUP('Données projet'!$E$9,$A$3:$A$203,$H$3:$H$203))</f>
        <v>48.158174304064403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408.84545509668794</v>
      </c>
      <c r="AO3" s="59">
        <f>IF('Données projet'!E10&gt;30,$AM$33-$H$33,LOOKUP('Données projet'!$E$10,$A$3:$A$203,AM3:AM203)-LOOKUP('Données projet'!$E$10,$A$3:$A$203,$H$3:$H$203))</f>
        <v>409.9253979841132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279.69031306919914</v>
      </c>
      <c r="BJ3" s="59">
        <f>IF('Données projet'!E11&gt;30,$BH$33-$H$33,LOOKUP('Données projet'!$E$11,$A$3:$A$203,BH3:BH203)-LOOKUP('Données projet'!$E$11,$A$3:$A$203,$H$3:$H$203))</f>
        <v>297.01680128882509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81.299024916151723</v>
      </c>
      <c r="CE3" s="59">
        <f>IF('Données projet'!E12&gt;30,$CC$33-$H$33,LOOKUP('Données projet'!$E$12,$A$3:$A$203,CC3:CC203)-LOOKUP('Données projet'!$E$12,$A$3:$A$203,$H$3:$H$203))</f>
        <v>88.106373324240167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475.42482703895411</v>
      </c>
      <c r="CZ3" s="59">
        <f>IF('Données projet'!E13&gt;30,$CX$33-$H$33,LOOKUP('Données projet'!$E$13,$A$3:$A$203,CX3:CX203)-LOOKUP('Données projet'!$E$13,$A$3:$A$203,$H$3:$H$203))</f>
        <v>593.51433014569966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401.17301323870578</v>
      </c>
      <c r="DU3" s="59">
        <f>IF('Données projet'!E14&gt;30,$DS$33-$H$33,LOOKUP('Données projet'!$E$14,$A$3:$A$203,DS3:DS203)-LOOKUP('Données projet'!$E$14,$A$3:$A$203,$H$3:$H$203))</f>
        <v>201.57993789149754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237.8483058552178</v>
      </c>
      <c r="EP3" s="59">
        <f>IF('Données projet'!E15&gt;30,$EN$33-$H$33,LOOKUP('Données projet'!$E$15,$A$3:$A$203,EN3:EN203)-LOOKUP('Données projet'!$E$15,$A$3:$A$203,$H$3:$H$203))</f>
        <v>313.36201272119723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318.52984981739411</v>
      </c>
      <c r="FK3" s="59">
        <f>IF('Données projet'!E16&gt;30,$FI$33-$H$33,LOOKUP('Données projet'!$E$16,$A$3:$A$203,FI3:FI203)-LOOKUP('Données projet'!$E$16,$A$3:$A$203,$H$3:$H$203))</f>
        <v>311.56398336941714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325.72928944930294</v>
      </c>
      <c r="GF3" s="59">
        <f>IF('Données projet'!E17&gt;30,$GD$33-$H$33,LOOKUP('Données projet'!$E$17,$A$3:$A$203,GD3:GD203)-LOOKUP('Données projet'!$E$17,$A$3:$A$203,$H$3:$H$203))</f>
        <v>318.38876834819752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293.33333333333331</v>
      </c>
      <c r="GZ3" s="59">
        <f ca="1">AVERAGE(OFFSET($GY$3,0,0,'Données projet'!$E$18+1,1))-AVERAGE(OFFSET($H$3,0,0,'Données projet'!$E$18+1,1))</f>
        <v>268.04554291387961</v>
      </c>
      <c r="HA3" s="59">
        <f>IF('Données projet'!E18&gt;30,$GY$33-$H$33,LOOKUP('Données projet'!$E$18,$A$3:$A$203,GY3:GY203)-LOOKUP('Données projet'!$E$18,$A$3:$A$203,$H$3:$H$203))</f>
        <v>263.70463099437148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2.8666666666666667</v>
      </c>
      <c r="N4" s="13">
        <f>IF('Données projet'!$A$36&gt;35,N3+M4-V3,IF(A4&lt;'Données projet'!$A$36,$K$205^A4,IF(A4='Données projet'!$A$36,'Données projet'!$B$36,N3+M4-V3)))</f>
        <v>1.1600675581518149</v>
      </c>
      <c r="O4" s="13">
        <f>N4*VLOOKUP('Données projet'!$B$9,Paramètres!$A$1:$I$89,3,0)*VLOOKUP('Données projet'!$B$9,Paramètres!$A$1:$I$89,5,0)</f>
        <v>0.51274986070310224</v>
      </c>
      <c r="P4" s="13">
        <f>EXP(-1.0587+0.8836*LN(O4)+0.284)</f>
        <v>0.25540218581907492</v>
      </c>
      <c r="Q4" s="20">
        <f t="shared" ref="Q4:Q34" si="2">(O4+P4)*0.475*44/12</f>
        <v>1.3378648143594587</v>
      </c>
      <c r="R4" s="59">
        <f t="shared" si="0"/>
        <v>294.67119814769279</v>
      </c>
      <c r="S4" s="59">
        <f ca="1">AVERAGE(OFFSET($R$3,0,0,'Données projet'!$E$9+1,1))-AVERAGE(OFFSET($H$3,0,0,'Données projet'!$E$9+1,1))</f>
        <v>46.095319339746538</v>
      </c>
      <c r="T4" s="59">
        <f>$T$3</f>
        <v>48.158174304064403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3.8333333333333335</v>
      </c>
      <c r="AI4" s="13">
        <f>IF('Données projet'!$A$62&gt;35,AI3+AH4-AQ3,IF(A4&lt;'Données projet'!$A$62,$AF$205^A4,IF(A4='Données projet'!$A$62,'Données projet'!$B$62,AI3+AH4-AQ3)))</f>
        <v>1.3758248603770518</v>
      </c>
      <c r="AJ4" s="13">
        <f>AI4*VLOOKUP('Données projet'!$B$10,Paramètres!$A$1:$I$89,3,0)*VLOOKUP('Données projet'!$B$10,Paramètres!$A$1:$I$89,5,0)</f>
        <v>0.82274326650547702</v>
      </c>
      <c r="AK4" s="13">
        <f>EXP(-1.0587+0.8836*LN(AJ4)+0.284)</f>
        <v>0.3878641435528864</v>
      </c>
      <c r="AL4" s="20">
        <f t="shared" ref="AL4:AL67" si="4">(AJ4+AK4)*0.475*44/12</f>
        <v>2.108474572518316</v>
      </c>
      <c r="AM4" s="59">
        <f t="shared" ref="AM4:AM67" si="5">AL4+(AD4+AE4)*44/12</f>
        <v>295.44180790585165</v>
      </c>
      <c r="AN4" s="59">
        <f ca="1">AVERAGE(OFFSET($AM$3,0,0,'Données projet'!$E$10+1,1))-AVERAGE(OFFSET($H$3,0,0,'Données projet'!$E$10+1,1))</f>
        <v>408.84545509668794</v>
      </c>
      <c r="AO4" s="59">
        <f>$AO$3</f>
        <v>409.9253979841132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6.9411764705882355</v>
      </c>
      <c r="BD4" s="12">
        <f>IF('Données projet'!$A$88&gt;35,BD3+BC4-BL3,IF(A4&lt;'Données projet'!$A$88,$BA$205^A4,IF(A4='Données projet'!$A$88,'Données projet'!$B$88,BD3+BC4-BL3)))</f>
        <v>1.3239616704988877</v>
      </c>
      <c r="BE4" s="13">
        <f>BD4*VLOOKUP('Données projet'!$B$11,Paramètres!$A$1:$I$89,3,0)*VLOOKUP('Données projet'!$B$11,Paramètres!$A$1:$I$89,5,0)</f>
        <v>0.79172907895833489</v>
      </c>
      <c r="BF4" s="13">
        <f>EXP(-1.0587+0.8836*LN(BE4)+0.284)</f>
        <v>0.37491631974909195</v>
      </c>
      <c r="BG4" s="20">
        <f t="shared" ref="BG4:BG67" si="7">(BE4+BF4)*0.475*44/12</f>
        <v>2.031907402748768</v>
      </c>
      <c r="BH4" s="59">
        <f t="shared" ref="BH4:BH67" si="8">BG4+(AY4+AZ4)*44/12</f>
        <v>295.36524073608206</v>
      </c>
      <c r="BI4" s="59">
        <f ca="1">AVERAGE(OFFSET($BH$3,0,0,'Données projet'!$E$11+1,1))-AVERAGE(OFFSET($H$3,0,0,'Données projet'!$E$11+1,1))</f>
        <v>279.69031306919914</v>
      </c>
      <c r="BJ4" s="59">
        <f>$BJ$3</f>
        <v>297.01680128882509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1.3333333333333333</v>
      </c>
      <c r="BY4" s="12">
        <f>IF('Données projet'!$A$114&gt;35,BY3+BX4-CG3,IF(A4&lt;'Données projet'!$A$114,$BV$205^A4,IF(A4='Données projet'!$A$114,'Données projet'!$B$114,BY3+BX4-CG3)))</f>
        <v>1.2599210498948732</v>
      </c>
      <c r="BZ4" s="13">
        <f>BY4*VLOOKUP('Données projet'!$B$12,Paramètres!$A$1:$I$89,3,0)*VLOOKUP('Données projet'!$B$12,Paramètres!$A$1:$I$89,5,0)</f>
        <v>0.7534327878371343</v>
      </c>
      <c r="CA4" s="13">
        <f>EXP(-1.0587+0.8836*LN(BZ4)+0.284)</f>
        <v>0.35884640447347915</v>
      </c>
      <c r="CB4" s="20">
        <f t="shared" ref="CB4:CB67" si="10">(BZ4+CA4)*0.475*44/12</f>
        <v>1.9372195932743184</v>
      </c>
      <c r="CC4" s="59">
        <f t="shared" ref="CC4:CC67" si="11">CB4+(BT4+BU4)*44/12</f>
        <v>295.27055292660765</v>
      </c>
      <c r="CD4" s="59">
        <f ca="1">AVERAGE(OFFSET($CC$3,0,0,'Données projet'!$E$12+1,1))-AVERAGE(OFFSET($H$3,0,0,'Données projet'!$E$12+1,1))</f>
        <v>81.299024916151723</v>
      </c>
      <c r="CE4" s="59">
        <f>$CE$3</f>
        <v>88.106373324240167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10.8</v>
      </c>
      <c r="CT4" s="12">
        <f>IF('Données projet'!$A$140&gt;35,CT3+CS4-DB3,IF(A4&lt;'Données projet'!$A$140,$CQ$205^A4,IF(A4='Données projet'!$A$140,'Données projet'!$B$140,CT3+CS4-DB3)))</f>
        <v>1.4037863041747067</v>
      </c>
      <c r="CU4" s="17">
        <f>CT4*VLOOKUP('Données projet'!$B$13,Paramètres!$A$1:$I$89,3,0)*VLOOKUP('Données projet'!$B$13,Paramètres!$A$1:$I$89,5,0)</f>
        <v>0.78471654403366109</v>
      </c>
      <c r="CV4" s="13">
        <f>EXP(-1.0587+0.8836*LN(CU4)+0.284)</f>
        <v>0.37198061042729702</v>
      </c>
      <c r="CW4" s="20">
        <f t="shared" ref="CW4:CW67" si="13">(CU4+CV4)*0.475*44/12</f>
        <v>2.0145808773528358</v>
      </c>
      <c r="CX4" s="59">
        <f t="shared" ref="CX4:CX67" si="14">CW4+(CO4+CP4)*44/12</f>
        <v>295.34791421068616</v>
      </c>
      <c r="CY4" s="59">
        <f ca="1">AVERAGE(OFFSET($CX$3,0,0,'Données projet'!$E$13+1,1))-AVERAGE(OFFSET($H$3,0,0,'Données projet'!$E$13+1,1))</f>
        <v>475.42482703895411</v>
      </c>
      <c r="CZ4" s="59">
        <f>$CZ$3</f>
        <v>593.51433014569966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</v>
      </c>
      <c r="DO4" s="12">
        <f>IF('Données projet'!$A$166&gt;35,DO3+DN4-DW3,IF(A4&lt;'Données projet'!$A$166,$DL$205^A4,IF(A4='Données projet'!$A$166,'Données projet'!$B$166,DO3+DN4-DW3)))</f>
        <v>4</v>
      </c>
      <c r="DP4" s="17">
        <f>DO4*VLOOKUP('Données projet'!$B$14,Paramètres!$A$1:$I$89,3,0)*VLOOKUP('Données projet'!$B$14,Paramètres!$A$1:$I$89,5,0)</f>
        <v>3.6191999999999998</v>
      </c>
      <c r="DQ4" s="13">
        <f>EXP(-1.0587+0.8836*LN(DP4)+0.284)</f>
        <v>1.4359593421107981</v>
      </c>
      <c r="DR4" s="20">
        <f t="shared" ref="DR4:DR67" si="16">(DP4+DQ4)*0.475*44/12</f>
        <v>8.8044025208429719</v>
      </c>
      <c r="DS4" s="59">
        <f t="shared" ref="DS4:DS67" si="17">DR4+(DJ4+DK4)*44/12</f>
        <v>302.1377358541763</v>
      </c>
      <c r="DT4" s="59">
        <f ca="1">AVERAGE(OFFSET($DS$3,0,0,'Données projet'!$E$14+1,1))-AVERAGE(OFFSET($H$3,0,0,'Données projet'!$E$14+1,1))</f>
        <v>401.17301323870578</v>
      </c>
      <c r="DU4" s="59">
        <f>$DU$3</f>
        <v>201.57993789149754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6.85</v>
      </c>
      <c r="EJ4" s="12">
        <f>IF('Données projet'!$A$192&gt;35,EJ3+EI4-ER3,IF(A4&lt;'Données projet'!$A$192,$EG$205^A4,IF(A4='Données projet'!$A$192,'Données projet'!$B$192,EJ3+EI4-ER3)))</f>
        <v>1.278898353844806</v>
      </c>
      <c r="EK4" s="17">
        <f>EJ4*VLOOKUP('Données projet'!$B$15,Paramètres!$A$1:$I$89,3,0)*VLOOKUP('Données projet'!$B$15,Paramètres!$A$1:$I$89,5,0)</f>
        <v>1.1172456019188226</v>
      </c>
      <c r="EL4" s="13">
        <f>EXP(-1.0587+0.8836*LN(EK4)+0.284)</f>
        <v>0.5082720346591344</v>
      </c>
      <c r="EM4" s="20">
        <f t="shared" ref="EM4:EM67" si="19">(EK4+EL4)*0.475*44/12</f>
        <v>2.831109883706608</v>
      </c>
      <c r="EN4" s="59">
        <f t="shared" ref="EN4:EN67" si="20">EM4+(EE4+EF4)*44/12</f>
        <v>296.16444321703995</v>
      </c>
      <c r="EO4" s="59">
        <f ca="1">AVERAGE(OFFSET($EN$3,0,0,'Données projet'!$E$15+1,1))-AVERAGE(OFFSET($H$3,0,0,'Données projet'!$E$15+1,1))</f>
        <v>237.8483058552178</v>
      </c>
      <c r="EP4" s="59">
        <f>$EP$3</f>
        <v>313.36201272119723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1.9</v>
      </c>
      <c r="FE4" s="12">
        <f>IF('Données projet'!$A$218&gt;35,FE3+FD4-FM3,IF(A4&lt;'Données projet'!$A$218,$FB$205^A4,IF(A4='Données projet'!$A$218,'Données projet'!$B$218,FE3+FD4-FM3)))</f>
        <v>1.3423796509621049</v>
      </c>
      <c r="FF4" s="17">
        <f>FE4*VLOOKUP('Données projet'!$B$16,Paramètres!$A$1:$I$89,3,0)*VLOOKUP('Données projet'!$B$16,Paramètres!$A$1:$I$89,5,0)</f>
        <v>1.0470561277504418</v>
      </c>
      <c r="FG4" s="13">
        <f>EXP(-1.0587+0.8836*LN(FF4)+0.284)</f>
        <v>0.47995168860893583</v>
      </c>
      <c r="FH4" s="20">
        <f t="shared" ref="FH4:FH67" si="22">(FF4+FG4)*0.475*44/12</f>
        <v>2.6595386134925825</v>
      </c>
      <c r="FI4" s="59">
        <f t="shared" ref="FI4:FI67" si="23">FH4+(EZ4+FA4)*44/12</f>
        <v>295.99287194682591</v>
      </c>
      <c r="FJ4" s="59">
        <f ca="1">AVERAGE(OFFSET($FI$3,0,0,'Données projet'!$E$16+1,1))-AVERAGE(OFFSET($H$3,0,0,'Données projet'!$E$16+1,1))</f>
        <v>318.52984981739411</v>
      </c>
      <c r="FK4" s="59">
        <f>$FK$3</f>
        <v>311.56398336941714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1.9</v>
      </c>
      <c r="FZ4" s="12">
        <f>IF('Données projet'!$A$244&gt;35,FZ3+FY4-GH3,IF(A4&lt;'Données projet'!$A$244,$FW$205^A4,IF(A4='Données projet'!$A$244,'Données projet'!$B$244,FZ3+FY4-GH3)))</f>
        <v>1.3423796509621049</v>
      </c>
      <c r="GA4" s="17">
        <f>FZ4*VLOOKUP('Données projet'!$B$17,Paramètres!$A$1:$I$89,3,0)*VLOOKUP('Données projet'!$B$17,Paramètres!$A$1:$I$89,5,0)</f>
        <v>1.0679972503054507</v>
      </c>
      <c r="GB4" s="13">
        <f>EXP(-1.0587+0.8836*LN(GA4)+0.284)</f>
        <v>0.48842359485523285</v>
      </c>
      <c r="GC4" s="20">
        <f t="shared" ref="GC4:GC67" si="25">(GA4+GB4)*0.475*44/12</f>
        <v>2.7107663053215236</v>
      </c>
      <c r="GD4" s="59">
        <f t="shared" ref="GD4:GD67" si="26">GC4+(FU4+FV4)*44/12</f>
        <v>296.04409963865481</v>
      </c>
      <c r="GE4" s="59">
        <f ca="1">AVERAGE(OFFSET($GD$3,0,0,'Données projet'!$E$17+1,1))-AVERAGE(OFFSET($H$3,0,0,'Données projet'!$E$17+1,1))</f>
        <v>325.72928944930294</v>
      </c>
      <c r="GF4" s="59">
        <f>$GF$3</f>
        <v>318.38876834819752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1.9</v>
      </c>
      <c r="GU4" s="12">
        <f>IF('Données projet'!$A$270&gt;35,GU3+GT4-HC3,IF(A4&lt;'Données projet'!$A$270,$GR$205^A4,IF(A4='Données projet'!$A$270,'Données projet'!$B$270,GU3+GT4-HC3)))</f>
        <v>1.3423796509621049</v>
      </c>
      <c r="GV4" s="17">
        <f>GU4*VLOOKUP('Données projet'!$B$18,Paramètres!$A$1:$I$89,3,0)*VLOOKUP('Données projet'!$B$18,Paramètres!$A$1:$I$89,5,0)</f>
        <v>0.90046826986537998</v>
      </c>
      <c r="GW4" s="13">
        <f>EXP(-1.0587+0.8836*LN(GV4)+0.284)</f>
        <v>0.42006873167570724</v>
      </c>
      <c r="GX4" s="20">
        <f t="shared" ref="GX4:GX67" si="28">(GV4+GW4)*0.475*44/12</f>
        <v>2.2999352776840598</v>
      </c>
      <c r="GY4" s="59">
        <f t="shared" ref="GY4:GY67" si="29">GX4+(GP4+GQ4)*44/12</f>
        <v>295.6332686110174</v>
      </c>
      <c r="GZ4" s="59">
        <f ca="1">AVERAGE(OFFSET($GY$3,0,0,'Données projet'!$E$18+1,1))-AVERAGE(OFFSET($H$3,0,0,'Données projet'!$E$18+1,1))</f>
        <v>268.04554291387961</v>
      </c>
      <c r="HA4" s="59">
        <f>$HA$3</f>
        <v>263.70463099437148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2.8666666666666667</v>
      </c>
      <c r="N5" s="13">
        <f>IF('Données projet'!$A$36&gt;35,N4+M5-V4,IF(A5&lt;'Données projet'!$A$36,$K$205^A5,IF(A5='Données projet'!$A$36,'Données projet'!$B$36,N4+M5-V4)))</f>
        <v>1.3457567394763146</v>
      </c>
      <c r="O5" s="13">
        <f>N5*VLOOKUP('Données projet'!$B$9,Paramètres!$A$1:$I$89,3,0)*VLOOKUP('Données projet'!$B$9,Paramètres!$A$1:$I$89,5,0)</f>
        <v>0.59482447884853118</v>
      </c>
      <c r="P5" s="13">
        <f t="shared" ref="P5:P68" si="33">EXP(-1.0587+0.8836*LN(O5)+0.284)</f>
        <v>0.29120715235377576</v>
      </c>
      <c r="Q5" s="20">
        <f t="shared" si="2"/>
        <v>1.5431717576773509</v>
      </c>
      <c r="R5" s="59">
        <f t="shared" si="0"/>
        <v>294.87650509101064</v>
      </c>
      <c r="S5" s="59">
        <f ca="1">AVERAGE(OFFSET($R$3,0,0,'Données projet'!$E$9+1,1))-AVERAGE(OFFSET($H$3,0,0,'Données projet'!$E$9+1,1))</f>
        <v>46.095319339746538</v>
      </c>
      <c r="T5" s="59">
        <f t="shared" ref="T5:T68" si="34">$T$3</f>
        <v>48.158174304064403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3.8333333333333335</v>
      </c>
      <c r="AI5" s="13">
        <f>IF('Données projet'!$A$62&gt;35,AI4+AH5-AQ4,IF(A5&lt;'Données projet'!$A$62,$AF$205^A5,IF(A5='Données projet'!$A$62,'Données projet'!$B$62,AI4+AH5-AQ4)))</f>
        <v>1.892894046431534</v>
      </c>
      <c r="AJ5" s="13">
        <f>AI5*VLOOKUP('Données projet'!$B$10,Paramètres!$A$1:$I$89,3,0)*VLOOKUP('Données projet'!$B$10,Paramètres!$A$1:$I$89,5,0)</f>
        <v>1.1319506397660575</v>
      </c>
      <c r="AK5" s="13">
        <f t="shared" ref="AK5:AK68" si="35">EXP(-1.0587+0.8836*LN(AJ5)+0.284)</f>
        <v>0.51417864374064992</v>
      </c>
      <c r="AL5" s="20">
        <f t="shared" si="4"/>
        <v>2.8670085021075149</v>
      </c>
      <c r="AM5" s="59">
        <f t="shared" si="5"/>
        <v>296.20034183544084</v>
      </c>
      <c r="AN5" s="59">
        <f ca="1">AVERAGE(OFFSET($AM$3,0,0,'Données projet'!$E$10+1,1))-AVERAGE(OFFSET($H$3,0,0,'Données projet'!$E$10+1,1))</f>
        <v>408.84545509668794</v>
      </c>
      <c r="AO5" s="59">
        <f t="shared" ref="AO5:AO68" si="36">$AO$3</f>
        <v>409.9253979841132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6.9411764705882355</v>
      </c>
      <c r="BD5" s="12">
        <f>IF('Données projet'!$A$88&gt;35,BD4+BC5-BL4,IF(A5&lt;'Données projet'!$A$88,$BA$205^A5,IF(A5='Données projet'!$A$88,'Données projet'!$B$88,BD4+BC5-BL4)))</f>
        <v>1.7528745049502052</v>
      </c>
      <c r="BE5" s="13">
        <f>BD5*VLOOKUP('Données projet'!$B$11,Paramètres!$A$1:$I$89,3,0)*VLOOKUP('Données projet'!$B$11,Paramètres!$A$1:$I$89,5,0)</f>
        <v>1.0482189539602227</v>
      </c>
      <c r="BF5" s="13">
        <f t="shared" ref="BF5:BF68" si="37">EXP(-1.0587+0.8836*LN(BE5)+0.284)</f>
        <v>0.48042263342477459</v>
      </c>
      <c r="BG5" s="20">
        <f t="shared" si="7"/>
        <v>2.6623840980288702</v>
      </c>
      <c r="BH5" s="59">
        <f t="shared" si="8"/>
        <v>295.99571743136221</v>
      </c>
      <c r="BI5" s="59">
        <f ca="1">AVERAGE(OFFSET($BH$3,0,0,'Données projet'!$E$11+1,1))-AVERAGE(OFFSET($H$3,0,0,'Données projet'!$E$11+1,1))</f>
        <v>279.69031306919914</v>
      </c>
      <c r="BJ5" s="59">
        <f t="shared" ref="BJ5:BJ68" si="38">$BJ$3</f>
        <v>297.01680128882509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1.3333333333333333</v>
      </c>
      <c r="BY5" s="12">
        <f>IF('Données projet'!$A$114&gt;35,BY4+BX5-CG4,IF(A5&lt;'Données projet'!$A$114,$BV$205^A5,IF(A5='Données projet'!$A$114,'Données projet'!$B$114,BY4+BX5-CG4)))</f>
        <v>1.5874010519681996</v>
      </c>
      <c r="BZ5" s="13">
        <f>BY5*VLOOKUP('Données projet'!$B$12,Paramètres!$A$1:$I$89,3,0)*VLOOKUP('Données projet'!$B$12,Paramètres!$A$1:$I$89,5,0)</f>
        <v>0.94926582907698343</v>
      </c>
      <c r="CA5" s="13">
        <f t="shared" ref="CA5:CA68" si="39">EXP(-1.0587+0.8836*LN(BZ5)+0.284)</f>
        <v>0.44012087444203785</v>
      </c>
      <c r="CB5" s="20">
        <f t="shared" si="10"/>
        <v>2.4198485086289616</v>
      </c>
      <c r="CC5" s="59">
        <f t="shared" si="11"/>
        <v>295.75318184196226</v>
      </c>
      <c r="CD5" s="59">
        <f ca="1">AVERAGE(OFFSET($CC$3,0,0,'Données projet'!$E$12+1,1))-AVERAGE(OFFSET($H$3,0,0,'Données projet'!$E$12+1,1))</f>
        <v>81.299024916151723</v>
      </c>
      <c r="CE5" s="59">
        <f t="shared" ref="CE5:CE68" si="40">$CE$3</f>
        <v>88.106373324240167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10.8</v>
      </c>
      <c r="CT5" s="12">
        <f>IF('Données projet'!$A$140&gt;35,CT4+CS5-DB4,IF(A5&lt;'Données projet'!$A$140,$CQ$205^A5,IF(A5='Données projet'!$A$140,'Données projet'!$B$140,CT4+CS5-DB4)))</f>
        <v>1.9706159877884823</v>
      </c>
      <c r="CU5" s="17">
        <f>CT5*VLOOKUP('Données projet'!$B$13,Paramètres!$A$1:$I$89,3,0)*VLOOKUP('Données projet'!$B$13,Paramètres!$A$1:$I$89,5,0)</f>
        <v>1.1015743371737616</v>
      </c>
      <c r="CV5" s="13">
        <f t="shared" ref="CV5:CV68" si="41">EXP(-1.0587+0.8836*LN(CU5)+0.284)</f>
        <v>0.50196734705126034</v>
      </c>
      <c r="CW5" s="20">
        <f t="shared" si="13"/>
        <v>2.7928351000252465</v>
      </c>
      <c r="CX5" s="59">
        <f t="shared" si="14"/>
        <v>296.12616843335854</v>
      </c>
      <c r="CY5" s="59">
        <f ca="1">AVERAGE(OFFSET($CX$3,0,0,'Données projet'!$E$13+1,1))-AVERAGE(OFFSET($H$3,0,0,'Données projet'!$E$13+1,1))</f>
        <v>475.42482703895411</v>
      </c>
      <c r="CZ5" s="59">
        <f t="shared" ref="CZ5:CZ68" si="42">$CZ$3</f>
        <v>593.51433014569966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</v>
      </c>
      <c r="DO5" s="12">
        <f>IF('Données projet'!$A$166&gt;35,DO4+DN5-DW4,IF(A5&lt;'Données projet'!$A$166,$DL$205^A5,IF(A5='Données projet'!$A$166,'Données projet'!$B$166,DO4+DN5-DW4)))</f>
        <v>8</v>
      </c>
      <c r="DP5" s="17">
        <f>DO5*VLOOKUP('Données projet'!$B$14,Paramètres!$A$1:$I$89,3,0)*VLOOKUP('Données projet'!$B$14,Paramètres!$A$1:$I$89,5,0)</f>
        <v>7.2383999999999995</v>
      </c>
      <c r="DQ5" s="13">
        <f t="shared" ref="DQ5:DQ68" si="43">EXP(-1.0587+0.8836*LN(DP5)+0.284)</f>
        <v>2.6493067597344675</v>
      </c>
      <c r="DR5" s="20">
        <f t="shared" si="16"/>
        <v>17.221089273204196</v>
      </c>
      <c r="DS5" s="59">
        <f t="shared" si="17"/>
        <v>310.55442260653751</v>
      </c>
      <c r="DT5" s="59">
        <f ca="1">AVERAGE(OFFSET($DS$3,0,0,'Données projet'!$E$14+1,1))-AVERAGE(OFFSET($H$3,0,0,'Données projet'!$E$14+1,1))</f>
        <v>401.17301323870578</v>
      </c>
      <c r="DU5" s="59">
        <f t="shared" ref="DU5:DU68" si="44">$DU$3</f>
        <v>201.57993789149754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6.85</v>
      </c>
      <c r="EJ5" s="12">
        <f>IF('Données projet'!$A$192&gt;35,EJ4+EI5-ER4,IF(A5&lt;'Données projet'!$A$192,$EG$205^A5,IF(A5='Données projet'!$A$192,'Données projet'!$B$192,EJ4+EI5-ER4)))</f>
        <v>1.6355809994669546</v>
      </c>
      <c r="EK5" s="17">
        <f>EJ5*VLOOKUP('Données projet'!$B$15,Paramètres!$A$1:$I$89,3,0)*VLOOKUP('Données projet'!$B$15,Paramètres!$A$1:$I$89,5,0)</f>
        <v>1.4288435611343318</v>
      </c>
      <c r="EL5" s="13">
        <f t="shared" ref="EL5:EL68" si="45">EXP(-1.0587+0.8836*LN(EK5)+0.284)</f>
        <v>0.6316791321002988</v>
      </c>
      <c r="EM5" s="20">
        <f t="shared" si="19"/>
        <v>3.588743690716981</v>
      </c>
      <c r="EN5" s="59">
        <f t="shared" si="20"/>
        <v>296.92207702405028</v>
      </c>
      <c r="EO5" s="59">
        <f ca="1">AVERAGE(OFFSET($EN$3,0,0,'Données projet'!$E$15+1,1))-AVERAGE(OFFSET($H$3,0,0,'Données projet'!$E$15+1,1))</f>
        <v>237.8483058552178</v>
      </c>
      <c r="EP5" s="59">
        <f t="shared" ref="EP5:EP68" si="46">$EP$3</f>
        <v>313.36201272119723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1.9</v>
      </c>
      <c r="FE5" s="12">
        <f>IF('Données projet'!$A$218&gt;35,FE4+FD5-FM4,IF(A5&lt;'Données projet'!$A$218,$FB$205^A5,IF(A5='Données projet'!$A$218,'Données projet'!$B$218,FE4+FD5-FM4)))</f>
        <v>1.8019831273171425</v>
      </c>
      <c r="FF5" s="17">
        <f>FE5*VLOOKUP('Données projet'!$B$16,Paramètres!$A$1:$I$89,3,0)*VLOOKUP('Données projet'!$B$16,Paramètres!$A$1:$I$89,5,0)</f>
        <v>1.4055468393073711</v>
      </c>
      <c r="FG5" s="13">
        <f t="shared" ref="FG5:FG68" si="47">EXP(-1.0587+0.8836*LN(FF5)+0.284)</f>
        <v>0.62257000403937202</v>
      </c>
      <c r="FH5" s="20">
        <f t="shared" si="22"/>
        <v>3.5323035021622449</v>
      </c>
      <c r="FI5" s="59">
        <f t="shared" si="23"/>
        <v>296.86563683549554</v>
      </c>
      <c r="FJ5" s="59">
        <f ca="1">AVERAGE(OFFSET($FI$3,0,0,'Données projet'!$E$16+1,1))-AVERAGE(OFFSET($H$3,0,0,'Données projet'!$E$16+1,1))</f>
        <v>318.52984981739411</v>
      </c>
      <c r="FK5" s="59">
        <f t="shared" ref="FK5:FK68" si="48">$FK$3</f>
        <v>311.56398336941714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1.9</v>
      </c>
      <c r="FZ5" s="12">
        <f>IF('Données projet'!$A$244&gt;35,FZ4+FY5-GH4,IF(A5&lt;'Données projet'!$A$244,$FW$205^A5,IF(A5='Données projet'!$A$244,'Données projet'!$B$244,FZ4+FY5-GH4)))</f>
        <v>1.8019831273171425</v>
      </c>
      <c r="GA5" s="17">
        <f>FZ5*VLOOKUP('Données projet'!$B$17,Paramètres!$A$1:$I$89,3,0)*VLOOKUP('Données projet'!$B$17,Paramètres!$A$1:$I$89,5,0)</f>
        <v>1.4336577760935185</v>
      </c>
      <c r="GB5" s="13">
        <f t="shared" ref="GB5:GB68" si="49">EXP(-1.0587+0.8836*LN(GA5)+0.284)</f>
        <v>0.63355934907379652</v>
      </c>
      <c r="GC5" s="20">
        <f t="shared" si="25"/>
        <v>3.6004031596664068</v>
      </c>
      <c r="GD5" s="59">
        <f t="shared" si="26"/>
        <v>296.93373649299974</v>
      </c>
      <c r="GE5" s="59">
        <f ca="1">AVERAGE(OFFSET($GD$3,0,0,'Données projet'!$E$17+1,1))-AVERAGE(OFFSET($H$3,0,0,'Données projet'!$E$17+1,1))</f>
        <v>325.72928944930294</v>
      </c>
      <c r="GF5" s="59">
        <f t="shared" ref="GF5:GF68" si="50">$GF$3</f>
        <v>318.38876834819752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1.9</v>
      </c>
      <c r="GU5" s="12">
        <f>IF('Données projet'!$A$270&gt;35,GU4+GT5-HC4,IF(A5&lt;'Données projet'!$A$270,$GR$205^A5,IF(A5='Données projet'!$A$270,'Données projet'!$B$270,GU4+GT5-HC4)))</f>
        <v>1.8019831273171425</v>
      </c>
      <c r="GV5" s="17">
        <f>GU5*VLOOKUP('Données projet'!$B$18,Paramètres!$A$1:$I$89,3,0)*VLOOKUP('Données projet'!$B$18,Paramètres!$A$1:$I$89,5,0)</f>
        <v>1.2087702818043391</v>
      </c>
      <c r="GW5" s="13">
        <f t="shared" ref="GW5:GW68" si="51">EXP(-1.0587+0.8836*LN(GV5)+0.284)</f>
        <v>0.54489274271362542</v>
      </c>
      <c r="GX5" s="20">
        <f t="shared" si="28"/>
        <v>3.0542964343687884</v>
      </c>
      <c r="GY5" s="59">
        <f t="shared" si="29"/>
        <v>296.38762976770209</v>
      </c>
      <c r="GZ5" s="59">
        <f ca="1">AVERAGE(OFFSET($GY$3,0,0,'Données projet'!$E$18+1,1))-AVERAGE(OFFSET($H$3,0,0,'Données projet'!$E$18+1,1))</f>
        <v>268.04554291387961</v>
      </c>
      <c r="HA5" s="59">
        <f t="shared" ref="HA5:HA68" si="52">$HA$3</f>
        <v>263.70463099437148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2.8666666666666667</v>
      </c>
      <c r="N6" s="13">
        <f>IF('Données projet'!$A$36&gt;35,N5+M6-V5,IF(A6&lt;'Données projet'!$A$36,$K$205^A6,IF(A6='Données projet'!$A$36,'Données projet'!$B$36,N5+M6-V5)))</f>
        <v>1.5611687346306364</v>
      </c>
      <c r="O6" s="13">
        <f>N6*VLOOKUP('Données projet'!$B$9,Paramètres!$A$1:$I$89,3,0)*VLOOKUP('Données projet'!$B$9,Paramètres!$A$1:$I$89,5,0)</f>
        <v>0.69003658070674134</v>
      </c>
      <c r="P6" s="13">
        <f t="shared" si="33"/>
        <v>0.33203163594718799</v>
      </c>
      <c r="Q6" s="20">
        <f t="shared" si="2"/>
        <v>1.7801021440055935</v>
      </c>
      <c r="R6" s="59">
        <f t="shared" si="0"/>
        <v>295.1134354773389</v>
      </c>
      <c r="S6" s="59">
        <f ca="1">AVERAGE(OFFSET($R$3,0,0,'Données projet'!$E$9+1,1))-AVERAGE(OFFSET($H$3,0,0,'Données projet'!$E$9+1,1))</f>
        <v>46.095319339746538</v>
      </c>
      <c r="T6" s="59">
        <f t="shared" si="34"/>
        <v>48.158174304064403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3.8333333333333335</v>
      </c>
      <c r="AI6" s="13">
        <f>IF('Données projet'!$A$62&gt;35,AI5+AH6-AQ5,IF(A6&lt;'Données projet'!$A$62,$AF$205^A6,IF(A6='Données projet'!$A$62,'Données projet'!$B$62,AI5+AH6-AQ5)))</f>
        <v>2.6042906871402178</v>
      </c>
      <c r="AJ6" s="13">
        <f>AI6*VLOOKUP('Données projet'!$B$10,Paramètres!$A$1:$I$89,3,0)*VLOOKUP('Données projet'!$B$10,Paramètres!$A$1:$I$89,5,0)</f>
        <v>1.5573658309098504</v>
      </c>
      <c r="AK6" s="13">
        <f t="shared" si="35"/>
        <v>0.68162959137501489</v>
      </c>
      <c r="AL6" s="20">
        <f t="shared" si="4"/>
        <v>3.8995836938128075</v>
      </c>
      <c r="AM6" s="59">
        <f t="shared" si="5"/>
        <v>297.23291702714613</v>
      </c>
      <c r="AN6" s="59">
        <f ca="1">AVERAGE(OFFSET($AM$3,0,0,'Données projet'!$E$10+1,1))-AVERAGE(OFFSET($H$3,0,0,'Données projet'!$E$10+1,1))</f>
        <v>408.84545509668794</v>
      </c>
      <c r="AO6" s="59">
        <f t="shared" si="36"/>
        <v>409.9253979841132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6.9411764705882355</v>
      </c>
      <c r="BD6" s="12">
        <f>IF('Données projet'!$A$88&gt;35,BD5+BC6-BL5,IF(A6&lt;'Données projet'!$A$88,$BA$205^A6,IF(A6='Données projet'!$A$88,'Données projet'!$B$88,BD5+BC6-BL5)))</f>
        <v>2.3207386577487843</v>
      </c>
      <c r="BE6" s="13">
        <f>BD6*VLOOKUP('Données projet'!$B$11,Paramètres!$A$1:$I$89,3,0)*VLOOKUP('Données projet'!$B$11,Paramètres!$A$1:$I$89,5,0)</f>
        <v>1.3878017173337731</v>
      </c>
      <c r="BF6" s="13">
        <f t="shared" si="37"/>
        <v>0.61561979180116611</v>
      </c>
      <c r="BG6" s="20">
        <f t="shared" si="7"/>
        <v>3.4892924617433518</v>
      </c>
      <c r="BH6" s="59">
        <f t="shared" si="8"/>
        <v>296.82262579507665</v>
      </c>
      <c r="BI6" s="59">
        <f ca="1">AVERAGE(OFFSET($BH$3,0,0,'Données projet'!$E$11+1,1))-AVERAGE(OFFSET($H$3,0,0,'Données projet'!$E$11+1,1))</f>
        <v>279.69031306919914</v>
      </c>
      <c r="BJ6" s="59">
        <f t="shared" si="38"/>
        <v>297.01680128882509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1.3333333333333333</v>
      </c>
      <c r="BY6" s="12">
        <f>IF('Données projet'!$A$114&gt;35,BY5+BX6-CG5,IF(A6&lt;'Données projet'!$A$114,$BV$205^A6,IF(A6='Données projet'!$A$114,'Données projet'!$B$114,BY5+BX6-CG5)))</f>
        <v>2</v>
      </c>
      <c r="BZ6" s="13">
        <f>BY6*VLOOKUP('Données projet'!$B$12,Paramètres!$A$1:$I$89,3,0)*VLOOKUP('Données projet'!$B$12,Paramètres!$A$1:$I$89,5,0)</f>
        <v>1.1960000000000002</v>
      </c>
      <c r="CA6" s="13">
        <f t="shared" si="39"/>
        <v>0.53980305140256757</v>
      </c>
      <c r="CB6" s="20">
        <f t="shared" si="10"/>
        <v>3.0231903145261385</v>
      </c>
      <c r="CC6" s="59">
        <f t="shared" si="11"/>
        <v>296.35652364785943</v>
      </c>
      <c r="CD6" s="59">
        <f ca="1">AVERAGE(OFFSET($CC$3,0,0,'Données projet'!$E$12+1,1))-AVERAGE(OFFSET($H$3,0,0,'Données projet'!$E$12+1,1))</f>
        <v>81.299024916151723</v>
      </c>
      <c r="CE6" s="59">
        <f t="shared" si="40"/>
        <v>88.106373324240167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10.8</v>
      </c>
      <c r="CT6" s="12">
        <f>IF('Données projet'!$A$140&gt;35,CT5+CS6-DB5,IF(A6&lt;'Données projet'!$A$140,$CQ$205^A6,IF(A6='Données projet'!$A$140,'Données projet'!$B$140,CT5+CS6-DB5)))</f>
        <v>2.7663237344451828</v>
      </c>
      <c r="CU6" s="17">
        <f>CT6*VLOOKUP('Données projet'!$B$13,Paramètres!$A$1:$I$89,3,0)*VLOOKUP('Données projet'!$B$13,Paramètres!$A$1:$I$89,5,0)</f>
        <v>1.5463749675548573</v>
      </c>
      <c r="CV6" s="13">
        <f t="shared" si="41"/>
        <v>0.6773772891448272</v>
      </c>
      <c r="CW6" s="20">
        <f t="shared" si="13"/>
        <v>3.8730351804186167</v>
      </c>
      <c r="CX6" s="59">
        <f t="shared" si="14"/>
        <v>297.20636851375195</v>
      </c>
      <c r="CY6" s="59">
        <f ca="1">AVERAGE(OFFSET($CX$3,0,0,'Données projet'!$E$13+1,1))-AVERAGE(OFFSET($H$3,0,0,'Données projet'!$E$13+1,1))</f>
        <v>475.42482703895411</v>
      </c>
      <c r="CZ6" s="59">
        <f t="shared" si="42"/>
        <v>593.51433014569966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</v>
      </c>
      <c r="DO6" s="12">
        <f>IF('Données projet'!$A$166&gt;35,DO5+DN6-DW5,IF(A6&lt;'Données projet'!$A$166,$DL$205^A6,IF(A6='Données projet'!$A$166,'Données projet'!$B$166,DO5+DN6-DW5)))</f>
        <v>12</v>
      </c>
      <c r="DP6" s="17">
        <f>DO6*VLOOKUP('Données projet'!$B$14,Paramètres!$A$1:$I$89,3,0)*VLOOKUP('Données projet'!$B$14,Paramètres!$A$1:$I$89,5,0)</f>
        <v>10.8576</v>
      </c>
      <c r="DQ6" s="13">
        <f t="shared" si="43"/>
        <v>3.7907617001683773</v>
      </c>
      <c r="DR6" s="20">
        <f t="shared" si="16"/>
        <v>25.512563294459923</v>
      </c>
      <c r="DS6" s="59">
        <f t="shared" si="17"/>
        <v>318.84589662779325</v>
      </c>
      <c r="DT6" s="59">
        <f ca="1">AVERAGE(OFFSET($DS$3,0,0,'Données projet'!$E$14+1,1))-AVERAGE(OFFSET($H$3,0,0,'Données projet'!$E$14+1,1))</f>
        <v>401.17301323870578</v>
      </c>
      <c r="DU6" s="59">
        <f t="shared" si="44"/>
        <v>201.57993789149754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6.85</v>
      </c>
      <c r="EJ6" s="12">
        <f>IF('Données projet'!$A$192&gt;35,EJ5+EI6-ER5,IF(A6&lt;'Données projet'!$A$192,$EG$205^A6,IF(A6='Données projet'!$A$192,'Données projet'!$B$192,EJ5+EI6-ER5)))</f>
        <v>2.0917418477981307</v>
      </c>
      <c r="EK6" s="17">
        <f>EJ6*VLOOKUP('Données projet'!$B$15,Paramètres!$A$1:$I$89,3,0)*VLOOKUP('Données projet'!$B$15,Paramètres!$A$1:$I$89,5,0)</f>
        <v>1.8273456782364474</v>
      </c>
      <c r="EL6" s="13">
        <f t="shared" si="45"/>
        <v>0.78504914439879214</v>
      </c>
      <c r="EM6" s="20">
        <f t="shared" si="19"/>
        <v>4.5499209827563751</v>
      </c>
      <c r="EN6" s="59">
        <f t="shared" si="20"/>
        <v>297.88325431608968</v>
      </c>
      <c r="EO6" s="59">
        <f ca="1">AVERAGE(OFFSET($EN$3,0,0,'Données projet'!$E$15+1,1))-AVERAGE(OFFSET($H$3,0,0,'Données projet'!$E$15+1,1))</f>
        <v>237.8483058552178</v>
      </c>
      <c r="EP6" s="59">
        <f t="shared" si="46"/>
        <v>313.36201272119723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1.9</v>
      </c>
      <c r="FE6" s="12">
        <f>IF('Données projet'!$A$218&gt;35,FE5+FD6-FM5,IF(A6&lt;'Données projet'!$A$218,$FB$205^A6,IF(A6='Données projet'!$A$218,'Données projet'!$B$218,FE5+FD6-FM5)))</f>
        <v>2.4189454814875879</v>
      </c>
      <c r="FF6" s="17">
        <f>FE6*VLOOKUP('Données projet'!$B$16,Paramètres!$A$1:$I$89,3,0)*VLOOKUP('Données projet'!$B$16,Paramètres!$A$1:$I$89,5,0)</f>
        <v>1.8867774755603186</v>
      </c>
      <c r="FG6" s="13">
        <f t="shared" si="47"/>
        <v>0.80756755133618141</v>
      </c>
      <c r="FH6" s="20">
        <f t="shared" si="22"/>
        <v>4.692650921844737</v>
      </c>
      <c r="FI6" s="59">
        <f t="shared" si="23"/>
        <v>298.02598425517806</v>
      </c>
      <c r="FJ6" s="59">
        <f ca="1">AVERAGE(OFFSET($FI$3,0,0,'Données projet'!$E$16+1,1))-AVERAGE(OFFSET($H$3,0,0,'Données projet'!$E$16+1,1))</f>
        <v>318.52984981739411</v>
      </c>
      <c r="FK6" s="59">
        <f t="shared" si="48"/>
        <v>311.56398336941714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1.9</v>
      </c>
      <c r="FZ6" s="12">
        <f>IF('Données projet'!$A$244&gt;35,FZ5+FY6-GH5,IF(A6&lt;'Données projet'!$A$244,$FW$205^A6,IF(A6='Données projet'!$A$244,'Données projet'!$B$244,FZ5+FY6-GH5)))</f>
        <v>2.4189454814875879</v>
      </c>
      <c r="GA6" s="17">
        <f>FZ6*VLOOKUP('Données projet'!$B$17,Paramètres!$A$1:$I$89,3,0)*VLOOKUP('Données projet'!$B$17,Paramètres!$A$1:$I$89,5,0)</f>
        <v>1.9245130250715252</v>
      </c>
      <c r="GB6" s="13">
        <f t="shared" si="49"/>
        <v>0.82182239561499026</v>
      </c>
      <c r="GC6" s="20">
        <f t="shared" si="25"/>
        <v>4.7832008576956815</v>
      </c>
      <c r="GD6" s="59">
        <f t="shared" si="26"/>
        <v>298.11653419102902</v>
      </c>
      <c r="GE6" s="59">
        <f ca="1">AVERAGE(OFFSET($GD$3,0,0,'Données projet'!$E$17+1,1))-AVERAGE(OFFSET($H$3,0,0,'Données projet'!$E$17+1,1))</f>
        <v>325.72928944930294</v>
      </c>
      <c r="GF6" s="59">
        <f t="shared" si="50"/>
        <v>318.38876834819752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1.9</v>
      </c>
      <c r="GU6" s="12">
        <f>IF('Données projet'!$A$270&gt;35,GU5+GT6-HC5,IF(A6&lt;'Données projet'!$A$270,$GR$205^A6,IF(A6='Données projet'!$A$270,'Données projet'!$B$270,GU5+GT6-HC5)))</f>
        <v>2.4189454814875879</v>
      </c>
      <c r="GV6" s="17">
        <f>GU6*VLOOKUP('Données projet'!$B$18,Paramètres!$A$1:$I$89,3,0)*VLOOKUP('Données projet'!$B$18,Paramètres!$A$1:$I$89,5,0)</f>
        <v>1.6226286289818741</v>
      </c>
      <c r="GW6" s="13">
        <f t="shared" si="51"/>
        <v>0.70680838318427885</v>
      </c>
      <c r="GX6" s="20">
        <f t="shared" si="28"/>
        <v>4.0571027961893833</v>
      </c>
      <c r="GY6" s="59">
        <f t="shared" si="29"/>
        <v>297.3904361295227</v>
      </c>
      <c r="GZ6" s="59">
        <f ca="1">AVERAGE(OFFSET($GY$3,0,0,'Données projet'!$E$18+1,1))-AVERAGE(OFFSET($H$3,0,0,'Données projet'!$E$18+1,1))</f>
        <v>268.04554291387961</v>
      </c>
      <c r="HA6" s="59">
        <f t="shared" si="52"/>
        <v>263.70463099437148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2.8666666666666667</v>
      </c>
      <c r="N7" s="13">
        <f>IF('Données projet'!$A$36&gt;35,N6+M7-V6,IF(A7&lt;'Données projet'!$A$36,$K$205^A7,IF(A7='Données projet'!$A$36,'Données projet'!$B$36,N6+M7-V6)))</f>
        <v>1.8110612018459211</v>
      </c>
      <c r="O7" s="13">
        <f>N7*VLOOKUP('Données projet'!$B$9,Paramètres!$A$1:$I$89,3,0)*VLOOKUP('Données projet'!$B$9,Paramètres!$A$1:$I$89,5,0)</f>
        <v>0.8004890512158972</v>
      </c>
      <c r="P7" s="13">
        <f t="shared" si="33"/>
        <v>0.378579325331384</v>
      </c>
      <c r="Q7" s="20">
        <f t="shared" si="2"/>
        <v>2.0535440891531809</v>
      </c>
      <c r="R7" s="59">
        <f t="shared" si="0"/>
        <v>295.38687742248652</v>
      </c>
      <c r="S7" s="59">
        <f ca="1">AVERAGE(OFFSET($R$3,0,0,'Données projet'!$E$9+1,1))-AVERAGE(OFFSET($H$3,0,0,'Données projet'!$E$9+1,1))</f>
        <v>46.095319339746538</v>
      </c>
      <c r="T7" s="59">
        <f t="shared" si="34"/>
        <v>48.158174304064403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3.8333333333333335</v>
      </c>
      <c r="AI7" s="13">
        <f>IF('Données projet'!$A$62&gt;35,AI6+AH7-AQ6,IF(A7&lt;'Données projet'!$A$62,$AF$205^A7,IF(A7='Données projet'!$A$62,'Données projet'!$B$62,AI6+AH7-AQ6)))</f>
        <v>3.5830478710159466</v>
      </c>
      <c r="AJ7" s="13">
        <f>AI7*VLOOKUP('Données projet'!$B$10,Paramètres!$A$1:$I$89,3,0)*VLOOKUP('Données projet'!$B$10,Paramètres!$A$1:$I$89,5,0)</f>
        <v>2.1426626268675362</v>
      </c>
      <c r="AK7" s="13">
        <f t="shared" si="35"/>
        <v>0.9036137643873482</v>
      </c>
      <c r="AL7" s="20">
        <f t="shared" si="4"/>
        <v>5.3055980481022571</v>
      </c>
      <c r="AM7" s="59">
        <f t="shared" si="5"/>
        <v>298.63893138143555</v>
      </c>
      <c r="AN7" s="59">
        <f ca="1">AVERAGE(OFFSET($AM$3,0,0,'Données projet'!$E$10+1,1))-AVERAGE(OFFSET($H$3,0,0,'Données projet'!$E$10+1,1))</f>
        <v>408.84545509668794</v>
      </c>
      <c r="AO7" s="59">
        <f t="shared" si="36"/>
        <v>409.9253979841132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6.9411764705882355</v>
      </c>
      <c r="BD7" s="12">
        <f>IF('Données projet'!$A$88&gt;35,BD6+BC7-BL6,IF(A7&lt;'Données projet'!$A$88,$BA$205^A7,IF(A7='Données projet'!$A$88,'Données projet'!$B$88,BD6+BC7-BL6)))</f>
        <v>3.0725690301044271</v>
      </c>
      <c r="BE7" s="13">
        <f>BD7*VLOOKUP('Données projet'!$B$11,Paramètres!$A$1:$I$89,3,0)*VLOOKUP('Données projet'!$B$11,Paramètres!$A$1:$I$89,5,0)</f>
        <v>1.8373962800024475</v>
      </c>
      <c r="BF7" s="13">
        <f t="shared" si="37"/>
        <v>0.78886318355909346</v>
      </c>
      <c r="BG7" s="20">
        <f t="shared" si="7"/>
        <v>4.5740685657030165</v>
      </c>
      <c r="BH7" s="59">
        <f t="shared" si="8"/>
        <v>297.90740189903636</v>
      </c>
      <c r="BI7" s="59">
        <f ca="1">AVERAGE(OFFSET($BH$3,0,0,'Données projet'!$E$11+1,1))-AVERAGE(OFFSET($H$3,0,0,'Données projet'!$E$11+1,1))</f>
        <v>279.69031306919914</v>
      </c>
      <c r="BJ7" s="59">
        <f t="shared" si="38"/>
        <v>297.01680128882509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1.3333333333333333</v>
      </c>
      <c r="BY7" s="12">
        <f>IF('Données projet'!$A$114&gt;35,BY6+BX7-CG6,IF(A7&lt;'Données projet'!$A$114,$BV$205^A7,IF(A7='Données projet'!$A$114,'Données projet'!$B$114,BY6+BX7-CG6)))</f>
        <v>2.5198420997897468</v>
      </c>
      <c r="BZ7" s="13">
        <f>BY7*VLOOKUP('Données projet'!$B$12,Paramètres!$A$1:$I$89,3,0)*VLOOKUP('Données projet'!$B$12,Paramètres!$A$1:$I$89,5,0)</f>
        <v>1.5068655756742688</v>
      </c>
      <c r="CA7" s="13">
        <f t="shared" si="39"/>
        <v>0.66206206345683716</v>
      </c>
      <c r="CB7" s="20">
        <f t="shared" si="10"/>
        <v>3.7775489714866755</v>
      </c>
      <c r="CC7" s="59">
        <f t="shared" si="11"/>
        <v>297.11088230482</v>
      </c>
      <c r="CD7" s="59">
        <f ca="1">AVERAGE(OFFSET($CC$3,0,0,'Données projet'!$E$12+1,1))-AVERAGE(OFFSET($H$3,0,0,'Données projet'!$E$12+1,1))</f>
        <v>81.299024916151723</v>
      </c>
      <c r="CE7" s="59">
        <f t="shared" si="40"/>
        <v>88.106373324240167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10.8</v>
      </c>
      <c r="CT7" s="12">
        <f>IF('Données projet'!$A$140&gt;35,CT6+CS7-DB6,IF(A7&lt;'Données projet'!$A$140,$CQ$205^A7,IF(A7='Données projet'!$A$140,'Données projet'!$B$140,CT6+CS7-DB6)))</f>
        <v>3.8833273713275762</v>
      </c>
      <c r="CU7" s="17">
        <f>CT7*VLOOKUP('Données projet'!$B$13,Paramètres!$A$1:$I$89,3,0)*VLOOKUP('Données projet'!$B$13,Paramètres!$A$1:$I$89,5,0)</f>
        <v>2.170780000572115</v>
      </c>
      <c r="CV7" s="13">
        <f t="shared" si="41"/>
        <v>0.91408334535022773</v>
      </c>
      <c r="CW7" s="20">
        <f t="shared" si="13"/>
        <v>5.3728036608147471</v>
      </c>
      <c r="CX7" s="59">
        <f t="shared" si="14"/>
        <v>298.70613699414804</v>
      </c>
      <c r="CY7" s="59">
        <f ca="1">AVERAGE(OFFSET($CX$3,0,0,'Données projet'!$E$13+1,1))-AVERAGE(OFFSET($H$3,0,0,'Données projet'!$E$13+1,1))</f>
        <v>475.42482703895411</v>
      </c>
      <c r="CZ7" s="59">
        <f t="shared" si="42"/>
        <v>593.51433014569966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</v>
      </c>
      <c r="DO7" s="12">
        <f>IF('Données projet'!$A$166&gt;35,DO6+DN7-DW6,IF(A7&lt;'Données projet'!$A$166,$DL$205^A7,IF(A7='Données projet'!$A$166,'Données projet'!$B$166,DO6+DN7-DW6)))</f>
        <v>16</v>
      </c>
      <c r="DP7" s="17">
        <f>DO7*VLOOKUP('Données projet'!$B$14,Paramètres!$A$1:$I$89,3,0)*VLOOKUP('Données projet'!$B$14,Paramètres!$A$1:$I$89,5,0)</f>
        <v>14.476799999999999</v>
      </c>
      <c r="DQ7" s="13">
        <f t="shared" si="43"/>
        <v>4.8879004449090973</v>
      </c>
      <c r="DR7" s="20">
        <f t="shared" si="16"/>
        <v>33.726853274883347</v>
      </c>
      <c r="DS7" s="59">
        <f t="shared" si="17"/>
        <v>327.06018660821667</v>
      </c>
      <c r="DT7" s="59">
        <f ca="1">AVERAGE(OFFSET($DS$3,0,0,'Données projet'!$E$14+1,1))-AVERAGE(OFFSET($H$3,0,0,'Données projet'!$E$14+1,1))</f>
        <v>401.17301323870578</v>
      </c>
      <c r="DU7" s="59">
        <f t="shared" si="44"/>
        <v>201.57993789149754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6.85</v>
      </c>
      <c r="EJ7" s="12">
        <f>IF('Données projet'!$A$192&gt;35,EJ6+EI7-ER6,IF(A7&lt;'Données projet'!$A$192,$EG$205^A7,IF(A7='Données projet'!$A$192,'Données projet'!$B$192,EJ6+EI7-ER6)))</f>
        <v>2.6751252058173218</v>
      </c>
      <c r="EK7" s="17">
        <f>EJ7*VLOOKUP('Données projet'!$B$15,Paramètres!$A$1:$I$89,3,0)*VLOOKUP('Données projet'!$B$15,Paramètres!$A$1:$I$89,5,0)</f>
        <v>2.3369893798020125</v>
      </c>
      <c r="EL7" s="13">
        <f t="shared" si="45"/>
        <v>0.97565698754699115</v>
      </c>
      <c r="EM7" s="20">
        <f t="shared" si="19"/>
        <v>5.769525756466181</v>
      </c>
      <c r="EN7" s="59">
        <f t="shared" si="20"/>
        <v>299.10285908979949</v>
      </c>
      <c r="EO7" s="59">
        <f ca="1">AVERAGE(OFFSET($EN$3,0,0,'Données projet'!$E$15+1,1))-AVERAGE(OFFSET($H$3,0,0,'Données projet'!$E$15+1,1))</f>
        <v>237.8483058552178</v>
      </c>
      <c r="EP7" s="59">
        <f t="shared" si="46"/>
        <v>313.36201272119723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1.9</v>
      </c>
      <c r="FE7" s="12">
        <f>IF('Données projet'!$A$218&gt;35,FE6+FD7-FM6,IF(A7&lt;'Données projet'!$A$218,$FB$205^A7,IF(A7='Données projet'!$A$218,'Données projet'!$B$218,FE6+FD7-FM6)))</f>
        <v>3.247143191135669</v>
      </c>
      <c r="FF7" s="17">
        <f>FE7*VLOOKUP('Données projet'!$B$16,Paramètres!$A$1:$I$89,3,0)*VLOOKUP('Données projet'!$B$16,Paramètres!$A$1:$I$89,5,0)</f>
        <v>2.5327716890858221</v>
      </c>
      <c r="FG7" s="13">
        <f t="shared" si="47"/>
        <v>1.0475373785112081</v>
      </c>
      <c r="FH7" s="20">
        <f t="shared" si="22"/>
        <v>6.2357049593981602</v>
      </c>
      <c r="FI7" s="59">
        <f t="shared" si="23"/>
        <v>299.56903829273148</v>
      </c>
      <c r="FJ7" s="59">
        <f ca="1">AVERAGE(OFFSET($FI$3,0,0,'Données projet'!$E$16+1,1))-AVERAGE(OFFSET($H$3,0,0,'Données projet'!$E$16+1,1))</f>
        <v>318.52984981739411</v>
      </c>
      <c r="FK7" s="59">
        <f t="shared" si="48"/>
        <v>311.56398336941714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1.9</v>
      </c>
      <c r="FZ7" s="12">
        <f>IF('Données projet'!$A$244&gt;35,FZ6+FY7-GH6,IF(A7&lt;'Données projet'!$A$244,$FW$205^A7,IF(A7='Données projet'!$A$244,'Données projet'!$B$244,FZ6+FY7-GH6)))</f>
        <v>3.247143191135669</v>
      </c>
      <c r="GA7" s="17">
        <f>FZ7*VLOOKUP('Données projet'!$B$17,Paramètres!$A$1:$I$89,3,0)*VLOOKUP('Données projet'!$B$17,Paramètres!$A$1:$I$89,5,0)</f>
        <v>2.5834271228675387</v>
      </c>
      <c r="GB7" s="13">
        <f t="shared" si="49"/>
        <v>1.066028069701316</v>
      </c>
      <c r="GC7" s="20">
        <f t="shared" si="25"/>
        <v>6.3561344603907548</v>
      </c>
      <c r="GD7" s="59">
        <f t="shared" si="26"/>
        <v>299.68946779372408</v>
      </c>
      <c r="GE7" s="59">
        <f ca="1">AVERAGE(OFFSET($GD$3,0,0,'Données projet'!$E$17+1,1))-AVERAGE(OFFSET($H$3,0,0,'Données projet'!$E$17+1,1))</f>
        <v>325.72928944930294</v>
      </c>
      <c r="GF7" s="59">
        <f t="shared" si="50"/>
        <v>318.38876834819752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1.9</v>
      </c>
      <c r="GU7" s="12">
        <f>IF('Données projet'!$A$270&gt;35,GU6+GT7-HC6,IF(A7&lt;'Données projet'!$A$270,$GR$205^A7,IF(A7='Données projet'!$A$270,'Données projet'!$B$270,GU6+GT7-HC6)))</f>
        <v>3.247143191135669</v>
      </c>
      <c r="GV7" s="17">
        <f>GU7*VLOOKUP('Données projet'!$B$18,Paramètres!$A$1:$I$89,3,0)*VLOOKUP('Données projet'!$B$18,Paramètres!$A$1:$I$89,5,0)</f>
        <v>2.1781836526138068</v>
      </c>
      <c r="GW7" s="13">
        <f t="shared" si="51"/>
        <v>0.91683748264221798</v>
      </c>
      <c r="GX7" s="20">
        <f t="shared" si="28"/>
        <v>5.3904951439042428</v>
      </c>
      <c r="GY7" s="59">
        <f t="shared" si="29"/>
        <v>298.72382847723753</v>
      </c>
      <c r="GZ7" s="59">
        <f ca="1">AVERAGE(OFFSET($GY$3,0,0,'Données projet'!$E$18+1,1))-AVERAGE(OFFSET($H$3,0,0,'Données projet'!$E$18+1,1))</f>
        <v>268.04554291387961</v>
      </c>
      <c r="HA7" s="59">
        <f t="shared" si="52"/>
        <v>263.70463099437148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2.8666666666666667</v>
      </c>
      <c r="N8" s="13">
        <f>IF('Données projet'!$A$36&gt;35,N7+M8-V7,IF(A8&lt;'Données projet'!$A$36,$K$205^A8,IF(A8='Données projet'!$A$36,'Données projet'!$B$36,N7+M8-V7)))</f>
        <v>2.1009533460888892</v>
      </c>
      <c r="O8" s="13">
        <f>N8*VLOOKUP('Données projet'!$B$9,Paramètres!$A$1:$I$89,3,0)*VLOOKUP('Données projet'!$B$9,Paramètres!$A$1:$I$89,5,0)</f>
        <v>0.92862137897128916</v>
      </c>
      <c r="P8" s="13">
        <f t="shared" si="33"/>
        <v>0.43165255973127326</v>
      </c>
      <c r="Q8" s="20">
        <f t="shared" si="2"/>
        <v>2.3691437765736296</v>
      </c>
      <c r="R8" s="59">
        <f t="shared" si="0"/>
        <v>295.70247710990697</v>
      </c>
      <c r="S8" s="59">
        <f ca="1">AVERAGE(OFFSET($R$3,0,0,'Données projet'!$E$9+1,1))-AVERAGE(OFFSET($H$3,0,0,'Données projet'!$E$9+1,1))</f>
        <v>46.095319339746538</v>
      </c>
      <c r="T8" s="59">
        <f t="shared" si="34"/>
        <v>48.158174304064403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3.8333333333333335</v>
      </c>
      <c r="AI8" s="13">
        <f>IF('Données projet'!$A$62&gt;35,AI7+AH8-AQ7,IF(A8&lt;'Données projet'!$A$62,$AF$205^A8,IF(A8='Données projet'!$A$62,'Données projet'!$B$62,AI7+AH8-AQ7)))</f>
        <v>4.9296463368648071</v>
      </c>
      <c r="AJ8" s="13">
        <f>AI8*VLOOKUP('Données projet'!$B$10,Paramètres!$A$1:$I$89,3,0)*VLOOKUP('Données projet'!$B$10,Paramètres!$A$1:$I$89,5,0)</f>
        <v>2.9479285094451551</v>
      </c>
      <c r="AK8" s="13">
        <f t="shared" si="35"/>
        <v>1.1978908273966751</v>
      </c>
      <c r="AL8" s="20">
        <f t="shared" si="4"/>
        <v>7.2206353449995211</v>
      </c>
      <c r="AM8" s="59">
        <f t="shared" si="5"/>
        <v>300.55396867833281</v>
      </c>
      <c r="AN8" s="59">
        <f ca="1">AVERAGE(OFFSET($AM$3,0,0,'Données projet'!$E$10+1,1))-AVERAGE(OFFSET($H$3,0,0,'Données projet'!$E$10+1,1))</f>
        <v>408.84545509668794</v>
      </c>
      <c r="AO8" s="59">
        <f t="shared" si="36"/>
        <v>409.9253979841132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6.9411764705882355</v>
      </c>
      <c r="BD8" s="12">
        <f>IF('Données projet'!$A$88&gt;35,BD7+BC8-BL7,IF(A8&lt;'Données projet'!$A$88,$BA$205^A8,IF(A8='Données projet'!$A$88,'Données projet'!$B$88,BD7+BC8-BL7)))</f>
        <v>4.0679636258202043</v>
      </c>
      <c r="BE8" s="13">
        <f>BD8*VLOOKUP('Données projet'!$B$11,Paramètres!$A$1:$I$89,3,0)*VLOOKUP('Données projet'!$B$11,Paramètres!$A$1:$I$89,5,0)</f>
        <v>2.4326422482404824</v>
      </c>
      <c r="BF8" s="13">
        <f t="shared" si="37"/>
        <v>1.0108595120931088</v>
      </c>
      <c r="BG8" s="20">
        <f t="shared" si="7"/>
        <v>5.9974322325810041</v>
      </c>
      <c r="BH8" s="59">
        <f t="shared" si="8"/>
        <v>299.33076556591431</v>
      </c>
      <c r="BI8" s="59">
        <f ca="1">AVERAGE(OFFSET($BH$3,0,0,'Données projet'!$E$11+1,1))-AVERAGE(OFFSET($H$3,0,0,'Données projet'!$E$11+1,1))</f>
        <v>279.69031306919914</v>
      </c>
      <c r="BJ8" s="59">
        <f t="shared" si="38"/>
        <v>297.01680128882509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1.3333333333333333</v>
      </c>
      <c r="BY8" s="12">
        <f>IF('Données projet'!$A$114&gt;35,BY7+BX8-CG7,IF(A8&lt;'Données projet'!$A$114,$BV$205^A8,IF(A8='Données projet'!$A$114,'Données projet'!$B$114,BY7+BX8-CG7)))</f>
        <v>3.1748021039363996</v>
      </c>
      <c r="BZ8" s="13">
        <f>BY8*VLOOKUP('Données projet'!$B$12,Paramètres!$A$1:$I$89,3,0)*VLOOKUP('Données projet'!$B$12,Paramètres!$A$1:$I$89,5,0)</f>
        <v>1.8985316581539671</v>
      </c>
      <c r="CA8" s="13">
        <f t="shared" si="39"/>
        <v>0.8120112969532578</v>
      </c>
      <c r="CB8" s="20">
        <f t="shared" si="10"/>
        <v>4.720862313478416</v>
      </c>
      <c r="CC8" s="59">
        <f t="shared" si="11"/>
        <v>298.05419564681171</v>
      </c>
      <c r="CD8" s="59">
        <f ca="1">AVERAGE(OFFSET($CC$3,0,0,'Données projet'!$E$12+1,1))-AVERAGE(OFFSET($H$3,0,0,'Données projet'!$E$12+1,1))</f>
        <v>81.299024916151723</v>
      </c>
      <c r="CE8" s="59">
        <f t="shared" si="40"/>
        <v>88.106373324240167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10.8</v>
      </c>
      <c r="CT8" s="12">
        <f>IF('Données projet'!$A$140&gt;35,CT7+CS8-DB7,IF(A8&lt;'Données projet'!$A$140,$CQ$205^A8,IF(A8='Données projet'!$A$140,'Données projet'!$B$140,CT7+CS8-DB7)))</f>
        <v>5.451361778496417</v>
      </c>
      <c r="CU8" s="17">
        <f>CT8*VLOOKUP('Données projet'!$B$13,Paramètres!$A$1:$I$89,3,0)*VLOOKUP('Données projet'!$B$13,Paramètres!$A$1:$I$89,5,0)</f>
        <v>3.0473112341794972</v>
      </c>
      <c r="CV8" s="13">
        <f t="shared" si="41"/>
        <v>1.2335051316844765</v>
      </c>
      <c r="CW8" s="20">
        <f t="shared" si="13"/>
        <v>7.4557551705464205</v>
      </c>
      <c r="CX8" s="59">
        <f t="shared" si="14"/>
        <v>300.78908850387973</v>
      </c>
      <c r="CY8" s="59">
        <f ca="1">AVERAGE(OFFSET($CX$3,0,0,'Données projet'!$E$13+1,1))-AVERAGE(OFFSET($H$3,0,0,'Données projet'!$E$13+1,1))</f>
        <v>475.42482703895411</v>
      </c>
      <c r="CZ8" s="59">
        <f t="shared" si="42"/>
        <v>593.51433014569966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</v>
      </c>
      <c r="DO8" s="12">
        <f>IF('Données projet'!$A$166&gt;35,DO7+DN8-DW7,IF(A8&lt;'Données projet'!$A$166,$DL$205^A8,IF(A8='Données projet'!$A$166,'Données projet'!$B$166,DO7+DN8-DW7)))</f>
        <v>20</v>
      </c>
      <c r="DP8" s="17">
        <f>DO8*VLOOKUP('Données projet'!$B$14,Paramètres!$A$1:$I$89,3,0)*VLOOKUP('Données projet'!$B$14,Paramètres!$A$1:$I$89,5,0)</f>
        <v>18.096</v>
      </c>
      <c r="DQ8" s="13">
        <f t="shared" si="43"/>
        <v>5.9532214687411624</v>
      </c>
      <c r="DR8" s="20">
        <f t="shared" si="16"/>
        <v>41.885727391390851</v>
      </c>
      <c r="DS8" s="59">
        <f t="shared" si="17"/>
        <v>335.21906072472416</v>
      </c>
      <c r="DT8" s="59">
        <f ca="1">AVERAGE(OFFSET($DS$3,0,0,'Données projet'!$E$14+1,1))-AVERAGE(OFFSET($H$3,0,0,'Données projet'!$E$14+1,1))</f>
        <v>401.17301323870578</v>
      </c>
      <c r="DU8" s="59">
        <f t="shared" si="44"/>
        <v>201.57993789149754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6.85</v>
      </c>
      <c r="EJ8" s="12">
        <f>IF('Données projet'!$A$192&gt;35,EJ7+EI8-ER7,IF(A8&lt;'Données projet'!$A$192,$EG$205^A8,IF(A8='Données projet'!$A$192,'Données projet'!$B$192,EJ7+EI8-ER7)))</f>
        <v>3.4212132220485207</v>
      </c>
      <c r="EK8" s="17">
        <f>EJ8*VLOOKUP('Données projet'!$B$15,Paramètres!$A$1:$I$89,3,0)*VLOOKUP('Données projet'!$B$15,Paramètres!$A$1:$I$89,5,0)</f>
        <v>2.988771870781588</v>
      </c>
      <c r="EL8" s="13">
        <f t="shared" si="45"/>
        <v>1.2125439077807807</v>
      </c>
      <c r="EM8" s="20">
        <f t="shared" si="19"/>
        <v>7.3172916476627918</v>
      </c>
      <c r="EN8" s="59">
        <f t="shared" si="20"/>
        <v>300.6506249809961</v>
      </c>
      <c r="EO8" s="59">
        <f ca="1">AVERAGE(OFFSET($EN$3,0,0,'Données projet'!$E$15+1,1))-AVERAGE(OFFSET($H$3,0,0,'Données projet'!$E$15+1,1))</f>
        <v>237.8483058552178</v>
      </c>
      <c r="EP8" s="59">
        <f t="shared" si="46"/>
        <v>313.36201272119723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1.9</v>
      </c>
      <c r="FE8" s="12">
        <f>IF('Données projet'!$A$218&gt;35,FE7+FD8-FM7,IF(A8&lt;'Données projet'!$A$218,$FB$205^A8,IF(A8='Données projet'!$A$218,'Données projet'!$B$218,FE7+FD8-FM7)))</f>
        <v>4.3588989435406749</v>
      </c>
      <c r="FF8" s="17">
        <f>FE8*VLOOKUP('Données projet'!$B$16,Paramètres!$A$1:$I$89,3,0)*VLOOKUP('Données projet'!$B$16,Paramètres!$A$1:$I$89,5,0)</f>
        <v>3.3999411759617266</v>
      </c>
      <c r="FG8" s="13">
        <f t="shared" si="47"/>
        <v>1.3588145754030252</v>
      </c>
      <c r="FH8" s="20">
        <f t="shared" si="22"/>
        <v>8.2881662669602747</v>
      </c>
      <c r="FI8" s="59">
        <f t="shared" si="23"/>
        <v>301.62149960029359</v>
      </c>
      <c r="FJ8" s="59">
        <f ca="1">AVERAGE(OFFSET($FI$3,0,0,'Données projet'!$E$16+1,1))-AVERAGE(OFFSET($H$3,0,0,'Données projet'!$E$16+1,1))</f>
        <v>318.52984981739411</v>
      </c>
      <c r="FK8" s="59">
        <f t="shared" si="48"/>
        <v>311.56398336941714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1.9</v>
      </c>
      <c r="FZ8" s="12">
        <f>IF('Données projet'!$A$244&gt;35,FZ7+FY8-GH7,IF(A8&lt;'Données projet'!$A$244,$FW$205^A8,IF(A8='Données projet'!$A$244,'Données projet'!$B$244,FZ7+FY8-GH7)))</f>
        <v>4.3588989435406749</v>
      </c>
      <c r="GA8" s="17">
        <f>FZ8*VLOOKUP('Données projet'!$B$17,Paramètres!$A$1:$I$89,3,0)*VLOOKUP('Données projet'!$B$17,Paramètres!$A$1:$I$89,5,0)</f>
        <v>3.467939999480961</v>
      </c>
      <c r="GB8" s="13">
        <f t="shared" si="49"/>
        <v>1.382799801337496</v>
      </c>
      <c r="GC8" s="20">
        <f t="shared" si="25"/>
        <v>8.4483718197588118</v>
      </c>
      <c r="GD8" s="59">
        <f t="shared" si="26"/>
        <v>301.7817051530921</v>
      </c>
      <c r="GE8" s="59">
        <f ca="1">AVERAGE(OFFSET($GD$3,0,0,'Données projet'!$E$17+1,1))-AVERAGE(OFFSET($H$3,0,0,'Données projet'!$E$17+1,1))</f>
        <v>325.72928944930294</v>
      </c>
      <c r="GF8" s="59">
        <f t="shared" si="50"/>
        <v>318.38876834819752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1.9</v>
      </c>
      <c r="GU8" s="12">
        <f>IF('Données projet'!$A$270&gt;35,GU7+GT8-HC7,IF(A8&lt;'Données projet'!$A$270,$GR$205^A8,IF(A8='Données projet'!$A$270,'Données projet'!$B$270,GU7+GT8-HC7)))</f>
        <v>4.3588989435406749</v>
      </c>
      <c r="GV8" s="17">
        <f>GU8*VLOOKUP('Données projet'!$B$18,Paramètres!$A$1:$I$89,3,0)*VLOOKUP('Données projet'!$B$18,Paramètres!$A$1:$I$89,5,0)</f>
        <v>2.9239494113270847</v>
      </c>
      <c r="GW8" s="13">
        <f t="shared" si="51"/>
        <v>1.1892770227069605</v>
      </c>
      <c r="GX8" s="20">
        <f t="shared" si="28"/>
        <v>7.1638693726092955</v>
      </c>
      <c r="GY8" s="59">
        <f t="shared" si="29"/>
        <v>300.49720270594258</v>
      </c>
      <c r="GZ8" s="59">
        <f ca="1">AVERAGE(OFFSET($GY$3,0,0,'Données projet'!$E$18+1,1))-AVERAGE(OFFSET($H$3,0,0,'Données projet'!$E$18+1,1))</f>
        <v>268.04554291387961</v>
      </c>
      <c r="HA8" s="59">
        <f t="shared" si="52"/>
        <v>263.70463099437148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2.8666666666666667</v>
      </c>
      <c r="N9" s="13">
        <f>IF('Données projet'!$A$36&gt;35,N8+M9-V8,IF(A9&lt;'Données projet'!$A$36,$K$205^A9,IF(A9='Données projet'!$A$36,'Données projet'!$B$36,N8+M9-V8)))</f>
        <v>2.4372478179882227</v>
      </c>
      <c r="O9" s="13">
        <f>N9*VLOOKUP('Données projet'!$B$9,Paramètres!$A$1:$I$89,3,0)*VLOOKUP('Données projet'!$B$9,Paramètres!$A$1:$I$89,5,0)</f>
        <v>1.0772635355507945</v>
      </c>
      <c r="P9" s="13">
        <f t="shared" si="33"/>
        <v>0.49216615872899128</v>
      </c>
      <c r="Q9" s="20">
        <f t="shared" si="2"/>
        <v>2.7334233842039599</v>
      </c>
      <c r="R9" s="59">
        <f t="shared" si="0"/>
        <v>296.06675671753726</v>
      </c>
      <c r="S9" s="59">
        <f ca="1">AVERAGE(OFFSET($R$3,0,0,'Données projet'!$E$9+1,1))-AVERAGE(OFFSET($H$3,0,0,'Données projet'!$E$9+1,1))</f>
        <v>46.095319339746538</v>
      </c>
      <c r="T9" s="59">
        <f t="shared" si="34"/>
        <v>48.158174304064403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3.8333333333333335</v>
      </c>
      <c r="AI9" s="13">
        <f>IF('Données projet'!$A$62&gt;35,AI8+AH9-AQ8,IF(A9&lt;'Données projet'!$A$62,$AF$205^A9,IF(A9='Données projet'!$A$62,'Données projet'!$B$62,AI8+AH9-AQ8)))</f>
        <v>6.7823299831252681</v>
      </c>
      <c r="AJ9" s="13">
        <f>AI9*VLOOKUP('Données projet'!$B$10,Paramètres!$A$1:$I$89,3,0)*VLOOKUP('Données projet'!$B$10,Paramètres!$A$1:$I$89,5,0)</f>
        <v>4.0558333299089107</v>
      </c>
      <c r="AK9" s="13">
        <f t="shared" si="35"/>
        <v>1.5880041793453468</v>
      </c>
      <c r="AL9" s="20">
        <f t="shared" si="4"/>
        <v>9.8296836619511652</v>
      </c>
      <c r="AM9" s="59">
        <f t="shared" si="5"/>
        <v>303.16301699528447</v>
      </c>
      <c r="AN9" s="59">
        <f ca="1">AVERAGE(OFFSET($AM$3,0,0,'Données projet'!$E$10+1,1))-AVERAGE(OFFSET($H$3,0,0,'Données projet'!$E$10+1,1))</f>
        <v>408.84545509668794</v>
      </c>
      <c r="AO9" s="59">
        <f t="shared" si="36"/>
        <v>409.9253979841132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6.9411764705882355</v>
      </c>
      <c r="BD9" s="12">
        <f>IF('Données projet'!$A$88&gt;35,BD8+BC9-BL8,IF(A9&lt;'Données projet'!$A$88,$BA$205^A9,IF(A9='Données projet'!$A$88,'Données projet'!$B$88,BD8+BC9-BL8)))</f>
        <v>5.38582791756963</v>
      </c>
      <c r="BE9" s="13">
        <f>BD9*VLOOKUP('Données projet'!$B$11,Paramètres!$A$1:$I$89,3,0)*VLOOKUP('Données projet'!$B$11,Paramètres!$A$1:$I$89,5,0)</f>
        <v>3.2207250947066388</v>
      </c>
      <c r="BF9" s="13">
        <f t="shared" si="37"/>
        <v>1.2953284859599137</v>
      </c>
      <c r="BG9" s="20">
        <f t="shared" si="7"/>
        <v>7.8654599863275783</v>
      </c>
      <c r="BH9" s="59">
        <f t="shared" si="8"/>
        <v>301.19879331966087</v>
      </c>
      <c r="BI9" s="59">
        <f ca="1">AVERAGE(OFFSET($BH$3,0,0,'Données projet'!$E$11+1,1))-AVERAGE(OFFSET($H$3,0,0,'Données projet'!$E$11+1,1))</f>
        <v>279.69031306919914</v>
      </c>
      <c r="BJ9" s="59">
        <f t="shared" si="38"/>
        <v>297.01680128882509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1.3333333333333333</v>
      </c>
      <c r="BY9" s="12">
        <f>IF('Données projet'!$A$114&gt;35,BY8+BX9-CG8,IF(A9&lt;'Données projet'!$A$114,$BV$205^A9,IF(A9='Données projet'!$A$114,'Données projet'!$B$114,BY8+BX9-CG8)))</f>
        <v>4.0000000000000009</v>
      </c>
      <c r="BZ9" s="13">
        <f>BY9*VLOOKUP('Données projet'!$B$12,Paramètres!$A$1:$I$89,3,0)*VLOOKUP('Données projet'!$B$12,Paramètres!$A$1:$I$89,5,0)</f>
        <v>2.3920000000000008</v>
      </c>
      <c r="CA9" s="13">
        <f t="shared" si="39"/>
        <v>0.99592225982103666</v>
      </c>
      <c r="CB9" s="20">
        <f t="shared" si="10"/>
        <v>5.900631269188306</v>
      </c>
      <c r="CC9" s="59">
        <f t="shared" si="11"/>
        <v>299.23396460252161</v>
      </c>
      <c r="CD9" s="59">
        <f ca="1">AVERAGE(OFFSET($CC$3,0,0,'Données projet'!$E$12+1,1))-AVERAGE(OFFSET($H$3,0,0,'Données projet'!$E$12+1,1))</f>
        <v>81.299024916151723</v>
      </c>
      <c r="CE9" s="59">
        <f t="shared" si="40"/>
        <v>88.106373324240167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10.8</v>
      </c>
      <c r="CT9" s="12">
        <f>IF('Données projet'!$A$140&gt;35,CT8+CS9-DB8,IF(A9&lt;'Données projet'!$A$140,$CQ$205^A9,IF(A9='Données projet'!$A$140,'Données projet'!$B$140,CT8+CS9-DB8)))</f>
        <v>7.6525470037547425</v>
      </c>
      <c r="CU9" s="17">
        <f>CT9*VLOOKUP('Données projet'!$B$13,Paramètres!$A$1:$I$89,3,0)*VLOOKUP('Données projet'!$B$13,Paramètres!$A$1:$I$89,5,0)</f>
        <v>4.2777737750989013</v>
      </c>
      <c r="CV9" s="13">
        <f t="shared" si="41"/>
        <v>1.6645472402836166</v>
      </c>
      <c r="CW9" s="20">
        <f t="shared" si="13"/>
        <v>10.349542435124553</v>
      </c>
      <c r="CX9" s="59">
        <f t="shared" si="14"/>
        <v>303.68287576845785</v>
      </c>
      <c r="CY9" s="59">
        <f ca="1">AVERAGE(OFFSET($CX$3,0,0,'Données projet'!$E$13+1,1))-AVERAGE(OFFSET($H$3,0,0,'Données projet'!$E$13+1,1))</f>
        <v>475.42482703895411</v>
      </c>
      <c r="CZ9" s="59">
        <f t="shared" si="42"/>
        <v>593.51433014569966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</v>
      </c>
      <c r="DO9" s="12">
        <f>IF('Données projet'!$A$166&gt;35,DO8+DN9-DW8,IF(A9&lt;'Données projet'!$A$166,$DL$205^A9,IF(A9='Données projet'!$A$166,'Données projet'!$B$166,DO8+DN9-DW8)))</f>
        <v>24</v>
      </c>
      <c r="DP9" s="17">
        <f>DO9*VLOOKUP('Données projet'!$B$14,Paramètres!$A$1:$I$89,3,0)*VLOOKUP('Données projet'!$B$14,Paramètres!$A$1:$I$89,5,0)</f>
        <v>21.715199999999999</v>
      </c>
      <c r="DQ9" s="13">
        <f t="shared" si="43"/>
        <v>6.9938544235075568</v>
      </c>
      <c r="DR9" s="20">
        <f t="shared" si="16"/>
        <v>50.00160312094232</v>
      </c>
      <c r="DS9" s="59">
        <f t="shared" si="17"/>
        <v>343.33493645427563</v>
      </c>
      <c r="DT9" s="59">
        <f ca="1">AVERAGE(OFFSET($DS$3,0,0,'Données projet'!$E$14+1,1))-AVERAGE(OFFSET($H$3,0,0,'Données projet'!$E$14+1,1))</f>
        <v>401.17301323870578</v>
      </c>
      <c r="DU9" s="59">
        <f t="shared" si="44"/>
        <v>201.57993789149754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6.85</v>
      </c>
      <c r="EJ9" s="12">
        <f>IF('Données projet'!$A$192&gt;35,EJ8+EI9-ER8,IF(A9&lt;'Données projet'!$A$192,$EG$205^A9,IF(A9='Données projet'!$A$192,'Données projet'!$B$192,EJ8+EI9-ER8)))</f>
        <v>4.3753839578299374</v>
      </c>
      <c r="EK9" s="17">
        <f>EJ9*VLOOKUP('Données projet'!$B$15,Paramètres!$A$1:$I$89,3,0)*VLOOKUP('Données projet'!$B$15,Paramètres!$A$1:$I$89,5,0)</f>
        <v>3.8223354255602335</v>
      </c>
      <c r="EL9" s="13">
        <f t="shared" si="45"/>
        <v>1.5069463418622553</v>
      </c>
      <c r="EM9" s="20">
        <f t="shared" si="19"/>
        <v>9.2818324115941682</v>
      </c>
      <c r="EN9" s="59">
        <f t="shared" si="20"/>
        <v>302.61516574492748</v>
      </c>
      <c r="EO9" s="59">
        <f ca="1">AVERAGE(OFFSET($EN$3,0,0,'Données projet'!$E$15+1,1))-AVERAGE(OFFSET($H$3,0,0,'Données projet'!$E$15+1,1))</f>
        <v>237.8483058552178</v>
      </c>
      <c r="EP9" s="59">
        <f t="shared" si="46"/>
        <v>313.36201272119723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1.9</v>
      </c>
      <c r="FE9" s="12">
        <f>IF('Données projet'!$A$218&gt;35,FE8+FD9-FM8,IF(A9&lt;'Données projet'!$A$218,$FB$205^A9,IF(A9='Données projet'!$A$218,'Données projet'!$B$218,FE8+FD9-FM8)))</f>
        <v>5.8512972424092187</v>
      </c>
      <c r="FF9" s="17">
        <f>FE9*VLOOKUP('Données projet'!$B$16,Paramètres!$A$1:$I$89,3,0)*VLOOKUP('Données projet'!$B$16,Paramètres!$A$1:$I$89,5,0)</f>
        <v>4.5640118490791908</v>
      </c>
      <c r="FG9" s="13">
        <f t="shared" si="47"/>
        <v>1.7625882266385859</v>
      </c>
      <c r="FH9" s="20">
        <f t="shared" si="22"/>
        <v>11.018828465208463</v>
      </c>
      <c r="FI9" s="59">
        <f t="shared" si="23"/>
        <v>304.35216179854177</v>
      </c>
      <c r="FJ9" s="59">
        <f ca="1">AVERAGE(OFFSET($FI$3,0,0,'Données projet'!$E$16+1,1))-AVERAGE(OFFSET($H$3,0,0,'Données projet'!$E$16+1,1))</f>
        <v>318.52984981739411</v>
      </c>
      <c r="FK9" s="59">
        <f t="shared" si="48"/>
        <v>311.56398336941714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1.9</v>
      </c>
      <c r="FZ9" s="12">
        <f>IF('Données projet'!$A$244&gt;35,FZ8+FY9-GH8,IF(A9&lt;'Données projet'!$A$244,$FW$205^A9,IF(A9='Données projet'!$A$244,'Données projet'!$B$244,FZ8+FY9-GH8)))</f>
        <v>5.8512972424092187</v>
      </c>
      <c r="GA9" s="17">
        <f>FZ9*VLOOKUP('Données projet'!$B$17,Paramètres!$A$1:$I$89,3,0)*VLOOKUP('Données projet'!$B$17,Paramètres!$A$1:$I$89,5,0)</f>
        <v>4.6552920860607747</v>
      </c>
      <c r="GB9" s="13">
        <f t="shared" si="49"/>
        <v>1.7937006960002178</v>
      </c>
      <c r="GC9" s="20">
        <f t="shared" si="25"/>
        <v>11.231995762089561</v>
      </c>
      <c r="GD9" s="59">
        <f t="shared" si="26"/>
        <v>304.5653290954229</v>
      </c>
      <c r="GE9" s="59">
        <f ca="1">AVERAGE(OFFSET($GD$3,0,0,'Données projet'!$E$17+1,1))-AVERAGE(OFFSET($H$3,0,0,'Données projet'!$E$17+1,1))</f>
        <v>325.72928944930294</v>
      </c>
      <c r="GF9" s="59">
        <f t="shared" si="50"/>
        <v>318.38876834819752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1.9</v>
      </c>
      <c r="GU9" s="12">
        <f>IF('Données projet'!$A$270&gt;35,GU8+GT9-HC8,IF(A9&lt;'Données projet'!$A$270,$GR$205^A9,IF(A9='Données projet'!$A$270,'Données projet'!$B$270,GU8+GT9-HC8)))</f>
        <v>5.8512972424092187</v>
      </c>
      <c r="GV9" s="17">
        <f>GU9*VLOOKUP('Données projet'!$B$18,Paramètres!$A$1:$I$89,3,0)*VLOOKUP('Données projet'!$B$18,Paramètres!$A$1:$I$89,5,0)</f>
        <v>3.9250501902081041</v>
      </c>
      <c r="GW9" s="13">
        <f t="shared" si="51"/>
        <v>1.5426723530790381</v>
      </c>
      <c r="GX9" s="20">
        <f t="shared" si="28"/>
        <v>9.5229500962251041</v>
      </c>
      <c r="GY9" s="59">
        <f t="shared" si="29"/>
        <v>302.8562834295584</v>
      </c>
      <c r="GZ9" s="59">
        <f ca="1">AVERAGE(OFFSET($GY$3,0,0,'Données projet'!$E$18+1,1))-AVERAGE(OFFSET($H$3,0,0,'Données projet'!$E$18+1,1))</f>
        <v>268.04554291387961</v>
      </c>
      <c r="HA9" s="59">
        <f t="shared" si="52"/>
        <v>263.70463099437148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2.8666666666666667</v>
      </c>
      <c r="N10" s="13">
        <f>IF('Données projet'!$A$36&gt;35,N9+M10-V9,IF(A10&lt;'Données projet'!$A$36,$K$205^A10,IF(A10='Données projet'!$A$36,'Données projet'!$B$36,N9+M10-V9)))</f>
        <v>2.8273721248244361</v>
      </c>
      <c r="O10" s="13">
        <f>N10*VLOOKUP('Données projet'!$B$9,Paramètres!$A$1:$I$89,3,0)*VLOOKUP('Données projet'!$B$9,Paramètres!$A$1:$I$89,5,0)</f>
        <v>1.2496984791724008</v>
      </c>
      <c r="P10" s="13">
        <f t="shared" si="33"/>
        <v>0.56116319094424028</v>
      </c>
      <c r="Q10" s="20">
        <f t="shared" si="2"/>
        <v>3.1539174087864832</v>
      </c>
      <c r="R10" s="59">
        <f t="shared" si="0"/>
        <v>296.48725074211978</v>
      </c>
      <c r="S10" s="59">
        <f ca="1">AVERAGE(OFFSET($R$3,0,0,'Données projet'!$E$9+1,1))-AVERAGE(OFFSET($H$3,0,0,'Données projet'!$E$9+1,1))</f>
        <v>46.095319339746538</v>
      </c>
      <c r="T10" s="59">
        <f t="shared" si="34"/>
        <v>48.158174304064403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3.8333333333333335</v>
      </c>
      <c r="AI10" s="13">
        <f>IF('Données projet'!$A$62&gt;35,AI9+AH10-AQ9,IF(A10&lt;'Données projet'!$A$62,$AF$205^A10,IF(A10='Données projet'!$A$62,'Données projet'!$B$62,AI9+AH10-AQ9)))</f>
        <v>9.3312982020644135</v>
      </c>
      <c r="AJ10" s="13">
        <f>AI10*VLOOKUP('Données projet'!$B$10,Paramètres!$A$1:$I$89,3,0)*VLOOKUP('Données projet'!$B$10,Paramètres!$A$1:$I$89,5,0)</f>
        <v>5.5801163248345196</v>
      </c>
      <c r="AK10" s="13">
        <f t="shared" si="35"/>
        <v>2.1051645241317321</v>
      </c>
      <c r="AL10" s="20">
        <f t="shared" si="4"/>
        <v>13.38519747861622</v>
      </c>
      <c r="AM10" s="59">
        <f t="shared" si="5"/>
        <v>306.71853081194956</v>
      </c>
      <c r="AN10" s="59">
        <f ca="1">AVERAGE(OFFSET($AM$3,0,0,'Données projet'!$E$10+1,1))-AVERAGE(OFFSET($H$3,0,0,'Données projet'!$E$10+1,1))</f>
        <v>408.84545509668794</v>
      </c>
      <c r="AO10" s="59">
        <f t="shared" si="36"/>
        <v>409.9253979841132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6.9411764705882355</v>
      </c>
      <c r="BD10" s="12">
        <f>IF('Données projet'!$A$88&gt;35,BD9+BC10-BL9,IF(A10&lt;'Données projet'!$A$88,$BA$205^A10,IF(A10='Données projet'!$A$88,'Données projet'!$B$88,BD9+BC10-BL9)))</f>
        <v>7.130629726765032</v>
      </c>
      <c r="BE10" s="13">
        <f>BD10*VLOOKUP('Données projet'!$B$11,Paramètres!$A$1:$I$89,3,0)*VLOOKUP('Données projet'!$B$11,Paramètres!$A$1:$I$89,5,0)</f>
        <v>4.26411657660549</v>
      </c>
      <c r="BF10" s="13">
        <f t="shared" si="37"/>
        <v>1.6598507175986843</v>
      </c>
      <c r="BG10" s="20">
        <f t="shared" si="7"/>
        <v>10.317576370738935</v>
      </c>
      <c r="BH10" s="59">
        <f t="shared" si="8"/>
        <v>303.65090970407226</v>
      </c>
      <c r="BI10" s="59">
        <f ca="1">AVERAGE(OFFSET($BH$3,0,0,'Données projet'!$E$11+1,1))-AVERAGE(OFFSET($H$3,0,0,'Données projet'!$E$11+1,1))</f>
        <v>279.69031306919914</v>
      </c>
      <c r="BJ10" s="59">
        <f t="shared" si="38"/>
        <v>297.01680128882509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1.3333333333333333</v>
      </c>
      <c r="BY10" s="12">
        <f>IF('Données projet'!$A$114&gt;35,BY9+BX10-CG9,IF(A10&lt;'Données projet'!$A$114,$BV$205^A10,IF(A10='Données projet'!$A$114,'Données projet'!$B$114,BY9+BX10-CG9)))</f>
        <v>5.0396841995794937</v>
      </c>
      <c r="BZ10" s="13">
        <f>BY10*VLOOKUP('Données projet'!$B$12,Paramètres!$A$1:$I$89,3,0)*VLOOKUP('Données projet'!$B$12,Paramètres!$A$1:$I$89,5,0)</f>
        <v>3.0137311513485376</v>
      </c>
      <c r="CA10" s="13">
        <f t="shared" si="39"/>
        <v>1.2214868824221981</v>
      </c>
      <c r="CB10" s="20">
        <f t="shared" si="10"/>
        <v>7.3763380754840293</v>
      </c>
      <c r="CC10" s="59">
        <f t="shared" si="11"/>
        <v>300.70967140881737</v>
      </c>
      <c r="CD10" s="59">
        <f ca="1">AVERAGE(OFFSET($CC$3,0,0,'Données projet'!$E$12+1,1))-AVERAGE(OFFSET($H$3,0,0,'Données projet'!$E$12+1,1))</f>
        <v>81.299024916151723</v>
      </c>
      <c r="CE10" s="59">
        <f t="shared" si="40"/>
        <v>88.106373324240167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10.8</v>
      </c>
      <c r="CT10" s="12">
        <f>IF('Données projet'!$A$140&gt;35,CT9+CS10-DB9,IF(A10&lt;'Données projet'!$A$140,$CQ$205^A10,IF(A10='Données projet'!$A$140,'Données projet'!$B$140,CT9+CS10-DB9)))</f>
        <v>10.742540675924095</v>
      </c>
      <c r="CU10" s="17">
        <f>CT10*VLOOKUP('Données projet'!$B$13,Paramètres!$A$1:$I$89,3,0)*VLOOKUP('Données projet'!$B$13,Paramètres!$A$1:$I$89,5,0)</f>
        <v>6.0050802378415691</v>
      </c>
      <c r="CV10" s="13">
        <f t="shared" si="41"/>
        <v>2.2462148263235089</v>
      </c>
      <c r="CW10" s="20">
        <f t="shared" si="13"/>
        <v>14.37100557008751</v>
      </c>
      <c r="CX10" s="59">
        <f t="shared" si="14"/>
        <v>307.70433890342082</v>
      </c>
      <c r="CY10" s="59">
        <f ca="1">AVERAGE(OFFSET($CX$3,0,0,'Données projet'!$E$13+1,1))-AVERAGE(OFFSET($H$3,0,0,'Données projet'!$E$13+1,1))</f>
        <v>475.42482703895411</v>
      </c>
      <c r="CZ10" s="59">
        <f t="shared" si="42"/>
        <v>593.51433014569966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</v>
      </c>
      <c r="DO10" s="12">
        <f>IF('Données projet'!$A$166&gt;35,DO9+DN10-DW9,IF(A10&lt;'Données projet'!$A$166,$DL$205^A10,IF(A10='Données projet'!$A$166,'Données projet'!$B$166,DO9+DN10-DW9)))</f>
        <v>28</v>
      </c>
      <c r="DP10" s="17">
        <f>DO10*VLOOKUP('Données projet'!$B$14,Paramètres!$A$1:$I$89,3,0)*VLOOKUP('Données projet'!$B$14,Paramètres!$A$1:$I$89,5,0)</f>
        <v>25.334399999999999</v>
      </c>
      <c r="DQ10" s="13">
        <f t="shared" si="43"/>
        <v>8.0143955200794572</v>
      </c>
      <c r="DR10" s="20">
        <f t="shared" si="16"/>
        <v>58.082485530805052</v>
      </c>
      <c r="DS10" s="59">
        <f t="shared" si="17"/>
        <v>351.41581886413837</v>
      </c>
      <c r="DT10" s="59">
        <f ca="1">AVERAGE(OFFSET($DS$3,0,0,'Données projet'!$E$14+1,1))-AVERAGE(OFFSET($H$3,0,0,'Données projet'!$E$14+1,1))</f>
        <v>401.17301323870578</v>
      </c>
      <c r="DU10" s="59">
        <f t="shared" si="44"/>
        <v>201.57993789149754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6.85</v>
      </c>
      <c r="EJ10" s="12">
        <f>IF('Données projet'!$A$192&gt;35,EJ9+EI10-ER9,IF(A10&lt;'Données projet'!$A$192,$EG$205^A10,IF(A10='Données projet'!$A$192,'Données projet'!$B$192,EJ9+EI10-ER9)))</f>
        <v>5.5956713411076793</v>
      </c>
      <c r="EK10" s="17">
        <f>EJ10*VLOOKUP('Données projet'!$B$15,Paramètres!$A$1:$I$89,3,0)*VLOOKUP('Données projet'!$B$15,Paramètres!$A$1:$I$89,5,0)</f>
        <v>4.8883784835916693</v>
      </c>
      <c r="EL10" s="13">
        <f t="shared" si="45"/>
        <v>1.8728289034978141</v>
      </c>
      <c r="EM10" s="20">
        <f t="shared" si="19"/>
        <v>11.775769532514182</v>
      </c>
      <c r="EN10" s="59">
        <f t="shared" si="20"/>
        <v>305.10910286584749</v>
      </c>
      <c r="EO10" s="59">
        <f ca="1">AVERAGE(OFFSET($EN$3,0,0,'Données projet'!$E$15+1,1))-AVERAGE(OFFSET($H$3,0,0,'Données projet'!$E$15+1,1))</f>
        <v>237.8483058552178</v>
      </c>
      <c r="EP10" s="59">
        <f t="shared" si="46"/>
        <v>313.36201272119723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1.9</v>
      </c>
      <c r="FE10" s="12">
        <f>IF('Données projet'!$A$218&gt;35,FE9+FD10-FM9,IF(A10&lt;'Données projet'!$A$218,$FB$205^A10,IF(A10='Données projet'!$A$218,'Données projet'!$B$218,FE9+FD10-FM9)))</f>
        <v>7.8546623499408135</v>
      </c>
      <c r="FF10" s="17">
        <f>FE10*VLOOKUP('Données projet'!$B$16,Paramètres!$A$1:$I$89,3,0)*VLOOKUP('Données projet'!$B$16,Paramètres!$A$1:$I$89,5,0)</f>
        <v>6.1266366329538346</v>
      </c>
      <c r="FG10" s="13">
        <f t="shared" si="47"/>
        <v>2.2863437829723758</v>
      </c>
      <c r="FH10" s="20">
        <f t="shared" si="22"/>
        <v>14.652607557738149</v>
      </c>
      <c r="FI10" s="59">
        <f t="shared" si="23"/>
        <v>307.98594089107144</v>
      </c>
      <c r="FJ10" s="59">
        <f ca="1">AVERAGE(OFFSET($FI$3,0,0,'Données projet'!$E$16+1,1))-AVERAGE(OFFSET($H$3,0,0,'Données projet'!$E$16+1,1))</f>
        <v>318.52984981739411</v>
      </c>
      <c r="FK10" s="59">
        <f t="shared" si="48"/>
        <v>311.56398336941714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1.9</v>
      </c>
      <c r="FZ10" s="12">
        <f>IF('Données projet'!$A$244&gt;35,FZ9+FY10-GH9,IF(A10&lt;'Données projet'!$A$244,$FW$205^A10,IF(A10='Données projet'!$A$244,'Données projet'!$B$244,FZ9+FY10-GH9)))</f>
        <v>7.8546623499408135</v>
      </c>
      <c r="GA10" s="17">
        <f>FZ10*VLOOKUP('Données projet'!$B$17,Paramètres!$A$1:$I$89,3,0)*VLOOKUP('Données projet'!$B$17,Paramètres!$A$1:$I$89,5,0)</f>
        <v>6.2491693656129108</v>
      </c>
      <c r="GB10" s="13">
        <f t="shared" si="49"/>
        <v>2.326701366112224</v>
      </c>
      <c r="GC10" s="20">
        <f t="shared" si="25"/>
        <v>14.936308191087944</v>
      </c>
      <c r="GD10" s="59">
        <f t="shared" si="26"/>
        <v>308.26964152442127</v>
      </c>
      <c r="GE10" s="59">
        <f ca="1">AVERAGE(OFFSET($GD$3,0,0,'Données projet'!$E$17+1,1))-AVERAGE(OFFSET($H$3,0,0,'Données projet'!$E$17+1,1))</f>
        <v>325.72928944930294</v>
      </c>
      <c r="GF10" s="59">
        <f t="shared" si="50"/>
        <v>318.38876834819752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1.9</v>
      </c>
      <c r="GU10" s="12">
        <f>IF('Données projet'!$A$270&gt;35,GU9+GT10-HC9,IF(A10&lt;'Données projet'!$A$270,$GR$205^A10,IF(A10='Données projet'!$A$270,'Données projet'!$B$270,GU9+GT10-HC9)))</f>
        <v>7.8546623499408135</v>
      </c>
      <c r="GV10" s="17">
        <f>GU10*VLOOKUP('Données projet'!$B$18,Paramètres!$A$1:$I$89,3,0)*VLOOKUP('Données projet'!$B$18,Paramètres!$A$1:$I$89,5,0)</f>
        <v>5.268907504340298</v>
      </c>
      <c r="GW10" s="13">
        <f t="shared" si="51"/>
        <v>2.0010796000561526</v>
      </c>
      <c r="GX10" s="20">
        <f t="shared" si="28"/>
        <v>12.661894206823819</v>
      </c>
      <c r="GY10" s="59">
        <f t="shared" si="29"/>
        <v>305.99522754015715</v>
      </c>
      <c r="GZ10" s="59">
        <f ca="1">AVERAGE(OFFSET($GY$3,0,0,'Données projet'!$E$18+1,1))-AVERAGE(OFFSET($H$3,0,0,'Données projet'!$E$18+1,1))</f>
        <v>268.04554291387961</v>
      </c>
      <c r="HA10" s="59">
        <f t="shared" si="52"/>
        <v>263.70463099437148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2.8666666666666667</v>
      </c>
      <c r="N11" s="13">
        <f>IF('Données projet'!$A$36&gt;35,N10+M11-V10,IF(A11&lt;'Données projet'!$A$36,$K$205^A11,IF(A11='Données projet'!$A$36,'Données projet'!$B$36,N10+M11-V10)))</f>
        <v>3.2799426768315922</v>
      </c>
      <c r="O11" s="13">
        <f>N11*VLOOKUP('Données projet'!$B$9,Paramètres!$A$1:$I$89,3,0)*VLOOKUP('Données projet'!$B$9,Paramètres!$A$1:$I$89,5,0)</f>
        <v>1.449734663159564</v>
      </c>
      <c r="P11" s="13">
        <f t="shared" si="33"/>
        <v>0.63983295333420587</v>
      </c>
      <c r="Q11" s="20">
        <f t="shared" si="2"/>
        <v>3.6393302653933159</v>
      </c>
      <c r="R11" s="59">
        <f t="shared" si="0"/>
        <v>296.97266359872663</v>
      </c>
      <c r="S11" s="59">
        <f ca="1">AVERAGE(OFFSET($R$3,0,0,'Données projet'!$E$9+1,1))-AVERAGE(OFFSET($H$3,0,0,'Données projet'!$E$9+1,1))</f>
        <v>46.095319339746538</v>
      </c>
      <c r="T11" s="59">
        <f t="shared" si="34"/>
        <v>48.158174304064403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3.8333333333333335</v>
      </c>
      <c r="AI11" s="13">
        <f>IF('Données projet'!$A$62&gt;35,AI10+AH11-AQ10,IF(A11&lt;'Données projet'!$A$62,$AF$205^A11,IF(A11='Données projet'!$A$62,'Données projet'!$B$62,AI10+AH11-AQ10)))</f>
        <v>12.838232045991907</v>
      </c>
      <c r="AJ11" s="13">
        <f>AI11*VLOOKUP('Données projet'!$B$10,Paramètres!$A$1:$I$89,3,0)*VLOOKUP('Données projet'!$B$10,Paramètres!$A$1:$I$89,5,0)</f>
        <v>7.6772627635031609</v>
      </c>
      <c r="AK11" s="13">
        <f t="shared" si="35"/>
        <v>2.7907468577883434</v>
      </c>
      <c r="AL11" s="20">
        <f t="shared" si="4"/>
        <v>18.23178342374937</v>
      </c>
      <c r="AM11" s="59">
        <f t="shared" si="5"/>
        <v>311.56511675708271</v>
      </c>
      <c r="AN11" s="59">
        <f ca="1">AVERAGE(OFFSET($AM$3,0,0,'Données projet'!$E$10+1,1))-AVERAGE(OFFSET($H$3,0,0,'Données projet'!$E$10+1,1))</f>
        <v>408.84545509668794</v>
      </c>
      <c r="AO11" s="59">
        <f t="shared" si="36"/>
        <v>409.9253979841132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6.9411764705882355</v>
      </c>
      <c r="BD11" s="12">
        <f>IF('Données projet'!$A$88&gt;35,BD10+BC11-BL10,IF(A11&lt;'Données projet'!$A$88,$BA$205^A11,IF(A11='Données projet'!$A$88,'Données projet'!$B$88,BD10+BC11-BL10)))</f>
        <v>9.4406804447568593</v>
      </c>
      <c r="BE11" s="13">
        <f>BD11*VLOOKUP('Données projet'!$B$11,Paramètres!$A$1:$I$89,3,0)*VLOOKUP('Données projet'!$B$11,Paramètres!$A$1:$I$89,5,0)</f>
        <v>5.6455269059646023</v>
      </c>
      <c r="BF11" s="13">
        <f t="shared" si="37"/>
        <v>2.1269542317454508</v>
      </c>
      <c r="BG11" s="20">
        <f t="shared" si="7"/>
        <v>13.53707131484501</v>
      </c>
      <c r="BH11" s="59">
        <f t="shared" si="8"/>
        <v>306.87040464817835</v>
      </c>
      <c r="BI11" s="59">
        <f ca="1">AVERAGE(OFFSET($BH$3,0,0,'Données projet'!$E$11+1,1))-AVERAGE(OFFSET($H$3,0,0,'Données projet'!$E$11+1,1))</f>
        <v>279.69031306919914</v>
      </c>
      <c r="BJ11" s="59">
        <f t="shared" si="38"/>
        <v>297.01680128882509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1.3333333333333333</v>
      </c>
      <c r="BY11" s="12">
        <f>IF('Données projet'!$A$114&gt;35,BY10+BX11-CG10,IF(A11&lt;'Données projet'!$A$114,$BV$205^A11,IF(A11='Données projet'!$A$114,'Données projet'!$B$114,BY10+BX11-CG10)))</f>
        <v>6.3496042078728001</v>
      </c>
      <c r="BZ11" s="13">
        <f>BY11*VLOOKUP('Données projet'!$B$12,Paramètres!$A$1:$I$89,3,0)*VLOOKUP('Données projet'!$B$12,Paramètres!$A$1:$I$89,5,0)</f>
        <v>3.797063316307935</v>
      </c>
      <c r="CA11" s="13">
        <f t="shared" si="39"/>
        <v>1.4981392264468638</v>
      </c>
      <c r="CB11" s="20">
        <f t="shared" si="10"/>
        <v>9.2224777619646083</v>
      </c>
      <c r="CC11" s="59">
        <f t="shared" si="11"/>
        <v>302.55581109529794</v>
      </c>
      <c r="CD11" s="59">
        <f ca="1">AVERAGE(OFFSET($CC$3,0,0,'Données projet'!$E$12+1,1))-AVERAGE(OFFSET($H$3,0,0,'Données projet'!$E$12+1,1))</f>
        <v>81.299024916151723</v>
      </c>
      <c r="CE11" s="59">
        <f t="shared" si="40"/>
        <v>88.106373324240167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10.8</v>
      </c>
      <c r="CT11" s="12">
        <f>IF('Données projet'!$A$140&gt;35,CT10+CS11-DB10,IF(A11&lt;'Données projet'!$A$140,$CQ$205^A11,IF(A11='Données projet'!$A$140,'Données projet'!$B$140,CT10+CS11-DB10)))</f>
        <v>15.080231472901943</v>
      </c>
      <c r="CU11" s="17">
        <f>CT11*VLOOKUP('Données projet'!$B$13,Paramètres!$A$1:$I$89,3,0)*VLOOKUP('Données projet'!$B$13,Paramètres!$A$1:$I$89,5,0)</f>
        <v>8.4298493933521872</v>
      </c>
      <c r="CV11" s="13">
        <f t="shared" si="41"/>
        <v>3.0311431985167756</v>
      </c>
      <c r="CW11" s="20">
        <f t="shared" si="13"/>
        <v>19.961228764171775</v>
      </c>
      <c r="CX11" s="59">
        <f t="shared" si="14"/>
        <v>313.29456209750509</v>
      </c>
      <c r="CY11" s="59">
        <f ca="1">AVERAGE(OFFSET($CX$3,0,0,'Données projet'!$E$13+1,1))-AVERAGE(OFFSET($H$3,0,0,'Données projet'!$E$13+1,1))</f>
        <v>475.42482703895411</v>
      </c>
      <c r="CZ11" s="59">
        <f t="shared" si="42"/>
        <v>593.51433014569966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</v>
      </c>
      <c r="DO11" s="12">
        <f>IF('Données projet'!$A$166&gt;35,DO10+DN11-DW10,IF(A11&lt;'Données projet'!$A$166,$DL$205^A11,IF(A11='Données projet'!$A$166,'Données projet'!$B$166,DO10+DN11-DW10)))</f>
        <v>32</v>
      </c>
      <c r="DP11" s="17">
        <f>DO11*VLOOKUP('Données projet'!$B$14,Paramètres!$A$1:$I$89,3,0)*VLOOKUP('Données projet'!$B$14,Paramètres!$A$1:$I$89,5,0)</f>
        <v>28.953599999999998</v>
      </c>
      <c r="DQ11" s="13">
        <f t="shared" si="43"/>
        <v>9.0180462007869302</v>
      </c>
      <c r="DR11" s="20">
        <f t="shared" si="16"/>
        <v>66.133950466370564</v>
      </c>
      <c r="DS11" s="59">
        <f t="shared" si="17"/>
        <v>359.46728379970386</v>
      </c>
      <c r="DT11" s="59">
        <f ca="1">AVERAGE(OFFSET($DS$3,0,0,'Données projet'!$E$14+1,1))-AVERAGE(OFFSET($H$3,0,0,'Données projet'!$E$14+1,1))</f>
        <v>401.17301323870578</v>
      </c>
      <c r="DU11" s="59">
        <f t="shared" si="44"/>
        <v>201.57993789149754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6.85</v>
      </c>
      <c r="EJ11" s="12">
        <f>IF('Données projet'!$A$192&gt;35,EJ10+EI11-ER10,IF(A11&lt;'Données projet'!$A$192,$EG$205^A11,IF(A11='Données projet'!$A$192,'Données projet'!$B$192,EJ10+EI11-ER10)))</f>
        <v>7.1562948667991684</v>
      </c>
      <c r="EK11" s="17">
        <f>EJ11*VLOOKUP('Données projet'!$B$15,Paramètres!$A$1:$I$89,3,0)*VLOOKUP('Données projet'!$B$15,Paramètres!$A$1:$I$89,5,0)</f>
        <v>6.2517391956357535</v>
      </c>
      <c r="EL11" s="13">
        <f t="shared" si="45"/>
        <v>2.3275467774402219</v>
      </c>
      <c r="EM11" s="20">
        <f t="shared" si="19"/>
        <v>14.942256403107324</v>
      </c>
      <c r="EN11" s="59">
        <f t="shared" si="20"/>
        <v>308.27558973644062</v>
      </c>
      <c r="EO11" s="59">
        <f ca="1">AVERAGE(OFFSET($EN$3,0,0,'Données projet'!$E$15+1,1))-AVERAGE(OFFSET($H$3,0,0,'Données projet'!$E$15+1,1))</f>
        <v>237.8483058552178</v>
      </c>
      <c r="EP11" s="59">
        <f t="shared" si="46"/>
        <v>313.36201272119723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1.9</v>
      </c>
      <c r="FE11" s="12">
        <f>IF('Données projet'!$A$218&gt;35,FE10+FD11-FM10,IF(A11&lt;'Données projet'!$A$218,$FB$205^A11,IF(A11='Données projet'!$A$218,'Données projet'!$B$218,FE10+FD11-FM10)))</f>
        <v>10.543938903738736</v>
      </c>
      <c r="FF11" s="17">
        <f>FE11*VLOOKUP('Données projet'!$B$16,Paramètres!$A$1:$I$89,3,0)*VLOOKUP('Données projet'!$B$16,Paramètres!$A$1:$I$89,5,0)</f>
        <v>8.2242723449162138</v>
      </c>
      <c r="FG11" s="13">
        <f t="shared" si="47"/>
        <v>2.9657340352859918</v>
      </c>
      <c r="FH11" s="20">
        <f t="shared" si="22"/>
        <v>19.489261112185506</v>
      </c>
      <c r="FI11" s="59">
        <f t="shared" si="23"/>
        <v>312.8225944455188</v>
      </c>
      <c r="FJ11" s="59">
        <f ca="1">AVERAGE(OFFSET($FI$3,0,0,'Données projet'!$E$16+1,1))-AVERAGE(OFFSET($H$3,0,0,'Données projet'!$E$16+1,1))</f>
        <v>318.52984981739411</v>
      </c>
      <c r="FK11" s="59">
        <f t="shared" si="48"/>
        <v>311.56398336941714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1.9</v>
      </c>
      <c r="FZ11" s="12">
        <f>IF('Données projet'!$A$244&gt;35,FZ10+FY11-GH10,IF(A11&lt;'Données projet'!$A$244,$FW$205^A11,IF(A11='Données projet'!$A$244,'Données projet'!$B$244,FZ10+FY11-GH10)))</f>
        <v>10.543938903738736</v>
      </c>
      <c r="GA11" s="17">
        <f>FZ11*VLOOKUP('Données projet'!$B$17,Paramètres!$A$1:$I$89,3,0)*VLOOKUP('Données projet'!$B$17,Paramètres!$A$1:$I$89,5,0)</f>
        <v>8.3887577918145393</v>
      </c>
      <c r="GB11" s="13">
        <f t="shared" si="49"/>
        <v>3.0180839306915423</v>
      </c>
      <c r="GC11" s="20">
        <f t="shared" si="25"/>
        <v>19.866916000031427</v>
      </c>
      <c r="GD11" s="59">
        <f t="shared" si="26"/>
        <v>313.20024933336475</v>
      </c>
      <c r="GE11" s="59">
        <f ca="1">AVERAGE(OFFSET($GD$3,0,0,'Données projet'!$E$17+1,1))-AVERAGE(OFFSET($H$3,0,0,'Données projet'!$E$17+1,1))</f>
        <v>325.72928944930294</v>
      </c>
      <c r="GF11" s="59">
        <f t="shared" si="50"/>
        <v>318.38876834819752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1.9</v>
      </c>
      <c r="GU11" s="12">
        <f>IF('Données projet'!$A$270&gt;35,GU10+GT11-HC10,IF(A11&lt;'Données projet'!$A$270,$GR$205^A11,IF(A11='Données projet'!$A$270,'Données projet'!$B$270,GU10+GT11-HC10)))</f>
        <v>10.543938903738736</v>
      </c>
      <c r="GV11" s="17">
        <f>GU11*VLOOKUP('Données projet'!$B$18,Paramètres!$A$1:$I$89,3,0)*VLOOKUP('Données projet'!$B$18,Paramètres!$A$1:$I$89,5,0)</f>
        <v>7.0728742166279446</v>
      </c>
      <c r="GW11" s="13">
        <f t="shared" si="51"/>
        <v>2.5957032015052466</v>
      </c>
      <c r="GX11" s="20">
        <f t="shared" si="28"/>
        <v>16.839439003248639</v>
      </c>
      <c r="GY11" s="59">
        <f t="shared" si="29"/>
        <v>310.17277233658194</v>
      </c>
      <c r="GZ11" s="59">
        <f ca="1">AVERAGE(OFFSET($GY$3,0,0,'Données projet'!$E$18+1,1))-AVERAGE(OFFSET($H$3,0,0,'Données projet'!$E$18+1,1))</f>
        <v>268.04554291387961</v>
      </c>
      <c r="HA11" s="59">
        <f t="shared" si="52"/>
        <v>263.70463099437148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2.8666666666666667</v>
      </c>
      <c r="N12" s="13">
        <f>IF('Données projet'!$A$36&gt;35,N11+M12-V11,IF(A12&lt;'Données projet'!$A$36,$K$205^A12,IF(A12='Données projet'!$A$36,'Données projet'!$B$36,N11+M12-V11)))</f>
        <v>3.8049550919899526</v>
      </c>
      <c r="O12" s="13">
        <f>N12*VLOOKUP('Données projet'!$B$9,Paramètres!$A$1:$I$89,3,0)*VLOOKUP('Données projet'!$B$9,Paramètres!$A$1:$I$89,5,0)</f>
        <v>1.6817901506595592</v>
      </c>
      <c r="P12" s="13">
        <f t="shared" si="33"/>
        <v>0.72953147102096794</v>
      </c>
      <c r="Q12" s="20">
        <f t="shared" si="2"/>
        <v>4.1997184910935852</v>
      </c>
      <c r="R12" s="59">
        <f t="shared" si="0"/>
        <v>297.53305182442688</v>
      </c>
      <c r="S12" s="59">
        <f ca="1">AVERAGE(OFFSET($R$3,0,0,'Données projet'!$E$9+1,1))-AVERAGE(OFFSET($H$3,0,0,'Données projet'!$E$9+1,1))</f>
        <v>46.095319339746538</v>
      </c>
      <c r="T12" s="59">
        <f t="shared" si="34"/>
        <v>48.158174304064403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3.8333333333333335</v>
      </c>
      <c r="AI12" s="13">
        <f>IF('Données projet'!$A$62&gt;35,AI11+AH12-AQ11,IF(A12&lt;'Données projet'!$A$62,$AF$205^A12,IF(A12='Données projet'!$A$62,'Données projet'!$B$62,AI11+AH12-AQ11)))</f>
        <v>17.663158812165008</v>
      </c>
      <c r="AJ12" s="13">
        <f>AI12*VLOOKUP('Données projet'!$B$10,Paramètres!$A$1:$I$89,3,0)*VLOOKUP('Données projet'!$B$10,Paramètres!$A$1:$I$89,5,0)</f>
        <v>10.562568969674675</v>
      </c>
      <c r="AK12" s="13">
        <f t="shared" si="35"/>
        <v>3.6996006416494942</v>
      </c>
      <c r="AL12" s="20">
        <f t="shared" si="4"/>
        <v>24.839945406389592</v>
      </c>
      <c r="AM12" s="59">
        <f t="shared" si="5"/>
        <v>318.17327873972289</v>
      </c>
      <c r="AN12" s="59">
        <f ca="1">AVERAGE(OFFSET($AM$3,0,0,'Données projet'!$E$10+1,1))-AVERAGE(OFFSET($H$3,0,0,'Données projet'!$E$10+1,1))</f>
        <v>408.84545509668794</v>
      </c>
      <c r="AO12" s="59">
        <f t="shared" si="36"/>
        <v>409.9253979841132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6.9411764705882355</v>
      </c>
      <c r="BD12" s="12">
        <f>IF('Données projet'!$A$88&gt;35,BD11+BC12-BL11,IF(A12&lt;'Données projet'!$A$88,$BA$205^A12,IF(A12='Données projet'!$A$88,'Données projet'!$B$88,BD11+BC12-BL11)))</f>
        <v>12.499099052286473</v>
      </c>
      <c r="BE12" s="13">
        <f>BD12*VLOOKUP('Données projet'!$B$11,Paramètres!$A$1:$I$89,3,0)*VLOOKUP('Données projet'!$B$11,Paramètres!$A$1:$I$89,5,0)</f>
        <v>7.474461233267311</v>
      </c>
      <c r="BF12" s="13">
        <f t="shared" si="37"/>
        <v>2.7255067314033421</v>
      </c>
      <c r="BG12" s="20">
        <f t="shared" si="7"/>
        <v>17.764944205134721</v>
      </c>
      <c r="BH12" s="59">
        <f t="shared" si="8"/>
        <v>311.09827753846804</v>
      </c>
      <c r="BI12" s="59">
        <f ca="1">AVERAGE(OFFSET($BH$3,0,0,'Données projet'!$E$11+1,1))-AVERAGE(OFFSET($H$3,0,0,'Données projet'!$E$11+1,1))</f>
        <v>279.69031306919914</v>
      </c>
      <c r="BJ12" s="59">
        <f t="shared" si="38"/>
        <v>297.01680128882509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1.3333333333333333</v>
      </c>
      <c r="BY12" s="12">
        <f>IF('Données projet'!$A$114&gt;35,BY11+BX12-CG11,IF(A12&lt;'Données projet'!$A$114,$BV$205^A12,IF(A12='Données projet'!$A$114,'Données projet'!$B$114,BY11+BX12-CG11)))</f>
        <v>8.0000000000000036</v>
      </c>
      <c r="BZ12" s="13">
        <f>BY12*VLOOKUP('Données projet'!$B$12,Paramètres!$A$1:$I$89,3,0)*VLOOKUP('Données projet'!$B$12,Paramètres!$A$1:$I$89,5,0)</f>
        <v>4.7840000000000025</v>
      </c>
      <c r="CA12" s="13">
        <f t="shared" si="39"/>
        <v>1.8374500570715424</v>
      </c>
      <c r="CB12" s="20">
        <f t="shared" si="10"/>
        <v>11.532358849399607</v>
      </c>
      <c r="CC12" s="59">
        <f t="shared" si="11"/>
        <v>304.86569218273291</v>
      </c>
      <c r="CD12" s="59">
        <f ca="1">AVERAGE(OFFSET($CC$3,0,0,'Données projet'!$E$12+1,1))-AVERAGE(OFFSET($H$3,0,0,'Données projet'!$E$12+1,1))</f>
        <v>81.299024916151723</v>
      </c>
      <c r="CE12" s="59">
        <f t="shared" si="40"/>
        <v>88.106373324240167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10.8</v>
      </c>
      <c r="CT12" s="12">
        <f>IF('Données projet'!$A$140&gt;35,CT11+CS12-DB11,IF(A12&lt;'Données projet'!$A$140,$CQ$205^A12,IF(A12='Données projet'!$A$140,'Données projet'!$B$140,CT11+CS12-DB11)))</f>
        <v>21.169422405444113</v>
      </c>
      <c r="CU12" s="17">
        <f>CT12*VLOOKUP('Données projet'!$B$13,Paramètres!$A$1:$I$89,3,0)*VLOOKUP('Données projet'!$B$13,Paramètres!$A$1:$I$89,5,0)</f>
        <v>11.83370712464326</v>
      </c>
      <c r="CV12" s="13">
        <f t="shared" si="41"/>
        <v>4.0903608070972819</v>
      </c>
      <c r="CW12" s="20">
        <f t="shared" si="13"/>
        <v>27.734418314448106</v>
      </c>
      <c r="CX12" s="59">
        <f t="shared" si="14"/>
        <v>321.06775164778139</v>
      </c>
      <c r="CY12" s="59">
        <f ca="1">AVERAGE(OFFSET($CX$3,0,0,'Données projet'!$E$13+1,1))-AVERAGE(OFFSET($H$3,0,0,'Données projet'!$E$13+1,1))</f>
        <v>475.42482703895411</v>
      </c>
      <c r="CZ12" s="59">
        <f t="shared" si="42"/>
        <v>593.51433014569966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</v>
      </c>
      <c r="DO12" s="12">
        <f>IF('Données projet'!$A$166&gt;35,DO11+DN12-DW11,IF(A12&lt;'Données projet'!$A$166,$DL$205^A12,IF(A12='Données projet'!$A$166,'Données projet'!$B$166,DO11+DN12-DW11)))</f>
        <v>36</v>
      </c>
      <c r="DP12" s="17">
        <f>DO12*VLOOKUP('Données projet'!$B$14,Paramètres!$A$1:$I$89,3,0)*VLOOKUP('Données projet'!$B$14,Paramètres!$A$1:$I$89,5,0)</f>
        <v>32.572800000000001</v>
      </c>
      <c r="DQ12" s="13">
        <f t="shared" si="43"/>
        <v>10.007159566468195</v>
      </c>
      <c r="DR12" s="20">
        <f t="shared" si="16"/>
        <v>74.160096244932106</v>
      </c>
      <c r="DS12" s="59">
        <f t="shared" si="17"/>
        <v>367.49342957826542</v>
      </c>
      <c r="DT12" s="59">
        <f ca="1">AVERAGE(OFFSET($DS$3,0,0,'Données projet'!$E$14+1,1))-AVERAGE(OFFSET($H$3,0,0,'Données projet'!$E$14+1,1))</f>
        <v>401.17301323870578</v>
      </c>
      <c r="DU12" s="59">
        <f t="shared" si="44"/>
        <v>201.57993789149754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6.85</v>
      </c>
      <c r="EJ12" s="12">
        <f>IF('Données projet'!$A$192&gt;35,EJ11+EI12-ER11,IF(A12&lt;'Données projet'!$A$192,$EG$205^A12,IF(A12='Données projet'!$A$192,'Données projet'!$B$192,EJ11+EI12-ER11)))</f>
        <v>9.1521737247774908</v>
      </c>
      <c r="EK12" s="17">
        <f>EJ12*VLOOKUP('Données projet'!$B$15,Paramètres!$A$1:$I$89,3,0)*VLOOKUP('Données projet'!$B$15,Paramètres!$A$1:$I$89,5,0)</f>
        <v>7.9953389659656171</v>
      </c>
      <c r="EL12" s="13">
        <f t="shared" si="45"/>
        <v>2.892668941115947</v>
      </c>
      <c r="EM12" s="20">
        <f t="shared" si="19"/>
        <v>18.963280438167057</v>
      </c>
      <c r="EN12" s="59">
        <f t="shared" si="20"/>
        <v>312.29661377150035</v>
      </c>
      <c r="EO12" s="59">
        <f ca="1">AVERAGE(OFFSET($EN$3,0,0,'Données projet'!$E$15+1,1))-AVERAGE(OFFSET($H$3,0,0,'Données projet'!$E$15+1,1))</f>
        <v>237.8483058552178</v>
      </c>
      <c r="EP12" s="59">
        <f t="shared" si="46"/>
        <v>313.36201272119723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1.9</v>
      </c>
      <c r="FE12" s="12">
        <f>IF('Données projet'!$A$218&gt;35,FE11+FD12-FM11,IF(A12&lt;'Données projet'!$A$218,$FB$205^A12,IF(A12='Données projet'!$A$218,'Données projet'!$B$218,FE11+FD12-FM11)))</f>
        <v>14.153969025366564</v>
      </c>
      <c r="FF12" s="17">
        <f>FE12*VLOOKUP('Données projet'!$B$16,Paramètres!$A$1:$I$89,3,0)*VLOOKUP('Données projet'!$B$16,Paramètres!$A$1:$I$89,5,0)</f>
        <v>11.04009583978592</v>
      </c>
      <c r="FG12" s="13">
        <f t="shared" si="47"/>
        <v>3.8470060511280537</v>
      </c>
      <c r="FH12" s="20">
        <f t="shared" si="22"/>
        <v>25.928369126675168</v>
      </c>
      <c r="FI12" s="59">
        <f t="shared" si="23"/>
        <v>319.26170246000851</v>
      </c>
      <c r="FJ12" s="59">
        <f ca="1">AVERAGE(OFFSET($FI$3,0,0,'Données projet'!$E$16+1,1))-AVERAGE(OFFSET($H$3,0,0,'Données projet'!$E$16+1,1))</f>
        <v>318.52984981739411</v>
      </c>
      <c r="FK12" s="59">
        <f t="shared" si="48"/>
        <v>311.56398336941714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1.9</v>
      </c>
      <c r="FZ12" s="12">
        <f>IF('Données projet'!$A$244&gt;35,FZ11+FY12-GH11,IF(A12&lt;'Données projet'!$A$244,$FW$205^A12,IF(A12='Données projet'!$A$244,'Données projet'!$B$244,FZ11+FY12-GH11)))</f>
        <v>14.153969025366564</v>
      </c>
      <c r="GA12" s="17">
        <f>FZ12*VLOOKUP('Données projet'!$B$17,Paramètres!$A$1:$I$89,3,0)*VLOOKUP('Données projet'!$B$17,Paramètres!$A$1:$I$89,5,0)</f>
        <v>11.260897756581638</v>
      </c>
      <c r="GB12" s="13">
        <f t="shared" si="49"/>
        <v>3.9149117911590028</v>
      </c>
      <c r="GC12" s="20">
        <f t="shared" si="25"/>
        <v>26.431201628981615</v>
      </c>
      <c r="GD12" s="59">
        <f t="shared" si="26"/>
        <v>319.76453496231494</v>
      </c>
      <c r="GE12" s="59">
        <f ca="1">AVERAGE(OFFSET($GD$3,0,0,'Données projet'!$E$17+1,1))-AVERAGE(OFFSET($H$3,0,0,'Données projet'!$E$17+1,1))</f>
        <v>325.72928944930294</v>
      </c>
      <c r="GF12" s="59">
        <f t="shared" si="50"/>
        <v>318.38876834819752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1.9</v>
      </c>
      <c r="GU12" s="12">
        <f>IF('Données projet'!$A$270&gt;35,GU11+GT12-HC11,IF(A12&lt;'Données projet'!$A$270,$GR$205^A12,IF(A12='Données projet'!$A$270,'Données projet'!$B$270,GU11+GT12-HC11)))</f>
        <v>14.153969025366564</v>
      </c>
      <c r="GV12" s="17">
        <f>GU12*VLOOKUP('Données projet'!$B$18,Paramètres!$A$1:$I$89,3,0)*VLOOKUP('Données projet'!$B$18,Paramètres!$A$1:$I$89,5,0)</f>
        <v>9.4944824222158921</v>
      </c>
      <c r="GW12" s="13">
        <f t="shared" si="51"/>
        <v>3.3670200376414416</v>
      </c>
      <c r="GX12" s="20">
        <f t="shared" si="28"/>
        <v>22.400450117584857</v>
      </c>
      <c r="GY12" s="59">
        <f t="shared" si="29"/>
        <v>315.73378345091817</v>
      </c>
      <c r="GZ12" s="59">
        <f ca="1">AVERAGE(OFFSET($GY$3,0,0,'Données projet'!$E$18+1,1))-AVERAGE(OFFSET($H$3,0,0,'Données projet'!$E$18+1,1))</f>
        <v>268.04554291387961</v>
      </c>
      <c r="HA12" s="59">
        <f t="shared" si="52"/>
        <v>263.70463099437148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2.8666666666666667</v>
      </c>
      <c r="N13" s="13">
        <f>IF('Données projet'!$A$36&gt;35,N12+M13-V12,IF(A13&lt;'Données projet'!$A$36,$K$205^A13,IF(A13='Données projet'!$A$36,'Données projet'!$B$36,N12+M13-V12)))</f>
        <v>4.4140049624420987</v>
      </c>
      <c r="O13" s="13">
        <f>N13*VLOOKUP('Données projet'!$B$9,Paramètres!$A$1:$I$89,3,0)*VLOOKUP('Données projet'!$B$9,Paramètres!$A$1:$I$89,5,0)</f>
        <v>1.950990193399408</v>
      </c>
      <c r="P13" s="13">
        <f t="shared" si="33"/>
        <v>0.8318048710004835</v>
      </c>
      <c r="Q13" s="20">
        <f t="shared" si="2"/>
        <v>4.8467014038298117</v>
      </c>
      <c r="R13" s="59">
        <f t="shared" si="0"/>
        <v>298.18003473716311</v>
      </c>
      <c r="S13" s="59">
        <f ca="1">AVERAGE(OFFSET($R$3,0,0,'Données projet'!$E$9+1,1))-AVERAGE(OFFSET($H$3,0,0,'Données projet'!$E$9+1,1))</f>
        <v>46.095319339746538</v>
      </c>
      <c r="T13" s="59">
        <f t="shared" si="34"/>
        <v>48.158174304064403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3.8333333333333335</v>
      </c>
      <c r="AI13" s="13">
        <f>IF('Données projet'!$A$62&gt;35,AI12+AH13-AQ12,IF(A13&lt;'Données projet'!$A$62,$AF$205^A13,IF(A13='Données projet'!$A$62,'Données projet'!$B$62,AI12+AH13-AQ12)))</f>
        <v>24.301413006564612</v>
      </c>
      <c r="AJ13" s="13">
        <f>AI13*VLOOKUP('Données projet'!$B$10,Paramètres!$A$1:$I$89,3,0)*VLOOKUP('Données projet'!$B$10,Paramètres!$A$1:$I$89,5,0)</f>
        <v>14.53224497792564</v>
      </c>
      <c r="AK13" s="13">
        <f t="shared" si="35"/>
        <v>4.9044379892414502</v>
      </c>
      <c r="AL13" s="20">
        <f t="shared" si="4"/>
        <v>33.852222834482681</v>
      </c>
      <c r="AM13" s="59">
        <f t="shared" si="5"/>
        <v>327.185556167816</v>
      </c>
      <c r="AN13" s="59">
        <f ca="1">AVERAGE(OFFSET($AM$3,0,0,'Données projet'!$E$10+1,1))-AVERAGE(OFFSET($H$3,0,0,'Données projet'!$E$10+1,1))</f>
        <v>408.84545509668794</v>
      </c>
      <c r="AO13" s="59">
        <f t="shared" si="36"/>
        <v>409.9253979841132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6.9411764705882355</v>
      </c>
      <c r="BD13" s="12">
        <f>IF('Données projet'!$A$88&gt;35,BD12+BC13-BL12,IF(A13&lt;'Données projet'!$A$88,$BA$205^A13,IF(A13='Données projet'!$A$88,'Données projet'!$B$88,BD12+BC13-BL12)))</f>
        <v>16.548328060996262</v>
      </c>
      <c r="BE13" s="13">
        <f>BD13*VLOOKUP('Données projet'!$B$11,Paramètres!$A$1:$I$89,3,0)*VLOOKUP('Données projet'!$B$11,Paramètres!$A$1:$I$89,5,0)</f>
        <v>9.8959001804757651</v>
      </c>
      <c r="BF13" s="13">
        <f t="shared" si="37"/>
        <v>3.4924996655094662</v>
      </c>
      <c r="BG13" s="20">
        <f t="shared" si="7"/>
        <v>23.318129731757608</v>
      </c>
      <c r="BH13" s="59">
        <f t="shared" si="8"/>
        <v>316.65146306509092</v>
      </c>
      <c r="BI13" s="59">
        <f ca="1">AVERAGE(OFFSET($BH$3,0,0,'Données projet'!$E$11+1,1))-AVERAGE(OFFSET($H$3,0,0,'Données projet'!$E$11+1,1))</f>
        <v>279.69031306919914</v>
      </c>
      <c r="BJ13" s="59">
        <f t="shared" si="38"/>
        <v>297.01680128882509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1.3333333333333333</v>
      </c>
      <c r="BY13" s="12">
        <f>IF('Données projet'!$A$114&gt;35,BY12+BX13-CG12,IF(A13&lt;'Données projet'!$A$114,$BV$205^A13,IF(A13='Données projet'!$A$114,'Données projet'!$B$114,BY12+BX13-CG12)))</f>
        <v>10.079368399158989</v>
      </c>
      <c r="BZ13" s="13">
        <f>BY13*VLOOKUP('Données projet'!$B$12,Paramètres!$A$1:$I$89,3,0)*VLOOKUP('Données projet'!$B$12,Paramètres!$A$1:$I$89,5,0)</f>
        <v>6.0274623026970753</v>
      </c>
      <c r="CA13" s="13">
        <f t="shared" si="39"/>
        <v>2.2536107810484336</v>
      </c>
      <c r="CB13" s="20">
        <f t="shared" si="10"/>
        <v>14.422868954190093</v>
      </c>
      <c r="CC13" s="59">
        <f t="shared" si="11"/>
        <v>307.75620228752342</v>
      </c>
      <c r="CD13" s="59">
        <f ca="1">AVERAGE(OFFSET($CC$3,0,0,'Données projet'!$E$12+1,1))-AVERAGE(OFFSET($H$3,0,0,'Données projet'!$E$12+1,1))</f>
        <v>81.299024916151723</v>
      </c>
      <c r="CE13" s="59">
        <f t="shared" si="40"/>
        <v>88.106373324240167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10.8</v>
      </c>
      <c r="CT13" s="12">
        <f>IF('Données projet'!$A$140&gt;35,CT12+CS13-DB12,IF(A13&lt;'Données projet'!$A$140,$CQ$205^A13,IF(A13='Données projet'!$A$140,'Données projet'!$B$140,CT12+CS13-DB12)))</f>
        <v>29.717345240051621</v>
      </c>
      <c r="CU13" s="17">
        <f>CT13*VLOOKUP('Données projet'!$B$13,Paramètres!$A$1:$I$89,3,0)*VLOOKUP('Données projet'!$B$13,Paramètres!$A$1:$I$89,5,0)</f>
        <v>16.611995989188856</v>
      </c>
      <c r="CV13" s="13">
        <f t="shared" si="41"/>
        <v>5.5197166337850669</v>
      </c>
      <c r="CW13" s="20">
        <f t="shared" si="13"/>
        <v>38.546066151679575</v>
      </c>
      <c r="CX13" s="59">
        <f t="shared" si="14"/>
        <v>331.87939948501287</v>
      </c>
      <c r="CY13" s="59">
        <f ca="1">AVERAGE(OFFSET($CX$3,0,0,'Données projet'!$E$13+1,1))-AVERAGE(OFFSET($H$3,0,0,'Données projet'!$E$13+1,1))</f>
        <v>475.42482703895411</v>
      </c>
      <c r="CZ13" s="59">
        <f t="shared" si="42"/>
        <v>593.51433014569966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</v>
      </c>
      <c r="DO13" s="12">
        <f>IF('Données projet'!$A$166&gt;35,DO12+DN13-DW12,IF(A13&lt;'Données projet'!$A$166,$DL$205^A13,IF(A13='Données projet'!$A$166,'Données projet'!$B$166,DO12+DN13-DW12)))</f>
        <v>40</v>
      </c>
      <c r="DP13" s="17">
        <f>DO13*VLOOKUP('Données projet'!$B$14,Paramètres!$A$1:$I$89,3,0)*VLOOKUP('Données projet'!$B$14,Paramètres!$A$1:$I$89,5,0)</f>
        <v>36.192</v>
      </c>
      <c r="DQ13" s="13">
        <f t="shared" si="43"/>
        <v>10.98353513000465</v>
      </c>
      <c r="DR13" s="20">
        <f t="shared" si="16"/>
        <v>82.164057018091427</v>
      </c>
      <c r="DS13" s="59">
        <f t="shared" si="17"/>
        <v>375.49739035142477</v>
      </c>
      <c r="DT13" s="59">
        <f ca="1">AVERAGE(OFFSET($DS$3,0,0,'Données projet'!$E$14+1,1))-AVERAGE(OFFSET($H$3,0,0,'Données projet'!$E$14+1,1))</f>
        <v>401.17301323870578</v>
      </c>
      <c r="DU13" s="59">
        <f t="shared" si="44"/>
        <v>201.57993789149754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6.85</v>
      </c>
      <c r="EJ13" s="12">
        <f>IF('Données projet'!$A$192&gt;35,EJ12+EI13-ER12,IF(A13&lt;'Données projet'!$A$192,$EG$205^A13,IF(A13='Données projet'!$A$192,'Données projet'!$B$192,EJ12+EI13-ER12)))</f>
        <v>11.70469991071962</v>
      </c>
      <c r="EK13" s="17">
        <f>EJ13*VLOOKUP('Données projet'!$B$15,Paramètres!$A$1:$I$89,3,0)*VLOOKUP('Données projet'!$B$15,Paramètres!$A$1:$I$89,5,0)</f>
        <v>10.225225842004662</v>
      </c>
      <c r="EL13" s="13">
        <f t="shared" si="45"/>
        <v>3.5950012622729153</v>
      </c>
      <c r="EM13" s="20">
        <f t="shared" si="19"/>
        <v>24.070228873283444</v>
      </c>
      <c r="EN13" s="59">
        <f t="shared" si="20"/>
        <v>317.40356220661675</v>
      </c>
      <c r="EO13" s="59">
        <f ca="1">AVERAGE(OFFSET($EN$3,0,0,'Données projet'!$E$15+1,1))-AVERAGE(OFFSET($H$3,0,0,'Données projet'!$E$15+1,1))</f>
        <v>237.8483058552178</v>
      </c>
      <c r="EP13" s="59">
        <f t="shared" si="46"/>
        <v>313.36201272119723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>
        <f>VLOOKUP(A13,'Données projet'!$A$217:$I$237,2,0)</f>
        <v>19</v>
      </c>
      <c r="FC13" s="12">
        <f>VLOOKUP(A13,'Données projet'!$A$217:$I$237,9,0)</f>
        <v>1.9</v>
      </c>
      <c r="FD13" s="12">
        <f t="array" ref="FD13">INDEX(FC:FC,MIN(IF(ISNUMBER(FC13:FC209),ROW(FC13:FC209),"")))</f>
        <v>1.9</v>
      </c>
      <c r="FE13" s="12">
        <f>IF('Données projet'!$A$218&gt;35,FE12+FD13-FM12,IF(A13&lt;'Données projet'!$A$218,$FB$205^A13,IF(A13='Données projet'!$A$218,'Données projet'!$B$218,FE12+FD13-FM12)))</f>
        <v>19</v>
      </c>
      <c r="FF13" s="17">
        <f>FE13*VLOOKUP('Données projet'!$B$16,Paramètres!$A$1:$I$89,3,0)*VLOOKUP('Données projet'!$B$16,Paramètres!$A$1:$I$89,5,0)</f>
        <v>14.82</v>
      </c>
      <c r="FG13" s="13">
        <f t="shared" si="47"/>
        <v>4.9901492788407484</v>
      </c>
      <c r="FH13" s="20">
        <f t="shared" si="22"/>
        <v>34.50267666064763</v>
      </c>
      <c r="FI13" s="59">
        <f t="shared" si="23"/>
        <v>327.83600999398095</v>
      </c>
      <c r="FJ13" s="59">
        <f ca="1">AVERAGE(OFFSET($FI$3,0,0,'Données projet'!$E$16+1,1))-AVERAGE(OFFSET($H$3,0,0,'Données projet'!$E$16+1,1))</f>
        <v>318.52984981739411</v>
      </c>
      <c r="FK13" s="59">
        <f t="shared" si="48"/>
        <v>311.56398336941714</v>
      </c>
      <c r="FL13" s="15">
        <f>IF(ISNA(VLOOKUP(A13,'Données projet'!$A$217:$I$237,3,0)),0,VLOOKUP(A13,'Données projet'!$A$217:$I$237,3,0))</f>
        <v>1</v>
      </c>
      <c r="FM13" s="15">
        <f>IF(ISNA(VLOOKUP(A13,'Données projet'!$A$217:$I$237,4,0)),0,VLOOKUP(A13,'Données projet'!$A$217:$I$237,4,0))</f>
        <v>7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>
        <f>VLOOKUP(A13,'Données projet'!$A$243:$I$263,2,0)</f>
        <v>19</v>
      </c>
      <c r="FX13" s="12">
        <f>VLOOKUP(A13,'Données projet'!$A$243:$I$263,9,0)</f>
        <v>1.9</v>
      </c>
      <c r="FY13" s="12">
        <f t="array" ref="FY13">INDEX(FX:FX,MIN(IF(ISNUMBER(FX13:FX209),ROW(FX13:FX209),"")))</f>
        <v>1.9</v>
      </c>
      <c r="FZ13" s="12">
        <f>IF('Données projet'!$A$244&gt;35,FZ12+FY13-GH12,IF(A13&lt;'Données projet'!$A$244,$FW$205^A13,IF(A13='Données projet'!$A$244,'Données projet'!$B$244,FZ12+FY13-GH12)))</f>
        <v>19</v>
      </c>
      <c r="GA13" s="17">
        <f>FZ13*VLOOKUP('Données projet'!$B$17,Paramètres!$A$1:$I$89,3,0)*VLOOKUP('Données projet'!$B$17,Paramètres!$A$1:$I$89,5,0)</f>
        <v>15.116400000000001</v>
      </c>
      <c r="GB13" s="13">
        <f t="shared" si="49"/>
        <v>5.0782333044806913</v>
      </c>
      <c r="GC13" s="20">
        <f t="shared" si="25"/>
        <v>35.172319671970541</v>
      </c>
      <c r="GD13" s="59">
        <f t="shared" si="26"/>
        <v>328.50565300530388</v>
      </c>
      <c r="GE13" s="59">
        <f ca="1">AVERAGE(OFFSET($GD$3,0,0,'Données projet'!$E$17+1,1))-AVERAGE(OFFSET($H$3,0,0,'Données projet'!$E$17+1,1))</f>
        <v>325.72928944930294</v>
      </c>
      <c r="GF13" s="59">
        <f t="shared" si="50"/>
        <v>318.38876834819752</v>
      </c>
      <c r="GG13" s="15">
        <f>IF(ISNA(VLOOKUP(A13,'Données projet'!$A$243:$I$263,3,0)),0,VLOOKUP(A13,'Données projet'!$A$243:$I$263,3,0))</f>
        <v>1</v>
      </c>
      <c r="GH13" s="15">
        <f>IF(ISNA(VLOOKUP(A13,'Données projet'!$A$243:$I$263,4,0)),0,VLOOKUP(A13,'Données projet'!$A$243:$I$263,4,0))</f>
        <v>7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>
        <f>VLOOKUP(A13,'Données projet'!$A$269:$I$289,2,0)</f>
        <v>19</v>
      </c>
      <c r="GS13" s="12">
        <f>VLOOKUP(A13,'Données projet'!$A$269:$I$289,9,0)</f>
        <v>1.9</v>
      </c>
      <c r="GT13" s="12">
        <f t="array" ref="GT13">INDEX(GS:GS,MIN(IF(ISNUMBER(GS13:GS209),ROW(GS13:GS209),"")))</f>
        <v>1.9</v>
      </c>
      <c r="GU13" s="12">
        <f>IF('Données projet'!$A$270&gt;35,GU12+GT13-HC12,IF(A13&lt;'Données projet'!$A$270,$GR$205^A13,IF(A13='Données projet'!$A$270,'Données projet'!$B$270,GU12+GT13-HC12)))</f>
        <v>19</v>
      </c>
      <c r="GV13" s="17">
        <f>GU13*VLOOKUP('Données projet'!$B$18,Paramètres!$A$1:$I$89,3,0)*VLOOKUP('Données projet'!$B$18,Paramètres!$A$1:$I$89,5,0)</f>
        <v>12.745200000000001</v>
      </c>
      <c r="GW13" s="13">
        <f t="shared" si="51"/>
        <v>4.3675347502382973</v>
      </c>
      <c r="GX13" s="20">
        <f t="shared" si="28"/>
        <v>29.804679689998366</v>
      </c>
      <c r="GY13" s="59">
        <f t="shared" si="29"/>
        <v>323.13801302333167</v>
      </c>
      <c r="GZ13" s="59">
        <f ca="1">AVERAGE(OFFSET($GY$3,0,0,'Données projet'!$E$18+1,1))-AVERAGE(OFFSET($H$3,0,0,'Données projet'!$E$18+1,1))</f>
        <v>268.04554291387961</v>
      </c>
      <c r="HA13" s="59">
        <f t="shared" si="52"/>
        <v>263.70463099437148</v>
      </c>
      <c r="HB13" s="15">
        <f>IF(ISNA(VLOOKUP(A13,'Données projet'!$A$269:$I$289,3,0)),0,VLOOKUP(A13,'Données projet'!$A$269:$I$289,3,0))</f>
        <v>1</v>
      </c>
      <c r="HC13" s="15">
        <f>IF(ISNA(VLOOKUP(A13,'Données projet'!$A$269:$I$289,4,0)),0,VLOOKUP(A13,'Données projet'!$A$269:$I$289,4,0))</f>
        <v>7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2.8666666666666667</v>
      </c>
      <c r="N14" s="13">
        <f>IF('Données projet'!$A$36&gt;35,N13+M14-V13,IF(A14&lt;'Données projet'!$A$36,$K$205^A14,IF(A14='Données projet'!$A$36,'Données projet'!$B$36,N13+M14-V13)))</f>
        <v>5.1205439584501997</v>
      </c>
      <c r="O14" s="13">
        <f>N14*VLOOKUP('Données projet'!$B$9,Paramètres!$A$1:$I$89,3,0)*VLOOKUP('Données projet'!$B$9,Paramètres!$A$1:$I$89,5,0)</f>
        <v>2.2632804296349884</v>
      </c>
      <c r="P14" s="13">
        <f t="shared" si="33"/>
        <v>0.94841603262410146</v>
      </c>
      <c r="Q14" s="20">
        <f t="shared" si="2"/>
        <v>5.593704671767914</v>
      </c>
      <c r="R14" s="59">
        <f t="shared" si="0"/>
        <v>298.92703800510122</v>
      </c>
      <c r="S14" s="59">
        <f ca="1">AVERAGE(OFFSET($R$3,0,0,'Données projet'!$E$9+1,1))-AVERAGE(OFFSET($H$3,0,0,'Données projet'!$E$9+1,1))</f>
        <v>46.095319339746538</v>
      </c>
      <c r="T14" s="59">
        <f t="shared" si="34"/>
        <v>48.158174304064403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3.8333333333333335</v>
      </c>
      <c r="AI14" s="13">
        <f>IF('Données projet'!$A$62&gt;35,AI13+AH14-AQ13,IF(A14&lt;'Données projet'!$A$62,$AF$205^A14,IF(A14='Données projet'!$A$62,'Données projet'!$B$62,AI13+AH14-AQ13)))</f>
        <v>33.434488156721827</v>
      </c>
      <c r="AJ14" s="13">
        <f>AI14*VLOOKUP('Données projet'!$B$10,Paramètres!$A$1:$I$89,3,0)*VLOOKUP('Données projet'!$B$10,Paramètres!$A$1:$I$89,5,0)</f>
        <v>19.993823917719652</v>
      </c>
      <c r="AK14" s="13">
        <f t="shared" si="35"/>
        <v>6.5016509402458835</v>
      </c>
      <c r="AL14" s="20">
        <f t="shared" si="4"/>
        <v>46.146285377623315</v>
      </c>
      <c r="AM14" s="59">
        <f t="shared" si="5"/>
        <v>339.47961871095663</v>
      </c>
      <c r="AN14" s="59">
        <f ca="1">AVERAGE(OFFSET($AM$3,0,0,'Données projet'!$E$10+1,1))-AVERAGE(OFFSET($H$3,0,0,'Données projet'!$E$10+1,1))</f>
        <v>408.84545509668794</v>
      </c>
      <c r="AO14" s="59">
        <f t="shared" si="36"/>
        <v>409.9253979841132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6.9411764705882355</v>
      </c>
      <c r="BD14" s="12">
        <f>IF('Données projet'!$A$88&gt;35,BD13+BC14-BL13,IF(A14&lt;'Données projet'!$A$88,$BA$205^A14,IF(A14='Données projet'!$A$88,'Données projet'!$B$88,BD13+BC14-BL13)))</f>
        <v>21.909352063600231</v>
      </c>
      <c r="BE14" s="13">
        <f>BD14*VLOOKUP('Données projet'!$B$11,Paramètres!$A$1:$I$89,3,0)*VLOOKUP('Données projet'!$B$11,Paramètres!$A$1:$I$89,5,0)</f>
        <v>13.101792534032938</v>
      </c>
      <c r="BF14" s="13">
        <f t="shared" si="37"/>
        <v>4.4753343563761101</v>
      </c>
      <c r="BG14" s="20">
        <f t="shared" si="7"/>
        <v>30.613496000795752</v>
      </c>
      <c r="BH14" s="59">
        <f t="shared" si="8"/>
        <v>323.94682933412906</v>
      </c>
      <c r="BI14" s="59">
        <f ca="1">AVERAGE(OFFSET($BH$3,0,0,'Données projet'!$E$11+1,1))-AVERAGE(OFFSET($H$3,0,0,'Données projet'!$E$11+1,1))</f>
        <v>279.69031306919914</v>
      </c>
      <c r="BJ14" s="59">
        <f t="shared" si="38"/>
        <v>297.01680128882509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1.3333333333333333</v>
      </c>
      <c r="BY14" s="12">
        <f>IF('Données projet'!$A$114&gt;35,BY13+BX14-CG13,IF(A14&lt;'Données projet'!$A$114,$BV$205^A14,IF(A14='Données projet'!$A$114,'Données projet'!$B$114,BY13+BX14-CG13)))</f>
        <v>12.6992084157456</v>
      </c>
      <c r="BZ14" s="13">
        <f>BY14*VLOOKUP('Données projet'!$B$12,Paramètres!$A$1:$I$89,3,0)*VLOOKUP('Données projet'!$B$12,Paramètres!$A$1:$I$89,5,0)</f>
        <v>7.5941266326158701</v>
      </c>
      <c r="CA14" s="13">
        <f t="shared" si="39"/>
        <v>2.7640269910530622</v>
      </c>
      <c r="CB14" s="20">
        <f t="shared" si="10"/>
        <v>18.040450894556724</v>
      </c>
      <c r="CC14" s="59">
        <f t="shared" si="11"/>
        <v>311.37378422789004</v>
      </c>
      <c r="CD14" s="59">
        <f ca="1">AVERAGE(OFFSET($CC$3,0,0,'Données projet'!$E$12+1,1))-AVERAGE(OFFSET($H$3,0,0,'Données projet'!$E$12+1,1))</f>
        <v>81.299024916151723</v>
      </c>
      <c r="CE14" s="59">
        <f t="shared" si="40"/>
        <v>88.106373324240167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10.8</v>
      </c>
      <c r="CT14" s="12">
        <f>IF('Données projet'!$A$140&gt;35,CT13+CS14-DB13,IF(A14&lt;'Données projet'!$A$140,$CQ$205^A14,IF(A14='Données projet'!$A$140,'Données projet'!$B$140,CT13+CS14-DB13)))</f>
        <v>41.716802244415881</v>
      </c>
      <c r="CU14" s="17">
        <f>CT14*VLOOKUP('Données projet'!$B$13,Paramètres!$A$1:$I$89,3,0)*VLOOKUP('Données projet'!$B$13,Paramètres!$A$1:$I$89,5,0)</f>
        <v>23.319692454628481</v>
      </c>
      <c r="CV14" s="13">
        <f t="shared" si="41"/>
        <v>7.4485536005574575</v>
      </c>
      <c r="CW14" s="20">
        <f t="shared" si="13"/>
        <v>53.58802854611551</v>
      </c>
      <c r="CX14" s="59">
        <f t="shared" si="14"/>
        <v>346.9213618794488</v>
      </c>
      <c r="CY14" s="59">
        <f ca="1">AVERAGE(OFFSET($CX$3,0,0,'Données projet'!$E$13+1,1))-AVERAGE(OFFSET($H$3,0,0,'Données projet'!$E$13+1,1))</f>
        <v>475.42482703895411</v>
      </c>
      <c r="CZ14" s="59">
        <f t="shared" si="42"/>
        <v>593.51433014569966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</v>
      </c>
      <c r="DO14" s="12">
        <f>IF('Données projet'!$A$166&gt;35,DO13+DN14-DW13,IF(A14&lt;'Données projet'!$A$166,$DL$205^A14,IF(A14='Données projet'!$A$166,'Données projet'!$B$166,DO13+DN14-DW13)))</f>
        <v>44</v>
      </c>
      <c r="DP14" s="17">
        <f>DO14*VLOOKUP('Données projet'!$B$14,Paramètres!$A$1:$I$89,3,0)*VLOOKUP('Données projet'!$B$14,Paramètres!$A$1:$I$89,5,0)</f>
        <v>39.811199999999999</v>
      </c>
      <c r="DQ14" s="13">
        <f t="shared" si="43"/>
        <v>11.948591675101238</v>
      </c>
      <c r="DR14" s="20">
        <f t="shared" si="16"/>
        <v>90.148303834134651</v>
      </c>
      <c r="DS14" s="59">
        <f t="shared" si="17"/>
        <v>383.48163716746797</v>
      </c>
      <c r="DT14" s="59">
        <f ca="1">AVERAGE(OFFSET($DS$3,0,0,'Données projet'!$E$14+1,1))-AVERAGE(OFFSET($H$3,0,0,'Données projet'!$E$14+1,1))</f>
        <v>401.17301323870578</v>
      </c>
      <c r="DU14" s="59">
        <f t="shared" si="44"/>
        <v>201.57993789149754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6.85</v>
      </c>
      <c r="EJ14" s="12">
        <f>IF('Données projet'!$A$192&gt;35,EJ13+EI14-ER13,IF(A14&lt;'Données projet'!$A$192,$EG$205^A14,IF(A14='Données projet'!$A$192,'Données projet'!$B$192,EJ13+EI14-ER13)))</f>
        <v>14.969121448066769</v>
      </c>
      <c r="EK14" s="17">
        <f>EJ14*VLOOKUP('Données projet'!$B$15,Paramètres!$A$1:$I$89,3,0)*VLOOKUP('Données projet'!$B$15,Paramètres!$A$1:$I$89,5,0)</f>
        <v>13.077024497031129</v>
      </c>
      <c r="EL14" s="13">
        <f t="shared" si="45"/>
        <v>4.4678580020145571</v>
      </c>
      <c r="EM14" s="20">
        <f t="shared" si="19"/>
        <v>30.557337019171232</v>
      </c>
      <c r="EN14" s="59">
        <f t="shared" si="20"/>
        <v>323.89067035250457</v>
      </c>
      <c r="EO14" s="59">
        <f ca="1">AVERAGE(OFFSET($EN$3,0,0,'Données projet'!$E$15+1,1))-AVERAGE(OFFSET($H$3,0,0,'Données projet'!$E$15+1,1))</f>
        <v>237.8483058552178</v>
      </c>
      <c r="EP14" s="59">
        <f t="shared" si="46"/>
        <v>313.36201272119723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14.6</v>
      </c>
      <c r="FE14" s="12">
        <f>IF('Données projet'!$A$218&gt;35,FE13+FD14-FM13,IF(A14&lt;'Données projet'!$A$218,$FB$205^A14,IF(A14='Données projet'!$A$218,'Données projet'!$B$218,FE13+FD14-FM13)))</f>
        <v>26.6</v>
      </c>
      <c r="FF14" s="17">
        <f>FE14*VLOOKUP('Données projet'!$B$16,Paramètres!$A$1:$I$89,3,0)*VLOOKUP('Données projet'!$B$16,Paramètres!$A$1:$I$89,5,0)</f>
        <v>20.748000000000001</v>
      </c>
      <c r="FG14" s="13">
        <f t="shared" si="47"/>
        <v>6.7178804341249814</v>
      </c>
      <c r="FH14" s="20">
        <f t="shared" si="22"/>
        <v>47.836408422767676</v>
      </c>
      <c r="FI14" s="59">
        <f t="shared" si="23"/>
        <v>341.16974175610096</v>
      </c>
      <c r="FJ14" s="59">
        <f ca="1">AVERAGE(OFFSET($FI$3,0,0,'Données projet'!$E$16+1,1))-AVERAGE(OFFSET($H$3,0,0,'Données projet'!$E$16+1,1))</f>
        <v>318.52984981739411</v>
      </c>
      <c r="FK14" s="59">
        <f t="shared" si="48"/>
        <v>311.56398336941714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14.6</v>
      </c>
      <c r="FZ14" s="12">
        <f>IF('Données projet'!$A$244&gt;35,FZ13+FY14-GH13,IF(A14&lt;'Données projet'!$A$244,$FW$205^A14,IF(A14='Données projet'!$A$244,'Données projet'!$B$244,FZ13+FY14-GH13)))</f>
        <v>26.6</v>
      </c>
      <c r="GA14" s="17">
        <f>FZ14*VLOOKUP('Données projet'!$B$17,Paramètres!$A$1:$I$89,3,0)*VLOOKUP('Données projet'!$B$17,Paramètres!$A$1:$I$89,5,0)</f>
        <v>21.162960000000002</v>
      </c>
      <c r="GB14" s="13">
        <f t="shared" si="49"/>
        <v>6.8364616466980515</v>
      </c>
      <c r="GC14" s="20">
        <f t="shared" si="25"/>
        <v>48.765659367999113</v>
      </c>
      <c r="GD14" s="59">
        <f t="shared" si="26"/>
        <v>342.09899270133241</v>
      </c>
      <c r="GE14" s="59">
        <f ca="1">AVERAGE(OFFSET($GD$3,0,0,'Données projet'!$E$17+1,1))-AVERAGE(OFFSET($H$3,0,0,'Données projet'!$E$17+1,1))</f>
        <v>325.72928944930294</v>
      </c>
      <c r="GF14" s="59">
        <f t="shared" si="50"/>
        <v>318.38876834819752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14.6</v>
      </c>
      <c r="GU14" s="12">
        <f>IF('Données projet'!$A$270&gt;35,GU13+GT14-HC13,IF(A14&lt;'Données projet'!$A$270,$GR$205^A14,IF(A14='Données projet'!$A$270,'Données projet'!$B$270,GU13+GT14-HC13)))</f>
        <v>26.6</v>
      </c>
      <c r="GV14" s="17">
        <f>GU14*VLOOKUP('Données projet'!$B$18,Paramètres!$A$1:$I$89,3,0)*VLOOKUP('Données projet'!$B$18,Paramètres!$A$1:$I$89,5,0)</f>
        <v>17.84328</v>
      </c>
      <c r="GW14" s="13">
        <f t="shared" si="51"/>
        <v>5.8796991040722624</v>
      </c>
      <c r="GX14" s="20">
        <f t="shared" si="28"/>
        <v>41.317521939592524</v>
      </c>
      <c r="GY14" s="59">
        <f t="shared" si="29"/>
        <v>334.65085527292581</v>
      </c>
      <c r="GZ14" s="59">
        <f ca="1">AVERAGE(OFFSET($GY$3,0,0,'Données projet'!$E$18+1,1))-AVERAGE(OFFSET($H$3,0,0,'Données projet'!$E$18+1,1))</f>
        <v>268.04554291387961</v>
      </c>
      <c r="HA14" s="59">
        <f t="shared" si="52"/>
        <v>263.70463099437148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2.8666666666666667</v>
      </c>
      <c r="N15" s="13">
        <f>IF('Données projet'!$A$36&gt;35,N14+M15-V14,IF(A15&lt;'Données projet'!$A$36,$K$205^A15,IF(A15='Données projet'!$A$36,'Données projet'!$B$36,N14+M15-V14)))</f>
        <v>5.940176926288351</v>
      </c>
      <c r="O15" s="13">
        <f>N15*VLOOKUP('Données projet'!$B$9,Paramètres!$A$1:$I$89,3,0)*VLOOKUP('Données projet'!$B$9,Paramètres!$A$1:$I$89,5,0)</f>
        <v>2.6255582014194512</v>
      </c>
      <c r="P15" s="13">
        <f t="shared" si="33"/>
        <v>1.0813749742250758</v>
      </c>
      <c r="Q15" s="20">
        <f t="shared" si="2"/>
        <v>6.4562419475808843</v>
      </c>
      <c r="R15" s="59">
        <f t="shared" si="0"/>
        <v>299.78957528091422</v>
      </c>
      <c r="S15" s="59">
        <f ca="1">AVERAGE(OFFSET($R$3,0,0,'Données projet'!$E$9+1,1))-AVERAGE(OFFSET($H$3,0,0,'Données projet'!$E$9+1,1))</f>
        <v>46.095319339746538</v>
      </c>
      <c r="T15" s="59">
        <f t="shared" si="34"/>
        <v>48.158174304064403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46</v>
      </c>
      <c r="AG15" s="12">
        <f>VLOOKUP(A15,'Données projet'!$A$61:$I$81,9,0)</f>
        <v>3.8333333333333335</v>
      </c>
      <c r="AH15" s="12">
        <f t="array" ref="AH15">INDEX(AG:AG,MIN(IF(ISNUMBER(AG15:AG211),ROW(AG15:AG211),"")))</f>
        <v>3.8333333333333335</v>
      </c>
      <c r="AI15" s="13">
        <f>IF('Données projet'!$A$62&gt;35,AI14+AH15-AQ14,IF(A15&lt;'Données projet'!$A$62,$AF$205^A15,IF(A15='Données projet'!$A$62,'Données projet'!$B$62,AI14+AH15-AQ14)))</f>
        <v>46</v>
      </c>
      <c r="AJ15" s="13">
        <f>AI15*VLOOKUP('Données projet'!$B$10,Paramètres!$A$1:$I$89,3,0)*VLOOKUP('Données projet'!$B$10,Paramètres!$A$1:$I$89,5,0)</f>
        <v>27.508000000000003</v>
      </c>
      <c r="AK15" s="13">
        <f t="shared" si="35"/>
        <v>8.619023227845549</v>
      </c>
      <c r="AL15" s="20">
        <f t="shared" si="4"/>
        <v>62.921232121831004</v>
      </c>
      <c r="AM15" s="59">
        <f t="shared" si="5"/>
        <v>356.25456545516431</v>
      </c>
      <c r="AN15" s="59">
        <f ca="1">AVERAGE(OFFSET($AM$3,0,0,'Données projet'!$E$10+1,1))-AVERAGE(OFFSET($H$3,0,0,'Données projet'!$E$10+1,1))</f>
        <v>408.84545509668794</v>
      </c>
      <c r="AO15" s="59">
        <f t="shared" si="36"/>
        <v>409.9253979841132</v>
      </c>
      <c r="AP15" s="15">
        <f>IF(ISNA(VLOOKUP(A15,'Données projet'!$A$61:$I$81,3,0)),0,VLOOKUP(A15,'Données projet'!$A$61:$I$81,3,0))</f>
        <v>1</v>
      </c>
      <c r="AQ15" s="15">
        <f>IF(ISNA(VLOOKUP(A15,'Données projet'!$A$61:$I$81,4,0)),0,VLOOKUP(A15,'Données projet'!$A$61:$I$81,4,0))</f>
        <v>7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0.27</v>
      </c>
      <c r="AT15" s="16">
        <f>IF(ISNA(VLOOKUP(A15,'Données projet'!$A$61:$I$81,7,0)),0%,VLOOKUP(A15,'Données projet'!$A$61:$I$81,7,0))</f>
        <v>0.4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1.4934063253395606</v>
      </c>
      <c r="AW15" s="21">
        <f>EXP(-LN(2)/2)*AW14+(1-EXP(-LN(2)/2))/(LN(2)/2)*AQ15*AT15*VLOOKUP('Données projet'!$B$10,Paramètres!$A$1:$I$89,3,0)*0.475*44/12</f>
        <v>1.8958097589783145</v>
      </c>
      <c r="AX15" s="21">
        <f t="shared" si="6"/>
        <v>3.3892160843178751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6.9411764705882355</v>
      </c>
      <c r="BD15" s="12">
        <f>IF('Données projet'!$A$88&gt;35,BD14+BC15-BL14,IF(A15&lt;'Données projet'!$A$88,$BA$205^A15,IF(A15='Données projet'!$A$88,'Données projet'!$B$88,BD14+BC15-BL14)))</f>
        <v>29.007142357672414</v>
      </c>
      <c r="BE15" s="13">
        <f>BD15*VLOOKUP('Données projet'!$B$11,Paramètres!$A$1:$I$89,3,0)*VLOOKUP('Données projet'!$B$11,Paramètres!$A$1:$I$89,5,0)</f>
        <v>17.346271129888105</v>
      </c>
      <c r="BF15" s="13">
        <f t="shared" si="37"/>
        <v>5.7347514730366376</v>
      </c>
      <c r="BG15" s="20">
        <f t="shared" si="7"/>
        <v>40.19944770009392</v>
      </c>
      <c r="BH15" s="59">
        <f t="shared" si="8"/>
        <v>333.53278103342723</v>
      </c>
      <c r="BI15" s="59">
        <f ca="1">AVERAGE(OFFSET($BH$3,0,0,'Données projet'!$E$11+1,1))-AVERAGE(OFFSET($H$3,0,0,'Données projet'!$E$11+1,1))</f>
        <v>279.69031306919914</v>
      </c>
      <c r="BJ15" s="59">
        <f t="shared" si="38"/>
        <v>297.01680128882509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>
        <f>VLOOKUP(A15,'Données projet'!$A$113:$I$133,2,0)</f>
        <v>16</v>
      </c>
      <c r="BW15" s="12">
        <f>VLOOKUP(A15,'Données projet'!$A$113:$I$133,9,0)</f>
        <v>1.3333333333333333</v>
      </c>
      <c r="BX15" s="12">
        <f t="array" ref="BX15">INDEX(BW:BW,MIN(IF(ISNUMBER(BW15:BW211),ROW(BW15:BW211),"")))</f>
        <v>1.3333333333333333</v>
      </c>
      <c r="BY15" s="12">
        <f>IF('Données projet'!$A$114&gt;35,BY14+BX15-CG14,IF(A15&lt;'Données projet'!$A$114,$BV$205^A15,IF(A15='Données projet'!$A$114,'Données projet'!$B$114,BY14+BX15-CG14)))</f>
        <v>16</v>
      </c>
      <c r="BZ15" s="13">
        <f>BY15*VLOOKUP('Données projet'!$B$12,Paramètres!$A$1:$I$89,3,0)*VLOOKUP('Données projet'!$B$12,Paramètres!$A$1:$I$89,5,0)</f>
        <v>9.5680000000000014</v>
      </c>
      <c r="CA15" s="13">
        <f t="shared" si="39"/>
        <v>3.3900464408124646</v>
      </c>
      <c r="CB15" s="20">
        <f t="shared" si="10"/>
        <v>22.568597551081712</v>
      </c>
      <c r="CC15" s="59">
        <f t="shared" si="11"/>
        <v>315.90193088441504</v>
      </c>
      <c r="CD15" s="59">
        <f ca="1">AVERAGE(OFFSET($CC$3,0,0,'Données projet'!$E$12+1,1))-AVERAGE(OFFSET($H$3,0,0,'Données projet'!$E$12+1,1))</f>
        <v>81.299024916151723</v>
      </c>
      <c r="CE15" s="59">
        <f t="shared" si="40"/>
        <v>88.106373324240167</v>
      </c>
      <c r="CF15" s="15">
        <f>IF(ISNA(VLOOKUP(A15,'Données projet'!$A$113:$I$133,3,0)),0,VLOOKUP(A15,'Données projet'!$A$113:$I$133,3,0))</f>
        <v>1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0.27</v>
      </c>
      <c r="CJ15" s="16">
        <f>IF(ISNA(VLOOKUP(A15,'Données projet'!$A$113:$I$133,7,0)),0%,VLOOKUP(A15,'Données projet'!$A$113:$I$133,7,0))</f>
        <v>0.4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10.8</v>
      </c>
      <c r="CT15" s="12">
        <f>IF('Données projet'!$A$140&gt;35,CT14+CS15-DB14,IF(A15&lt;'Données projet'!$A$140,$CQ$205^A15,IF(A15='Données projet'!$A$140,'Données projet'!$B$140,CT14+CS15-DB14)))</f>
        <v>58.561475644675681</v>
      </c>
      <c r="CU15" s="17">
        <f>CT15*VLOOKUP('Données projet'!$B$13,Paramètres!$A$1:$I$89,3,0)*VLOOKUP('Données projet'!$B$13,Paramètres!$A$1:$I$89,5,0)</f>
        <v>32.735864885373708</v>
      </c>
      <c r="CV15" s="13">
        <f t="shared" si="41"/>
        <v>10.051412857100269</v>
      </c>
      <c r="CW15" s="20">
        <f t="shared" si="13"/>
        <v>74.521175401475503</v>
      </c>
      <c r="CX15" s="59">
        <f t="shared" si="14"/>
        <v>367.8545087348088</v>
      </c>
      <c r="CY15" s="59">
        <f ca="1">AVERAGE(OFFSET($CX$3,0,0,'Données projet'!$E$13+1,1))-AVERAGE(OFFSET($H$3,0,0,'Données projet'!$E$13+1,1))</f>
        <v>475.42482703895411</v>
      </c>
      <c r="CZ15" s="59">
        <f t="shared" si="42"/>
        <v>593.51433014569966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</v>
      </c>
      <c r="DO15" s="12">
        <f>IF('Données projet'!$A$166&gt;35,DO14+DN15-DW14,IF(A15&lt;'Données projet'!$A$166,$DL$205^A15,IF(A15='Données projet'!$A$166,'Données projet'!$B$166,DO14+DN15-DW14)))</f>
        <v>48</v>
      </c>
      <c r="DP15" s="17">
        <f>DO15*VLOOKUP('Données projet'!$B$14,Paramètres!$A$1:$I$89,3,0)*VLOOKUP('Données projet'!$B$14,Paramètres!$A$1:$I$89,5,0)</f>
        <v>43.430399999999999</v>
      </c>
      <c r="DQ15" s="13">
        <f t="shared" si="43"/>
        <v>12.903475229013621</v>
      </c>
      <c r="DR15" s="20">
        <f t="shared" si="16"/>
        <v>98.114832690532054</v>
      </c>
      <c r="DS15" s="59">
        <f t="shared" si="17"/>
        <v>391.44816602386538</v>
      </c>
      <c r="DT15" s="59">
        <f ca="1">AVERAGE(OFFSET($DS$3,0,0,'Données projet'!$E$14+1,1))-AVERAGE(OFFSET($H$3,0,0,'Données projet'!$E$14+1,1))</f>
        <v>401.17301323870578</v>
      </c>
      <c r="DU15" s="59">
        <f t="shared" si="44"/>
        <v>201.57993789149754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6.85</v>
      </c>
      <c r="EJ15" s="12">
        <f>IF('Données projet'!$A$192&gt;35,EJ14+EI15-ER14,IF(A15&lt;'Données projet'!$A$192,$EG$205^A15,IF(A15='Données projet'!$A$192,'Données projet'!$B$192,EJ14+EI15-ER14)))</f>
        <v>19.14398477843557</v>
      </c>
      <c r="EK15" s="17">
        <f>EJ15*VLOOKUP('Données projet'!$B$15,Paramètres!$A$1:$I$89,3,0)*VLOOKUP('Données projet'!$B$15,Paramètres!$A$1:$I$89,5,0)</f>
        <v>16.724185102441314</v>
      </c>
      <c r="EL15" s="13">
        <f t="shared" si="45"/>
        <v>5.5526420353868842</v>
      </c>
      <c r="EM15" s="20">
        <f t="shared" si="19"/>
        <v>38.798807265050783</v>
      </c>
      <c r="EN15" s="59">
        <f t="shared" si="20"/>
        <v>332.13214059838413</v>
      </c>
      <c r="EO15" s="59">
        <f ca="1">AVERAGE(OFFSET($EN$3,0,0,'Données projet'!$E$15+1,1))-AVERAGE(OFFSET($H$3,0,0,'Données projet'!$E$15+1,1))</f>
        <v>237.8483058552178</v>
      </c>
      <c r="EP15" s="59">
        <f t="shared" si="46"/>
        <v>313.36201272119723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14.6</v>
      </c>
      <c r="FE15" s="12">
        <f>IF('Données projet'!$A$218&gt;35,FE14+FD15-FM14,IF(A15&lt;'Données projet'!$A$218,$FB$205^A15,IF(A15='Données projet'!$A$218,'Données projet'!$B$218,FE14+FD15-FM14)))</f>
        <v>41.2</v>
      </c>
      <c r="FF15" s="17">
        <f>FE15*VLOOKUP('Données projet'!$B$16,Paramètres!$A$1:$I$89,3,0)*VLOOKUP('Données projet'!$B$16,Paramètres!$A$1:$I$89,5,0)</f>
        <v>32.136000000000003</v>
      </c>
      <c r="FG15" s="13">
        <f t="shared" si="47"/>
        <v>9.8884913026686352</v>
      </c>
      <c r="FH15" s="20">
        <f t="shared" si="22"/>
        <v>73.192655685481199</v>
      </c>
      <c r="FI15" s="59">
        <f t="shared" si="23"/>
        <v>366.52598901881453</v>
      </c>
      <c r="FJ15" s="59">
        <f ca="1">AVERAGE(OFFSET($FI$3,0,0,'Données projet'!$E$16+1,1))-AVERAGE(OFFSET($H$3,0,0,'Données projet'!$E$16+1,1))</f>
        <v>318.52984981739411</v>
      </c>
      <c r="FK15" s="59">
        <f t="shared" si="48"/>
        <v>311.56398336941714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14.6</v>
      </c>
      <c r="FZ15" s="12">
        <f>IF('Données projet'!$A$244&gt;35,FZ14+FY15-GH14,IF(A15&lt;'Données projet'!$A$244,$FW$205^A15,IF(A15='Données projet'!$A$244,'Données projet'!$B$244,FZ14+FY15-GH14)))</f>
        <v>41.2</v>
      </c>
      <c r="GA15" s="17">
        <f>FZ15*VLOOKUP('Données projet'!$B$17,Paramètres!$A$1:$I$89,3,0)*VLOOKUP('Données projet'!$B$17,Paramètres!$A$1:$I$89,5,0)</f>
        <v>32.77872</v>
      </c>
      <c r="GB15" s="13">
        <f t="shared" si="49"/>
        <v>10.063038810723747</v>
      </c>
      <c r="GC15" s="20">
        <f t="shared" si="25"/>
        <v>74.616063262010528</v>
      </c>
      <c r="GD15" s="59">
        <f t="shared" si="26"/>
        <v>367.94939659534384</v>
      </c>
      <c r="GE15" s="59">
        <f ca="1">AVERAGE(OFFSET($GD$3,0,0,'Données projet'!$E$17+1,1))-AVERAGE(OFFSET($H$3,0,0,'Données projet'!$E$17+1,1))</f>
        <v>325.72928944930294</v>
      </c>
      <c r="GF15" s="59">
        <f t="shared" si="50"/>
        <v>318.38876834819752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14.6</v>
      </c>
      <c r="GU15" s="12">
        <f>IF('Données projet'!$A$270&gt;35,GU14+GT15-HC14,IF(A15&lt;'Données projet'!$A$270,$GR$205^A15,IF(A15='Données projet'!$A$270,'Données projet'!$B$270,GU14+GT15-HC14)))</f>
        <v>41.2</v>
      </c>
      <c r="GV15" s="17">
        <f>GU15*VLOOKUP('Données projet'!$B$18,Paramètres!$A$1:$I$89,3,0)*VLOOKUP('Données projet'!$B$18,Paramètres!$A$1:$I$89,5,0)</f>
        <v>27.636960000000002</v>
      </c>
      <c r="GW15" s="13">
        <f t="shared" si="51"/>
        <v>8.654716918983123</v>
      </c>
      <c r="GX15" s="20">
        <f t="shared" si="28"/>
        <v>63.20800396722894</v>
      </c>
      <c r="GY15" s="59">
        <f t="shared" si="29"/>
        <v>356.54133730056225</v>
      </c>
      <c r="GZ15" s="59">
        <f ca="1">AVERAGE(OFFSET($GY$3,0,0,'Données projet'!$E$18+1,1))-AVERAGE(OFFSET($H$3,0,0,'Données projet'!$E$18+1,1))</f>
        <v>268.04554291387961</v>
      </c>
      <c r="HA15" s="59">
        <f t="shared" si="52"/>
        <v>263.70463099437148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2.8666666666666667</v>
      </c>
      <c r="N16" s="13">
        <f>IF('Données projet'!$A$36&gt;35,N15+M16-V15,IF(A16&lt;'Données projet'!$A$36,$K$205^A16,IF(A16='Données projet'!$A$36,'Données projet'!$B$36,N15+M16-V15)))</f>
        <v>6.891006541869082</v>
      </c>
      <c r="O16" s="13">
        <f>N16*VLOOKUP('Données projet'!$B$9,Paramètres!$A$1:$I$89,3,0)*VLOOKUP('Données projet'!$B$9,Paramètres!$A$1:$I$89,5,0)</f>
        <v>3.0458248915061348</v>
      </c>
      <c r="P16" s="13">
        <f t="shared" si="33"/>
        <v>1.2329734996622066</v>
      </c>
      <c r="Q16" s="20">
        <f t="shared" si="2"/>
        <v>7.4522405312848612</v>
      </c>
      <c r="R16" s="59">
        <f t="shared" si="0"/>
        <v>300.78557386461819</v>
      </c>
      <c r="S16" s="59">
        <f ca="1">AVERAGE(OFFSET($R$3,0,0,'Données projet'!$E$9+1,1))-AVERAGE(OFFSET($H$3,0,0,'Données projet'!$E$9+1,1))</f>
        <v>46.095319339746538</v>
      </c>
      <c r="T16" s="59">
        <f t="shared" si="34"/>
        <v>48.158174304064403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17</v>
      </c>
      <c r="AI16" s="13">
        <f>IF('Données projet'!$A$62&gt;35,AI15+AH16-AQ15,IF(A16&lt;'Données projet'!$A$62,$AF$205^A16,IF(A16='Données projet'!$A$62,'Données projet'!$B$62,AI15+AH16-AQ15)))</f>
        <v>56</v>
      </c>
      <c r="AJ16" s="13">
        <f>AI16*VLOOKUP('Données projet'!$B$10,Paramètres!$A$1:$I$89,3,0)*VLOOKUP('Données projet'!$B$10,Paramètres!$A$1:$I$89,5,0)</f>
        <v>33.488000000000007</v>
      </c>
      <c r="AK16" s="13">
        <f t="shared" si="35"/>
        <v>10.255200877844667</v>
      </c>
      <c r="AL16" s="20">
        <f t="shared" si="4"/>
        <v>76.18607486224613</v>
      </c>
      <c r="AM16" s="59">
        <f t="shared" si="5"/>
        <v>369.51940819557944</v>
      </c>
      <c r="AN16" s="59">
        <f ca="1">AVERAGE(OFFSET($AM$3,0,0,'Données projet'!$E$10+1,1))-AVERAGE(OFFSET($H$3,0,0,'Données projet'!$E$10+1,1))</f>
        <v>408.84545509668794</v>
      </c>
      <c r="AO16" s="59">
        <f t="shared" si="36"/>
        <v>409.9253979841132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1.4525690508383249</v>
      </c>
      <c r="AW16" s="21">
        <f>EXP(-LN(2)/2)*AW15+(1-EXP(-LN(2)/2))/(LN(2)/2)*AQ16*AT16*VLOOKUP('Données projet'!$B$10,Paramètres!$A$1:$I$89,3,0)*0.475*44/12</f>
        <v>1.3405399364132005</v>
      </c>
      <c r="AX16" s="21">
        <f t="shared" si="6"/>
        <v>2.7931089872515251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6.9411764705882355</v>
      </c>
      <c r="BD16" s="12">
        <f>IF('Données projet'!$A$88&gt;35,BD15+BC16-BL15,IF(A16&lt;'Données projet'!$A$88,$BA$205^A16,IF(A16='Données projet'!$A$88,'Données projet'!$B$88,BD15+BC16-BL15)))</f>
        <v>38.404344652263013</v>
      </c>
      <c r="BE16" s="13">
        <f>BD16*VLOOKUP('Données projet'!$B$11,Paramètres!$A$1:$I$89,3,0)*VLOOKUP('Données projet'!$B$11,Paramètres!$A$1:$I$89,5,0)</f>
        <v>22.965798102053284</v>
      </c>
      <c r="BF16" s="13">
        <f t="shared" si="37"/>
        <v>7.3485848963755025</v>
      </c>
      <c r="BG16" s="20">
        <f t="shared" si="7"/>
        <v>52.797550388930141</v>
      </c>
      <c r="BH16" s="59">
        <f t="shared" si="8"/>
        <v>346.13088372226343</v>
      </c>
      <c r="BI16" s="59">
        <f ca="1">AVERAGE(OFFSET($BH$3,0,0,'Données projet'!$E$11+1,1))-AVERAGE(OFFSET($H$3,0,0,'Données projet'!$E$11+1,1))</f>
        <v>279.69031306919914</v>
      </c>
      <c r="BJ16" s="59">
        <f t="shared" si="38"/>
        <v>297.01680128882509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</v>
      </c>
      <c r="BY16" s="12">
        <f>IF('Données projet'!$A$114&gt;35,BY15+BX16-CG15,IF(A16&lt;'Données projet'!$A$114,$BV$205^A16,IF(A16='Données projet'!$A$114,'Données projet'!$B$114,BY15+BX16-CG15)))</f>
        <v>21</v>
      </c>
      <c r="BZ16" s="13">
        <f>BY16*VLOOKUP('Données projet'!$B$12,Paramètres!$A$1:$I$89,3,0)*VLOOKUP('Données projet'!$B$12,Paramètres!$A$1:$I$89,5,0)</f>
        <v>12.558</v>
      </c>
      <c r="CA16" s="13">
        <f t="shared" si="39"/>
        <v>4.3108032327306516</v>
      </c>
      <c r="CB16" s="20">
        <f t="shared" si="10"/>
        <v>29.379832297005887</v>
      </c>
      <c r="CC16" s="59">
        <f t="shared" si="11"/>
        <v>322.71316563033918</v>
      </c>
      <c r="CD16" s="59">
        <f ca="1">AVERAGE(OFFSET($CC$3,0,0,'Données projet'!$E$12+1,1))-AVERAGE(OFFSET($H$3,0,0,'Données projet'!$E$12+1,1))</f>
        <v>81.299024916151723</v>
      </c>
      <c r="CE16" s="59">
        <f t="shared" si="40"/>
        <v>88.106373324240167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10.8</v>
      </c>
      <c r="CT16" s="12">
        <f>IF('Données projet'!$A$140&gt;35,CT15+CS16-DB15,IF(A16&lt;'Données projet'!$A$140,$CQ$205^A16,IF(A16='Données projet'!$A$140,'Données projet'!$B$140,CT15+CS16-DB15)))</f>
        <v>82.20779746225638</v>
      </c>
      <c r="CU16" s="17">
        <f>CT16*VLOOKUP('Données projet'!$B$13,Paramètres!$A$1:$I$89,3,0)*VLOOKUP('Données projet'!$B$13,Paramètres!$A$1:$I$89,5,0)</f>
        <v>45.954158781401318</v>
      </c>
      <c r="CV16" s="13">
        <f t="shared" si="41"/>
        <v>13.563828072113143</v>
      </c>
      <c r="CW16" s="20">
        <f t="shared" si="13"/>
        <v>103.66049376987102</v>
      </c>
      <c r="CX16" s="59">
        <f t="shared" si="14"/>
        <v>396.99382710320435</v>
      </c>
      <c r="CY16" s="59">
        <f ca="1">AVERAGE(OFFSET($CX$3,0,0,'Données projet'!$E$13+1,1))-AVERAGE(OFFSET($H$3,0,0,'Données projet'!$E$13+1,1))</f>
        <v>475.42482703895411</v>
      </c>
      <c r="CZ16" s="59">
        <f t="shared" si="42"/>
        <v>593.51433014569966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</v>
      </c>
      <c r="DO16" s="12">
        <f>IF('Données projet'!$A$166&gt;35,DO15+DN16-DW15,IF(A16&lt;'Données projet'!$A$166,$DL$205^A16,IF(A16='Données projet'!$A$166,'Données projet'!$B$166,DO15+DN16-DW15)))</f>
        <v>52</v>
      </c>
      <c r="DP16" s="17">
        <f>DO16*VLOOKUP('Données projet'!$B$14,Paramètres!$A$1:$I$89,3,0)*VLOOKUP('Données projet'!$B$14,Paramètres!$A$1:$I$89,5,0)</f>
        <v>47.049599999999998</v>
      </c>
      <c r="DQ16" s="13">
        <f t="shared" si="43"/>
        <v>13.849129922569936</v>
      </c>
      <c r="DR16" s="20">
        <f t="shared" si="16"/>
        <v>106.06528794847596</v>
      </c>
      <c r="DS16" s="59">
        <f t="shared" si="17"/>
        <v>399.39862128180926</v>
      </c>
      <c r="DT16" s="59">
        <f ca="1">AVERAGE(OFFSET($DS$3,0,0,'Données projet'!$E$14+1,1))-AVERAGE(OFFSET($H$3,0,0,'Données projet'!$E$14+1,1))</f>
        <v>401.17301323870578</v>
      </c>
      <c r="DU16" s="59">
        <f t="shared" si="44"/>
        <v>201.57993789149754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6.85</v>
      </c>
      <c r="EJ16" s="12">
        <f>IF('Données projet'!$A$192&gt;35,EJ15+EI16-ER15,IF(A16&lt;'Données projet'!$A$192,$EG$205^A16,IF(A16='Données projet'!$A$192,'Données projet'!$B$192,EJ15+EI16-ER15)))</f>
        <v>24.483210619171274</v>
      </c>
      <c r="EK16" s="17">
        <f>EJ16*VLOOKUP('Données projet'!$B$15,Paramètres!$A$1:$I$89,3,0)*VLOOKUP('Données projet'!$B$15,Paramètres!$A$1:$I$89,5,0)</f>
        <v>21.388532796908027</v>
      </c>
      <c r="EL16" s="13">
        <f t="shared" si="45"/>
        <v>6.900808745318975</v>
      </c>
      <c r="EM16" s="20">
        <f t="shared" si="19"/>
        <v>49.270603186045356</v>
      </c>
      <c r="EN16" s="59">
        <f t="shared" si="20"/>
        <v>342.60393651937869</v>
      </c>
      <c r="EO16" s="59">
        <f ca="1">AVERAGE(OFFSET($EN$3,0,0,'Données projet'!$E$15+1,1))-AVERAGE(OFFSET($H$3,0,0,'Données projet'!$E$15+1,1))</f>
        <v>237.8483058552178</v>
      </c>
      <c r="EP16" s="59">
        <f t="shared" si="46"/>
        <v>313.36201272119723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14.6</v>
      </c>
      <c r="FE16" s="12">
        <f>IF('Données projet'!$A$218&gt;35,FE15+FD16-FM15,IF(A16&lt;'Données projet'!$A$218,$FB$205^A16,IF(A16='Données projet'!$A$218,'Données projet'!$B$218,FE15+FD16-FM15)))</f>
        <v>55.800000000000004</v>
      </c>
      <c r="FF16" s="17">
        <f>FE16*VLOOKUP('Données projet'!$B$16,Paramètres!$A$1:$I$89,3,0)*VLOOKUP('Données projet'!$B$16,Paramètres!$A$1:$I$89,5,0)</f>
        <v>43.524000000000008</v>
      </c>
      <c r="FG16" s="13">
        <f t="shared" si="47"/>
        <v>12.92804437072639</v>
      </c>
      <c r="FH16" s="20">
        <f t="shared" si="22"/>
        <v>98.320643945681809</v>
      </c>
      <c r="FI16" s="59">
        <f t="shared" si="23"/>
        <v>391.65397727901512</v>
      </c>
      <c r="FJ16" s="59">
        <f ca="1">AVERAGE(OFFSET($FI$3,0,0,'Données projet'!$E$16+1,1))-AVERAGE(OFFSET($H$3,0,0,'Données projet'!$E$16+1,1))</f>
        <v>318.52984981739411</v>
      </c>
      <c r="FK16" s="59">
        <f t="shared" si="48"/>
        <v>311.56398336941714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14.6</v>
      </c>
      <c r="FZ16" s="12">
        <f>IF('Données projet'!$A$244&gt;35,FZ15+FY16-GH15,IF(A16&lt;'Données projet'!$A$244,$FW$205^A16,IF(A16='Données projet'!$A$244,'Données projet'!$B$244,FZ15+FY16-GH15)))</f>
        <v>55.800000000000004</v>
      </c>
      <c r="GA16" s="17">
        <f>FZ16*VLOOKUP('Données projet'!$B$17,Paramètres!$A$1:$I$89,3,0)*VLOOKUP('Données projet'!$B$17,Paramètres!$A$1:$I$89,5,0)</f>
        <v>44.394480000000001</v>
      </c>
      <c r="GB16" s="13">
        <f t="shared" si="49"/>
        <v>13.1562447968447</v>
      </c>
      <c r="GC16" s="20">
        <f t="shared" si="25"/>
        <v>100.2341790211712</v>
      </c>
      <c r="GD16" s="59">
        <f t="shared" si="26"/>
        <v>393.56751235450452</v>
      </c>
      <c r="GE16" s="59">
        <f ca="1">AVERAGE(OFFSET($GD$3,0,0,'Données projet'!$E$17+1,1))-AVERAGE(OFFSET($H$3,0,0,'Données projet'!$E$17+1,1))</f>
        <v>325.72928944930294</v>
      </c>
      <c r="GF16" s="59">
        <f t="shared" si="50"/>
        <v>318.38876834819752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14.6</v>
      </c>
      <c r="GU16" s="12">
        <f>IF('Données projet'!$A$270&gt;35,GU15+GT16-HC15,IF(A16&lt;'Données projet'!$A$270,$GR$205^A16,IF(A16='Données projet'!$A$270,'Données projet'!$B$270,GU15+GT16-HC15)))</f>
        <v>55.800000000000004</v>
      </c>
      <c r="GV16" s="17">
        <f>GU16*VLOOKUP('Données projet'!$B$18,Paramètres!$A$1:$I$89,3,0)*VLOOKUP('Données projet'!$B$18,Paramètres!$A$1:$I$89,5,0)</f>
        <v>37.430640000000004</v>
      </c>
      <c r="GW16" s="13">
        <f t="shared" si="51"/>
        <v>11.315028847170499</v>
      </c>
      <c r="GX16" s="20">
        <f t="shared" si="28"/>
        <v>84.898706575488632</v>
      </c>
      <c r="GY16" s="59">
        <f t="shared" si="29"/>
        <v>378.23203990882195</v>
      </c>
      <c r="GZ16" s="59">
        <f ca="1">AVERAGE(OFFSET($GY$3,0,0,'Données projet'!$E$18+1,1))-AVERAGE(OFFSET($H$3,0,0,'Données projet'!$E$18+1,1))</f>
        <v>268.04554291387961</v>
      </c>
      <c r="HA16" s="59">
        <f t="shared" si="52"/>
        <v>263.70463099437148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2.8666666666666667</v>
      </c>
      <c r="N17" s="13">
        <f>IF('Données projet'!$A$36&gt;35,N16+M17-V16,IF(A17&lt;'Données projet'!$A$36,$K$205^A17,IF(A17='Données projet'!$A$36,'Données projet'!$B$36,N16+M17-V16)))</f>
        <v>7.9940331322342484</v>
      </c>
      <c r="O17" s="13">
        <f>N17*VLOOKUP('Données projet'!$B$9,Paramètres!$A$1:$I$89,3,0)*VLOOKUP('Données projet'!$B$9,Paramètres!$A$1:$I$89,5,0)</f>
        <v>3.5333626444475383</v>
      </c>
      <c r="P17" s="13">
        <f t="shared" si="33"/>
        <v>1.4058247019806211</v>
      </c>
      <c r="Q17" s="20">
        <f t="shared" si="2"/>
        <v>8.6024179616957106</v>
      </c>
      <c r="R17" s="59">
        <f t="shared" si="0"/>
        <v>301.93575129502904</v>
      </c>
      <c r="S17" s="59">
        <f ca="1">AVERAGE(OFFSET($R$3,0,0,'Données projet'!$E$9+1,1))-AVERAGE(OFFSET($H$3,0,0,'Données projet'!$E$9+1,1))</f>
        <v>46.095319339746538</v>
      </c>
      <c r="T17" s="59">
        <f t="shared" si="34"/>
        <v>48.158174304064403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17</v>
      </c>
      <c r="AI17" s="13">
        <f>IF('Données projet'!$A$62&gt;35,AI16+AH17-AQ16,IF(A17&lt;'Données projet'!$A$62,$AF$205^A17,IF(A17='Données projet'!$A$62,'Données projet'!$B$62,AI16+AH17-AQ16)))</f>
        <v>73</v>
      </c>
      <c r="AJ17" s="13">
        <f>AI17*VLOOKUP('Données projet'!$B$10,Paramètres!$A$1:$I$89,3,0)*VLOOKUP('Données projet'!$B$10,Paramètres!$A$1:$I$89,5,0)</f>
        <v>43.653999999999996</v>
      </c>
      <c r="AK17" s="13">
        <f t="shared" si="35"/>
        <v>12.962157980203084</v>
      </c>
      <c r="AL17" s="20">
        <f t="shared" si="4"/>
        <v>98.606475148853704</v>
      </c>
      <c r="AM17" s="59">
        <f t="shared" si="5"/>
        <v>391.939808482187</v>
      </c>
      <c r="AN17" s="59">
        <f ca="1">AVERAGE(OFFSET($AM$3,0,0,'Données projet'!$E$10+1,1))-AVERAGE(OFFSET($H$3,0,0,'Données projet'!$E$10+1,1))</f>
        <v>408.84545509668794</v>
      </c>
      <c r="AO17" s="59">
        <f t="shared" si="36"/>
        <v>409.9253979841132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1.4128484737558644</v>
      </c>
      <c r="AW17" s="21">
        <f>EXP(-LN(2)/2)*AW16+(1-EXP(-LN(2)/2))/(LN(2)/2)*AQ17*AT17*VLOOKUP('Données projet'!$B$10,Paramètres!$A$1:$I$89,3,0)*0.475*44/12</f>
        <v>0.94790487948915736</v>
      </c>
      <c r="AX17" s="21">
        <f t="shared" si="6"/>
        <v>2.3607533532450216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6.9411764705882355</v>
      </c>
      <c r="BD17" s="12">
        <f>IF('Données projet'!$A$88&gt;35,BD16+BC17-BL16,IF(A17&lt;'Données projet'!$A$88,$BA$205^A17,IF(A17='Données projet'!$A$88,'Données projet'!$B$88,BD16+BC17-BL16)))</f>
        <v>50.845880300225161</v>
      </c>
      <c r="BE17" s="13">
        <f>BD17*VLOOKUP('Données projet'!$B$11,Paramètres!$A$1:$I$89,3,0)*VLOOKUP('Données projet'!$B$11,Paramètres!$A$1:$I$89,5,0)</f>
        <v>30.405836419534648</v>
      </c>
      <c r="BF17" s="13">
        <f t="shared" si="37"/>
        <v>9.4165719705798292</v>
      </c>
      <c r="BG17" s="20">
        <f t="shared" si="7"/>
        <v>69.357361279449364</v>
      </c>
      <c r="BH17" s="59">
        <f t="shared" si="8"/>
        <v>362.69069461278269</v>
      </c>
      <c r="BI17" s="59">
        <f ca="1">AVERAGE(OFFSET($BH$3,0,0,'Données projet'!$E$11+1,1))-AVERAGE(OFFSET($H$3,0,0,'Données projet'!$E$11+1,1))</f>
        <v>279.69031306919914</v>
      </c>
      <c r="BJ17" s="59">
        <f t="shared" si="38"/>
        <v>297.01680128882509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</v>
      </c>
      <c r="BY17" s="12">
        <f>IF('Données projet'!$A$114&gt;35,BY16+BX17-CG16,IF(A17&lt;'Données projet'!$A$114,$BV$205^A17,IF(A17='Données projet'!$A$114,'Données projet'!$B$114,BY16+BX17-CG16)))</f>
        <v>26</v>
      </c>
      <c r="BZ17" s="13">
        <f>BY17*VLOOKUP('Données projet'!$B$12,Paramètres!$A$1:$I$89,3,0)*VLOOKUP('Données projet'!$B$12,Paramètres!$A$1:$I$89,5,0)</f>
        <v>15.548000000000002</v>
      </c>
      <c r="CA17" s="13">
        <f t="shared" si="39"/>
        <v>5.2061380655003449</v>
      </c>
      <c r="CB17" s="20">
        <f t="shared" si="10"/>
        <v>36.146790464079764</v>
      </c>
      <c r="CC17" s="59">
        <f t="shared" si="11"/>
        <v>329.48012379741306</v>
      </c>
      <c r="CD17" s="59">
        <f ca="1">AVERAGE(OFFSET($CC$3,0,0,'Données projet'!$E$12+1,1))-AVERAGE(OFFSET($H$3,0,0,'Données projet'!$E$12+1,1))</f>
        <v>81.299024916151723</v>
      </c>
      <c r="CE17" s="59">
        <f t="shared" si="40"/>
        <v>88.106373324240167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10.8</v>
      </c>
      <c r="CT17" s="12">
        <f>IF('Données projet'!$A$140&gt;35,CT16+CS17-DB16,IF(A17&lt;'Données projet'!$A$140,$CQ$205^A17,IF(A17='Données projet'!$A$140,'Données projet'!$B$140,CT16+CS17-DB16)))</f>
        <v>115.40218017388374</v>
      </c>
      <c r="CU17" s="17">
        <f>CT17*VLOOKUP('Données projet'!$B$13,Paramètres!$A$1:$I$89,3,0)*VLOOKUP('Données projet'!$B$13,Paramètres!$A$1:$I$89,5,0)</f>
        <v>64.509818717201014</v>
      </c>
      <c r="CV17" s="13">
        <f t="shared" si="41"/>
        <v>18.303638959560171</v>
      </c>
      <c r="CW17" s="20">
        <f t="shared" si="13"/>
        <v>144.23343878702573</v>
      </c>
      <c r="CX17" s="59">
        <f t="shared" si="14"/>
        <v>437.56677212035902</v>
      </c>
      <c r="CY17" s="59">
        <f ca="1">AVERAGE(OFFSET($CX$3,0,0,'Données projet'!$E$13+1,1))-AVERAGE(OFFSET($H$3,0,0,'Données projet'!$E$13+1,1))</f>
        <v>475.42482703895411</v>
      </c>
      <c r="CZ17" s="59">
        <f t="shared" si="42"/>
        <v>593.51433014569966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</v>
      </c>
      <c r="DO17" s="12">
        <f>IF('Données projet'!$A$166&gt;35,DO16+DN17-DW16,IF(A17&lt;'Données projet'!$A$166,$DL$205^A17,IF(A17='Données projet'!$A$166,'Données projet'!$B$166,DO16+DN17-DW16)))</f>
        <v>56</v>
      </c>
      <c r="DP17" s="17">
        <f>DO17*VLOOKUP('Données projet'!$B$14,Paramètres!$A$1:$I$89,3,0)*VLOOKUP('Données projet'!$B$14,Paramètres!$A$1:$I$89,5,0)</f>
        <v>50.668799999999997</v>
      </c>
      <c r="DQ17" s="13">
        <f t="shared" si="43"/>
        <v>14.786346384516113</v>
      </c>
      <c r="DR17" s="20">
        <f t="shared" si="16"/>
        <v>114.0010466196989</v>
      </c>
      <c r="DS17" s="59">
        <f t="shared" si="17"/>
        <v>407.33437995303223</v>
      </c>
      <c r="DT17" s="59">
        <f ca="1">AVERAGE(OFFSET($DS$3,0,0,'Données projet'!$E$14+1,1))-AVERAGE(OFFSET($H$3,0,0,'Données projet'!$E$14+1,1))</f>
        <v>401.17301323870578</v>
      </c>
      <c r="DU17" s="59">
        <f t="shared" si="44"/>
        <v>201.57993789149754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6.85</v>
      </c>
      <c r="EJ17" s="12">
        <f>IF('Données projet'!$A$192&gt;35,EJ16+EI17-ER16,IF(A17&lt;'Données projet'!$A$192,$EG$205^A17,IF(A17='Données projet'!$A$192,'Données projet'!$B$192,EJ16+EI17-ER16)))</f>
        <v>31.311537757693809</v>
      </c>
      <c r="EK17" s="17">
        <f>EJ17*VLOOKUP('Données projet'!$B$15,Paramètres!$A$1:$I$89,3,0)*VLOOKUP('Données projet'!$B$15,Paramètres!$A$1:$I$89,5,0)</f>
        <v>27.353759385121315</v>
      </c>
      <c r="EL17" s="13">
        <f t="shared" si="45"/>
        <v>8.5763067447860024</v>
      </c>
      <c r="EM17" s="20">
        <f t="shared" si="19"/>
        <v>62.578198509588582</v>
      </c>
      <c r="EN17" s="59">
        <f t="shared" si="20"/>
        <v>355.91153184292187</v>
      </c>
      <c r="EO17" s="59">
        <f ca="1">AVERAGE(OFFSET($EN$3,0,0,'Données projet'!$E$15+1,1))-AVERAGE(OFFSET($H$3,0,0,'Données projet'!$E$15+1,1))</f>
        <v>237.8483058552178</v>
      </c>
      <c r="EP17" s="59">
        <f t="shared" si="46"/>
        <v>313.36201272119723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14.6</v>
      </c>
      <c r="FE17" s="12">
        <f>IF('Données projet'!$A$218&gt;35,FE16+FD17-FM16,IF(A17&lt;'Données projet'!$A$218,$FB$205^A17,IF(A17='Données projet'!$A$218,'Données projet'!$B$218,FE16+FD17-FM16)))</f>
        <v>70.400000000000006</v>
      </c>
      <c r="FF17" s="17">
        <f>FE17*VLOOKUP('Données projet'!$B$16,Paramètres!$A$1:$I$89,3,0)*VLOOKUP('Données projet'!$B$16,Paramètres!$A$1:$I$89,5,0)</f>
        <v>54.912000000000006</v>
      </c>
      <c r="FG17" s="13">
        <f t="shared" si="47"/>
        <v>15.875304254859749</v>
      </c>
      <c r="FH17" s="20">
        <f t="shared" si="22"/>
        <v>123.28788824388072</v>
      </c>
      <c r="FI17" s="59">
        <f t="shared" si="23"/>
        <v>416.62122157721404</v>
      </c>
      <c r="FJ17" s="59">
        <f ca="1">AVERAGE(OFFSET($FI$3,0,0,'Données projet'!$E$16+1,1))-AVERAGE(OFFSET($H$3,0,0,'Données projet'!$E$16+1,1))</f>
        <v>318.52984981739411</v>
      </c>
      <c r="FK17" s="59">
        <f t="shared" si="48"/>
        <v>311.56398336941714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14.6</v>
      </c>
      <c r="FZ17" s="12">
        <f>IF('Données projet'!$A$244&gt;35,FZ16+FY17-GH16,IF(A17&lt;'Données projet'!$A$244,$FW$205^A17,IF(A17='Données projet'!$A$244,'Données projet'!$B$244,FZ16+FY17-GH16)))</f>
        <v>70.400000000000006</v>
      </c>
      <c r="GA17" s="17">
        <f>FZ17*VLOOKUP('Données projet'!$B$17,Paramètres!$A$1:$I$89,3,0)*VLOOKUP('Données projet'!$B$17,Paramètres!$A$1:$I$89,5,0)</f>
        <v>56.01024000000001</v>
      </c>
      <c r="GB17" s="13">
        <f t="shared" si="49"/>
        <v>16.155528478402793</v>
      </c>
      <c r="GC17" s="20">
        <f t="shared" si="25"/>
        <v>125.68871343321821</v>
      </c>
      <c r="GD17" s="59">
        <f t="shared" si="26"/>
        <v>419.02204676655151</v>
      </c>
      <c r="GE17" s="59">
        <f ca="1">AVERAGE(OFFSET($GD$3,0,0,'Données projet'!$E$17+1,1))-AVERAGE(OFFSET($H$3,0,0,'Données projet'!$E$17+1,1))</f>
        <v>325.72928944930294</v>
      </c>
      <c r="GF17" s="59">
        <f t="shared" si="50"/>
        <v>318.38876834819752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14.6</v>
      </c>
      <c r="GU17" s="12">
        <f>IF('Données projet'!$A$270&gt;35,GU16+GT17-HC16,IF(A17&lt;'Données projet'!$A$270,$GR$205^A17,IF(A17='Données projet'!$A$270,'Données projet'!$B$270,GU16+GT17-HC16)))</f>
        <v>70.400000000000006</v>
      </c>
      <c r="GV17" s="17">
        <f>GU17*VLOOKUP('Données projet'!$B$18,Paramètres!$A$1:$I$89,3,0)*VLOOKUP('Données projet'!$B$18,Paramètres!$A$1:$I$89,5,0)</f>
        <v>47.224320000000006</v>
      </c>
      <c r="GW17" s="13">
        <f t="shared" si="51"/>
        <v>13.894562893680241</v>
      </c>
      <c r="GX17" s="20">
        <f t="shared" si="28"/>
        <v>106.44872103982642</v>
      </c>
      <c r="GY17" s="59">
        <f t="shared" si="29"/>
        <v>399.78205437315972</v>
      </c>
      <c r="GZ17" s="59">
        <f ca="1">AVERAGE(OFFSET($GY$3,0,0,'Données projet'!$E$18+1,1))-AVERAGE(OFFSET($H$3,0,0,'Données projet'!$E$18+1,1))</f>
        <v>268.04554291387961</v>
      </c>
      <c r="HA17" s="59">
        <f t="shared" si="52"/>
        <v>263.70463099437148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2.8666666666666667</v>
      </c>
      <c r="N18" s="13">
        <f>IF('Données projet'!$A$36&gt;35,N17+M18-V17,IF(A18&lt;'Données projet'!$A$36,$K$205^A18,IF(A18='Données projet'!$A$36,'Données projet'!$B$36,N17+M18-V17)))</f>
        <v>9.273618495495688</v>
      </c>
      <c r="O18" s="13">
        <f>N18*VLOOKUP('Données projet'!$B$9,Paramètres!$A$1:$I$89,3,0)*VLOOKUP('Données projet'!$B$9,Paramètres!$A$1:$I$89,5,0)</f>
        <v>4.0989393750090946</v>
      </c>
      <c r="P18" s="13">
        <f t="shared" si="33"/>
        <v>1.6029080051115077</v>
      </c>
      <c r="Q18" s="20">
        <f t="shared" si="2"/>
        <v>9.9307175203767155</v>
      </c>
      <c r="R18" s="59">
        <f t="shared" si="0"/>
        <v>303.26405085371005</v>
      </c>
      <c r="S18" s="59">
        <f ca="1">AVERAGE(OFFSET($R$3,0,0,'Données projet'!$E$9+1,1))-AVERAGE(OFFSET($H$3,0,0,'Données projet'!$E$9+1,1))</f>
        <v>46.095319339746538</v>
      </c>
      <c r="T18" s="59">
        <f t="shared" si="34"/>
        <v>48.158174304064403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17</v>
      </c>
      <c r="AI18" s="13">
        <f>IF('Données projet'!$A$62&gt;35,AI17+AH18-AQ17,IF(A18&lt;'Données projet'!$A$62,$AF$205^A18,IF(A18='Données projet'!$A$62,'Données projet'!$B$62,AI17+AH18-AQ17)))</f>
        <v>90</v>
      </c>
      <c r="AJ18" s="13">
        <f>AI18*VLOOKUP('Données projet'!$B$10,Paramètres!$A$1:$I$89,3,0)*VLOOKUP('Données projet'!$B$10,Paramètres!$A$1:$I$89,5,0)</f>
        <v>53.82</v>
      </c>
      <c r="AK18" s="13">
        <f t="shared" si="35"/>
        <v>15.596024630246266</v>
      </c>
      <c r="AL18" s="20">
        <f t="shared" si="4"/>
        <v>120.89957623101225</v>
      </c>
      <c r="AM18" s="59">
        <f t="shared" si="5"/>
        <v>414.23290956434556</v>
      </c>
      <c r="AN18" s="59">
        <f ca="1">AVERAGE(OFFSET($AM$3,0,0,'Données projet'!$E$10+1,1))-AVERAGE(OFFSET($H$3,0,0,'Données projet'!$E$10+1,1))</f>
        <v>408.84545509668794</v>
      </c>
      <c r="AO18" s="59">
        <f t="shared" si="36"/>
        <v>409.9253979841132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1.3742140579425381</v>
      </c>
      <c r="AW18" s="21">
        <f>EXP(-LN(2)/2)*AW17+(1-EXP(-LN(2)/2))/(LN(2)/2)*AQ18*AT18*VLOOKUP('Données projet'!$B$10,Paramètres!$A$1:$I$89,3,0)*0.475*44/12</f>
        <v>0.67026996820660034</v>
      </c>
      <c r="AX18" s="21">
        <f t="shared" si="6"/>
        <v>2.0444840261491386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6.9411764705882355</v>
      </c>
      <c r="BD18" s="12">
        <f>IF('Données projet'!$A$88&gt;35,BD17+BC18-BL17,IF(A18&lt;'Données projet'!$A$88,$BA$205^A18,IF(A18='Données projet'!$A$88,'Données projet'!$B$88,BD17+BC18-BL17)))</f>
        <v>67.317996620272581</v>
      </c>
      <c r="BE18" s="13">
        <f>BD18*VLOOKUP('Données projet'!$B$11,Paramètres!$A$1:$I$89,3,0)*VLOOKUP('Données projet'!$B$11,Paramètres!$A$1:$I$89,5,0)</f>
        <v>40.256161978923011</v>
      </c>
      <c r="BF18" s="13">
        <f t="shared" si="37"/>
        <v>12.066517421720839</v>
      </c>
      <c r="BG18" s="20">
        <f t="shared" si="7"/>
        <v>91.128666622788032</v>
      </c>
      <c r="BH18" s="59">
        <f t="shared" si="8"/>
        <v>384.46199995612136</v>
      </c>
      <c r="BI18" s="59">
        <f ca="1">AVERAGE(OFFSET($BH$3,0,0,'Données projet'!$E$11+1,1))-AVERAGE(OFFSET($H$3,0,0,'Données projet'!$E$11+1,1))</f>
        <v>279.69031306919914</v>
      </c>
      <c r="BJ18" s="59">
        <f t="shared" si="38"/>
        <v>297.01680128882509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5</v>
      </c>
      <c r="BY18" s="12">
        <f>IF('Données projet'!$A$114&gt;35,BY17+BX18-CG17,IF(A18&lt;'Données projet'!$A$114,$BV$205^A18,IF(A18='Données projet'!$A$114,'Données projet'!$B$114,BY17+BX18-CG17)))</f>
        <v>31</v>
      </c>
      <c r="BZ18" s="13">
        <f>BY18*VLOOKUP('Données projet'!$B$12,Paramètres!$A$1:$I$89,3,0)*VLOOKUP('Données projet'!$B$12,Paramètres!$A$1:$I$89,5,0)</f>
        <v>18.538</v>
      </c>
      <c r="CA18" s="13">
        <f t="shared" si="39"/>
        <v>6.0815239823749314</v>
      </c>
      <c r="CB18" s="20">
        <f t="shared" si="10"/>
        <v>42.87900426930301</v>
      </c>
      <c r="CC18" s="59">
        <f t="shared" si="11"/>
        <v>336.21233760263635</v>
      </c>
      <c r="CD18" s="59">
        <f ca="1">AVERAGE(OFFSET($CC$3,0,0,'Données projet'!$E$12+1,1))-AVERAGE(OFFSET($H$3,0,0,'Données projet'!$E$12+1,1))</f>
        <v>81.299024916151723</v>
      </c>
      <c r="CE18" s="59">
        <f t="shared" si="40"/>
        <v>88.106373324240167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162</v>
      </c>
      <c r="CR18" s="12">
        <f>VLOOKUP(A18,'Données projet'!$A$139:$I$159,9,0)</f>
        <v>10.8</v>
      </c>
      <c r="CS18" s="12">
        <f t="array" ref="CS18">INDEX(CR:CR,MIN(IF(ISNUMBER(CR18:CR214),ROW(CR18:CR214),"")))</f>
        <v>10.8</v>
      </c>
      <c r="CT18" s="12">
        <f>IF('Données projet'!$A$140&gt;35,CT17+CS18-DB17,IF(A18&lt;'Données projet'!$A$140,$CQ$205^A18,IF(A18='Données projet'!$A$140,'Données projet'!$B$140,CT17+CS18-DB17)))</f>
        <v>162</v>
      </c>
      <c r="CU18" s="17">
        <f>CT18*VLOOKUP('Données projet'!$B$13,Paramètres!$A$1:$I$89,3,0)*VLOOKUP('Données projet'!$B$13,Paramètres!$A$1:$I$89,5,0)</f>
        <v>90.557999999999993</v>
      </c>
      <c r="CV18" s="13">
        <f t="shared" si="41"/>
        <v>24.699752708509138</v>
      </c>
      <c r="CW18" s="20">
        <f t="shared" si="13"/>
        <v>200.74058596732007</v>
      </c>
      <c r="CX18" s="59">
        <f t="shared" si="14"/>
        <v>494.07391930065342</v>
      </c>
      <c r="CY18" s="59">
        <f ca="1">AVERAGE(OFFSET($CX$3,0,0,'Données projet'!$E$13+1,1))-AVERAGE(OFFSET($H$3,0,0,'Données projet'!$E$13+1,1))</f>
        <v>475.42482703895411</v>
      </c>
      <c r="CZ18" s="59">
        <f t="shared" si="42"/>
        <v>593.51433014569966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0.33</v>
      </c>
      <c r="DE18" s="16">
        <f>IF(ISNA(VLOOKUP(A18,'Données projet'!$A$139:$I$159,7,0)),0%,VLOOKUP(A18,'Données projet'!$A$139:$I$159,7,0))</f>
        <v>0.4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4</v>
      </c>
      <c r="DO18" s="12">
        <f>IF('Données projet'!$A$166&gt;35,DO17+DN18-DW17,IF(A18&lt;'Données projet'!$A$166,$DL$205^A18,IF(A18='Données projet'!$A$166,'Données projet'!$B$166,DO17+DN18-DW17)))</f>
        <v>60</v>
      </c>
      <c r="DP18" s="17">
        <f>DO18*VLOOKUP('Données projet'!$B$14,Paramètres!$A$1:$I$89,3,0)*VLOOKUP('Données projet'!$B$14,Paramètres!$A$1:$I$89,5,0)</f>
        <v>54.287999999999997</v>
      </c>
      <c r="DQ18" s="13">
        <f t="shared" si="43"/>
        <v>15.715795896526746</v>
      </c>
      <c r="DR18" s="20">
        <f t="shared" si="16"/>
        <v>121.9232778531174</v>
      </c>
      <c r="DS18" s="59">
        <f t="shared" si="17"/>
        <v>415.2566111864507</v>
      </c>
      <c r="DT18" s="59">
        <f ca="1">AVERAGE(OFFSET($DS$3,0,0,'Données projet'!$E$14+1,1))-AVERAGE(OFFSET($H$3,0,0,'Données projet'!$E$14+1,1))</f>
        <v>401.17301323870578</v>
      </c>
      <c r="DU18" s="59">
        <f t="shared" si="44"/>
        <v>201.57993789149754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6.85</v>
      </c>
      <c r="EJ18" s="12">
        <f>IF('Données projet'!$A$192&gt;35,EJ17+EI18-ER17,IF(A18&lt;'Données projet'!$A$192,$EG$205^A18,IF(A18='Données projet'!$A$192,'Données projet'!$B$192,EJ17+EI18-ER17)))</f>
        <v>40.044274094664104</v>
      </c>
      <c r="EK18" s="17">
        <f>EJ18*VLOOKUP('Données projet'!$B$15,Paramètres!$A$1:$I$89,3,0)*VLOOKUP('Données projet'!$B$15,Paramètres!$A$1:$I$89,5,0)</f>
        <v>34.982677849098565</v>
      </c>
      <c r="EL18" s="13">
        <f t="shared" si="45"/>
        <v>10.658611199818449</v>
      </c>
      <c r="EM18" s="20">
        <f t="shared" si="19"/>
        <v>79.491911760197141</v>
      </c>
      <c r="EN18" s="59">
        <f t="shared" si="20"/>
        <v>372.82524509353044</v>
      </c>
      <c r="EO18" s="59">
        <f ca="1">AVERAGE(OFFSET($EN$3,0,0,'Données projet'!$E$15+1,1))-AVERAGE(OFFSET($H$3,0,0,'Données projet'!$E$15+1,1))</f>
        <v>237.8483058552178</v>
      </c>
      <c r="EP18" s="59">
        <f t="shared" si="46"/>
        <v>313.36201272119723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>
        <f>VLOOKUP(A18,'Données projet'!$A$217:$I$237,2,0)</f>
        <v>85</v>
      </c>
      <c r="FC18" s="12">
        <f>VLOOKUP(A18,'Données projet'!$A$217:$I$237,9,0)</f>
        <v>14.6</v>
      </c>
      <c r="FD18" s="12">
        <f t="array" ref="FD18">INDEX(FC:FC,MIN(IF(ISNUMBER(FC18:FC214),ROW(FC18:FC214),"")))</f>
        <v>14.6</v>
      </c>
      <c r="FE18" s="12">
        <f>IF('Données projet'!$A$218&gt;35,FE17+FD18-FM17,IF(A18&lt;'Données projet'!$A$218,$FB$205^A18,IF(A18='Données projet'!$A$218,'Données projet'!$B$218,FE17+FD18-FM17)))</f>
        <v>85</v>
      </c>
      <c r="FF18" s="17">
        <f>FE18*VLOOKUP('Données projet'!$B$16,Paramètres!$A$1:$I$89,3,0)*VLOOKUP('Données projet'!$B$16,Paramètres!$A$1:$I$89,5,0)</f>
        <v>66.3</v>
      </c>
      <c r="FG18" s="13">
        <f t="shared" si="47"/>
        <v>18.751733344032118</v>
      </c>
      <c r="FH18" s="20">
        <f t="shared" si="22"/>
        <v>148.13176890752257</v>
      </c>
      <c r="FI18" s="59">
        <f t="shared" si="23"/>
        <v>441.46510224085591</v>
      </c>
      <c r="FJ18" s="59">
        <f ca="1">AVERAGE(OFFSET($FI$3,0,0,'Données projet'!$E$16+1,1))-AVERAGE(OFFSET($H$3,0,0,'Données projet'!$E$16+1,1))</f>
        <v>318.52984981739411</v>
      </c>
      <c r="FK18" s="59">
        <f t="shared" si="48"/>
        <v>311.56398336941714</v>
      </c>
      <c r="FL18" s="15">
        <f>IF(ISNA(VLOOKUP(A18,'Données projet'!$A$217:$I$237,3,0)),0,VLOOKUP(A18,'Données projet'!$A$217:$I$237,3,0))</f>
        <v>2</v>
      </c>
      <c r="FM18" s="15">
        <f>IF(ISNA(VLOOKUP(A18,'Données projet'!$A$217:$I$237,4,0)),0,VLOOKUP(A18,'Données projet'!$A$217:$I$237,4,0))</f>
        <v>42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>
        <f>VLOOKUP(A18,'Données projet'!$A$243:$I$263,2,0)</f>
        <v>85</v>
      </c>
      <c r="FX18" s="12">
        <f>VLOOKUP(A18,'Données projet'!$A$243:$I$263,9,0)</f>
        <v>14.6</v>
      </c>
      <c r="FY18" s="12">
        <f t="array" ref="FY18">INDEX(FX:FX,MIN(IF(ISNUMBER(FX18:FX214),ROW(FX18:FX214),"")))</f>
        <v>14.6</v>
      </c>
      <c r="FZ18" s="12">
        <f>IF('Données projet'!$A$244&gt;35,FZ17+FY18-GH17,IF(A18&lt;'Données projet'!$A$244,$FW$205^A18,IF(A18='Données projet'!$A$244,'Données projet'!$B$244,FZ17+FY18-GH17)))</f>
        <v>85</v>
      </c>
      <c r="GA18" s="17">
        <f>FZ18*VLOOKUP('Données projet'!$B$17,Paramètres!$A$1:$I$89,3,0)*VLOOKUP('Données projet'!$B$17,Paramètres!$A$1:$I$89,5,0)</f>
        <v>67.626000000000005</v>
      </c>
      <c r="GB18" s="13">
        <f t="shared" si="49"/>
        <v>19.082731089464875</v>
      </c>
      <c r="GC18" s="20">
        <f t="shared" si="25"/>
        <v>151.01770664748466</v>
      </c>
      <c r="GD18" s="59">
        <f t="shared" si="26"/>
        <v>444.35103998081797</v>
      </c>
      <c r="GE18" s="59">
        <f ca="1">AVERAGE(OFFSET($GD$3,0,0,'Données projet'!$E$17+1,1))-AVERAGE(OFFSET($H$3,0,0,'Données projet'!$E$17+1,1))</f>
        <v>325.72928944930294</v>
      </c>
      <c r="GF18" s="59">
        <f t="shared" si="50"/>
        <v>318.38876834819752</v>
      </c>
      <c r="GG18" s="15">
        <f>IF(ISNA(VLOOKUP(A18,'Données projet'!$A$243:$I$263,3,0)),0,VLOOKUP(A18,'Données projet'!$A$243:$I$263,3,0))</f>
        <v>2</v>
      </c>
      <c r="GH18" s="15">
        <f>IF(ISNA(VLOOKUP(A18,'Données projet'!$A$243:$I$263,4,0)),0,VLOOKUP(A18,'Données projet'!$A$243:$I$263,4,0))</f>
        <v>42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>
        <f>VLOOKUP(A18,'Données projet'!$A$269:$I$289,2,0)</f>
        <v>85</v>
      </c>
      <c r="GS18" s="12">
        <f>VLOOKUP(A18,'Données projet'!$A$269:$I$289,9,0)</f>
        <v>14.6</v>
      </c>
      <c r="GT18" s="12">
        <f t="array" ref="GT18">INDEX(GS:GS,MIN(IF(ISNUMBER(GS18:GS214),ROW(GS18:GS214),"")))</f>
        <v>14.6</v>
      </c>
      <c r="GU18" s="12">
        <f>IF('Données projet'!$A$270&gt;35,GU17+GT18-HC17,IF(A18&lt;'Données projet'!$A$270,$GR$205^A18,IF(A18='Données projet'!$A$270,'Données projet'!$B$270,GU17+GT18-HC17)))</f>
        <v>85</v>
      </c>
      <c r="GV18" s="17">
        <f>GU18*VLOOKUP('Données projet'!$B$18,Paramètres!$A$1:$I$89,3,0)*VLOOKUP('Données projet'!$B$18,Paramètres!$A$1:$I$89,5,0)</f>
        <v>57.018000000000001</v>
      </c>
      <c r="GW18" s="13">
        <f t="shared" si="51"/>
        <v>16.412103612717626</v>
      </c>
      <c r="GX18" s="20">
        <f t="shared" si="28"/>
        <v>127.89076379214985</v>
      </c>
      <c r="GY18" s="59">
        <f t="shared" si="29"/>
        <v>421.22409712548318</v>
      </c>
      <c r="GZ18" s="59">
        <f ca="1">AVERAGE(OFFSET($GY$3,0,0,'Données projet'!$E$18+1,1))-AVERAGE(OFFSET($H$3,0,0,'Données projet'!$E$18+1,1))</f>
        <v>268.04554291387961</v>
      </c>
      <c r="HA18" s="59">
        <f t="shared" si="52"/>
        <v>263.70463099437148</v>
      </c>
      <c r="HB18" s="15">
        <f>IF(ISNA(VLOOKUP(A18,'Données projet'!$A$269:$I$289,3,0)),0,VLOOKUP(A18,'Données projet'!$A$269:$I$289,3,0))</f>
        <v>2</v>
      </c>
      <c r="HC18" s="15">
        <f>IF(ISNA(VLOOKUP(A18,'Données projet'!$A$269:$I$289,4,0)),0,VLOOKUP(A18,'Données projet'!$A$269:$I$289,4,0))</f>
        <v>42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2.8666666666666667</v>
      </c>
      <c r="N19" s="13">
        <f>IF('Données projet'!$A$36&gt;35,N18+M19-V18,IF(A19&lt;'Données projet'!$A$36,$K$205^A19,IF(A19='Données projet'!$A$36,'Données projet'!$B$36,N18+M19-V18)))</f>
        <v>10.758023963301191</v>
      </c>
      <c r="O19" s="13">
        <f>N19*VLOOKUP('Données projet'!$B$9,Paramètres!$A$1:$I$89,3,0)*VLOOKUP('Données projet'!$B$9,Paramètres!$A$1:$I$89,5,0)</f>
        <v>4.7550465917791271</v>
      </c>
      <c r="P19" s="13">
        <f t="shared" si="33"/>
        <v>1.8276205199913831</v>
      </c>
      <c r="Q19" s="20">
        <f t="shared" si="2"/>
        <v>11.464811886333637</v>
      </c>
      <c r="R19" s="59">
        <f t="shared" si="0"/>
        <v>304.79814521966694</v>
      </c>
      <c r="S19" s="59">
        <f ca="1">AVERAGE(OFFSET($R$3,0,0,'Données projet'!$E$9+1,1))-AVERAGE(OFFSET($H$3,0,0,'Données projet'!$E$9+1,1))</f>
        <v>46.095319339746538</v>
      </c>
      <c r="T19" s="59">
        <f t="shared" si="34"/>
        <v>48.158174304064403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>
        <f>VLOOKUP(A19,'Données projet'!$A$61:$I$81,2,0)</f>
        <v>107</v>
      </c>
      <c r="AG19" s="12">
        <f>VLOOKUP(A19,'Données projet'!$A$61:$I$81,9,0)</f>
        <v>17</v>
      </c>
      <c r="AH19" s="12">
        <f t="array" ref="AH19">INDEX(AG:AG,MIN(IF(ISNUMBER(AG19:AG215),ROW(AG19:AG215),"")))</f>
        <v>17</v>
      </c>
      <c r="AI19" s="13">
        <f>IF('Données projet'!$A$62&gt;35,AI18+AH19-AQ18,IF(A19&lt;'Données projet'!$A$62,$AF$205^A19,IF(A19='Données projet'!$A$62,'Données projet'!$B$62,AI18+AH19-AQ18)))</f>
        <v>107</v>
      </c>
      <c r="AJ19" s="13">
        <f>AI19*VLOOKUP('Données projet'!$B$10,Paramètres!$A$1:$I$89,3,0)*VLOOKUP('Données projet'!$B$10,Paramètres!$A$1:$I$89,5,0)</f>
        <v>63.986000000000004</v>
      </c>
      <c r="AK19" s="13">
        <f t="shared" si="35"/>
        <v>18.172251427996663</v>
      </c>
      <c r="AL19" s="20">
        <f t="shared" si="4"/>
        <v>143.09228790376088</v>
      </c>
      <c r="AM19" s="59">
        <f t="shared" si="5"/>
        <v>436.42562123709422</v>
      </c>
      <c r="AN19" s="59">
        <f ca="1">AVERAGE(OFFSET($AM$3,0,0,'Données projet'!$E$10+1,1))-AVERAGE(OFFSET($H$3,0,0,'Données projet'!$E$10+1,1))</f>
        <v>408.84545509668794</v>
      </c>
      <c r="AO19" s="59">
        <f t="shared" si="36"/>
        <v>409.9253979841132</v>
      </c>
      <c r="AP19" s="15">
        <f>IF(ISNA(VLOOKUP(A19,'Données projet'!$A$61:$I$81,3,0)),0,VLOOKUP(A19,'Données projet'!$A$61:$I$81,3,0))</f>
        <v>2</v>
      </c>
      <c r="AQ19" s="15">
        <f>IF(ISNA(VLOOKUP(A19,'Données projet'!$A$61:$I$81,4,0)),0,VLOOKUP(A19,'Données projet'!$A$61:$I$81,4,0))</f>
        <v>22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0.27</v>
      </c>
      <c r="AT19" s="16">
        <f>IF(ISNA(VLOOKUP(A19,'Données projet'!$A$61:$I$81,7,0)),0%,VLOOKUP(A19,'Données projet'!$A$61:$I$81,7,0))</f>
        <v>0.4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6.0301988390427983</v>
      </c>
      <c r="AW19" s="21">
        <f>EXP(-LN(2)/2)*AW18+(1-EXP(-LN(2)/2))/(LN(2)/2)*AQ19*AT19*VLOOKUP('Données projet'!$B$10,Paramètres!$A$1:$I$89,3,0)*0.475*44/12</f>
        <v>6.4322116822478534</v>
      </c>
      <c r="AX19" s="21">
        <f t="shared" si="6"/>
        <v>12.462410521290652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6.9411764705882355</v>
      </c>
      <c r="BD19" s="12">
        <f>IF('Données projet'!$A$88&gt;35,BD18+BC19-BL18,IF(A19&lt;'Données projet'!$A$88,$BA$205^A19,IF(A19='Données projet'!$A$88,'Données projet'!$B$88,BD18+BC19-BL18)))</f>
        <v>89.126447260014572</v>
      </c>
      <c r="BE19" s="13">
        <f>BD19*VLOOKUP('Données projet'!$B$11,Paramètres!$A$1:$I$89,3,0)*VLOOKUP('Données projet'!$B$11,Paramètres!$A$1:$I$89,5,0)</f>
        <v>53.297615461488718</v>
      </c>
      <c r="BF19" s="13">
        <f t="shared" si="37"/>
        <v>15.46219188294774</v>
      </c>
      <c r="BG19" s="20">
        <f t="shared" si="7"/>
        <v>119.75666445822681</v>
      </c>
      <c r="BH19" s="59">
        <f t="shared" si="8"/>
        <v>413.08999779156011</v>
      </c>
      <c r="BI19" s="59">
        <f ca="1">AVERAGE(OFFSET($BH$3,0,0,'Données projet'!$E$11+1,1))-AVERAGE(OFFSET($H$3,0,0,'Données projet'!$E$11+1,1))</f>
        <v>279.69031306919914</v>
      </c>
      <c r="BJ19" s="59">
        <f t="shared" si="38"/>
        <v>297.01680128882509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>
        <f>VLOOKUP(A19,'Données projet'!$A$113:$I$133,2,0)</f>
        <v>36</v>
      </c>
      <c r="BW19" s="12">
        <f>VLOOKUP(A19,'Données projet'!$A$113:$I$133,9,0)</f>
        <v>5</v>
      </c>
      <c r="BX19" s="12">
        <f t="array" ref="BX19">INDEX(BW:BW,MIN(IF(ISNUMBER(BW19:BW215),ROW(BW19:BW215),"")))</f>
        <v>5</v>
      </c>
      <c r="BY19" s="12">
        <f>IF('Données projet'!$A$114&gt;35,BY18+BX19-CG18,IF(A19&lt;'Données projet'!$A$114,$BV$205^A19,IF(A19='Données projet'!$A$114,'Données projet'!$B$114,BY18+BX19-CG18)))</f>
        <v>36</v>
      </c>
      <c r="BZ19" s="13">
        <f>BY19*VLOOKUP('Données projet'!$B$12,Paramètres!$A$1:$I$89,3,0)*VLOOKUP('Données projet'!$B$12,Paramètres!$A$1:$I$89,5,0)</f>
        <v>21.528000000000002</v>
      </c>
      <c r="CA19" s="13">
        <f t="shared" si="39"/>
        <v>6.9405537312613621</v>
      </c>
      <c r="CB19" s="20">
        <f t="shared" si="10"/>
        <v>49.582731081946882</v>
      </c>
      <c r="CC19" s="59">
        <f t="shared" si="11"/>
        <v>342.91606441528018</v>
      </c>
      <c r="CD19" s="59">
        <f ca="1">AVERAGE(OFFSET($CC$3,0,0,'Données projet'!$E$12+1,1))-AVERAGE(OFFSET($H$3,0,0,'Données projet'!$E$12+1,1))</f>
        <v>81.299024916151723</v>
      </c>
      <c r="CE19" s="59">
        <f t="shared" si="40"/>
        <v>88.106373324240167</v>
      </c>
      <c r="CF19" s="15">
        <f>IF(ISNA(VLOOKUP(A19,'Données projet'!$A$113:$I$133,3,0)),0,VLOOKUP(A19,'Données projet'!$A$113:$I$133,3,0))</f>
        <v>2</v>
      </c>
      <c r="CG19" s="15">
        <f>IF(ISNA(VLOOKUP(A19,'Données projet'!$A$113:$I$133,4,0)),0,VLOOKUP(A19,'Données projet'!$A$113:$I$133,4,0))</f>
        <v>4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0.27</v>
      </c>
      <c r="CJ19" s="16">
        <f>IF(ISNA(VLOOKUP(A19,'Données projet'!$A$113:$I$133,7,0)),0%,VLOOKUP(A19,'Données projet'!$A$113:$I$133,7,0))</f>
        <v>0.4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0.85337504305117751</v>
      </c>
      <c r="CM19" s="21">
        <f>EXP(-LN(2)/2)*CM18+(1-EXP(-LN(2)/2))/(LN(2)/2)*CG19*CJ19*VLOOKUP('Données projet'!$B$12,Paramètres!$A$1:$I$89,3,0)*0.475*44/12</f>
        <v>1.0833198622733227</v>
      </c>
      <c r="CN19" s="22">
        <f t="shared" si="12"/>
        <v>1.9366949053245002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28.2</v>
      </c>
      <c r="CT19" s="12">
        <f>IF('Données projet'!$A$140&gt;35,CT18+CS19-DB18,IF(A19&lt;'Données projet'!$A$140,$CQ$205^A19,IF(A19='Données projet'!$A$140,'Données projet'!$B$140,CT18+CS19-DB18)))</f>
        <v>190.2</v>
      </c>
      <c r="CU19" s="17">
        <f>CT19*VLOOKUP('Données projet'!$B$13,Paramètres!$A$1:$I$89,3,0)*VLOOKUP('Données projet'!$B$13,Paramètres!$A$1:$I$89,5,0)</f>
        <v>106.32179999999998</v>
      </c>
      <c r="CV19" s="13">
        <f t="shared" si="41"/>
        <v>28.462664081653866</v>
      </c>
      <c r="CW19" s="20">
        <f t="shared" si="13"/>
        <v>234.7496082755471</v>
      </c>
      <c r="CX19" s="59">
        <f t="shared" si="14"/>
        <v>528.08294160888045</v>
      </c>
      <c r="CY19" s="59">
        <f ca="1">AVERAGE(OFFSET($CX$3,0,0,'Données projet'!$E$13+1,1))-AVERAGE(OFFSET($H$3,0,0,'Données projet'!$E$13+1,1))</f>
        <v>475.42482703895411</v>
      </c>
      <c r="CZ19" s="59">
        <f t="shared" si="42"/>
        <v>593.51433014569966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</v>
      </c>
      <c r="DO19" s="12">
        <f>IF('Données projet'!$A$166&gt;35,DO18+DN19-DW18,IF(A19&lt;'Données projet'!$A$166,$DL$205^A19,IF(A19='Données projet'!$A$166,'Données projet'!$B$166,DO18+DN19-DW18)))</f>
        <v>64</v>
      </c>
      <c r="DP19" s="17">
        <f>DO19*VLOOKUP('Données projet'!$B$14,Paramètres!$A$1:$I$89,3,0)*VLOOKUP('Données projet'!$B$14,Paramètres!$A$1:$I$89,5,0)</f>
        <v>57.907199999999996</v>
      </c>
      <c r="DQ19" s="13">
        <f t="shared" si="43"/>
        <v>16.638055172386</v>
      </c>
      <c r="DR19" s="20">
        <f t="shared" si="16"/>
        <v>129.83298609190561</v>
      </c>
      <c r="DS19" s="59">
        <f t="shared" si="17"/>
        <v>423.16631942523895</v>
      </c>
      <c r="DT19" s="59">
        <f ca="1">AVERAGE(OFFSET($DS$3,0,0,'Données projet'!$E$14+1,1))-AVERAGE(OFFSET($H$3,0,0,'Données projet'!$E$14+1,1))</f>
        <v>401.17301323870578</v>
      </c>
      <c r="DU19" s="59">
        <f t="shared" si="44"/>
        <v>201.57993789149754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6.85</v>
      </c>
      <c r="EJ19" s="12">
        <f>IF('Données projet'!$A$192&gt;35,EJ18+EI19-ER18,IF(A19&lt;'Données projet'!$A$192,$EG$205^A19,IF(A19='Données projet'!$A$192,'Données projet'!$B$192,EJ18+EI19-ER18)))</f>
        <v>51.212556220576126</v>
      </c>
      <c r="EK19" s="17">
        <f>EJ19*VLOOKUP('Données projet'!$B$15,Paramètres!$A$1:$I$89,3,0)*VLOOKUP('Données projet'!$B$15,Paramètres!$A$1:$I$89,5,0)</f>
        <v>44.73928911429531</v>
      </c>
      <c r="EL19" s="13">
        <f t="shared" si="45"/>
        <v>13.246493635265834</v>
      </c>
      <c r="EM19" s="20">
        <f t="shared" si="19"/>
        <v>100.99190495548567</v>
      </c>
      <c r="EN19" s="59">
        <f t="shared" si="20"/>
        <v>394.32523828881898</v>
      </c>
      <c r="EO19" s="59">
        <f ca="1">AVERAGE(OFFSET($EN$3,0,0,'Données projet'!$E$15+1,1))-AVERAGE(OFFSET($H$3,0,0,'Données projet'!$E$15+1,1))</f>
        <v>237.8483058552178</v>
      </c>
      <c r="EP19" s="59">
        <f t="shared" si="46"/>
        <v>313.36201272119723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16</v>
      </c>
      <c r="FE19" s="12">
        <f>IF('Données projet'!$A$218&gt;35,FE18+FD19-FM18,IF(A19&lt;'Données projet'!$A$218,$FB$205^A19,IF(A19='Données projet'!$A$218,'Données projet'!$B$218,FE18+FD19-FM18)))</f>
        <v>59</v>
      </c>
      <c r="FF19" s="17">
        <f>FE19*VLOOKUP('Données projet'!$B$16,Paramètres!$A$1:$I$89,3,0)*VLOOKUP('Données projet'!$B$16,Paramètres!$A$1:$I$89,5,0)</f>
        <v>46.02</v>
      </c>
      <c r="FG19" s="13">
        <f t="shared" si="47"/>
        <v>13.580998251269925</v>
      </c>
      <c r="FH19" s="20">
        <f t="shared" si="22"/>
        <v>103.80507195429512</v>
      </c>
      <c r="FI19" s="59">
        <f t="shared" si="23"/>
        <v>397.13840528762842</v>
      </c>
      <c r="FJ19" s="59">
        <f ca="1">AVERAGE(OFFSET($FI$3,0,0,'Données projet'!$E$16+1,1))-AVERAGE(OFFSET($H$3,0,0,'Données projet'!$E$16+1,1))</f>
        <v>318.52984981739411</v>
      </c>
      <c r="FK19" s="59">
        <f t="shared" si="48"/>
        <v>311.56398336941714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16</v>
      </c>
      <c r="FZ19" s="12">
        <f>IF('Données projet'!$A$244&gt;35,FZ18+FY19-GH18,IF(A19&lt;'Données projet'!$A$244,$FW$205^A19,IF(A19='Données projet'!$A$244,'Données projet'!$B$244,FZ18+FY19-GH18)))</f>
        <v>59</v>
      </c>
      <c r="GA19" s="17">
        <f>FZ19*VLOOKUP('Données projet'!$B$17,Paramètres!$A$1:$I$89,3,0)*VLOOKUP('Données projet'!$B$17,Paramètres!$A$1:$I$89,5,0)</f>
        <v>46.940400000000004</v>
      </c>
      <c r="GB19" s="13">
        <f t="shared" si="49"/>
        <v>13.82072434588865</v>
      </c>
      <c r="GC19" s="20">
        <f t="shared" si="25"/>
        <v>105.82562490242275</v>
      </c>
      <c r="GD19" s="59">
        <f t="shared" si="26"/>
        <v>399.15895823575607</v>
      </c>
      <c r="GE19" s="59">
        <f ca="1">AVERAGE(OFFSET($GD$3,0,0,'Données projet'!$E$17+1,1))-AVERAGE(OFFSET($H$3,0,0,'Données projet'!$E$17+1,1))</f>
        <v>325.72928944930294</v>
      </c>
      <c r="GF19" s="59">
        <f t="shared" si="50"/>
        <v>318.38876834819752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16</v>
      </c>
      <c r="GU19" s="12">
        <f>IF('Données projet'!$A$270&gt;35,GU18+GT19-HC18,IF(A19&lt;'Données projet'!$A$270,$GR$205^A19,IF(A19='Données projet'!$A$270,'Données projet'!$B$270,GU18+GT19-HC18)))</f>
        <v>59</v>
      </c>
      <c r="GV19" s="17">
        <f>GU19*VLOOKUP('Données projet'!$B$18,Paramètres!$A$1:$I$89,3,0)*VLOOKUP('Données projet'!$B$18,Paramètres!$A$1:$I$89,5,0)</f>
        <v>39.577200000000005</v>
      </c>
      <c r="GW19" s="13">
        <f t="shared" si="51"/>
        <v>11.886514509066235</v>
      </c>
      <c r="GX19" s="20">
        <f t="shared" si="28"/>
        <v>89.632636103290352</v>
      </c>
      <c r="GY19" s="59">
        <f t="shared" si="29"/>
        <v>382.96596943662365</v>
      </c>
      <c r="GZ19" s="59">
        <f ca="1">AVERAGE(OFFSET($GY$3,0,0,'Données projet'!$E$18+1,1))-AVERAGE(OFFSET($H$3,0,0,'Données projet'!$E$18+1,1))</f>
        <v>268.04554291387961</v>
      </c>
      <c r="HA19" s="59">
        <f t="shared" si="52"/>
        <v>263.70463099437148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2.8666666666666667</v>
      </c>
      <c r="N20" s="13">
        <f>IF('Données projet'!$A$36&gt;35,N19+M20-V19,IF(A20&lt;'Données projet'!$A$36,$K$205^A20,IF(A20='Données projet'!$A$36,'Données projet'!$B$36,N19+M20-V19)))</f>
        <v>12.480034589645523</v>
      </c>
      <c r="O20" s="13">
        <f>N20*VLOOKUP('Données projet'!$B$9,Paramètres!$A$1:$I$89,3,0)*VLOOKUP('Données projet'!$B$9,Paramètres!$A$1:$I$89,5,0)</f>
        <v>5.5161752886233222</v>
      </c>
      <c r="P20" s="13">
        <f t="shared" si="33"/>
        <v>2.0838356003226837</v>
      </c>
      <c r="Q20" s="20">
        <f t="shared" si="2"/>
        <v>13.23668563158096</v>
      </c>
      <c r="R20" s="59">
        <f t="shared" si="0"/>
        <v>306.57001896491425</v>
      </c>
      <c r="S20" s="59">
        <f ca="1">AVERAGE(OFFSET($R$3,0,0,'Données projet'!$E$9+1,1))-AVERAGE(OFFSET($H$3,0,0,'Données projet'!$E$9+1,1))</f>
        <v>46.095319339746538</v>
      </c>
      <c r="T20" s="59">
        <f t="shared" si="34"/>
        <v>48.158174304064403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22.75</v>
      </c>
      <c r="AI20" s="13">
        <f>IF('Données projet'!$A$62&gt;35,AI19+AH20-AQ19,IF(A20&lt;'Données projet'!$A$62,$AF$205^A20,IF(A20='Données projet'!$A$62,'Données projet'!$B$62,AI19+AH20-AQ19)))</f>
        <v>107.75</v>
      </c>
      <c r="AJ20" s="13">
        <f>AI20*VLOOKUP('Données projet'!$B$10,Paramètres!$A$1:$I$89,3,0)*VLOOKUP('Données projet'!$B$10,Paramètres!$A$1:$I$89,5,0)</f>
        <v>64.434500000000014</v>
      </c>
      <c r="AK20" s="13">
        <f t="shared" si="35"/>
        <v>18.284754708570581</v>
      </c>
      <c r="AL20" s="20">
        <f t="shared" si="4"/>
        <v>144.0693686174271</v>
      </c>
      <c r="AM20" s="59">
        <f t="shared" si="5"/>
        <v>437.40270195076039</v>
      </c>
      <c r="AN20" s="59">
        <f ca="1">AVERAGE(OFFSET($AM$3,0,0,'Données projet'!$E$10+1,1))-AVERAGE(OFFSET($H$3,0,0,'Données projet'!$E$10+1,1))</f>
        <v>408.84545509668794</v>
      </c>
      <c r="AO20" s="59">
        <f t="shared" si="36"/>
        <v>409.9253979841132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5.8653027346747981</v>
      </c>
      <c r="AW20" s="21">
        <f>EXP(-LN(2)/2)*AW19+(1-EXP(-LN(2)/2))/(LN(2)/2)*AQ20*AT20*VLOOKUP('Données projet'!$B$10,Paramètres!$A$1:$I$89,3,0)*0.475*44/12</f>
        <v>4.5482604985447876</v>
      </c>
      <c r="AX20" s="21">
        <f t="shared" si="6"/>
        <v>10.413563233219586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>
        <f>VLOOKUP(A20,'Données projet'!$A$87:$I$107,2,0)</f>
        <v>118</v>
      </c>
      <c r="BB20" s="12">
        <f>VLOOKUP(A20,'Données projet'!$A$87:$I$107,9,0)</f>
        <v>6.9411764705882355</v>
      </c>
      <c r="BC20" s="12">
        <f t="array" ref="BC20">INDEX(BB:BB,MIN(IF(ISNUMBER(BB20:BB216),ROW(BB20:BB216),"")))</f>
        <v>6.9411764705882355</v>
      </c>
      <c r="BD20" s="12">
        <f>IF('Données projet'!$A$88&gt;35,BD19+BC20-BL19,IF(A20&lt;'Données projet'!$A$88,$BA$205^A20,IF(A20='Données projet'!$A$88,'Données projet'!$B$88,BD19+BC20-BL19)))</f>
        <v>118</v>
      </c>
      <c r="BE20" s="13">
        <f>BD20*VLOOKUP('Données projet'!$B$11,Paramètres!$A$1:$I$89,3,0)*VLOOKUP('Données projet'!$B$11,Paramètres!$A$1:$I$89,5,0)</f>
        <v>70.564000000000007</v>
      </c>
      <c r="BF20" s="13">
        <f t="shared" si="37"/>
        <v>19.813453167086163</v>
      </c>
      <c r="BG20" s="20">
        <f t="shared" si="7"/>
        <v>157.40739759934175</v>
      </c>
      <c r="BH20" s="59">
        <f t="shared" si="8"/>
        <v>450.74073093267509</v>
      </c>
      <c r="BI20" s="59">
        <f ca="1">AVERAGE(OFFSET($BH$3,0,0,'Données projet'!$E$11+1,1))-AVERAGE(OFFSET($H$3,0,0,'Données projet'!$E$11+1,1))</f>
        <v>279.69031306919914</v>
      </c>
      <c r="BJ20" s="59">
        <f t="shared" si="38"/>
        <v>297.01680128882509</v>
      </c>
      <c r="BK20" s="15">
        <f>IF(ISNA(VLOOKUP(A20,'Données projet'!$A$87:$I$107,3,0)),0,VLOOKUP(A20,'Données projet'!$A$87:$I$107,3,0))</f>
        <v>1</v>
      </c>
      <c r="BL20" s="15">
        <f>IF(ISNA(VLOOKUP(A20,'Données projet'!$A$87:$I$107,4,0)),0,VLOOKUP(A20,'Données projet'!$A$87:$I$107,4,0))</f>
        <v>15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0.27</v>
      </c>
      <c r="BO20" s="16">
        <f>IF(ISNA(VLOOKUP(A20,'Données projet'!$A$87:$I$107,7,0)),0%,VLOOKUP(A20,'Données projet'!$A$87:$I$107,7,0))</f>
        <v>0.4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3.200156411441915</v>
      </c>
      <c r="BR20" s="21">
        <f>EXP(-LN(2)/2)*BR19+(1-EXP(-LN(2)/2))/(LN(2)/2)*BL20*BO20*VLOOKUP('Données projet'!$B$11,Paramètres!$A$1:$I$89,3,0)*0.475*44/12</f>
        <v>4.0624494835249605</v>
      </c>
      <c r="BS20" s="22">
        <f t="shared" si="9"/>
        <v>7.2626058949668755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6</v>
      </c>
      <c r="BY20" s="12">
        <f>IF('Données projet'!$A$114&gt;35,BY19+BX20-CG19,IF(A20&lt;'Données projet'!$A$114,$BV$205^A20,IF(A20='Données projet'!$A$114,'Données projet'!$B$114,BY19+BX20-CG19)))</f>
        <v>38</v>
      </c>
      <c r="BZ20" s="13">
        <f>BY20*VLOOKUP('Données projet'!$B$12,Paramètres!$A$1:$I$89,3,0)*VLOOKUP('Données projet'!$B$12,Paramètres!$A$1:$I$89,5,0)</f>
        <v>22.724</v>
      </c>
      <c r="CA20" s="13">
        <f t="shared" si="39"/>
        <v>7.2801783200166952</v>
      </c>
      <c r="CB20" s="20">
        <f t="shared" si="10"/>
        <v>52.257277240695743</v>
      </c>
      <c r="CC20" s="59">
        <f t="shared" si="11"/>
        <v>345.59061057402903</v>
      </c>
      <c r="CD20" s="59">
        <f ca="1">AVERAGE(OFFSET($CC$3,0,0,'Données projet'!$E$12+1,1))-AVERAGE(OFFSET($H$3,0,0,'Données projet'!$E$12+1,1))</f>
        <v>81.299024916151723</v>
      </c>
      <c r="CE20" s="59">
        <f t="shared" si="40"/>
        <v>88.106373324240167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0.83003945762190001</v>
      </c>
      <c r="CM20" s="21">
        <f>EXP(-LN(2)/2)*CM19+(1-EXP(-LN(2)/2))/(LN(2)/2)*CG20*CJ20*VLOOKUP('Données projet'!$B$12,Paramètres!$A$1:$I$89,3,0)*0.475*44/12</f>
        <v>0.76602282080754325</v>
      </c>
      <c r="CN20" s="22">
        <f t="shared" si="12"/>
        <v>1.5960622784294434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28.2</v>
      </c>
      <c r="CT20" s="12">
        <f>IF('Données projet'!$A$140&gt;35,CT19+CS20-DB19,IF(A20&lt;'Données projet'!$A$140,$CQ$205^A20,IF(A20='Données projet'!$A$140,'Données projet'!$B$140,CT19+CS20-DB19)))</f>
        <v>218.39999999999998</v>
      </c>
      <c r="CU20" s="17">
        <f>CT20*VLOOKUP('Données projet'!$B$13,Paramètres!$A$1:$I$89,3,0)*VLOOKUP('Données projet'!$B$13,Paramètres!$A$1:$I$89,5,0)</f>
        <v>122.0856</v>
      </c>
      <c r="CV20" s="13">
        <f t="shared" si="41"/>
        <v>32.160942364346717</v>
      </c>
      <c r="CW20" s="20">
        <f t="shared" si="13"/>
        <v>268.64606128457052</v>
      </c>
      <c r="CX20" s="59">
        <f t="shared" si="14"/>
        <v>561.97939461790384</v>
      </c>
      <c r="CY20" s="59">
        <f ca="1">AVERAGE(OFFSET($CX$3,0,0,'Données projet'!$E$13+1,1))-AVERAGE(OFFSET($H$3,0,0,'Données projet'!$E$13+1,1))</f>
        <v>475.42482703895411</v>
      </c>
      <c r="CZ20" s="59">
        <f t="shared" si="42"/>
        <v>593.51433014569966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</v>
      </c>
      <c r="DO20" s="12">
        <f>IF('Données projet'!$A$166&gt;35,DO19+DN20-DW19,IF(A20&lt;'Données projet'!$A$166,$DL$205^A20,IF(A20='Données projet'!$A$166,'Données projet'!$B$166,DO19+DN20-DW19)))</f>
        <v>68</v>
      </c>
      <c r="DP20" s="17">
        <f>DO20*VLOOKUP('Données projet'!$B$14,Paramètres!$A$1:$I$89,3,0)*VLOOKUP('Données projet'!$B$14,Paramètres!$A$1:$I$89,5,0)</f>
        <v>61.526399999999995</v>
      </c>
      <c r="DQ20" s="13">
        <f t="shared" si="43"/>
        <v>17.553624762159014</v>
      </c>
      <c r="DR20" s="20">
        <f t="shared" si="16"/>
        <v>137.73104312742694</v>
      </c>
      <c r="DS20" s="59">
        <f t="shared" si="17"/>
        <v>431.06437646076029</v>
      </c>
      <c r="DT20" s="59">
        <f ca="1">AVERAGE(OFFSET($DS$3,0,0,'Données projet'!$E$14+1,1))-AVERAGE(OFFSET($H$3,0,0,'Données projet'!$E$14+1,1))</f>
        <v>401.17301323870578</v>
      </c>
      <c r="DU20" s="59">
        <f t="shared" si="44"/>
        <v>201.57993789149754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6.85</v>
      </c>
      <c r="EJ20" s="12">
        <f>IF('Données projet'!$A$192&gt;35,EJ19+EI20-ER19,IF(A20&lt;'Données projet'!$A$192,$EG$205^A20,IF(A20='Données projet'!$A$192,'Données projet'!$B$192,EJ19+EI20-ER19)))</f>
        <v>65.495653846679389</v>
      </c>
      <c r="EK20" s="17">
        <f>EJ20*VLOOKUP('Données projet'!$B$15,Paramètres!$A$1:$I$89,3,0)*VLOOKUP('Données projet'!$B$15,Paramètres!$A$1:$I$89,5,0)</f>
        <v>57.217003200459125</v>
      </c>
      <c r="EL20" s="13">
        <f t="shared" si="45"/>
        <v>16.462707039368052</v>
      </c>
      <c r="EM20" s="20">
        <f t="shared" si="19"/>
        <v>128.32549533436566</v>
      </c>
      <c r="EN20" s="59">
        <f t="shared" si="20"/>
        <v>421.65882866769897</v>
      </c>
      <c r="EO20" s="59">
        <f ca="1">AVERAGE(OFFSET($EN$3,0,0,'Données projet'!$E$15+1,1))-AVERAGE(OFFSET($H$3,0,0,'Données projet'!$E$15+1,1))</f>
        <v>237.8483058552178</v>
      </c>
      <c r="EP20" s="59">
        <f t="shared" si="46"/>
        <v>313.36201272119723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16</v>
      </c>
      <c r="FE20" s="12">
        <f>IF('Données projet'!$A$218&gt;35,FE19+FD20-FM19,IF(A20&lt;'Données projet'!$A$218,$FB$205^A20,IF(A20='Données projet'!$A$218,'Données projet'!$B$218,FE19+FD20-FM19)))</f>
        <v>75</v>
      </c>
      <c r="FF20" s="17">
        <f>FE20*VLOOKUP('Données projet'!$B$16,Paramètres!$A$1:$I$89,3,0)*VLOOKUP('Données projet'!$B$16,Paramètres!$A$1:$I$89,5,0)</f>
        <v>58.5</v>
      </c>
      <c r="FG20" s="13">
        <f t="shared" si="47"/>
        <v>16.788464942932801</v>
      </c>
      <c r="FH20" s="20">
        <f t="shared" si="22"/>
        <v>131.12740977560796</v>
      </c>
      <c r="FI20" s="59">
        <f t="shared" si="23"/>
        <v>424.4607431089413</v>
      </c>
      <c r="FJ20" s="59">
        <f ca="1">AVERAGE(OFFSET($FI$3,0,0,'Données projet'!$E$16+1,1))-AVERAGE(OFFSET($H$3,0,0,'Données projet'!$E$16+1,1))</f>
        <v>318.52984981739411</v>
      </c>
      <c r="FK20" s="59">
        <f t="shared" si="48"/>
        <v>311.56398336941714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16</v>
      </c>
      <c r="FZ20" s="12">
        <f>IF('Données projet'!$A$244&gt;35,FZ19+FY20-GH19,IF(A20&lt;'Données projet'!$A$244,$FW$205^A20,IF(A20='Données projet'!$A$244,'Données projet'!$B$244,FZ19+FY20-GH19)))</f>
        <v>75</v>
      </c>
      <c r="GA20" s="17">
        <f>FZ20*VLOOKUP('Données projet'!$B$17,Paramètres!$A$1:$I$89,3,0)*VLOOKUP('Données projet'!$B$17,Paramètres!$A$1:$I$89,5,0)</f>
        <v>59.67</v>
      </c>
      <c r="GB20" s="13">
        <f t="shared" si="49"/>
        <v>17.084807896591332</v>
      </c>
      <c r="GC20" s="20">
        <f t="shared" si="25"/>
        <v>133.68129041989656</v>
      </c>
      <c r="GD20" s="59">
        <f t="shared" si="26"/>
        <v>427.0146237532299</v>
      </c>
      <c r="GE20" s="59">
        <f ca="1">AVERAGE(OFFSET($GD$3,0,0,'Données projet'!$E$17+1,1))-AVERAGE(OFFSET($H$3,0,0,'Données projet'!$E$17+1,1))</f>
        <v>325.72928944930294</v>
      </c>
      <c r="GF20" s="59">
        <f t="shared" si="50"/>
        <v>318.38876834819752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16</v>
      </c>
      <c r="GU20" s="12">
        <f>IF('Données projet'!$A$270&gt;35,GU19+GT20-HC19,IF(A20&lt;'Données projet'!$A$270,$GR$205^A20,IF(A20='Données projet'!$A$270,'Données projet'!$B$270,GU19+GT20-HC19)))</f>
        <v>75</v>
      </c>
      <c r="GV20" s="17">
        <f>GU20*VLOOKUP('Données projet'!$B$18,Paramètres!$A$1:$I$89,3,0)*VLOOKUP('Données projet'!$B$18,Paramètres!$A$1:$I$89,5,0)</f>
        <v>50.31</v>
      </c>
      <c r="GW20" s="13">
        <f t="shared" si="51"/>
        <v>14.693789693291551</v>
      </c>
      <c r="GX20" s="20">
        <f t="shared" si="28"/>
        <v>113.21493371581612</v>
      </c>
      <c r="GY20" s="59">
        <f t="shared" si="29"/>
        <v>406.54826704914944</v>
      </c>
      <c r="GZ20" s="59">
        <f ca="1">AVERAGE(OFFSET($GY$3,0,0,'Données projet'!$E$18+1,1))-AVERAGE(OFFSET($H$3,0,0,'Données projet'!$E$18+1,1))</f>
        <v>268.04554291387961</v>
      </c>
      <c r="HA20" s="59">
        <f t="shared" si="52"/>
        <v>263.70463099437148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2.8666666666666667</v>
      </c>
      <c r="N21" s="13">
        <f>IF('Données projet'!$A$36&gt;35,N20+M21-V20,IF(A21&lt;'Données projet'!$A$36,$K$205^A21,IF(A21='Données projet'!$A$36,'Données projet'!$B$36,N20+M21-V20)))</f>
        <v>14.47768325206027</v>
      </c>
      <c r="O21" s="13">
        <f>N21*VLOOKUP('Données projet'!$B$9,Paramètres!$A$1:$I$89,3,0)*VLOOKUP('Données projet'!$B$9,Paramètres!$A$1:$I$89,5,0)</f>
        <v>6.3991359974106397</v>
      </c>
      <c r="P21" s="13">
        <f t="shared" si="33"/>
        <v>2.3759696072971819</v>
      </c>
      <c r="Q21" s="20">
        <f t="shared" si="2"/>
        <v>15.283308928199455</v>
      </c>
      <c r="R21" s="59">
        <f t="shared" si="0"/>
        <v>308.61664226153277</v>
      </c>
      <c r="S21" s="59">
        <f ca="1">AVERAGE(OFFSET($R$3,0,0,'Données projet'!$E$9+1,1))-AVERAGE(OFFSET($H$3,0,0,'Données projet'!$E$9+1,1))</f>
        <v>46.095319339746538</v>
      </c>
      <c r="T21" s="59">
        <f t="shared" si="34"/>
        <v>48.158174304064403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22.75</v>
      </c>
      <c r="AI21" s="13">
        <f>IF('Données projet'!$A$62&gt;35,AI20+AH21-AQ20,IF(A21&lt;'Données projet'!$A$62,$AF$205^A21,IF(A21='Données projet'!$A$62,'Données projet'!$B$62,AI20+AH21-AQ20)))</f>
        <v>130.5</v>
      </c>
      <c r="AJ21" s="13">
        <f>AI21*VLOOKUP('Données projet'!$B$10,Paramètres!$A$1:$I$89,3,0)*VLOOKUP('Données projet'!$B$10,Paramètres!$A$1:$I$89,5,0)</f>
        <v>78.039000000000001</v>
      </c>
      <c r="AK21" s="13">
        <f t="shared" si="35"/>
        <v>21.657019080358005</v>
      </c>
      <c r="AL21" s="20">
        <f t="shared" si="4"/>
        <v>173.63723323162355</v>
      </c>
      <c r="AM21" s="59">
        <f t="shared" si="5"/>
        <v>466.97056656495687</v>
      </c>
      <c r="AN21" s="59">
        <f ca="1">AVERAGE(OFFSET($AM$3,0,0,'Données projet'!$E$10+1,1))-AVERAGE(OFFSET($H$3,0,0,'Données projet'!$E$10+1,1))</f>
        <v>408.84545509668794</v>
      </c>
      <c r="AO21" s="59">
        <f t="shared" si="36"/>
        <v>409.9253979841132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5.7049157229522507</v>
      </c>
      <c r="AW21" s="21">
        <f>EXP(-LN(2)/2)*AW20+(1-EXP(-LN(2)/2))/(LN(2)/2)*AQ21*AT21*VLOOKUP('Données projet'!$B$10,Paramètres!$A$1:$I$89,3,0)*0.475*44/12</f>
        <v>3.2161058411239267</v>
      </c>
      <c r="AX21" s="21">
        <f t="shared" si="6"/>
        <v>8.9210215640761774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11.333333333333334</v>
      </c>
      <c r="BD21" s="12">
        <f>IF('Données projet'!$A$88&gt;35,BD20+BC21-BL20,IF(A21&lt;'Données projet'!$A$88,$BA$205^A21,IF(A21='Données projet'!$A$88,'Données projet'!$B$88,BD20+BC21-BL20)))</f>
        <v>114.33333333333334</v>
      </c>
      <c r="BE21" s="13">
        <f>BD21*VLOOKUP('Données projet'!$B$11,Paramètres!$A$1:$I$89,3,0)*VLOOKUP('Données projet'!$B$11,Paramètres!$A$1:$I$89,5,0)</f>
        <v>68.37133333333334</v>
      </c>
      <c r="BF21" s="13">
        <f t="shared" si="37"/>
        <v>19.268449754335993</v>
      </c>
      <c r="BG21" s="20">
        <f t="shared" si="7"/>
        <v>152.63928887769075</v>
      </c>
      <c r="BH21" s="59">
        <f t="shared" si="8"/>
        <v>445.97262221102403</v>
      </c>
      <c r="BI21" s="59">
        <f ca="1">AVERAGE(OFFSET($BH$3,0,0,'Données projet'!$E$11+1,1))-AVERAGE(OFFSET($H$3,0,0,'Données projet'!$E$11+1,1))</f>
        <v>279.69031306919914</v>
      </c>
      <c r="BJ21" s="59">
        <f t="shared" si="38"/>
        <v>297.01680128882509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3.112647966082124</v>
      </c>
      <c r="BR21" s="21">
        <f>EXP(-LN(2)/2)*BR20+(1-EXP(-LN(2)/2))/(LN(2)/2)*BL21*BO21*VLOOKUP('Données projet'!$B$11,Paramètres!$A$1:$I$89,3,0)*0.475*44/12</f>
        <v>2.8725855780282874</v>
      </c>
      <c r="BS21" s="22">
        <f t="shared" si="9"/>
        <v>5.985233544110411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6</v>
      </c>
      <c r="BY21" s="12">
        <f>IF('Données projet'!$A$114&gt;35,BY20+BX21-CG20,IF(A21&lt;'Données projet'!$A$114,$BV$205^A21,IF(A21='Données projet'!$A$114,'Données projet'!$B$114,BY20+BX21-CG20)))</f>
        <v>44</v>
      </c>
      <c r="BZ21" s="13">
        <f>BY21*VLOOKUP('Données projet'!$B$12,Paramètres!$A$1:$I$89,3,0)*VLOOKUP('Données projet'!$B$12,Paramètres!$A$1:$I$89,5,0)</f>
        <v>26.312000000000005</v>
      </c>
      <c r="CA21" s="13">
        <f t="shared" si="39"/>
        <v>8.2870510840880467</v>
      </c>
      <c r="CB21" s="20">
        <f t="shared" si="10"/>
        <v>60.260013971453361</v>
      </c>
      <c r="CC21" s="59">
        <f t="shared" si="11"/>
        <v>353.59334730478668</v>
      </c>
      <c r="CD21" s="59">
        <f ca="1">AVERAGE(OFFSET($CC$3,0,0,'Données projet'!$E$12+1,1))-AVERAGE(OFFSET($H$3,0,0,'Données projet'!$E$12+1,1))</f>
        <v>81.299024916151723</v>
      </c>
      <c r="CE21" s="59">
        <f t="shared" si="40"/>
        <v>88.106373324240167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0.80734198500335119</v>
      </c>
      <c r="CM21" s="21">
        <f>EXP(-LN(2)/2)*CM20+(1-EXP(-LN(2)/2))/(LN(2)/2)*CG21*CJ21*VLOOKUP('Données projet'!$B$12,Paramètres!$A$1:$I$89,3,0)*0.475*44/12</f>
        <v>0.54165993113666144</v>
      </c>
      <c r="CN21" s="22">
        <f t="shared" si="12"/>
        <v>1.3490019161400126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28.2</v>
      </c>
      <c r="CT21" s="12">
        <f>IF('Données projet'!$A$140&gt;35,CT20+CS21-DB20,IF(A21&lt;'Données projet'!$A$140,$CQ$205^A21,IF(A21='Données projet'!$A$140,'Données projet'!$B$140,CT20+CS21-DB20)))</f>
        <v>246.59999999999997</v>
      </c>
      <c r="CU21" s="17">
        <f>CT21*VLOOKUP('Données projet'!$B$13,Paramètres!$A$1:$I$89,3,0)*VLOOKUP('Données projet'!$B$13,Paramètres!$A$1:$I$89,5,0)</f>
        <v>137.84939999999997</v>
      </c>
      <c r="CV21" s="13">
        <f t="shared" si="41"/>
        <v>35.803890229822542</v>
      </c>
      <c r="CW21" s="20">
        <f t="shared" si="13"/>
        <v>302.44614715027416</v>
      </c>
      <c r="CX21" s="59">
        <f t="shared" si="14"/>
        <v>595.77948048360747</v>
      </c>
      <c r="CY21" s="59">
        <f ca="1">AVERAGE(OFFSET($CX$3,0,0,'Données projet'!$E$13+1,1))-AVERAGE(OFFSET($H$3,0,0,'Données projet'!$E$13+1,1))</f>
        <v>475.42482703895411</v>
      </c>
      <c r="CZ21" s="59">
        <f t="shared" si="42"/>
        <v>593.51433014569966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</v>
      </c>
      <c r="DO21" s="12">
        <f>IF('Données projet'!$A$166&gt;35,DO20+DN21-DW20,IF(A21&lt;'Données projet'!$A$166,$DL$205^A21,IF(A21='Données projet'!$A$166,'Données projet'!$B$166,DO20+DN21-DW20)))</f>
        <v>72</v>
      </c>
      <c r="DP21" s="17">
        <f>DO21*VLOOKUP('Données projet'!$B$14,Paramètres!$A$1:$I$89,3,0)*VLOOKUP('Données projet'!$B$14,Paramètres!$A$1:$I$89,5,0)</f>
        <v>65.145600000000002</v>
      </c>
      <c r="DQ21" s="13">
        <f t="shared" si="43"/>
        <v>18.462943001028204</v>
      </c>
      <c r="DR21" s="20">
        <f t="shared" si="16"/>
        <v>145.61821239345747</v>
      </c>
      <c r="DS21" s="59">
        <f t="shared" si="17"/>
        <v>438.95154572679075</v>
      </c>
      <c r="DT21" s="59">
        <f ca="1">AVERAGE(OFFSET($DS$3,0,0,'Données projet'!$E$14+1,1))-AVERAGE(OFFSET($H$3,0,0,'Données projet'!$E$14+1,1))</f>
        <v>401.17301323870578</v>
      </c>
      <c r="DU21" s="59">
        <f t="shared" si="44"/>
        <v>201.57993789149754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6.85</v>
      </c>
      <c r="EJ21" s="12">
        <f>IF('Données projet'!$A$192&gt;35,EJ20+EI21-ER20,IF(A21&lt;'Données projet'!$A$192,$EG$205^A21,IF(A21='Données projet'!$A$192,'Données projet'!$B$192,EJ20+EI21-ER20)))</f>
        <v>83.762283888507497</v>
      </c>
      <c r="EK21" s="17">
        <f>EJ21*VLOOKUP('Données projet'!$B$15,Paramètres!$A$1:$I$89,3,0)*VLOOKUP('Données projet'!$B$15,Paramètres!$A$1:$I$89,5,0)</f>
        <v>73.174731205000157</v>
      </c>
      <c r="EL21" s="13">
        <f t="shared" si="45"/>
        <v>20.459808499248883</v>
      </c>
      <c r="EM21" s="20">
        <f t="shared" si="19"/>
        <v>163.08015665156708</v>
      </c>
      <c r="EN21" s="59">
        <f t="shared" si="20"/>
        <v>456.41348998490037</v>
      </c>
      <c r="EO21" s="59">
        <f ca="1">AVERAGE(OFFSET($EN$3,0,0,'Données projet'!$E$15+1,1))-AVERAGE(OFFSET($H$3,0,0,'Données projet'!$E$15+1,1))</f>
        <v>237.8483058552178</v>
      </c>
      <c r="EP21" s="59">
        <f t="shared" si="46"/>
        <v>313.36201272119723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16</v>
      </c>
      <c r="FE21" s="12">
        <f>IF('Données projet'!$A$218&gt;35,FE20+FD21-FM20,IF(A21&lt;'Données projet'!$A$218,$FB$205^A21,IF(A21='Données projet'!$A$218,'Données projet'!$B$218,FE20+FD21-FM20)))</f>
        <v>91</v>
      </c>
      <c r="FF21" s="17">
        <f>FE21*VLOOKUP('Données projet'!$B$16,Paramètres!$A$1:$I$89,3,0)*VLOOKUP('Données projet'!$B$16,Paramètres!$A$1:$I$89,5,0)</f>
        <v>70.98</v>
      </c>
      <c r="FG21" s="13">
        <f t="shared" si="47"/>
        <v>19.916628839746853</v>
      </c>
      <c r="FH21" s="20">
        <f t="shared" si="22"/>
        <v>158.31162856255909</v>
      </c>
      <c r="FI21" s="59">
        <f t="shared" si="23"/>
        <v>451.64496189589238</v>
      </c>
      <c r="FJ21" s="59">
        <f ca="1">AVERAGE(OFFSET($FI$3,0,0,'Données projet'!$E$16+1,1))-AVERAGE(OFFSET($H$3,0,0,'Données projet'!$E$16+1,1))</f>
        <v>318.52984981739411</v>
      </c>
      <c r="FK21" s="59">
        <f t="shared" si="48"/>
        <v>311.56398336941714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16</v>
      </c>
      <c r="FZ21" s="12">
        <f>IF('Données projet'!$A$244&gt;35,FZ20+FY21-GH20,IF(A21&lt;'Données projet'!$A$244,$FW$205^A21,IF(A21='Données projet'!$A$244,'Données projet'!$B$244,FZ20+FY21-GH20)))</f>
        <v>91</v>
      </c>
      <c r="GA21" s="17">
        <f>FZ21*VLOOKUP('Données projet'!$B$17,Paramètres!$A$1:$I$89,3,0)*VLOOKUP('Données projet'!$B$17,Paramètres!$A$1:$I$89,5,0)</f>
        <v>72.399600000000007</v>
      </c>
      <c r="GB21" s="13">
        <f t="shared" si="49"/>
        <v>20.268188832715463</v>
      </c>
      <c r="GC21" s="20">
        <f t="shared" si="25"/>
        <v>161.39639888364613</v>
      </c>
      <c r="GD21" s="59">
        <f t="shared" si="26"/>
        <v>454.72973221697941</v>
      </c>
      <c r="GE21" s="59">
        <f ca="1">AVERAGE(OFFSET($GD$3,0,0,'Données projet'!$E$17+1,1))-AVERAGE(OFFSET($H$3,0,0,'Données projet'!$E$17+1,1))</f>
        <v>325.72928944930294</v>
      </c>
      <c r="GF21" s="59">
        <f t="shared" si="50"/>
        <v>318.38876834819752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16</v>
      </c>
      <c r="GU21" s="12">
        <f>IF('Données projet'!$A$270&gt;35,GU20+GT21-HC20,IF(A21&lt;'Données projet'!$A$270,$GR$205^A21,IF(A21='Données projet'!$A$270,'Données projet'!$B$270,GU20+GT21-HC20)))</f>
        <v>91</v>
      </c>
      <c r="GV21" s="17">
        <f>GU21*VLOOKUP('Données projet'!$B$18,Paramètres!$A$1:$I$89,3,0)*VLOOKUP('Données projet'!$B$18,Paramètres!$A$1:$I$89,5,0)</f>
        <v>61.042800000000007</v>
      </c>
      <c r="GW21" s="13">
        <f t="shared" si="51"/>
        <v>17.431656590722341</v>
      </c>
      <c r="GX21" s="20">
        <f t="shared" si="28"/>
        <v>136.67634522884143</v>
      </c>
      <c r="GY21" s="59">
        <f t="shared" si="29"/>
        <v>430.00967856217471</v>
      </c>
      <c r="GZ21" s="59">
        <f ca="1">AVERAGE(OFFSET($GY$3,0,0,'Données projet'!$E$18+1,1))-AVERAGE(OFFSET($H$3,0,0,'Données projet'!$E$18+1,1))</f>
        <v>268.04554291387961</v>
      </c>
      <c r="HA21" s="59">
        <f t="shared" si="52"/>
        <v>263.70463099437148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2.8666666666666667</v>
      </c>
      <c r="N22" s="13">
        <f>IF('Données projet'!$A$36&gt;35,N21+M22-V21,IF(A22&lt;'Données projet'!$A$36,$K$205^A22,IF(A22='Données projet'!$A$36,'Données projet'!$B$36,N21+M22-V21)))</f>
        <v>16.795090657912986</v>
      </c>
      <c r="O22" s="13">
        <f>N22*VLOOKUP('Données projet'!$B$9,Paramètres!$A$1:$I$89,3,0)*VLOOKUP('Données projet'!$B$9,Paramètres!$A$1:$I$89,5,0)</f>
        <v>7.4234300707975409</v>
      </c>
      <c r="P22" s="13">
        <f t="shared" si="33"/>
        <v>2.7090580341010382</v>
      </c>
      <c r="Q22" s="20">
        <f t="shared" si="2"/>
        <v>17.647416782698357</v>
      </c>
      <c r="R22" s="59">
        <f t="shared" si="0"/>
        <v>310.98075011603169</v>
      </c>
      <c r="S22" s="59">
        <f ca="1">AVERAGE(OFFSET($R$3,0,0,'Données projet'!$E$9+1,1))-AVERAGE(OFFSET($H$3,0,0,'Données projet'!$E$9+1,1))</f>
        <v>46.095319339746538</v>
      </c>
      <c r="T22" s="59">
        <f t="shared" si="34"/>
        <v>48.158174304064403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22.75</v>
      </c>
      <c r="AI22" s="13">
        <f>IF('Données projet'!$A$62&gt;35,AI21+AH22-AQ21,IF(A22&lt;'Données projet'!$A$62,$AF$205^A22,IF(A22='Données projet'!$A$62,'Données projet'!$B$62,AI21+AH22-AQ21)))</f>
        <v>153.25</v>
      </c>
      <c r="AJ22" s="13">
        <f>AI22*VLOOKUP('Données projet'!$B$10,Paramètres!$A$1:$I$89,3,0)*VLOOKUP('Données projet'!$B$10,Paramètres!$A$1:$I$89,5,0)</f>
        <v>91.643500000000003</v>
      </c>
      <c r="AK22" s="13">
        <f t="shared" si="35"/>
        <v>24.961179190385845</v>
      </c>
      <c r="AL22" s="20">
        <f t="shared" si="4"/>
        <v>203.08648292325532</v>
      </c>
      <c r="AM22" s="59">
        <f t="shared" si="5"/>
        <v>496.41981625658866</v>
      </c>
      <c r="AN22" s="59">
        <f ca="1">AVERAGE(OFFSET($AM$3,0,0,'Données projet'!$E$10+1,1))-AVERAGE(OFFSET($H$3,0,0,'Données projet'!$E$10+1,1))</f>
        <v>408.84545509668794</v>
      </c>
      <c r="AO22" s="59">
        <f t="shared" si="36"/>
        <v>409.9253979841132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5.5489145024996427</v>
      </c>
      <c r="AW22" s="21">
        <f>EXP(-LN(2)/2)*AW21+(1-EXP(-LN(2)/2))/(LN(2)/2)*AQ22*AT22*VLOOKUP('Données projet'!$B$10,Paramètres!$A$1:$I$89,3,0)*0.475*44/12</f>
        <v>2.2741302492723938</v>
      </c>
      <c r="AX22" s="21">
        <f t="shared" si="6"/>
        <v>7.8230447517720361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11.333333333333334</v>
      </c>
      <c r="BD22" s="12">
        <f>IF('Données projet'!$A$88&gt;35,BD21+BC22-BL21,IF(A22&lt;'Données projet'!$A$88,$BA$205^A22,IF(A22='Données projet'!$A$88,'Données projet'!$B$88,BD21+BC22-BL21)))</f>
        <v>125.66666666666667</v>
      </c>
      <c r="BE22" s="13">
        <f>BD22*VLOOKUP('Données projet'!$B$11,Paramètres!$A$1:$I$89,3,0)*VLOOKUP('Données projet'!$B$11,Paramètres!$A$1:$I$89,5,0)</f>
        <v>75.148666666666671</v>
      </c>
      <c r="BF22" s="13">
        <f t="shared" si="37"/>
        <v>20.946723857947624</v>
      </c>
      <c r="BG22" s="20">
        <f t="shared" si="7"/>
        <v>167.36613849703656</v>
      </c>
      <c r="BH22" s="59">
        <f t="shared" si="8"/>
        <v>460.69947183036987</v>
      </c>
      <c r="BI22" s="59">
        <f ca="1">AVERAGE(OFFSET($BH$3,0,0,'Données projet'!$E$11+1,1))-AVERAGE(OFFSET($H$3,0,0,'Données projet'!$E$11+1,1))</f>
        <v>279.69031306919914</v>
      </c>
      <c r="BJ22" s="59">
        <f t="shared" si="38"/>
        <v>297.01680128882509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3.0275324437625657</v>
      </c>
      <c r="BR22" s="21">
        <f>EXP(-LN(2)/2)*BR21+(1-EXP(-LN(2)/2))/(LN(2)/2)*BL22*BO22*VLOOKUP('Données projet'!$B$11,Paramètres!$A$1:$I$89,3,0)*0.475*44/12</f>
        <v>2.0312247417624807</v>
      </c>
      <c r="BS22" s="22">
        <f t="shared" si="9"/>
        <v>5.0587571855250459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6</v>
      </c>
      <c r="BY22" s="12">
        <f>IF('Données projet'!$A$114&gt;35,BY21+BX22-CG21,IF(A22&lt;'Données projet'!$A$114,$BV$205^A22,IF(A22='Données projet'!$A$114,'Données projet'!$B$114,BY21+BX22-CG21)))</f>
        <v>50</v>
      </c>
      <c r="BZ22" s="13">
        <f>BY22*VLOOKUP('Données projet'!$B$12,Paramètres!$A$1:$I$89,3,0)*VLOOKUP('Données projet'!$B$12,Paramètres!$A$1:$I$89,5,0)</f>
        <v>29.900000000000002</v>
      </c>
      <c r="CA22" s="13">
        <f t="shared" si="39"/>
        <v>9.2780162082062354</v>
      </c>
      <c r="CB22" s="20">
        <f t="shared" si="10"/>
        <v>68.235044895959192</v>
      </c>
      <c r="CC22" s="59">
        <f t="shared" si="11"/>
        <v>361.56837822929253</v>
      </c>
      <c r="CD22" s="59">
        <f ca="1">AVERAGE(OFFSET($CC$3,0,0,'Données projet'!$E$12+1,1))-AVERAGE(OFFSET($H$3,0,0,'Données projet'!$E$12+1,1))</f>
        <v>81.299024916151723</v>
      </c>
      <c r="CE22" s="59">
        <f t="shared" si="40"/>
        <v>88.106373324240167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0.78526517596716472</v>
      </c>
      <c r="CM22" s="21">
        <f>EXP(-LN(2)/2)*CM21+(1-EXP(-LN(2)/2))/(LN(2)/2)*CG22*CJ22*VLOOKUP('Données projet'!$B$12,Paramètres!$A$1:$I$89,3,0)*0.475*44/12</f>
        <v>0.38301141040377168</v>
      </c>
      <c r="CN22" s="22">
        <f t="shared" si="12"/>
        <v>1.1682765863709363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28.2</v>
      </c>
      <c r="CT22" s="12">
        <f>IF('Données projet'!$A$140&gt;35,CT21+CS22-DB21,IF(A22&lt;'Données projet'!$A$140,$CQ$205^A22,IF(A22='Données projet'!$A$140,'Données projet'!$B$140,CT21+CS22-DB21)))</f>
        <v>274.79999999999995</v>
      </c>
      <c r="CU22" s="17">
        <f>CT22*VLOOKUP('Données projet'!$B$13,Paramètres!$A$1:$I$89,3,0)*VLOOKUP('Données projet'!$B$13,Paramètres!$A$1:$I$89,5,0)</f>
        <v>153.61319999999998</v>
      </c>
      <c r="CV22" s="13">
        <f t="shared" si="41"/>
        <v>39.398557339898318</v>
      </c>
      <c r="CW22" s="20">
        <f t="shared" si="13"/>
        <v>336.16214403365615</v>
      </c>
      <c r="CX22" s="59">
        <f t="shared" si="14"/>
        <v>629.49547736698946</v>
      </c>
      <c r="CY22" s="59">
        <f ca="1">AVERAGE(OFFSET($CX$3,0,0,'Données projet'!$E$13+1,1))-AVERAGE(OFFSET($H$3,0,0,'Données projet'!$E$13+1,1))</f>
        <v>475.42482703895411</v>
      </c>
      <c r="CZ22" s="59">
        <f t="shared" si="42"/>
        <v>593.51433014569966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</v>
      </c>
      <c r="DO22" s="12">
        <f>IF('Données projet'!$A$166&gt;35,DO21+DN22-DW21,IF(A22&lt;'Données projet'!$A$166,$DL$205^A22,IF(A22='Données projet'!$A$166,'Données projet'!$B$166,DO21+DN22-DW21)))</f>
        <v>76</v>
      </c>
      <c r="DP22" s="17">
        <f>DO22*VLOOKUP('Données projet'!$B$14,Paramètres!$A$1:$I$89,3,0)*VLOOKUP('Données projet'!$B$14,Paramètres!$A$1:$I$89,5,0)</f>
        <v>68.764799999999994</v>
      </c>
      <c r="DQ22" s="13">
        <f t="shared" si="43"/>
        <v>19.366396769521369</v>
      </c>
      <c r="DR22" s="20">
        <f t="shared" si="16"/>
        <v>153.49516770691636</v>
      </c>
      <c r="DS22" s="59">
        <f t="shared" si="17"/>
        <v>446.82850104024965</v>
      </c>
      <c r="DT22" s="59">
        <f ca="1">AVERAGE(OFFSET($DS$3,0,0,'Données projet'!$E$14+1,1))-AVERAGE(OFFSET($H$3,0,0,'Données projet'!$E$14+1,1))</f>
        <v>401.17301323870578</v>
      </c>
      <c r="DU22" s="59">
        <f t="shared" si="44"/>
        <v>201.57993789149754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6.85</v>
      </c>
      <c r="EJ22" s="12">
        <f>IF('Données projet'!$A$192&gt;35,EJ21+EI22-ER21,IF(A22&lt;'Données projet'!$A$192,$EG$205^A22,IF(A22='Données projet'!$A$192,'Données projet'!$B$192,EJ21+EI22-ER21)))</f>
        <v>107.12344697929356</v>
      </c>
      <c r="EK22" s="17">
        <f>EJ22*VLOOKUP('Données projet'!$B$15,Paramètres!$A$1:$I$89,3,0)*VLOOKUP('Données projet'!$B$15,Paramètres!$A$1:$I$89,5,0)</f>
        <v>93.583043281110861</v>
      </c>
      <c r="EL22" s="13">
        <f t="shared" si="45"/>
        <v>25.427395556812755</v>
      </c>
      <c r="EM22" s="20">
        <f t="shared" si="19"/>
        <v>207.27651430938363</v>
      </c>
      <c r="EN22" s="59">
        <f t="shared" si="20"/>
        <v>500.60984764271694</v>
      </c>
      <c r="EO22" s="59">
        <f ca="1">AVERAGE(OFFSET($EN$3,0,0,'Données projet'!$E$15+1,1))-AVERAGE(OFFSET($H$3,0,0,'Données projet'!$E$15+1,1))</f>
        <v>237.8483058552178</v>
      </c>
      <c r="EP22" s="59">
        <f t="shared" si="46"/>
        <v>313.36201272119723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16</v>
      </c>
      <c r="FE22" s="12">
        <f>IF('Données projet'!$A$218&gt;35,FE21+FD22-FM21,IF(A22&lt;'Données projet'!$A$218,$FB$205^A22,IF(A22='Données projet'!$A$218,'Données projet'!$B$218,FE21+FD22-FM21)))</f>
        <v>107</v>
      </c>
      <c r="FF22" s="17">
        <f>FE22*VLOOKUP('Données projet'!$B$16,Paramètres!$A$1:$I$89,3,0)*VLOOKUP('Données projet'!$B$16,Paramètres!$A$1:$I$89,5,0)</f>
        <v>83.460000000000008</v>
      </c>
      <c r="FG22" s="13">
        <f t="shared" si="47"/>
        <v>22.981076147201239</v>
      </c>
      <c r="FH22" s="20">
        <f t="shared" si="22"/>
        <v>185.38487428970882</v>
      </c>
      <c r="FI22" s="59">
        <f t="shared" si="23"/>
        <v>478.71820762304213</v>
      </c>
      <c r="FJ22" s="59">
        <f ca="1">AVERAGE(OFFSET($FI$3,0,0,'Données projet'!$E$16+1,1))-AVERAGE(OFFSET($H$3,0,0,'Données projet'!$E$16+1,1))</f>
        <v>318.52984981739411</v>
      </c>
      <c r="FK22" s="59">
        <f t="shared" si="48"/>
        <v>311.56398336941714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16</v>
      </c>
      <c r="FZ22" s="12">
        <f>IF('Données projet'!$A$244&gt;35,FZ21+FY22-GH21,IF(A22&lt;'Données projet'!$A$244,$FW$205^A22,IF(A22='Données projet'!$A$244,'Données projet'!$B$244,FZ21+FY22-GH21)))</f>
        <v>107</v>
      </c>
      <c r="GA22" s="17">
        <f>FZ22*VLOOKUP('Données projet'!$B$17,Paramètres!$A$1:$I$89,3,0)*VLOOKUP('Données projet'!$B$17,Paramètres!$A$1:$I$89,5,0)</f>
        <v>85.129199999999997</v>
      </c>
      <c r="GB22" s="13">
        <f t="shared" si="49"/>
        <v>23.386728480923388</v>
      </c>
      <c r="GC22" s="20">
        <f t="shared" si="25"/>
        <v>188.99857543760822</v>
      </c>
      <c r="GD22" s="59">
        <f t="shared" si="26"/>
        <v>482.33190877094154</v>
      </c>
      <c r="GE22" s="59">
        <f ca="1">AVERAGE(OFFSET($GD$3,0,0,'Données projet'!$E$17+1,1))-AVERAGE(OFFSET($H$3,0,0,'Données projet'!$E$17+1,1))</f>
        <v>325.72928944930294</v>
      </c>
      <c r="GF22" s="59">
        <f t="shared" si="50"/>
        <v>318.38876834819752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16</v>
      </c>
      <c r="GU22" s="12">
        <f>IF('Données projet'!$A$270&gt;35,GU21+GT22-HC21,IF(A22&lt;'Données projet'!$A$270,$GR$205^A22,IF(A22='Données projet'!$A$270,'Données projet'!$B$270,GU21+GT22-HC21)))</f>
        <v>107</v>
      </c>
      <c r="GV22" s="17">
        <f>GU22*VLOOKUP('Données projet'!$B$18,Paramètres!$A$1:$I$89,3,0)*VLOOKUP('Données projet'!$B$18,Paramètres!$A$1:$I$89,5,0)</f>
        <v>71.775599999999997</v>
      </c>
      <c r="GW22" s="13">
        <f t="shared" si="51"/>
        <v>20.113756735968991</v>
      </c>
      <c r="GX22" s="20">
        <f t="shared" si="28"/>
        <v>160.04062964847932</v>
      </c>
      <c r="GY22" s="59">
        <f t="shared" si="29"/>
        <v>453.37396298181261</v>
      </c>
      <c r="GZ22" s="59">
        <f ca="1">AVERAGE(OFFSET($GY$3,0,0,'Données projet'!$E$18+1,1))-AVERAGE(OFFSET($H$3,0,0,'Données projet'!$E$18+1,1))</f>
        <v>268.04554291387961</v>
      </c>
      <c r="HA22" s="59">
        <f t="shared" si="52"/>
        <v>263.70463099437148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2.8666666666666667</v>
      </c>
      <c r="N23" s="13">
        <f>IF('Données projet'!$A$36&gt;35,N22+M23-V22,IF(A23&lt;'Données projet'!$A$36,$K$205^A23,IF(A23='Données projet'!$A$36,'Données projet'!$B$36,N22+M23-V22)))</f>
        <v>19.483439808463476</v>
      </c>
      <c r="O23" s="13">
        <f>N23*VLOOKUP('Données projet'!$B$9,Paramètres!$A$1:$I$89,3,0)*VLOOKUP('Données projet'!$B$9,Paramètres!$A$1:$I$89,5,0)</f>
        <v>8.6116803953408585</v>
      </c>
      <c r="P23" s="13">
        <f t="shared" si="33"/>
        <v>3.0888423023541782</v>
      </c>
      <c r="Q23" s="20">
        <f t="shared" si="2"/>
        <v>20.378410365152188</v>
      </c>
      <c r="R23" s="59">
        <f t="shared" si="0"/>
        <v>313.71174369848552</v>
      </c>
      <c r="S23" s="59">
        <f ca="1">AVERAGE(OFFSET($R$3,0,0,'Données projet'!$E$9+1,1))-AVERAGE(OFFSET($H$3,0,0,'Données projet'!$E$9+1,1))</f>
        <v>46.095319339746538</v>
      </c>
      <c r="T23" s="59">
        <f t="shared" si="34"/>
        <v>48.158174304064403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176</v>
      </c>
      <c r="AG23" s="12">
        <f>VLOOKUP(A23,'Données projet'!$A$61:$I$81,9,0)</f>
        <v>22.75</v>
      </c>
      <c r="AH23" s="12">
        <f t="array" ref="AH23">INDEX(AG:AG,MIN(IF(ISNUMBER(AG23:AG219),ROW(AG23:AG219),"")))</f>
        <v>22.75</v>
      </c>
      <c r="AI23" s="13">
        <f>IF('Données projet'!$A$62&gt;35,AI22+AH23-AQ22,IF(A23&lt;'Données projet'!$A$62,$AF$205^A23,IF(A23='Données projet'!$A$62,'Données projet'!$B$62,AI22+AH23-AQ22)))</f>
        <v>176</v>
      </c>
      <c r="AJ23" s="13">
        <f>AI23*VLOOKUP('Données projet'!$B$10,Paramètres!$A$1:$I$89,3,0)*VLOOKUP('Données projet'!$B$10,Paramètres!$A$1:$I$89,5,0)</f>
        <v>105.24800000000002</v>
      </c>
      <c r="AK23" s="13">
        <f t="shared" si="35"/>
        <v>28.208515027560551</v>
      </c>
      <c r="AL23" s="20">
        <f t="shared" si="4"/>
        <v>232.43676367300131</v>
      </c>
      <c r="AM23" s="59">
        <f t="shared" si="5"/>
        <v>525.77009700633459</v>
      </c>
      <c r="AN23" s="59">
        <f ca="1">AVERAGE(OFFSET($AM$3,0,0,'Données projet'!$E$10+1,1))-AVERAGE(OFFSET($H$3,0,0,'Données projet'!$E$10+1,1))</f>
        <v>408.84545509668794</v>
      </c>
      <c r="AO23" s="59">
        <f t="shared" si="36"/>
        <v>409.9253979841132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35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0.27</v>
      </c>
      <c r="AT23" s="16">
        <f>IF(ISNA(VLOOKUP(A23,'Données projet'!$A$61:$I$81,7,0)),0%,VLOOKUP(A23,'Données projet'!$A$61:$I$81,7,0))</f>
        <v>0.4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12.864210770321861</v>
      </c>
      <c r="AW23" s="21">
        <f>EXP(-LN(2)/2)*AW22+(1-EXP(-LN(2)/2))/(LN(2)/2)*AQ23*AT23*VLOOKUP('Données projet'!$B$10,Paramètres!$A$1:$I$89,3,0)*0.475*44/12</f>
        <v>11.087101715453537</v>
      </c>
      <c r="AX23" s="21">
        <f t="shared" si="6"/>
        <v>23.951312485775397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137</v>
      </c>
      <c r="BB23" s="12">
        <f>VLOOKUP(A23,'Données projet'!$A$87:$I$107,9,0)</f>
        <v>11.333333333333334</v>
      </c>
      <c r="BC23" s="12">
        <f t="array" ref="BC23">INDEX(BB:BB,MIN(IF(ISNUMBER(BB23:BB219),ROW(BB23:BB219),"")))</f>
        <v>11.333333333333334</v>
      </c>
      <c r="BD23" s="12">
        <f>IF('Données projet'!$A$88&gt;35,BD22+BC23-BL22,IF(A23&lt;'Données projet'!$A$88,$BA$205^A23,IF(A23='Données projet'!$A$88,'Données projet'!$B$88,BD22+BC23-BL22)))</f>
        <v>137</v>
      </c>
      <c r="BE23" s="13">
        <f>BD23*VLOOKUP('Données projet'!$B$11,Paramètres!$A$1:$I$89,3,0)*VLOOKUP('Données projet'!$B$11,Paramètres!$A$1:$I$89,5,0)</f>
        <v>81.926000000000002</v>
      </c>
      <c r="BF23" s="13">
        <f t="shared" si="37"/>
        <v>22.607447146245146</v>
      </c>
      <c r="BG23" s="20">
        <f t="shared" si="7"/>
        <v>182.06242044637693</v>
      </c>
      <c r="BH23" s="59">
        <f t="shared" si="8"/>
        <v>475.39575377971028</v>
      </c>
      <c r="BI23" s="59">
        <f ca="1">AVERAGE(OFFSET($BH$3,0,0,'Données projet'!$E$11+1,1))-AVERAGE(OFFSET($H$3,0,0,'Données projet'!$E$11+1,1))</f>
        <v>279.69031306919914</v>
      </c>
      <c r="BJ23" s="59">
        <f t="shared" si="38"/>
        <v>297.01680128882509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15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0.27</v>
      </c>
      <c r="BO23" s="16">
        <f>IF(ISNA(VLOOKUP(A23,'Données projet'!$A$87:$I$107,7,0)),0%,VLOOKUP(A23,'Données projet'!$A$87:$I$107,7,0))</f>
        <v>0.4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6.1449008213187817</v>
      </c>
      <c r="BR23" s="21">
        <f>EXP(-LN(2)/2)*BR22+(1-EXP(-LN(2)/2))/(LN(2)/2)*BL23*BO23*VLOOKUP('Données projet'!$B$11,Paramètres!$A$1:$I$89,3,0)*0.475*44/12</f>
        <v>5.4987422725391042</v>
      </c>
      <c r="BS23" s="22">
        <f t="shared" si="9"/>
        <v>11.643643093857886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56</v>
      </c>
      <c r="BW23" s="12">
        <f>VLOOKUP(A23,'Données projet'!$A$113:$I$133,9,0)</f>
        <v>6</v>
      </c>
      <c r="BX23" s="12">
        <f t="array" ref="BX23">INDEX(BW:BW,MIN(IF(ISNUMBER(BW23:BW219),ROW(BW23:BW219),"")))</f>
        <v>6</v>
      </c>
      <c r="BY23" s="12">
        <f>IF('Données projet'!$A$114&gt;35,BY22+BX23-CG22,IF(A23&lt;'Données projet'!$A$114,$BV$205^A23,IF(A23='Données projet'!$A$114,'Données projet'!$B$114,BY22+BX23-CG22)))</f>
        <v>56</v>
      </c>
      <c r="BZ23" s="13">
        <f>BY23*VLOOKUP('Données projet'!$B$12,Paramètres!$A$1:$I$89,3,0)*VLOOKUP('Données projet'!$B$12,Paramètres!$A$1:$I$89,5,0)</f>
        <v>33.488000000000007</v>
      </c>
      <c r="CA23" s="13">
        <f t="shared" si="39"/>
        <v>10.255200877844667</v>
      </c>
      <c r="CB23" s="20">
        <f t="shared" si="10"/>
        <v>76.18607486224613</v>
      </c>
      <c r="CC23" s="59">
        <f t="shared" si="11"/>
        <v>369.51940819557944</v>
      </c>
      <c r="CD23" s="59">
        <f ca="1">AVERAGE(OFFSET($CC$3,0,0,'Données projet'!$E$12+1,1))-AVERAGE(OFFSET($H$3,0,0,'Données projet'!$E$12+1,1))</f>
        <v>81.299024916151723</v>
      </c>
      <c r="CE23" s="59">
        <f t="shared" si="40"/>
        <v>88.106373324240167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0.27</v>
      </c>
      <c r="CJ23" s="16">
        <f>IF(ISNA(VLOOKUP(A23,'Données projet'!$A$113:$I$133,7,0)),0%,VLOOKUP(A23,'Données projet'!$A$113:$I$133,7,0))</f>
        <v>0.4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1.8305108622490132</v>
      </c>
      <c r="CM23" s="21">
        <f>EXP(-LN(2)/2)*CM22+(1-EXP(-LN(2)/2))/(LN(2)/2)*CG23*CJ23*VLOOKUP('Données projet'!$B$12,Paramètres!$A$1:$I$89,3,0)*0.475*44/12</f>
        <v>1.6249797934099841</v>
      </c>
      <c r="CN23" s="22">
        <f t="shared" si="12"/>
        <v>3.4554906556589975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303</v>
      </c>
      <c r="CR23" s="12">
        <f>VLOOKUP(A23,'Données projet'!$A$139:$I$159,9,0)</f>
        <v>28.2</v>
      </c>
      <c r="CS23" s="12">
        <f t="array" ref="CS23">INDEX(CR:CR,MIN(IF(ISNUMBER(CR23:CR219),ROW(CR23:CR219),"")))</f>
        <v>28.2</v>
      </c>
      <c r="CT23" s="12">
        <f>IF('Données projet'!$A$140&gt;35,CT22+CS23-DB22,IF(A23&lt;'Données projet'!$A$140,$CQ$205^A23,IF(A23='Données projet'!$A$140,'Données projet'!$B$140,CT22+CS23-DB22)))</f>
        <v>302.99999999999994</v>
      </c>
      <c r="CU23" s="17">
        <f>CT23*VLOOKUP('Données projet'!$B$13,Paramètres!$A$1:$I$89,3,0)*VLOOKUP('Données projet'!$B$13,Paramètres!$A$1:$I$89,5,0)</f>
        <v>169.37699999999995</v>
      </c>
      <c r="CV23" s="13">
        <f t="shared" si="41"/>
        <v>42.950462509094685</v>
      </c>
      <c r="CW23" s="20">
        <f t="shared" si="13"/>
        <v>369.80366387000646</v>
      </c>
      <c r="CX23" s="59">
        <f t="shared" si="14"/>
        <v>663.13699720333977</v>
      </c>
      <c r="CY23" s="59">
        <f ca="1">AVERAGE(OFFSET($CX$3,0,0,'Données projet'!$E$13+1,1))-AVERAGE(OFFSET($H$3,0,0,'Données projet'!$E$13+1,1))</f>
        <v>475.42482703895411</v>
      </c>
      <c r="CZ23" s="59">
        <f t="shared" si="42"/>
        <v>593.51433014569966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43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0.33</v>
      </c>
      <c r="DE23" s="16">
        <f>IF(ISNA(VLOOKUP(A23,'Données projet'!$A$139:$I$159,7,0)),0%,VLOOKUP(A23,'Données projet'!$A$139:$I$159,7,0))</f>
        <v>0.4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10.481156401339309</v>
      </c>
      <c r="DH23" s="21">
        <f>EXP(-LN(2)/2)*DH22+(1-EXP(-LN(2)/2))/(LN(2)/2)*DB23*DE23*VLOOKUP('Données projet'!$B$13,Paramètres!$A$1:$I$89,3,0)*0.475*44/12</f>
        <v>10.886187094257464</v>
      </c>
      <c r="DI23" s="22">
        <f t="shared" si="15"/>
        <v>21.367343495596771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4</v>
      </c>
      <c r="DO23" s="12">
        <f>IF('Données projet'!$A$166&gt;35,DO22+DN23-DW22,IF(A23&lt;'Données projet'!$A$166,$DL$205^A23,IF(A23='Données projet'!$A$166,'Données projet'!$B$166,DO22+DN23-DW22)))</f>
        <v>80</v>
      </c>
      <c r="DP23" s="17">
        <f>DO23*VLOOKUP('Données projet'!$B$14,Paramètres!$A$1:$I$89,3,0)*VLOOKUP('Données projet'!$B$14,Paramètres!$A$1:$I$89,5,0)</f>
        <v>72.384</v>
      </c>
      <c r="DQ23" s="13">
        <f t="shared" si="43"/>
        <v>20.264329923804397</v>
      </c>
      <c r="DR23" s="20">
        <f t="shared" si="16"/>
        <v>161.362507950626</v>
      </c>
      <c r="DS23" s="59">
        <f t="shared" si="17"/>
        <v>454.69584128395934</v>
      </c>
      <c r="DT23" s="59">
        <f ca="1">AVERAGE(OFFSET($DS$3,0,0,'Données projet'!$E$14+1,1))-AVERAGE(OFFSET($H$3,0,0,'Données projet'!$E$14+1,1))</f>
        <v>401.17301323870578</v>
      </c>
      <c r="DU23" s="59">
        <f t="shared" si="44"/>
        <v>201.57993789149754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137</v>
      </c>
      <c r="EH23" s="12">
        <f>VLOOKUP(A23,'Données projet'!$A$191:$I$211,9,0)</f>
        <v>6.85</v>
      </c>
      <c r="EI23" s="12">
        <f t="array" ref="EI23">INDEX(EH:EH,MIN(IF(ISNUMBER(EH23:EH219),ROW(EH23:EH219),"")))</f>
        <v>6.85</v>
      </c>
      <c r="EJ23" s="12">
        <f>IF('Données projet'!$A$192&gt;35,EJ22+EI23-ER22,IF(A23&lt;'Données projet'!$A$192,$EG$205^A23,IF(A23='Données projet'!$A$192,'Données projet'!$B$192,EJ22+EI23-ER22)))</f>
        <v>137</v>
      </c>
      <c r="EK23" s="17">
        <f>EJ23*VLOOKUP('Données projet'!$B$15,Paramètres!$A$1:$I$89,3,0)*VLOOKUP('Données projet'!$B$15,Paramètres!$A$1:$I$89,5,0)</f>
        <v>119.68320000000003</v>
      </c>
      <c r="EL23" s="13">
        <f t="shared" si="45"/>
        <v>31.601099532596194</v>
      </c>
      <c r="EM23" s="20">
        <f t="shared" si="19"/>
        <v>263.48682168593842</v>
      </c>
      <c r="EN23" s="59">
        <f t="shared" si="20"/>
        <v>556.82015501927174</v>
      </c>
      <c r="EO23" s="59">
        <f ca="1">AVERAGE(OFFSET($EN$3,0,0,'Données projet'!$E$15+1,1))-AVERAGE(OFFSET($H$3,0,0,'Données projet'!$E$15+1,1))</f>
        <v>237.8483058552178</v>
      </c>
      <c r="EP23" s="59">
        <f t="shared" si="46"/>
        <v>313.36201272119723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43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123</v>
      </c>
      <c r="FC23" s="12">
        <f>VLOOKUP(A23,'Données projet'!$A$217:$I$237,9,0)</f>
        <v>16</v>
      </c>
      <c r="FD23" s="12">
        <f t="array" ref="FD23">INDEX(FC:FC,MIN(IF(ISNUMBER(FC23:FC219),ROW(FC23:FC219),"")))</f>
        <v>16</v>
      </c>
      <c r="FE23" s="12">
        <f>IF('Données projet'!$A$218&gt;35,FE22+FD23-FM22,IF(A23&lt;'Données projet'!$A$218,$FB$205^A23,IF(A23='Données projet'!$A$218,'Données projet'!$B$218,FE22+FD23-FM22)))</f>
        <v>123</v>
      </c>
      <c r="FF23" s="17">
        <f>FE23*VLOOKUP('Données projet'!$B$16,Paramètres!$A$1:$I$89,3,0)*VLOOKUP('Données projet'!$B$16,Paramètres!$A$1:$I$89,5,0)</f>
        <v>95.94</v>
      </c>
      <c r="FG23" s="13">
        <f t="shared" si="47"/>
        <v>25.992437734025188</v>
      </c>
      <c r="FH23" s="20">
        <f t="shared" si="22"/>
        <v>212.3656623867605</v>
      </c>
      <c r="FI23" s="59">
        <f t="shared" si="23"/>
        <v>505.69899572009382</v>
      </c>
      <c r="FJ23" s="59">
        <f ca="1">AVERAGE(OFFSET($FI$3,0,0,'Données projet'!$E$16+1,1))-AVERAGE(OFFSET($H$3,0,0,'Données projet'!$E$16+1,1))</f>
        <v>318.52984981739411</v>
      </c>
      <c r="FK23" s="59">
        <f t="shared" si="48"/>
        <v>311.56398336941714</v>
      </c>
      <c r="FL23" s="15">
        <f>IF(ISNA(VLOOKUP(A23,'Données projet'!$A$217:$I$237,3,0)),0,VLOOKUP(A23,'Données projet'!$A$217:$I$237,3,0))</f>
        <v>3</v>
      </c>
      <c r="FM23" s="15">
        <f>IF(ISNA(VLOOKUP(A23,'Données projet'!$A$217:$I$237,4,0)),0,VLOOKUP(A23,'Données projet'!$A$217:$I$237,4,0))</f>
        <v>42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>
        <f>VLOOKUP(A23,'Données projet'!$A$243:$I$263,2,0)</f>
        <v>123</v>
      </c>
      <c r="FX23" s="12">
        <f>VLOOKUP(A23,'Données projet'!$A$243:$I$263,9,0)</f>
        <v>16</v>
      </c>
      <c r="FY23" s="12">
        <f t="array" ref="FY23">INDEX(FX:FX,MIN(IF(ISNUMBER(FX23:FX219),ROW(FX23:FX219),"")))</f>
        <v>16</v>
      </c>
      <c r="FZ23" s="12">
        <f>IF('Données projet'!$A$244&gt;35,FZ22+FY23-GH22,IF(A23&lt;'Données projet'!$A$244,$FW$205^A23,IF(A23='Données projet'!$A$244,'Données projet'!$B$244,FZ22+FY23-GH22)))</f>
        <v>123</v>
      </c>
      <c r="GA23" s="17">
        <f>FZ23*VLOOKUP('Données projet'!$B$17,Paramètres!$A$1:$I$89,3,0)*VLOOKUP('Données projet'!$B$17,Paramètres!$A$1:$I$89,5,0)</f>
        <v>97.858800000000016</v>
      </c>
      <c r="GB23" s="13">
        <f t="shared" si="49"/>
        <v>26.45124536158788</v>
      </c>
      <c r="GC23" s="20">
        <f t="shared" si="25"/>
        <v>216.50666233809889</v>
      </c>
      <c r="GD23" s="59">
        <f t="shared" si="26"/>
        <v>509.83999567143223</v>
      </c>
      <c r="GE23" s="59">
        <f ca="1">AVERAGE(OFFSET($GD$3,0,0,'Données projet'!$E$17+1,1))-AVERAGE(OFFSET($H$3,0,0,'Données projet'!$E$17+1,1))</f>
        <v>325.72928944930294</v>
      </c>
      <c r="GF23" s="59">
        <f t="shared" si="50"/>
        <v>318.38876834819752</v>
      </c>
      <c r="GG23" s="15">
        <f>IF(ISNA(VLOOKUP(A23,'Données projet'!$A$243:$I$263,3,0)),0,VLOOKUP(A23,'Données projet'!$A$243:$I$263,3,0))</f>
        <v>3</v>
      </c>
      <c r="GH23" s="15">
        <f>IF(ISNA(VLOOKUP(A23,'Données projet'!$A$243:$I$263,4,0)),0,VLOOKUP(A23,'Données projet'!$A$243:$I$263,4,0))</f>
        <v>42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>
        <f>VLOOKUP(A23,'Données projet'!$A$269:$I$289,2,0)</f>
        <v>123</v>
      </c>
      <c r="GS23" s="12">
        <f>VLOOKUP(A23,'Données projet'!$A$269:$I$289,9,0)</f>
        <v>16</v>
      </c>
      <c r="GT23" s="12">
        <f t="array" ref="GT23">INDEX(GS:GS,MIN(IF(ISNUMBER(GS23:GS219),ROW(GS23:GS219),"")))</f>
        <v>16</v>
      </c>
      <c r="GU23" s="12">
        <f>IF('Données projet'!$A$270&gt;35,GU22+GT23-HC22,IF(A23&lt;'Données projet'!$A$270,$GR$205^A23,IF(A23='Données projet'!$A$270,'Données projet'!$B$270,GU22+GT23-HC22)))</f>
        <v>123</v>
      </c>
      <c r="GV23" s="17">
        <f>GU23*VLOOKUP('Données projet'!$B$18,Paramètres!$A$1:$I$89,3,0)*VLOOKUP('Données projet'!$B$18,Paramètres!$A$1:$I$89,5,0)</f>
        <v>82.508400000000009</v>
      </c>
      <c r="GW23" s="13">
        <f t="shared" si="51"/>
        <v>22.749394597897183</v>
      </c>
      <c r="GX23" s="20">
        <f t="shared" si="28"/>
        <v>183.32399225800427</v>
      </c>
      <c r="GY23" s="59">
        <f t="shared" si="29"/>
        <v>476.65732559133755</v>
      </c>
      <c r="GZ23" s="59">
        <f ca="1">AVERAGE(OFFSET($GY$3,0,0,'Données projet'!$E$18+1,1))-AVERAGE(OFFSET($H$3,0,0,'Données projet'!$E$18+1,1))</f>
        <v>268.04554291387961</v>
      </c>
      <c r="HA23" s="59">
        <f t="shared" si="52"/>
        <v>263.70463099437148</v>
      </c>
      <c r="HB23" s="15">
        <f>IF(ISNA(VLOOKUP(A23,'Données projet'!$A$269:$I$289,3,0)),0,VLOOKUP(A23,'Données projet'!$A$269:$I$289,3,0))</f>
        <v>3</v>
      </c>
      <c r="HC23" s="15">
        <f>IF(ISNA(VLOOKUP(A23,'Données projet'!$A$269:$I$289,4,0)),0,VLOOKUP(A23,'Données projet'!$A$269:$I$289,4,0))</f>
        <v>42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2.8666666666666667</v>
      </c>
      <c r="N24" s="13">
        <f>IF('Données projet'!$A$36&gt;35,N23+M24-V23,IF(A24&lt;'Données projet'!$A$36,$K$205^A24,IF(A24='Données projet'!$A$36,'Données projet'!$B$36,N23+M24-V23)))</f>
        <v>22.602106443002093</v>
      </c>
      <c r="O24" s="13">
        <f>N24*VLOOKUP('Données projet'!$B$9,Paramètres!$A$1:$I$89,3,0)*VLOOKUP('Données projet'!$B$9,Paramètres!$A$1:$I$89,5,0)</f>
        <v>9.9901310478069263</v>
      </c>
      <c r="P24" s="13">
        <f t="shared" si="33"/>
        <v>3.5218687265880924</v>
      </c>
      <c r="Q24" s="20">
        <f t="shared" si="2"/>
        <v>23.533399607071321</v>
      </c>
      <c r="R24" s="59">
        <f t="shared" si="0"/>
        <v>316.86673294040463</v>
      </c>
      <c r="S24" s="59">
        <f ca="1">AVERAGE(OFFSET($R$3,0,0,'Données projet'!$E$9+1,1))-AVERAGE(OFFSET($H$3,0,0,'Données projet'!$E$9+1,1))</f>
        <v>46.095319339746538</v>
      </c>
      <c r="T24" s="59">
        <f t="shared" si="34"/>
        <v>48.158174304064403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28.75</v>
      </c>
      <c r="AI24" s="13">
        <f>IF('Données projet'!$A$62&gt;35,AI23+AH24-AQ23,IF(A24&lt;'Données projet'!$A$62,$AF$205^A24,IF(A24='Données projet'!$A$62,'Données projet'!$B$62,AI23+AH24-AQ23)))</f>
        <v>169.75</v>
      </c>
      <c r="AJ24" s="13">
        <f>AI24*VLOOKUP('Données projet'!$B$10,Paramètres!$A$1:$I$89,3,0)*VLOOKUP('Données projet'!$B$10,Paramètres!$A$1:$I$89,5,0)</f>
        <v>101.51050000000001</v>
      </c>
      <c r="AK24" s="13">
        <f t="shared" si="35"/>
        <v>27.321538755042234</v>
      </c>
      <c r="AL24" s="20">
        <f t="shared" si="4"/>
        <v>224.38246749836523</v>
      </c>
      <c r="AM24" s="59">
        <f t="shared" si="5"/>
        <v>517.71580083169852</v>
      </c>
      <c r="AN24" s="59">
        <f ca="1">AVERAGE(OFFSET($AM$3,0,0,'Données projet'!$E$10+1,1))-AVERAGE(OFFSET($H$3,0,0,'Données projet'!$E$10+1,1))</f>
        <v>408.84545509668794</v>
      </c>
      <c r="AO24" s="59">
        <f t="shared" si="36"/>
        <v>409.9253979841132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12.512438250307968</v>
      </c>
      <c r="AW24" s="21">
        <f>EXP(-LN(2)/2)*AW23+(1-EXP(-LN(2)/2))/(LN(2)/2)*AQ24*AT24*VLOOKUP('Données projet'!$B$10,Paramètres!$A$1:$I$89,3,0)*0.475*44/12</f>
        <v>7.8397648067022008</v>
      </c>
      <c r="AX24" s="21">
        <f t="shared" si="6"/>
        <v>20.352203057010168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16.399999999999999</v>
      </c>
      <c r="BD24" s="12">
        <f>IF('Données projet'!$A$88&gt;35,BD23+BC24-BL23,IF(A24&lt;'Données projet'!$A$88,$BA$205^A24,IF(A24='Données projet'!$A$88,'Données projet'!$B$88,BD23+BC24-BL23)))</f>
        <v>138.4</v>
      </c>
      <c r="BE24" s="13">
        <f>BD24*VLOOKUP('Données projet'!$B$11,Paramètres!$A$1:$I$89,3,0)*VLOOKUP('Données projet'!$B$11,Paramètres!$A$1:$I$89,5,0)</f>
        <v>82.763200000000012</v>
      </c>
      <c r="BF24" s="13">
        <f t="shared" si="37"/>
        <v>22.811459894537176</v>
      </c>
      <c r="BG24" s="20">
        <f t="shared" si="7"/>
        <v>183.8758659829856</v>
      </c>
      <c r="BH24" s="59">
        <f t="shared" si="8"/>
        <v>477.20919931631892</v>
      </c>
      <c r="BI24" s="59">
        <f ca="1">AVERAGE(OFFSET($BH$3,0,0,'Données projet'!$E$11+1,1))-AVERAGE(OFFSET($H$3,0,0,'Données projet'!$E$11+1,1))</f>
        <v>279.69031306919914</v>
      </c>
      <c r="BJ24" s="59">
        <f t="shared" si="38"/>
        <v>297.01680128882509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5.9768681852135295</v>
      </c>
      <c r="BR24" s="21">
        <f>EXP(-LN(2)/2)*BR23+(1-EXP(-LN(2)/2))/(LN(2)/2)*BL24*BO24*VLOOKUP('Données projet'!$B$11,Paramètres!$A$1:$I$89,3,0)*0.475*44/12</f>
        <v>3.8881979489095277</v>
      </c>
      <c r="BS24" s="22">
        <f t="shared" si="9"/>
        <v>9.8650661341230581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6.5</v>
      </c>
      <c r="BY24" s="12">
        <f>IF('Données projet'!$A$114&gt;35,BY23+BX24-CG23,IF(A24&lt;'Données projet'!$A$114,$BV$205^A24,IF(A24='Données projet'!$A$114,'Données projet'!$B$114,BY23+BX24-CG23)))</f>
        <v>57.5</v>
      </c>
      <c r="BZ24" s="13">
        <f>BY24*VLOOKUP('Données projet'!$B$12,Paramètres!$A$1:$I$89,3,0)*VLOOKUP('Données projet'!$B$12,Paramètres!$A$1:$I$89,5,0)</f>
        <v>34.385000000000005</v>
      </c>
      <c r="CA24" s="13">
        <f t="shared" si="39"/>
        <v>10.49754484525781</v>
      </c>
      <c r="CB24" s="20">
        <f t="shared" si="10"/>
        <v>78.170432272157356</v>
      </c>
      <c r="CC24" s="59">
        <f t="shared" si="11"/>
        <v>371.50376560549068</v>
      </c>
      <c r="CD24" s="59">
        <f ca="1">AVERAGE(OFFSET($CC$3,0,0,'Données projet'!$E$12+1,1))-AVERAGE(OFFSET($H$3,0,0,'Données projet'!$E$12+1,1))</f>
        <v>81.299024916151723</v>
      </c>
      <c r="CE24" s="59">
        <f t="shared" si="40"/>
        <v>88.106373324240167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1.7804554464584312</v>
      </c>
      <c r="CM24" s="21">
        <f>EXP(-LN(2)/2)*CM23+(1-EXP(-LN(2)/2))/(LN(2)/2)*CG24*CJ24*VLOOKUP('Données projet'!$B$12,Paramètres!$A$1:$I$89,3,0)*0.475*44/12</f>
        <v>1.1490342312113149</v>
      </c>
      <c r="CN24" s="22">
        <f t="shared" si="12"/>
        <v>2.9294896776697463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7.8</v>
      </c>
      <c r="CT24" s="12">
        <f>IF('Données projet'!$A$140&gt;35,CT23+CS24-DB23,IF(A24&lt;'Données projet'!$A$140,$CQ$205^A24,IF(A24='Données projet'!$A$140,'Données projet'!$B$140,CT23+CS24-DB23)))</f>
        <v>267.79999999999995</v>
      </c>
      <c r="CU24" s="17">
        <f>CT24*VLOOKUP('Données projet'!$B$13,Paramètres!$A$1:$I$89,3,0)*VLOOKUP('Données projet'!$B$13,Paramètres!$A$1:$I$89,5,0)</f>
        <v>149.7002</v>
      </c>
      <c r="CV24" s="13">
        <f t="shared" si="41"/>
        <v>38.510447064043547</v>
      </c>
      <c r="CW24" s="20">
        <f t="shared" si="13"/>
        <v>327.80021030320921</v>
      </c>
      <c r="CX24" s="59">
        <f t="shared" si="14"/>
        <v>621.13354363654253</v>
      </c>
      <c r="CY24" s="59">
        <f ca="1">AVERAGE(OFFSET($CX$3,0,0,'Données projet'!$E$13+1,1))-AVERAGE(OFFSET($H$3,0,0,'Données projet'!$E$13+1,1))</f>
        <v>475.42482703895411</v>
      </c>
      <c r="CZ24" s="59">
        <f t="shared" si="42"/>
        <v>593.51433014569966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10.194548628364625</v>
      </c>
      <c r="DH24" s="21">
        <f>EXP(-LN(2)/2)*DH23+(1-EXP(-LN(2)/2))/(LN(2)/2)*DB24*DE24*VLOOKUP('Données projet'!$B$13,Paramètres!$A$1:$I$89,3,0)*0.475*44/12</f>
        <v>7.6976967156149305</v>
      </c>
      <c r="DI24" s="22">
        <f t="shared" si="15"/>
        <v>17.892245343979557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4</v>
      </c>
      <c r="DO24" s="12">
        <f>IF('Données projet'!$A$166&gt;35,DO23+DN24-DW23,IF(A24&lt;'Données projet'!$A$166,$DL$205^A24,IF(A24='Données projet'!$A$166,'Données projet'!$B$166,DO23+DN24-DW23)))</f>
        <v>84</v>
      </c>
      <c r="DP24" s="17">
        <f>DO24*VLOOKUP('Données projet'!$B$14,Paramètres!$A$1:$I$89,3,0)*VLOOKUP('Données projet'!$B$14,Paramètres!$A$1:$I$89,5,0)</f>
        <v>76.003200000000007</v>
      </c>
      <c r="DQ24" s="13">
        <f t="shared" si="43"/>
        <v>21.157049992000456</v>
      </c>
      <c r="DR24" s="20">
        <f t="shared" si="16"/>
        <v>169.22076873606747</v>
      </c>
      <c r="DS24" s="59">
        <f t="shared" si="17"/>
        <v>462.55410206940076</v>
      </c>
      <c r="DT24" s="59">
        <f ca="1">AVERAGE(OFFSET($DS$3,0,0,'Données projet'!$E$14+1,1))-AVERAGE(OFFSET($H$3,0,0,'Données projet'!$E$14+1,1))</f>
        <v>401.17301323870578</v>
      </c>
      <c r="DU24" s="59">
        <f t="shared" si="44"/>
        <v>201.57993789149754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9</v>
      </c>
      <c r="EJ24" s="12">
        <f>IF('Données projet'!$A$192&gt;35,EJ23+EI24-ER23,IF(A24&lt;'Données projet'!$A$192,$EG$205^A24,IF(A24='Données projet'!$A$192,'Données projet'!$B$192,EJ23+EI24-ER23)))</f>
        <v>103</v>
      </c>
      <c r="EK24" s="17">
        <f>EJ24*VLOOKUP('Données projet'!$B$15,Paramètres!$A$1:$I$89,3,0)*VLOOKUP('Données projet'!$B$15,Paramètres!$A$1:$I$89,5,0)</f>
        <v>89.980800000000016</v>
      </c>
      <c r="EL24" s="13">
        <f t="shared" si="45"/>
        <v>24.560594358746648</v>
      </c>
      <c r="EM24" s="20">
        <f t="shared" si="19"/>
        <v>199.49292850815041</v>
      </c>
      <c r="EN24" s="59">
        <f t="shared" si="20"/>
        <v>492.82626184148376</v>
      </c>
      <c r="EO24" s="59">
        <f ca="1">AVERAGE(OFFSET($EN$3,0,0,'Données projet'!$E$15+1,1))-AVERAGE(OFFSET($H$3,0,0,'Données projet'!$E$15+1,1))</f>
        <v>237.8483058552178</v>
      </c>
      <c r="EP24" s="59">
        <f t="shared" si="46"/>
        <v>313.36201272119723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16.8</v>
      </c>
      <c r="FE24" s="12">
        <f>IF('Données projet'!$A$218&gt;35,FE23+FD24-FM23,IF(A24&lt;'Données projet'!$A$218,$FB$205^A24,IF(A24='Données projet'!$A$218,'Données projet'!$B$218,FE23+FD24-FM23)))</f>
        <v>97.800000000000011</v>
      </c>
      <c r="FF24" s="17">
        <f>FE24*VLOOKUP('Données projet'!$B$16,Paramètres!$A$1:$I$89,3,0)*VLOOKUP('Données projet'!$B$16,Paramètres!$A$1:$I$89,5,0)</f>
        <v>76.284000000000006</v>
      </c>
      <c r="FG24" s="13">
        <f t="shared" si="47"/>
        <v>21.226103028228078</v>
      </c>
      <c r="FH24" s="20">
        <f t="shared" si="22"/>
        <v>169.83009610749727</v>
      </c>
      <c r="FI24" s="59">
        <f t="shared" si="23"/>
        <v>463.16342944083055</v>
      </c>
      <c r="FJ24" s="59">
        <f ca="1">AVERAGE(OFFSET($FI$3,0,0,'Données projet'!$E$16+1,1))-AVERAGE(OFFSET($H$3,0,0,'Données projet'!$E$16+1,1))</f>
        <v>318.52984981739411</v>
      </c>
      <c r="FK24" s="59">
        <f t="shared" si="48"/>
        <v>311.56398336941714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16.8</v>
      </c>
      <c r="FZ24" s="12">
        <f>IF('Données projet'!$A$244&gt;35,FZ23+FY24-GH23,IF(A24&lt;'Données projet'!$A$244,$FW$205^A24,IF(A24='Données projet'!$A$244,'Données projet'!$B$244,FZ23+FY24-GH23)))</f>
        <v>97.800000000000011</v>
      </c>
      <c r="GA24" s="17">
        <f>FZ24*VLOOKUP('Données projet'!$B$17,Paramètres!$A$1:$I$89,3,0)*VLOOKUP('Données projet'!$B$17,Paramètres!$A$1:$I$89,5,0)</f>
        <v>77.809680000000014</v>
      </c>
      <c r="GB24" s="13">
        <f t="shared" si="49"/>
        <v>21.600777311280577</v>
      </c>
      <c r="GC24" s="20">
        <f t="shared" si="25"/>
        <v>173.13987981714703</v>
      </c>
      <c r="GD24" s="59">
        <f t="shared" si="26"/>
        <v>466.47321315048032</v>
      </c>
      <c r="GE24" s="59">
        <f ca="1">AVERAGE(OFFSET($GD$3,0,0,'Données projet'!$E$17+1,1))-AVERAGE(OFFSET($H$3,0,0,'Données projet'!$E$17+1,1))</f>
        <v>325.72928944930294</v>
      </c>
      <c r="GF24" s="59">
        <f t="shared" si="50"/>
        <v>318.38876834819752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16.8</v>
      </c>
      <c r="GU24" s="12">
        <f>IF('Données projet'!$A$270&gt;35,GU23+GT24-HC23,IF(A24&lt;'Données projet'!$A$270,$GR$205^A24,IF(A24='Données projet'!$A$270,'Données projet'!$B$270,GU23+GT24-HC23)))</f>
        <v>97.800000000000011</v>
      </c>
      <c r="GV24" s="17">
        <f>GU24*VLOOKUP('Données projet'!$B$18,Paramètres!$A$1:$I$89,3,0)*VLOOKUP('Données projet'!$B$18,Paramètres!$A$1:$I$89,5,0)</f>
        <v>65.604240000000004</v>
      </c>
      <c r="GW24" s="13">
        <f t="shared" si="51"/>
        <v>18.577749363333837</v>
      </c>
      <c r="GX24" s="20">
        <f t="shared" si="28"/>
        <v>146.61696480780643</v>
      </c>
      <c r="GY24" s="59">
        <f t="shared" si="29"/>
        <v>439.95029814113974</v>
      </c>
      <c r="GZ24" s="59">
        <f ca="1">AVERAGE(OFFSET($GY$3,0,0,'Données projet'!$E$18+1,1))-AVERAGE(OFFSET($H$3,0,0,'Données projet'!$E$18+1,1))</f>
        <v>268.04554291387961</v>
      </c>
      <c r="HA24" s="59">
        <f t="shared" si="52"/>
        <v>263.70463099437148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2.8666666666666667</v>
      </c>
      <c r="N25" s="13">
        <f>IF('Données projet'!$A$36&gt;35,N24+M25-V24,IF(A25&lt;'Données projet'!$A$36,$K$205^A25,IF(A25='Données projet'!$A$36,'Données projet'!$B$36,N24+M25-V24)))</f>
        <v>26.21997043042084</v>
      </c>
      <c r="O25" s="13">
        <f>N25*VLOOKUP('Données projet'!$B$9,Paramètres!$A$1:$I$89,3,0)*VLOOKUP('Données projet'!$B$9,Paramètres!$A$1:$I$89,5,0)</f>
        <v>11.589226930246014</v>
      </c>
      <c r="P25" s="13">
        <f t="shared" si="33"/>
        <v>4.0156013526057279</v>
      </c>
      <c r="Q25" s="20">
        <f t="shared" si="2"/>
        <v>27.178409259300114</v>
      </c>
      <c r="R25" s="59">
        <f t="shared" si="0"/>
        <v>320.51174259263342</v>
      </c>
      <c r="S25" s="59">
        <f ca="1">AVERAGE(OFFSET($R$3,0,0,'Données projet'!$E$9+1,1))-AVERAGE(OFFSET($H$3,0,0,'Données projet'!$E$9+1,1))</f>
        <v>46.095319339746538</v>
      </c>
      <c r="T25" s="59">
        <f t="shared" si="34"/>
        <v>48.158174304064403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28.75</v>
      </c>
      <c r="AI25" s="13">
        <f>IF('Données projet'!$A$62&gt;35,AI24+AH25-AQ24,IF(A25&lt;'Données projet'!$A$62,$AF$205^A25,IF(A25='Données projet'!$A$62,'Données projet'!$B$62,AI24+AH25-AQ24)))</f>
        <v>198.5</v>
      </c>
      <c r="AJ25" s="13">
        <f>AI25*VLOOKUP('Données projet'!$B$10,Paramètres!$A$1:$I$89,3,0)*VLOOKUP('Données projet'!$B$10,Paramètres!$A$1:$I$89,5,0)</f>
        <v>118.703</v>
      </c>
      <c r="AK25" s="13">
        <f t="shared" si="35"/>
        <v>31.372304284909053</v>
      </c>
      <c r="AL25" s="20">
        <f t="shared" si="4"/>
        <v>261.38115496288327</v>
      </c>
      <c r="AM25" s="59">
        <f t="shared" si="5"/>
        <v>554.71448829621659</v>
      </c>
      <c r="AN25" s="59">
        <f ca="1">AVERAGE(OFFSET($AM$3,0,0,'Données projet'!$E$10+1,1))-AVERAGE(OFFSET($H$3,0,0,'Données projet'!$E$10+1,1))</f>
        <v>408.84545509668794</v>
      </c>
      <c r="AO25" s="59">
        <f t="shared" si="36"/>
        <v>409.9253979841132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12.170284968352766</v>
      </c>
      <c r="AW25" s="21">
        <f>EXP(-LN(2)/2)*AW24+(1-EXP(-LN(2)/2))/(LN(2)/2)*AQ25*AT25*VLOOKUP('Données projet'!$B$10,Paramètres!$A$1:$I$89,3,0)*0.475*44/12</f>
        <v>5.5435508577267694</v>
      </c>
      <c r="AX25" s="21">
        <f t="shared" si="6"/>
        <v>17.713835826079535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16.399999999999999</v>
      </c>
      <c r="BD25" s="12">
        <f>IF('Données projet'!$A$88&gt;35,BD24+BC25-BL24,IF(A25&lt;'Données projet'!$A$88,$BA$205^A25,IF(A25='Données projet'!$A$88,'Données projet'!$B$88,BD24+BC25-BL24)))</f>
        <v>154.80000000000001</v>
      </c>
      <c r="BE25" s="13">
        <f>BD25*VLOOKUP('Données projet'!$B$11,Paramètres!$A$1:$I$89,3,0)*VLOOKUP('Données projet'!$B$11,Paramètres!$A$1:$I$89,5,0)</f>
        <v>92.570400000000021</v>
      </c>
      <c r="BF25" s="13">
        <f t="shared" si="37"/>
        <v>25.184123943972491</v>
      </c>
      <c r="BG25" s="20">
        <f t="shared" si="7"/>
        <v>205.0891292024188</v>
      </c>
      <c r="BH25" s="59">
        <f t="shared" si="8"/>
        <v>498.42246253575212</v>
      </c>
      <c r="BI25" s="59">
        <f ca="1">AVERAGE(OFFSET($BH$3,0,0,'Données projet'!$E$11+1,1))-AVERAGE(OFFSET($H$3,0,0,'Données projet'!$E$11+1,1))</f>
        <v>279.69031306919914</v>
      </c>
      <c r="BJ25" s="59">
        <f t="shared" si="38"/>
        <v>297.01680128882509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5.813430410379028</v>
      </c>
      <c r="BR25" s="21">
        <f>EXP(-LN(2)/2)*BR24+(1-EXP(-LN(2)/2))/(LN(2)/2)*BL25*BO25*VLOOKUP('Données projet'!$B$11,Paramètres!$A$1:$I$89,3,0)*0.475*44/12</f>
        <v>2.7493711362695525</v>
      </c>
      <c r="BS25" s="22">
        <f t="shared" si="9"/>
        <v>8.562801546648581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6.5</v>
      </c>
      <c r="BY25" s="12">
        <f>IF('Données projet'!$A$114&gt;35,BY24+BX25-CG24,IF(A25&lt;'Données projet'!$A$114,$BV$205^A25,IF(A25='Données projet'!$A$114,'Données projet'!$B$114,BY24+BX25-CG24)))</f>
        <v>64</v>
      </c>
      <c r="BZ25" s="13">
        <f>BY25*VLOOKUP('Données projet'!$B$12,Paramètres!$A$1:$I$89,3,0)*VLOOKUP('Données projet'!$B$12,Paramètres!$A$1:$I$89,5,0)</f>
        <v>38.272000000000006</v>
      </c>
      <c r="CA25" s="13">
        <f t="shared" si="39"/>
        <v>11.539469830637579</v>
      </c>
      <c r="CB25" s="20">
        <f t="shared" si="10"/>
        <v>86.754976621693785</v>
      </c>
      <c r="CC25" s="59">
        <f t="shared" si="11"/>
        <v>380.08830995502711</v>
      </c>
      <c r="CD25" s="59">
        <f ca="1">AVERAGE(OFFSET($CC$3,0,0,'Données projet'!$E$12+1,1))-AVERAGE(OFFSET($H$3,0,0,'Données projet'!$E$12+1,1))</f>
        <v>81.299024916151723</v>
      </c>
      <c r="CE25" s="59">
        <f t="shared" si="40"/>
        <v>88.106373324240167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1.7317687986449428</v>
      </c>
      <c r="CM25" s="21">
        <f>EXP(-LN(2)/2)*CM24+(1-EXP(-LN(2)/2))/(LN(2)/2)*CG25*CJ25*VLOOKUP('Données projet'!$B$12,Paramètres!$A$1:$I$89,3,0)*0.475*44/12</f>
        <v>0.81248989670499216</v>
      </c>
      <c r="CN25" s="22">
        <f t="shared" si="12"/>
        <v>2.5442586953499351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7.8</v>
      </c>
      <c r="CT25" s="12">
        <f>IF('Données projet'!$A$140&gt;35,CT24+CS25-DB24,IF(A25&lt;'Données projet'!$A$140,$CQ$205^A25,IF(A25='Données projet'!$A$140,'Données projet'!$B$140,CT24+CS25-DB24)))</f>
        <v>275.59999999999997</v>
      </c>
      <c r="CU25" s="17">
        <f>CT25*VLOOKUP('Données projet'!$B$13,Paramètres!$A$1:$I$89,3,0)*VLOOKUP('Données projet'!$B$13,Paramètres!$A$1:$I$89,5,0)</f>
        <v>154.06039999999999</v>
      </c>
      <c r="CV25" s="13">
        <f t="shared" si="41"/>
        <v>39.499886810851009</v>
      </c>
      <c r="CW25" s="20">
        <f t="shared" si="13"/>
        <v>337.1174995288988</v>
      </c>
      <c r="CX25" s="59">
        <f t="shared" si="14"/>
        <v>630.45083286223212</v>
      </c>
      <c r="CY25" s="59">
        <f ca="1">AVERAGE(OFFSET($CX$3,0,0,'Données projet'!$E$13+1,1))-AVERAGE(OFFSET($H$3,0,0,'Données projet'!$E$13+1,1))</f>
        <v>475.42482703895411</v>
      </c>
      <c r="CZ25" s="59">
        <f t="shared" si="42"/>
        <v>593.51433014569966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9.915778160013982</v>
      </c>
      <c r="DH25" s="21">
        <f>EXP(-LN(2)/2)*DH24+(1-EXP(-LN(2)/2))/(LN(2)/2)*DB25*DE25*VLOOKUP('Données projet'!$B$13,Paramètres!$A$1:$I$89,3,0)*0.475*44/12</f>
        <v>5.4430935471287327</v>
      </c>
      <c r="DI25" s="22">
        <f t="shared" si="15"/>
        <v>15.358871707142715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4</v>
      </c>
      <c r="DO25" s="12">
        <f>IF('Données projet'!$A$166&gt;35,DO24+DN25-DW24,IF(A25&lt;'Données projet'!$A$166,$DL$205^A25,IF(A25='Données projet'!$A$166,'Données projet'!$B$166,DO24+DN25-DW24)))</f>
        <v>88</v>
      </c>
      <c r="DP25" s="17">
        <f>DO25*VLOOKUP('Données projet'!$B$14,Paramètres!$A$1:$I$89,3,0)*VLOOKUP('Données projet'!$B$14,Paramètres!$A$1:$I$89,5,0)</f>
        <v>79.622399999999999</v>
      </c>
      <c r="DQ25" s="13">
        <f t="shared" si="43"/>
        <v>22.044833558880924</v>
      </c>
      <c r="DR25" s="20">
        <f t="shared" si="16"/>
        <v>177.07043178171759</v>
      </c>
      <c r="DS25" s="59">
        <f t="shared" si="17"/>
        <v>470.40376511505087</v>
      </c>
      <c r="DT25" s="59">
        <f ca="1">AVERAGE(OFFSET($DS$3,0,0,'Données projet'!$E$14+1,1))-AVERAGE(OFFSET($H$3,0,0,'Données projet'!$E$14+1,1))</f>
        <v>401.17301323870578</v>
      </c>
      <c r="DU25" s="59">
        <f t="shared" si="44"/>
        <v>201.57993789149754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9</v>
      </c>
      <c r="EJ25" s="12">
        <f>IF('Données projet'!$A$192&gt;35,EJ24+EI25-ER24,IF(A25&lt;'Données projet'!$A$192,$EG$205^A25,IF(A25='Données projet'!$A$192,'Données projet'!$B$192,EJ24+EI25-ER24)))</f>
        <v>112</v>
      </c>
      <c r="EK25" s="17">
        <f>EJ25*VLOOKUP('Données projet'!$B$15,Paramètres!$A$1:$I$89,3,0)*VLOOKUP('Données projet'!$B$15,Paramètres!$A$1:$I$89,5,0)</f>
        <v>97.84320000000001</v>
      </c>
      <c r="EL25" s="13">
        <f t="shared" si="45"/>
        <v>26.447519466918756</v>
      </c>
      <c r="EM25" s="20">
        <f t="shared" si="19"/>
        <v>216.47300307155021</v>
      </c>
      <c r="EN25" s="59">
        <f t="shared" si="20"/>
        <v>509.8063364048835</v>
      </c>
      <c r="EO25" s="59">
        <f ca="1">AVERAGE(OFFSET($EN$3,0,0,'Données projet'!$E$15+1,1))-AVERAGE(OFFSET($H$3,0,0,'Données projet'!$E$15+1,1))</f>
        <v>237.8483058552178</v>
      </c>
      <c r="EP25" s="59">
        <f t="shared" si="46"/>
        <v>313.36201272119723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16.8</v>
      </c>
      <c r="FE25" s="12">
        <f>IF('Données projet'!$A$218&gt;35,FE24+FD25-FM24,IF(A25&lt;'Données projet'!$A$218,$FB$205^A25,IF(A25='Données projet'!$A$218,'Données projet'!$B$218,FE24+FD25-FM24)))</f>
        <v>114.60000000000001</v>
      </c>
      <c r="FF25" s="17">
        <f>FE25*VLOOKUP('Données projet'!$B$16,Paramètres!$A$1:$I$89,3,0)*VLOOKUP('Données projet'!$B$16,Paramètres!$A$1:$I$89,5,0)</f>
        <v>89.388000000000005</v>
      </c>
      <c r="FG25" s="13">
        <f t="shared" si="47"/>
        <v>24.41756676844415</v>
      </c>
      <c r="FH25" s="20">
        <f t="shared" si="22"/>
        <v>198.21136212170688</v>
      </c>
      <c r="FI25" s="59">
        <f t="shared" si="23"/>
        <v>491.5446954550402</v>
      </c>
      <c r="FJ25" s="59">
        <f ca="1">AVERAGE(OFFSET($FI$3,0,0,'Données projet'!$E$16+1,1))-AVERAGE(OFFSET($H$3,0,0,'Données projet'!$E$16+1,1))</f>
        <v>318.52984981739411</v>
      </c>
      <c r="FK25" s="59">
        <f t="shared" si="48"/>
        <v>311.56398336941714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16.8</v>
      </c>
      <c r="FZ25" s="12">
        <f>IF('Données projet'!$A$244&gt;35,FZ24+FY25-GH24,IF(A25&lt;'Données projet'!$A$244,$FW$205^A25,IF(A25='Données projet'!$A$244,'Données projet'!$B$244,FZ24+FY25-GH24)))</f>
        <v>114.60000000000001</v>
      </c>
      <c r="GA25" s="17">
        <f>FZ25*VLOOKUP('Données projet'!$B$17,Paramètres!$A$1:$I$89,3,0)*VLOOKUP('Données projet'!$B$17,Paramètres!$A$1:$I$89,5,0)</f>
        <v>91.175760000000011</v>
      </c>
      <c r="GB25" s="13">
        <f t="shared" si="49"/>
        <v>24.848575433138123</v>
      </c>
      <c r="GC25" s="20">
        <f t="shared" si="25"/>
        <v>202.07571754604893</v>
      </c>
      <c r="GD25" s="59">
        <f t="shared" si="26"/>
        <v>495.40905087938222</v>
      </c>
      <c r="GE25" s="59">
        <f ca="1">AVERAGE(OFFSET($GD$3,0,0,'Données projet'!$E$17+1,1))-AVERAGE(OFFSET($H$3,0,0,'Données projet'!$E$17+1,1))</f>
        <v>325.72928944930294</v>
      </c>
      <c r="GF25" s="59">
        <f t="shared" si="50"/>
        <v>318.38876834819752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16.8</v>
      </c>
      <c r="GU25" s="12">
        <f>IF('Données projet'!$A$270&gt;35,GU24+GT25-HC24,IF(A25&lt;'Données projet'!$A$270,$GR$205^A25,IF(A25='Données projet'!$A$270,'Données projet'!$B$270,GU24+GT25-HC24)))</f>
        <v>114.60000000000001</v>
      </c>
      <c r="GV25" s="17">
        <f>GU25*VLOOKUP('Données projet'!$B$18,Paramètres!$A$1:$I$89,3,0)*VLOOKUP('Données projet'!$B$18,Paramètres!$A$1:$I$89,5,0)</f>
        <v>76.873680000000007</v>
      </c>
      <c r="GW25" s="13">
        <f t="shared" si="51"/>
        <v>21.371018263850033</v>
      </c>
      <c r="GX25" s="20">
        <f t="shared" si="28"/>
        <v>171.10951614287214</v>
      </c>
      <c r="GY25" s="59">
        <f t="shared" si="29"/>
        <v>464.44284947620542</v>
      </c>
      <c r="GZ25" s="59">
        <f ca="1">AVERAGE(OFFSET($GY$3,0,0,'Données projet'!$E$18+1,1))-AVERAGE(OFFSET($H$3,0,0,'Données projet'!$E$18+1,1))</f>
        <v>268.04554291387961</v>
      </c>
      <c r="HA25" s="59">
        <f t="shared" si="52"/>
        <v>263.70463099437148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2.8666666666666667</v>
      </c>
      <c r="N26" s="13">
        <f>IF('Données projet'!$A$36&gt;35,N25+M26-V25,IF(A26&lt;'Données projet'!$A$36,$K$205^A26,IF(A26='Données projet'!$A$36,'Données projet'!$B$36,N25+M26-V25)))</f>
        <v>30.416937072031089</v>
      </c>
      <c r="O26" s="13">
        <f>N26*VLOOKUP('Données projet'!$B$9,Paramètres!$A$1:$I$89,3,0)*VLOOKUP('Données projet'!$B$9,Paramètres!$A$1:$I$89,5,0)</f>
        <v>13.444286185837743</v>
      </c>
      <c r="P26" s="13">
        <f t="shared" si="33"/>
        <v>4.5785506147103163</v>
      </c>
      <c r="Q26" s="20">
        <f t="shared" si="2"/>
        <v>31.389774094287873</v>
      </c>
      <c r="R26" s="59">
        <f t="shared" si="0"/>
        <v>324.72310742762119</v>
      </c>
      <c r="S26" s="59">
        <f ca="1">AVERAGE(OFFSET($R$3,0,0,'Données projet'!$E$9+1,1))-AVERAGE(OFFSET($H$3,0,0,'Données projet'!$E$9+1,1))</f>
        <v>46.095319339746538</v>
      </c>
      <c r="T26" s="59">
        <f t="shared" si="34"/>
        <v>48.158174304064403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28.75</v>
      </c>
      <c r="AI26" s="13">
        <f>IF('Données projet'!$A$62&gt;35,AI25+AH26-AQ25,IF(A26&lt;'Données projet'!$A$62,$AF$205^A26,IF(A26='Données projet'!$A$62,'Données projet'!$B$62,AI25+AH26-AQ25)))</f>
        <v>227.25</v>
      </c>
      <c r="AJ26" s="13">
        <f>AI26*VLOOKUP('Données projet'!$B$10,Paramètres!$A$1:$I$89,3,0)*VLOOKUP('Données projet'!$B$10,Paramètres!$A$1:$I$89,5,0)</f>
        <v>135.89550000000003</v>
      </c>
      <c r="AK26" s="13">
        <f t="shared" si="35"/>
        <v>35.355099996655177</v>
      </c>
      <c r="AL26" s="20">
        <f t="shared" si="4"/>
        <v>298.26146166084112</v>
      </c>
      <c r="AM26" s="59">
        <f t="shared" si="5"/>
        <v>591.59479499417444</v>
      </c>
      <c r="AN26" s="59">
        <f ca="1">AVERAGE(OFFSET($AM$3,0,0,'Données projet'!$E$10+1,1))-AVERAGE(OFFSET($H$3,0,0,'Données projet'!$E$10+1,1))</f>
        <v>408.84545509668794</v>
      </c>
      <c r="AO26" s="59">
        <f t="shared" si="36"/>
        <v>409.9253979841132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11.837487885885688</v>
      </c>
      <c r="AW26" s="21">
        <f>EXP(-LN(2)/2)*AW25+(1-EXP(-LN(2)/2))/(LN(2)/2)*AQ26*AT26*VLOOKUP('Données projet'!$B$10,Paramètres!$A$1:$I$89,3,0)*0.475*44/12</f>
        <v>3.9198824033511008</v>
      </c>
      <c r="AX26" s="21">
        <f t="shared" si="6"/>
        <v>15.757370289236789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16.399999999999999</v>
      </c>
      <c r="BD26" s="12">
        <f>IF('Données projet'!$A$88&gt;35,BD25+BC26-BL25,IF(A26&lt;'Données projet'!$A$88,$BA$205^A26,IF(A26='Données projet'!$A$88,'Données projet'!$B$88,BD25+BC26-BL25)))</f>
        <v>171.20000000000002</v>
      </c>
      <c r="BE26" s="13">
        <f>BD26*VLOOKUP('Données projet'!$B$11,Paramètres!$A$1:$I$89,3,0)*VLOOKUP('Données projet'!$B$11,Paramètres!$A$1:$I$89,5,0)</f>
        <v>102.37760000000002</v>
      </c>
      <c r="BF26" s="13">
        <f t="shared" si="37"/>
        <v>27.527651005505614</v>
      </c>
      <c r="BG26" s="20">
        <f t="shared" si="7"/>
        <v>226.25164550125564</v>
      </c>
      <c r="BH26" s="59">
        <f t="shared" si="8"/>
        <v>519.58497883458892</v>
      </c>
      <c r="BI26" s="59">
        <f ca="1">AVERAGE(OFFSET($BH$3,0,0,'Données projet'!$E$11+1,1))-AVERAGE(OFFSET($H$3,0,0,'Données projet'!$E$11+1,1))</f>
        <v>279.69031306919914</v>
      </c>
      <c r="BJ26" s="59">
        <f t="shared" si="38"/>
        <v>297.01680128882509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5.6544618500921953</v>
      </c>
      <c r="BR26" s="21">
        <f>EXP(-LN(2)/2)*BR25+(1-EXP(-LN(2)/2))/(LN(2)/2)*BL26*BO26*VLOOKUP('Données projet'!$B$11,Paramètres!$A$1:$I$89,3,0)*0.475*44/12</f>
        <v>1.9440989744547641</v>
      </c>
      <c r="BS26" s="22">
        <f t="shared" si="9"/>
        <v>7.5985608245469596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6.5</v>
      </c>
      <c r="BY26" s="12">
        <f>IF('Données projet'!$A$114&gt;35,BY25+BX26-CG25,IF(A26&lt;'Données projet'!$A$114,$BV$205^A26,IF(A26='Données projet'!$A$114,'Données projet'!$B$114,BY25+BX26-CG25)))</f>
        <v>70.5</v>
      </c>
      <c r="BZ26" s="13">
        <f>BY26*VLOOKUP('Données projet'!$B$12,Paramètres!$A$1:$I$89,3,0)*VLOOKUP('Données projet'!$B$12,Paramètres!$A$1:$I$89,5,0)</f>
        <v>42.158999999999999</v>
      </c>
      <c r="CA26" s="13">
        <f t="shared" si="39"/>
        <v>12.569127590261434</v>
      </c>
      <c r="CB26" s="20">
        <f t="shared" si="10"/>
        <v>95.31815555303865</v>
      </c>
      <c r="CC26" s="59">
        <f t="shared" si="11"/>
        <v>388.65148888637196</v>
      </c>
      <c r="CD26" s="59">
        <f ca="1">AVERAGE(OFFSET($CC$3,0,0,'Données projet'!$E$12+1,1))-AVERAGE(OFFSET($H$3,0,0,'Données projet'!$E$12+1,1))</f>
        <v>81.299024916151723</v>
      </c>
      <c r="CE26" s="59">
        <f t="shared" si="40"/>
        <v>88.106373324240167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1.6844134897762337</v>
      </c>
      <c r="CM26" s="21">
        <f>EXP(-LN(2)/2)*CM25+(1-EXP(-LN(2)/2))/(LN(2)/2)*CG26*CJ26*VLOOKUP('Données projet'!$B$12,Paramètres!$A$1:$I$89,3,0)*0.475*44/12</f>
        <v>0.57451711560565755</v>
      </c>
      <c r="CN26" s="22">
        <f t="shared" si="12"/>
        <v>2.2589306053818912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7.8</v>
      </c>
      <c r="CT26" s="12">
        <f>IF('Données projet'!$A$140&gt;35,CT25+CS26-DB25,IF(A26&lt;'Données projet'!$A$140,$CQ$205^A26,IF(A26='Données projet'!$A$140,'Données projet'!$B$140,CT25+CS26-DB25)))</f>
        <v>283.39999999999998</v>
      </c>
      <c r="CU26" s="17">
        <f>CT26*VLOOKUP('Données projet'!$B$13,Paramètres!$A$1:$I$89,3,0)*VLOOKUP('Données projet'!$B$13,Paramètres!$A$1:$I$89,5,0)</f>
        <v>158.42060000000001</v>
      </c>
      <c r="CV26" s="13">
        <f t="shared" si="41"/>
        <v>40.486071911125322</v>
      </c>
      <c r="CW26" s="20">
        <f t="shared" si="13"/>
        <v>346.42912024520996</v>
      </c>
      <c r="CX26" s="59">
        <f t="shared" si="14"/>
        <v>639.76245357854327</v>
      </c>
      <c r="CY26" s="59">
        <f ca="1">AVERAGE(OFFSET($CX$3,0,0,'Données projet'!$E$13+1,1))-AVERAGE(OFFSET($H$3,0,0,'Données projet'!$E$13+1,1))</f>
        <v>475.42482703895411</v>
      </c>
      <c r="CZ26" s="59">
        <f t="shared" si="42"/>
        <v>593.51433014569966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9.6446306847802887</v>
      </c>
      <c r="DH26" s="21">
        <f>EXP(-LN(2)/2)*DH25+(1-EXP(-LN(2)/2))/(LN(2)/2)*DB26*DE26*VLOOKUP('Données projet'!$B$13,Paramètres!$A$1:$I$89,3,0)*0.475*44/12</f>
        <v>3.8488483578074657</v>
      </c>
      <c r="DI26" s="22">
        <f t="shared" si="15"/>
        <v>13.493479042587754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4</v>
      </c>
      <c r="DO26" s="12">
        <f>IF('Données projet'!$A$166&gt;35,DO25+DN26-DW25,IF(A26&lt;'Données projet'!$A$166,$DL$205^A26,IF(A26='Données projet'!$A$166,'Données projet'!$B$166,DO25+DN26-DW25)))</f>
        <v>92</v>
      </c>
      <c r="DP26" s="17">
        <f>DO26*VLOOKUP('Données projet'!$B$14,Paramètres!$A$1:$I$89,3,0)*VLOOKUP('Données projet'!$B$14,Paramètres!$A$1:$I$89,5,0)</f>
        <v>83.241600000000005</v>
      </c>
      <c r="DQ26" s="13">
        <f t="shared" si="43"/>
        <v>22.927930643846508</v>
      </c>
      <c r="DR26" s="20">
        <f t="shared" si="16"/>
        <v>184.91193253803269</v>
      </c>
      <c r="DS26" s="59">
        <f t="shared" si="17"/>
        <v>478.24526587136597</v>
      </c>
      <c r="DT26" s="59">
        <f ca="1">AVERAGE(OFFSET($DS$3,0,0,'Données projet'!$E$14+1,1))-AVERAGE(OFFSET($H$3,0,0,'Données projet'!$E$14+1,1))</f>
        <v>401.17301323870578</v>
      </c>
      <c r="DU26" s="59">
        <f t="shared" si="44"/>
        <v>201.57993789149754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9</v>
      </c>
      <c r="EJ26" s="12">
        <f>IF('Données projet'!$A$192&gt;35,EJ25+EI26-ER25,IF(A26&lt;'Données projet'!$A$192,$EG$205^A26,IF(A26='Données projet'!$A$192,'Données projet'!$B$192,EJ25+EI26-ER25)))</f>
        <v>121</v>
      </c>
      <c r="EK26" s="17">
        <f>EJ26*VLOOKUP('Données projet'!$B$15,Paramètres!$A$1:$I$89,3,0)*VLOOKUP('Données projet'!$B$15,Paramètres!$A$1:$I$89,5,0)</f>
        <v>105.70560000000002</v>
      </c>
      <c r="EL26" s="13">
        <f t="shared" si="45"/>
        <v>28.316857405559993</v>
      </c>
      <c r="EM26" s="20">
        <f t="shared" si="19"/>
        <v>233.42244664801697</v>
      </c>
      <c r="EN26" s="59">
        <f t="shared" si="20"/>
        <v>526.75577998135032</v>
      </c>
      <c r="EO26" s="59">
        <f ca="1">AVERAGE(OFFSET($EN$3,0,0,'Données projet'!$E$15+1,1))-AVERAGE(OFFSET($H$3,0,0,'Données projet'!$E$15+1,1))</f>
        <v>237.8483058552178</v>
      </c>
      <c r="EP26" s="59">
        <f t="shared" si="46"/>
        <v>313.36201272119723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16.8</v>
      </c>
      <c r="FE26" s="12">
        <f>IF('Données projet'!$A$218&gt;35,FE25+FD26-FM25,IF(A26&lt;'Données projet'!$A$218,$FB$205^A26,IF(A26='Données projet'!$A$218,'Données projet'!$B$218,FE25+FD26-FM25)))</f>
        <v>131.4</v>
      </c>
      <c r="FF26" s="17">
        <f>FE26*VLOOKUP('Données projet'!$B$16,Paramètres!$A$1:$I$89,3,0)*VLOOKUP('Données projet'!$B$16,Paramètres!$A$1:$I$89,5,0)</f>
        <v>102.492</v>
      </c>
      <c r="FG26" s="13">
        <f t="shared" si="47"/>
        <v>27.554829018858843</v>
      </c>
      <c r="FH26" s="20">
        <f t="shared" si="22"/>
        <v>226.49822720784584</v>
      </c>
      <c r="FI26" s="59">
        <f t="shared" si="23"/>
        <v>519.83156054117921</v>
      </c>
      <c r="FJ26" s="59">
        <f ca="1">AVERAGE(OFFSET($FI$3,0,0,'Données projet'!$E$16+1,1))-AVERAGE(OFFSET($H$3,0,0,'Données projet'!$E$16+1,1))</f>
        <v>318.52984981739411</v>
      </c>
      <c r="FK26" s="59">
        <f t="shared" si="48"/>
        <v>311.56398336941714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16.8</v>
      </c>
      <c r="FZ26" s="12">
        <f>IF('Données projet'!$A$244&gt;35,FZ25+FY26-GH25,IF(A26&lt;'Données projet'!$A$244,$FW$205^A26,IF(A26='Données projet'!$A$244,'Données projet'!$B$244,FZ25+FY26-GH25)))</f>
        <v>131.4</v>
      </c>
      <c r="GA26" s="17">
        <f>FZ26*VLOOKUP('Données projet'!$B$17,Paramètres!$A$1:$I$89,3,0)*VLOOKUP('Données projet'!$B$17,Paramètres!$A$1:$I$89,5,0)</f>
        <v>104.54184000000002</v>
      </c>
      <c r="GB26" s="13">
        <f t="shared" si="49"/>
        <v>28.041215323191079</v>
      </c>
      <c r="GC26" s="20">
        <f t="shared" si="25"/>
        <v>230.91548802122449</v>
      </c>
      <c r="GD26" s="59">
        <f t="shared" si="26"/>
        <v>524.24882135455778</v>
      </c>
      <c r="GE26" s="59">
        <f ca="1">AVERAGE(OFFSET($GD$3,0,0,'Données projet'!$E$17+1,1))-AVERAGE(OFFSET($H$3,0,0,'Données projet'!$E$17+1,1))</f>
        <v>325.72928944930294</v>
      </c>
      <c r="GF26" s="59">
        <f t="shared" si="50"/>
        <v>318.38876834819752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16.8</v>
      </c>
      <c r="GU26" s="12">
        <f>IF('Données projet'!$A$270&gt;35,GU25+GT26-HC25,IF(A26&lt;'Données projet'!$A$270,$GR$205^A26,IF(A26='Données projet'!$A$270,'Données projet'!$B$270,GU25+GT26-HC25)))</f>
        <v>131.4</v>
      </c>
      <c r="GV26" s="17">
        <f>GU26*VLOOKUP('Données projet'!$B$18,Paramètres!$A$1:$I$89,3,0)*VLOOKUP('Données projet'!$B$18,Paramètres!$A$1:$I$89,5,0)</f>
        <v>88.14312000000001</v>
      </c>
      <c r="GW26" s="13">
        <f t="shared" si="51"/>
        <v>24.116848324965968</v>
      </c>
      <c r="GX26" s="20">
        <f t="shared" si="28"/>
        <v>195.5194448326491</v>
      </c>
      <c r="GY26" s="59">
        <f t="shared" si="29"/>
        <v>488.85277816598239</v>
      </c>
      <c r="GZ26" s="59">
        <f ca="1">AVERAGE(OFFSET($GY$3,0,0,'Données projet'!$E$18+1,1))-AVERAGE(OFFSET($H$3,0,0,'Données projet'!$E$18+1,1))</f>
        <v>268.04554291387961</v>
      </c>
      <c r="HA26" s="59">
        <f t="shared" si="52"/>
        <v>263.70463099437148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2.8666666666666667</v>
      </c>
      <c r="N27" s="13">
        <f>IF('Données projet'!$A$36&gt;35,N26+M27-V26,IF(A27&lt;'Données projet'!$A$36,$K$205^A27,IF(A27='Données projet'!$A$36,'Données projet'!$B$36,N26+M27-V26)))</f>
        <v>35.285701915608527</v>
      </c>
      <c r="O27" s="13">
        <f>N27*VLOOKUP('Données projet'!$B$9,Paramètres!$A$1:$I$89,3,0)*VLOOKUP('Données projet'!$B$9,Paramètres!$A$1:$I$89,5,0)</f>
        <v>15.596280246698971</v>
      </c>
      <c r="P27" s="13">
        <f t="shared" si="33"/>
        <v>5.2204200294586567</v>
      </c>
      <c r="Q27" s="20">
        <f t="shared" si="2"/>
        <v>36.255752980974528</v>
      </c>
      <c r="R27" s="59">
        <f t="shared" si="0"/>
        <v>329.58908631430785</v>
      </c>
      <c r="S27" s="59">
        <f ca="1">AVERAGE(OFFSET($R$3,0,0,'Données projet'!$E$9+1,1))-AVERAGE(OFFSET($H$3,0,0,'Données projet'!$E$9+1,1))</f>
        <v>46.095319339746538</v>
      </c>
      <c r="T27" s="59">
        <f t="shared" si="34"/>
        <v>48.158174304064403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256</v>
      </c>
      <c r="AG27" s="12">
        <f>VLOOKUP(A27,'Données projet'!$A$61:$I$81,9,0)</f>
        <v>28.75</v>
      </c>
      <c r="AH27" s="12">
        <f t="array" ref="AH27">INDEX(AG:AG,MIN(IF(ISNUMBER(AG27:AG223),ROW(AG27:AG223),"")))</f>
        <v>28.75</v>
      </c>
      <c r="AI27" s="13">
        <f>IF('Données projet'!$A$62&gt;35,AI26+AH27-AQ26,IF(A27&lt;'Données projet'!$A$62,$AF$205^A27,IF(A27='Données projet'!$A$62,'Données projet'!$B$62,AI26+AH27-AQ26)))</f>
        <v>256</v>
      </c>
      <c r="AJ27" s="13">
        <f>AI27*VLOOKUP('Données projet'!$B$10,Paramètres!$A$1:$I$89,3,0)*VLOOKUP('Données projet'!$B$10,Paramètres!$A$1:$I$89,5,0)</f>
        <v>153.08800000000002</v>
      </c>
      <c r="AK27" s="13">
        <f t="shared" si="35"/>
        <v>39.27951026543515</v>
      </c>
      <c r="AL27" s="20">
        <f t="shared" si="4"/>
        <v>335.04008037896625</v>
      </c>
      <c r="AM27" s="59">
        <f t="shared" si="5"/>
        <v>628.37341371229957</v>
      </c>
      <c r="AN27" s="59">
        <f ca="1">AVERAGE(OFFSET($AM$3,0,0,'Données projet'!$E$10+1,1))-AVERAGE(OFFSET($H$3,0,0,'Données projet'!$E$10+1,1))</f>
        <v>408.84545509668794</v>
      </c>
      <c r="AO27" s="59">
        <f t="shared" si="36"/>
        <v>409.9253979841132</v>
      </c>
      <c r="AP27" s="15">
        <f>IF(ISNA(VLOOKUP(A27,'Données projet'!$A$61:$I$81,3,0)),0,VLOOKUP(A27,'Données projet'!$A$61:$I$81,3,0))</f>
        <v>4</v>
      </c>
      <c r="AQ27" s="15">
        <f>IF(ISNA(VLOOKUP(A27,'Données projet'!$A$61:$I$81,4,0)),0,VLOOKUP(A27,'Données projet'!$A$61:$I$81,4,0))</f>
        <v>42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0.27</v>
      </c>
      <c r="AT27" s="16">
        <f>IF(ISNA(VLOOKUP(A27,'Données projet'!$A$61:$I$81,7,0)),0%,VLOOKUP(A27,'Données projet'!$A$61:$I$81,7,0))</f>
        <v>0.4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20.474229109177074</v>
      </c>
      <c r="AW27" s="21">
        <f>EXP(-LN(2)/2)*AW26+(1-EXP(-LN(2)/2))/(LN(2)/2)*AQ27*AT27*VLOOKUP('Données projet'!$B$10,Paramètres!$A$1:$I$89,3,0)*0.475*44/12</f>
        <v>14.146633982733272</v>
      </c>
      <c r="AX27" s="21">
        <f t="shared" si="6"/>
        <v>34.620863091910344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16.399999999999999</v>
      </c>
      <c r="BD27" s="12">
        <f>IF('Données projet'!$A$88&gt;35,BD26+BC27-BL26,IF(A27&lt;'Données projet'!$A$88,$BA$205^A27,IF(A27='Données projet'!$A$88,'Données projet'!$B$88,BD26+BC27-BL26)))</f>
        <v>187.60000000000002</v>
      </c>
      <c r="BE27" s="13">
        <f>BD27*VLOOKUP('Données projet'!$B$11,Paramètres!$A$1:$I$89,3,0)*VLOOKUP('Données projet'!$B$11,Paramètres!$A$1:$I$89,5,0)</f>
        <v>112.18480000000002</v>
      </c>
      <c r="BF27" s="13">
        <f t="shared" si="37"/>
        <v>29.845149809641946</v>
      </c>
      <c r="BG27" s="20">
        <f t="shared" si="7"/>
        <v>247.36882925179307</v>
      </c>
      <c r="BH27" s="59">
        <f t="shared" si="8"/>
        <v>540.70216258512642</v>
      </c>
      <c r="BI27" s="59">
        <f ca="1">AVERAGE(OFFSET($BH$3,0,0,'Données projet'!$E$11+1,1))-AVERAGE(OFFSET($H$3,0,0,'Données projet'!$E$11+1,1))</f>
        <v>279.69031306919914</v>
      </c>
      <c r="BJ27" s="59">
        <f t="shared" si="38"/>
        <v>297.01680128882509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5.4998402934461987</v>
      </c>
      <c r="BR27" s="21">
        <f>EXP(-LN(2)/2)*BR26+(1-EXP(-LN(2)/2))/(LN(2)/2)*BL27*BO27*VLOOKUP('Données projet'!$B$11,Paramètres!$A$1:$I$89,3,0)*0.475*44/12</f>
        <v>1.3746855681347765</v>
      </c>
      <c r="BS27" s="22">
        <f t="shared" si="9"/>
        <v>6.8745258615809757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>
        <f>VLOOKUP(A27,'Données projet'!$A$113:$I$133,2,0)</f>
        <v>77</v>
      </c>
      <c r="BW27" s="12">
        <f>VLOOKUP(A27,'Données projet'!$A$113:$I$133,9,0)</f>
        <v>6.5</v>
      </c>
      <c r="BX27" s="12">
        <f t="array" ref="BX27">INDEX(BW:BW,MIN(IF(ISNUMBER(BW27:BW223),ROW(BW27:BW223),"")))</f>
        <v>6.5</v>
      </c>
      <c r="BY27" s="12">
        <f>IF('Données projet'!$A$114&gt;35,BY26+BX27-CG26,IF(A27&lt;'Données projet'!$A$114,$BV$205^A27,IF(A27='Données projet'!$A$114,'Données projet'!$B$114,BY26+BX27-CG26)))</f>
        <v>77</v>
      </c>
      <c r="BZ27" s="13">
        <f>BY27*VLOOKUP('Données projet'!$B$12,Paramètres!$A$1:$I$89,3,0)*VLOOKUP('Données projet'!$B$12,Paramètres!$A$1:$I$89,5,0)</f>
        <v>46.046000000000006</v>
      </c>
      <c r="CA27" s="13">
        <f t="shared" si="39"/>
        <v>13.587777785482292</v>
      </c>
      <c r="CB27" s="20">
        <f t="shared" si="10"/>
        <v>103.86216297638167</v>
      </c>
      <c r="CC27" s="59">
        <f t="shared" si="11"/>
        <v>397.195496309715</v>
      </c>
      <c r="CD27" s="59">
        <f ca="1">AVERAGE(OFFSET($CC$3,0,0,'Données projet'!$E$12+1,1))-AVERAGE(OFFSET($H$3,0,0,'Données projet'!$E$12+1,1))</f>
        <v>81.299024916151723</v>
      </c>
      <c r="CE27" s="59">
        <f t="shared" si="40"/>
        <v>88.106373324240167</v>
      </c>
      <c r="CF27" s="15">
        <f>IF(ISNA(VLOOKUP(A27,'Données projet'!$A$113:$I$133,3,0)),0,VLOOKUP(A27,'Données projet'!$A$113:$I$133,3,0))</f>
        <v>4</v>
      </c>
      <c r="CG27" s="15">
        <f>IF(ISNA(VLOOKUP(A27,'Données projet'!$A$113:$I$133,4,0)),0,VLOOKUP(A27,'Données projet'!$A$113:$I$133,4,0))</f>
        <v>12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0.27</v>
      </c>
      <c r="CJ27" s="16">
        <f>IF(ISNA(VLOOKUP(A27,'Données projet'!$A$113:$I$133,7,0)),0%,VLOOKUP(A27,'Données projet'!$A$113:$I$133,7,0))</f>
        <v>0.4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4.1984782434723797</v>
      </c>
      <c r="CM27" s="21">
        <f>EXP(-LN(2)/2)*CM26+(1-EXP(-LN(2)/2))/(LN(2)/2)*CG27*CJ27*VLOOKUP('Données projet'!$B$12,Paramètres!$A$1:$I$89,3,0)*0.475*44/12</f>
        <v>3.6562045351724639</v>
      </c>
      <c r="CN27" s="22">
        <f t="shared" si="12"/>
        <v>7.8546827786448432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7.8</v>
      </c>
      <c r="CT27" s="12">
        <f>IF('Données projet'!$A$140&gt;35,CT26+CS27-DB26,IF(A27&lt;'Données projet'!$A$140,$CQ$205^A27,IF(A27='Données projet'!$A$140,'Données projet'!$B$140,CT26+CS27-DB26)))</f>
        <v>291.2</v>
      </c>
      <c r="CU27" s="17">
        <f>CT27*VLOOKUP('Données projet'!$B$13,Paramètres!$A$1:$I$89,3,0)*VLOOKUP('Données projet'!$B$13,Paramètres!$A$1:$I$89,5,0)</f>
        <v>162.7808</v>
      </c>
      <c r="CV27" s="13">
        <f t="shared" si="41"/>
        <v>41.469102234625751</v>
      </c>
      <c r="CW27" s="20">
        <f t="shared" si="13"/>
        <v>355.73524639197313</v>
      </c>
      <c r="CX27" s="59">
        <f t="shared" si="14"/>
        <v>649.06857972530645</v>
      </c>
      <c r="CY27" s="59">
        <f ca="1">AVERAGE(OFFSET($CX$3,0,0,'Données projet'!$E$13+1,1))-AVERAGE(OFFSET($H$3,0,0,'Données projet'!$E$13+1,1))</f>
        <v>475.42482703895411</v>
      </c>
      <c r="CZ27" s="59">
        <f t="shared" si="42"/>
        <v>593.51433014569966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9.3808977515158869</v>
      </c>
      <c r="DH27" s="21">
        <f>EXP(-LN(2)/2)*DH26+(1-EXP(-LN(2)/2))/(LN(2)/2)*DB27*DE27*VLOOKUP('Données projet'!$B$13,Paramètres!$A$1:$I$89,3,0)*0.475*44/12</f>
        <v>2.7215467735643668</v>
      </c>
      <c r="DI27" s="22">
        <f t="shared" si="15"/>
        <v>12.102444525080253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4</v>
      </c>
      <c r="DO27" s="12">
        <f>IF('Données projet'!$A$166&gt;35,DO26+DN27-DW26,IF(A27&lt;'Données projet'!$A$166,$DL$205^A27,IF(A27='Données projet'!$A$166,'Données projet'!$B$166,DO26+DN27-DW26)))</f>
        <v>96</v>
      </c>
      <c r="DP27" s="17">
        <f>DO27*VLOOKUP('Données projet'!$B$14,Paramètres!$A$1:$I$89,3,0)*VLOOKUP('Données projet'!$B$14,Paramètres!$A$1:$I$89,5,0)</f>
        <v>86.860799999999998</v>
      </c>
      <c r="DQ27" s="13">
        <f t="shared" si="43"/>
        <v>23.806568296036275</v>
      </c>
      <c r="DR27" s="20">
        <f t="shared" si="16"/>
        <v>192.74566644892982</v>
      </c>
      <c r="DS27" s="59">
        <f t="shared" si="17"/>
        <v>486.07899978226317</v>
      </c>
      <c r="DT27" s="59">
        <f ca="1">AVERAGE(OFFSET($DS$3,0,0,'Données projet'!$E$14+1,1))-AVERAGE(OFFSET($H$3,0,0,'Données projet'!$E$14+1,1))</f>
        <v>401.17301323870578</v>
      </c>
      <c r="DU27" s="59">
        <f t="shared" si="44"/>
        <v>201.57993789149754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9</v>
      </c>
      <c r="EJ27" s="12">
        <f>IF('Données projet'!$A$192&gt;35,EJ26+EI27-ER26,IF(A27&lt;'Données projet'!$A$192,$EG$205^A27,IF(A27='Données projet'!$A$192,'Données projet'!$B$192,EJ26+EI27-ER26)))</f>
        <v>130</v>
      </c>
      <c r="EK27" s="17">
        <f>EJ27*VLOOKUP('Données projet'!$B$15,Paramètres!$A$1:$I$89,3,0)*VLOOKUP('Données projet'!$B$15,Paramètres!$A$1:$I$89,5,0)</f>
        <v>113.56800000000003</v>
      </c>
      <c r="EL27" s="13">
        <f t="shared" si="45"/>
        <v>30.17006506205821</v>
      </c>
      <c r="EM27" s="20">
        <f t="shared" si="19"/>
        <v>250.34379664975143</v>
      </c>
      <c r="EN27" s="59">
        <f t="shared" si="20"/>
        <v>543.6771299830848</v>
      </c>
      <c r="EO27" s="59">
        <f ca="1">AVERAGE(OFFSET($EN$3,0,0,'Données projet'!$E$15+1,1))-AVERAGE(OFFSET($H$3,0,0,'Données projet'!$E$15+1,1))</f>
        <v>237.8483058552178</v>
      </c>
      <c r="EP27" s="59">
        <f t="shared" si="46"/>
        <v>313.36201272119723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16.8</v>
      </c>
      <c r="FE27" s="12">
        <f>IF('Données projet'!$A$218&gt;35,FE26+FD27-FM26,IF(A27&lt;'Données projet'!$A$218,$FB$205^A27,IF(A27='Données projet'!$A$218,'Données projet'!$B$218,FE26+FD27-FM26)))</f>
        <v>148.20000000000002</v>
      </c>
      <c r="FF27" s="17">
        <f>FE27*VLOOKUP('Données projet'!$B$16,Paramètres!$A$1:$I$89,3,0)*VLOOKUP('Données projet'!$B$16,Paramètres!$A$1:$I$89,5,0)</f>
        <v>115.59600000000002</v>
      </c>
      <c r="FG27" s="13">
        <f t="shared" si="47"/>
        <v>30.645614103483879</v>
      </c>
      <c r="FH27" s="20">
        <f t="shared" si="22"/>
        <v>254.70414456356778</v>
      </c>
      <c r="FI27" s="59">
        <f t="shared" si="23"/>
        <v>548.03747789690112</v>
      </c>
      <c r="FJ27" s="59">
        <f ca="1">AVERAGE(OFFSET($FI$3,0,0,'Données projet'!$E$16+1,1))-AVERAGE(OFFSET($H$3,0,0,'Données projet'!$E$16+1,1))</f>
        <v>318.52984981739411</v>
      </c>
      <c r="FK27" s="59">
        <f t="shared" si="48"/>
        <v>311.56398336941714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16.8</v>
      </c>
      <c r="FZ27" s="12">
        <f>IF('Données projet'!$A$244&gt;35,FZ26+FY27-GH26,IF(A27&lt;'Données projet'!$A$244,$FW$205^A27,IF(A27='Données projet'!$A$244,'Données projet'!$B$244,FZ26+FY27-GH26)))</f>
        <v>148.20000000000002</v>
      </c>
      <c r="GA27" s="17">
        <f>FZ27*VLOOKUP('Données projet'!$B$17,Paramètres!$A$1:$I$89,3,0)*VLOOKUP('Données projet'!$B$17,Paramètres!$A$1:$I$89,5,0)</f>
        <v>117.90792000000002</v>
      </c>
      <c r="GB27" s="13">
        <f t="shared" si="49"/>
        <v>31.186557651984323</v>
      </c>
      <c r="GC27" s="20">
        <f t="shared" si="25"/>
        <v>259.67288191053939</v>
      </c>
      <c r="GD27" s="59">
        <f t="shared" si="26"/>
        <v>553.0062152438727</v>
      </c>
      <c r="GE27" s="59">
        <f ca="1">AVERAGE(OFFSET($GD$3,0,0,'Données projet'!$E$17+1,1))-AVERAGE(OFFSET($H$3,0,0,'Données projet'!$E$17+1,1))</f>
        <v>325.72928944930294</v>
      </c>
      <c r="GF27" s="59">
        <f t="shared" si="50"/>
        <v>318.38876834819752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16.8</v>
      </c>
      <c r="GU27" s="12">
        <f>IF('Données projet'!$A$270&gt;35,GU26+GT27-HC26,IF(A27&lt;'Données projet'!$A$270,$GR$205^A27,IF(A27='Données projet'!$A$270,'Données projet'!$B$270,GU26+GT27-HC26)))</f>
        <v>148.20000000000002</v>
      </c>
      <c r="GV27" s="17">
        <f>GU27*VLOOKUP('Données projet'!$B$18,Paramètres!$A$1:$I$89,3,0)*VLOOKUP('Données projet'!$B$18,Paramètres!$A$1:$I$89,5,0)</f>
        <v>99.412560000000013</v>
      </c>
      <c r="GW27" s="13">
        <f t="shared" si="51"/>
        <v>26.822000116688319</v>
      </c>
      <c r="GX27" s="20">
        <f t="shared" si="28"/>
        <v>219.85852553656548</v>
      </c>
      <c r="GY27" s="59">
        <f t="shared" si="29"/>
        <v>513.19185886989885</v>
      </c>
      <c r="GZ27" s="59">
        <f ca="1">AVERAGE(OFFSET($GY$3,0,0,'Données projet'!$E$18+1,1))-AVERAGE(OFFSET($H$3,0,0,'Données projet'!$E$18+1,1))</f>
        <v>268.04554291387961</v>
      </c>
      <c r="HA27" s="59">
        <f t="shared" si="52"/>
        <v>263.70463099437148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2.8666666666666667</v>
      </c>
      <c r="N28" s="13">
        <f>IF('Données projet'!$A$36&gt;35,N27+M28-V27,IF(A28&lt;'Données projet'!$A$36,$K$205^A28,IF(A28='Données projet'!$A$36,'Données projet'!$B$36,N27+M28-V27)))</f>
        <v>40.933798058912799</v>
      </c>
      <c r="O28" s="13">
        <f>N28*VLOOKUP('Données projet'!$B$9,Paramètres!$A$1:$I$89,3,0)*VLOOKUP('Données projet'!$B$9,Paramètres!$A$1:$I$89,5,0)</f>
        <v>18.092738742039458</v>
      </c>
      <c r="P28" s="13">
        <f t="shared" si="33"/>
        <v>5.9522734544886982</v>
      </c>
      <c r="Q28" s="20">
        <f t="shared" si="2"/>
        <v>41.878396242286534</v>
      </c>
      <c r="R28" s="59">
        <f t="shared" si="0"/>
        <v>335.21172957561987</v>
      </c>
      <c r="S28" s="59">
        <f ca="1">AVERAGE(OFFSET($R$3,0,0,'Données projet'!$E$9+1,1))-AVERAGE(OFFSET($H$3,0,0,'Données projet'!$E$9+1,1))</f>
        <v>46.095319339746538</v>
      </c>
      <c r="T28" s="59">
        <f t="shared" si="34"/>
        <v>48.158174304064403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30.25</v>
      </c>
      <c r="AI28" s="13">
        <f>IF('Données projet'!$A$62&gt;35,AI27+AH28-AQ27,IF(A28&lt;'Données projet'!$A$62,$AF$205^A28,IF(A28='Données projet'!$A$62,'Données projet'!$B$62,AI27+AH28-AQ27)))</f>
        <v>244.25</v>
      </c>
      <c r="AJ28" s="13">
        <f>AI28*VLOOKUP('Données projet'!$B$10,Paramètres!$A$1:$I$89,3,0)*VLOOKUP('Données projet'!$B$10,Paramètres!$A$1:$I$89,5,0)</f>
        <v>146.06150000000002</v>
      </c>
      <c r="AK28" s="13">
        <f t="shared" si="35"/>
        <v>37.682166068173835</v>
      </c>
      <c r="AL28" s="20">
        <f t="shared" si="4"/>
        <v>320.02021840206947</v>
      </c>
      <c r="AM28" s="59">
        <f t="shared" si="5"/>
        <v>613.35355173540279</v>
      </c>
      <c r="AN28" s="59">
        <f ca="1">AVERAGE(OFFSET($AM$3,0,0,'Données projet'!$E$10+1,1))-AVERAGE(OFFSET($H$3,0,0,'Données projet'!$E$10+1,1))</f>
        <v>408.84545509668794</v>
      </c>
      <c r="AO28" s="59">
        <f t="shared" si="36"/>
        <v>409.9253979841132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19.914360237493714</v>
      </c>
      <c r="AW28" s="21">
        <f>EXP(-LN(2)/2)*AW27+(1-EXP(-LN(2)/2))/(LN(2)/2)*AQ28*AT28*VLOOKUP('Données projet'!$B$10,Paramètres!$A$1:$I$89,3,0)*0.475*44/12</f>
        <v>10.003180820154753</v>
      </c>
      <c r="AX28" s="21">
        <f t="shared" si="6"/>
        <v>29.917541057648467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204</v>
      </c>
      <c r="BB28" s="12">
        <f>VLOOKUP(A28,'Données projet'!$A$87:$I$107,9,0)</f>
        <v>16.399999999999999</v>
      </c>
      <c r="BC28" s="12">
        <f t="array" ref="BC28">INDEX(BB:BB,MIN(IF(ISNUMBER(BB28:BB224),ROW(BB28:BB224),"")))</f>
        <v>16.399999999999999</v>
      </c>
      <c r="BD28" s="12">
        <f>IF('Données projet'!$A$88&gt;35,BD27+BC28-BL27,IF(A28&lt;'Données projet'!$A$88,$BA$205^A28,IF(A28='Données projet'!$A$88,'Données projet'!$B$88,BD27+BC28-BL27)))</f>
        <v>204.00000000000003</v>
      </c>
      <c r="BE28" s="13">
        <f>BD28*VLOOKUP('Données projet'!$B$11,Paramètres!$A$1:$I$89,3,0)*VLOOKUP('Données projet'!$B$11,Paramètres!$A$1:$I$89,5,0)</f>
        <v>121.99200000000003</v>
      </c>
      <c r="BF28" s="13">
        <f t="shared" si="37"/>
        <v>32.139154469866327</v>
      </c>
      <c r="BG28" s="20">
        <f t="shared" si="7"/>
        <v>268.44509403501723</v>
      </c>
      <c r="BH28" s="59">
        <f t="shared" si="8"/>
        <v>561.77842736835055</v>
      </c>
      <c r="BI28" s="59">
        <f ca="1">AVERAGE(OFFSET($BH$3,0,0,'Données projet'!$E$11+1,1))-AVERAGE(OFFSET($H$3,0,0,'Données projet'!$E$11+1,1))</f>
        <v>279.69031306919914</v>
      </c>
      <c r="BJ28" s="59">
        <f t="shared" si="38"/>
        <v>297.01680128882509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36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0.27</v>
      </c>
      <c r="BO28" s="16">
        <f>IF(ISNA(VLOOKUP(A28,'Données projet'!$A$87:$I$107,7,0)),0%,VLOOKUP(A28,'Données projet'!$A$87:$I$107,7,0))</f>
        <v>0.4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13.029822258858479</v>
      </c>
      <c r="BR28" s="21">
        <f>EXP(-LN(2)/2)*BR27+(1-EXP(-LN(2)/2))/(LN(2)/2)*BL28*BO28*VLOOKUP('Données projet'!$B$11,Paramètres!$A$1:$I$89,3,0)*0.475*44/12</f>
        <v>10.721928247687284</v>
      </c>
      <c r="BS28" s="22">
        <f t="shared" si="9"/>
        <v>23.751750506545761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7.5</v>
      </c>
      <c r="BY28" s="12">
        <f>IF('Données projet'!$A$114&gt;35,BY27+BX28-CG27,IF(A28&lt;'Données projet'!$A$114,$BV$205^A28,IF(A28='Données projet'!$A$114,'Données projet'!$B$114,BY27+BX28-CG27)))</f>
        <v>72.5</v>
      </c>
      <c r="BZ28" s="13">
        <f>BY28*VLOOKUP('Données projet'!$B$12,Paramètres!$A$1:$I$89,3,0)*VLOOKUP('Données projet'!$B$12,Paramètres!$A$1:$I$89,5,0)</f>
        <v>43.355000000000004</v>
      </c>
      <c r="CA28" s="13">
        <f t="shared" si="39"/>
        <v>12.883678938241102</v>
      </c>
      <c r="CB28" s="20">
        <f t="shared" si="10"/>
        <v>97.94903248410327</v>
      </c>
      <c r="CC28" s="59">
        <f t="shared" si="11"/>
        <v>391.28236581743658</v>
      </c>
      <c r="CD28" s="59">
        <f ca="1">AVERAGE(OFFSET($CC$3,0,0,'Données projet'!$E$12+1,1))-AVERAGE(OFFSET($H$3,0,0,'Données projet'!$E$12+1,1))</f>
        <v>81.299024916151723</v>
      </c>
      <c r="CE28" s="59">
        <f t="shared" si="40"/>
        <v>88.106373324240167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4.0836706351162526</v>
      </c>
      <c r="CM28" s="21">
        <f>EXP(-LN(2)/2)*CM27+(1-EXP(-LN(2)/2))/(LN(2)/2)*CG28*CJ28*VLOOKUP('Données projet'!$B$12,Paramètres!$A$1:$I$89,3,0)*0.475*44/12</f>
        <v>2.5853270202254581</v>
      </c>
      <c r="CN28" s="22">
        <f t="shared" si="12"/>
        <v>6.6689976553417107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299</v>
      </c>
      <c r="CR28" s="12">
        <f>VLOOKUP(A28,'Données projet'!$A$139:$I$159,9,0)</f>
        <v>7.8</v>
      </c>
      <c r="CS28" s="12">
        <f t="array" ref="CS28">INDEX(CR:CR,MIN(IF(ISNUMBER(CR28:CR224),ROW(CR28:CR224),"")))</f>
        <v>7.8</v>
      </c>
      <c r="CT28" s="12">
        <f>IF('Données projet'!$A$140&gt;35,CT27+CS28-DB27,IF(A28&lt;'Données projet'!$A$140,$CQ$205^A28,IF(A28='Données projet'!$A$140,'Données projet'!$B$140,CT27+CS28-DB27)))</f>
        <v>299</v>
      </c>
      <c r="CU28" s="17">
        <f>CT28*VLOOKUP('Données projet'!$B$13,Paramètres!$A$1:$I$89,3,0)*VLOOKUP('Données projet'!$B$13,Paramètres!$A$1:$I$89,5,0)</f>
        <v>167.14099999999999</v>
      </c>
      <c r="CV28" s="13">
        <f t="shared" si="41"/>
        <v>42.449071996340692</v>
      </c>
      <c r="CW28" s="20">
        <f t="shared" si="13"/>
        <v>365.03604206029331</v>
      </c>
      <c r="CX28" s="59">
        <f t="shared" si="14"/>
        <v>658.36937539362657</v>
      </c>
      <c r="CY28" s="59">
        <f ca="1">AVERAGE(OFFSET($CX$3,0,0,'Données projet'!$E$13+1,1))-AVERAGE(OFFSET($H$3,0,0,'Données projet'!$E$13+1,1))</f>
        <v>475.42482703895411</v>
      </c>
      <c r="CZ28" s="59">
        <f t="shared" si="42"/>
        <v>593.51433014569966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60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0.33</v>
      </c>
      <c r="DE28" s="16">
        <f>IF(ISNA(VLOOKUP(A28,'Données projet'!$A$139:$I$159,7,0)),0%,VLOOKUP(A28,'Données projet'!$A$139:$I$159,7,0))</f>
        <v>0.4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23.749246006398351</v>
      </c>
      <c r="DH28" s="21">
        <f>EXP(-LN(2)/2)*DH27+(1-EXP(-LN(2)/2))/(LN(2)/2)*DB28*DE28*VLOOKUP('Données projet'!$B$13,Paramètres!$A$1:$I$89,3,0)*0.475*44/12</f>
        <v>17.114452682518802</v>
      </c>
      <c r="DI28" s="22">
        <f t="shared" si="15"/>
        <v>40.863698688917154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4</v>
      </c>
      <c r="DO28" s="12">
        <f>IF('Données projet'!$A$166&gt;35,DO27+DN28-DW27,IF(A28&lt;'Données projet'!$A$166,$DL$205^A28,IF(A28='Données projet'!$A$166,'Données projet'!$B$166,DO27+DN28-DW27)))</f>
        <v>100</v>
      </c>
      <c r="DP28" s="17">
        <f>DO28*VLOOKUP('Données projet'!$B$14,Paramètres!$A$1:$I$89,3,0)*VLOOKUP('Données projet'!$B$14,Paramètres!$A$1:$I$89,5,0)</f>
        <v>90.47999999999999</v>
      </c>
      <c r="DQ28" s="13">
        <f t="shared" si="43"/>
        <v>24.680953573367994</v>
      </c>
      <c r="DR28" s="20">
        <f t="shared" si="16"/>
        <v>200.57199414028256</v>
      </c>
      <c r="DS28" s="59">
        <f t="shared" si="17"/>
        <v>493.9053274736159</v>
      </c>
      <c r="DT28" s="59">
        <f ca="1">AVERAGE(OFFSET($DS$3,0,0,'Données projet'!$E$14+1,1))-AVERAGE(OFFSET($H$3,0,0,'Données projet'!$E$14+1,1))</f>
        <v>401.17301323870578</v>
      </c>
      <c r="DU28" s="59">
        <f t="shared" si="44"/>
        <v>201.57993789149754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9</v>
      </c>
      <c r="EJ28" s="12">
        <f>IF('Données projet'!$A$192&gt;35,EJ27+EI28-ER27,IF(A28&lt;'Données projet'!$A$192,$EG$205^A28,IF(A28='Données projet'!$A$192,'Données projet'!$B$192,EJ27+EI28-ER27)))</f>
        <v>139</v>
      </c>
      <c r="EK28" s="17">
        <f>EJ28*VLOOKUP('Données projet'!$B$15,Paramètres!$A$1:$I$89,3,0)*VLOOKUP('Données projet'!$B$15,Paramètres!$A$1:$I$89,5,0)</f>
        <v>121.43040000000001</v>
      </c>
      <c r="EL28" s="13">
        <f t="shared" si="45"/>
        <v>32.008386179504484</v>
      </c>
      <c r="EM28" s="20">
        <f t="shared" si="19"/>
        <v>267.23921926263699</v>
      </c>
      <c r="EN28" s="59">
        <f t="shared" si="20"/>
        <v>560.57255259597036</v>
      </c>
      <c r="EO28" s="59">
        <f ca="1">AVERAGE(OFFSET($EN$3,0,0,'Données projet'!$E$15+1,1))-AVERAGE(OFFSET($H$3,0,0,'Données projet'!$E$15+1,1))</f>
        <v>237.8483058552178</v>
      </c>
      <c r="EP28" s="59">
        <f t="shared" si="46"/>
        <v>313.36201272119723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>
        <f>VLOOKUP(A28,'Données projet'!$A$217:$I$237,2,0)</f>
        <v>165</v>
      </c>
      <c r="FC28" s="12">
        <f>VLOOKUP(A28,'Données projet'!$A$217:$I$237,9,0)</f>
        <v>16.8</v>
      </c>
      <c r="FD28" s="12">
        <f t="array" ref="FD28">INDEX(FC:FC,MIN(IF(ISNUMBER(FC28:FC224),ROW(FC28:FC224),"")))</f>
        <v>16.8</v>
      </c>
      <c r="FE28" s="12">
        <f>IF('Données projet'!$A$218&gt;35,FE27+FD28-FM27,IF(A28&lt;'Données projet'!$A$218,$FB$205^A28,IF(A28='Données projet'!$A$218,'Données projet'!$B$218,FE27+FD28-FM27)))</f>
        <v>165.00000000000003</v>
      </c>
      <c r="FF28" s="17">
        <f>FE28*VLOOKUP('Données projet'!$B$16,Paramètres!$A$1:$I$89,3,0)*VLOOKUP('Données projet'!$B$16,Paramètres!$A$1:$I$89,5,0)</f>
        <v>128.70000000000002</v>
      </c>
      <c r="FG28" s="13">
        <f t="shared" si="47"/>
        <v>33.695792019186115</v>
      </c>
      <c r="FH28" s="20">
        <f t="shared" si="22"/>
        <v>282.83933776674917</v>
      </c>
      <c r="FI28" s="59">
        <f t="shared" si="23"/>
        <v>576.17267110008243</v>
      </c>
      <c r="FJ28" s="59">
        <f ca="1">AVERAGE(OFFSET($FI$3,0,0,'Données projet'!$E$16+1,1))-AVERAGE(OFFSET($H$3,0,0,'Données projet'!$E$16+1,1))</f>
        <v>318.52984981739411</v>
      </c>
      <c r="FK28" s="59">
        <f t="shared" si="48"/>
        <v>311.56398336941714</v>
      </c>
      <c r="FL28" s="15">
        <f>IF(ISNA(VLOOKUP(A28,'Données projet'!$A$217:$I$237,3,0)),0,VLOOKUP(A28,'Données projet'!$A$217:$I$237,3,0))</f>
        <v>4</v>
      </c>
      <c r="FM28" s="15">
        <f>IF(ISNA(VLOOKUP(A28,'Données projet'!$A$217:$I$237,4,0)),0,VLOOKUP(A28,'Données projet'!$A$217:$I$237,4,0))</f>
        <v>42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>
        <f>VLOOKUP(A28,'Données projet'!$A$243:$I$263,2,0)</f>
        <v>165</v>
      </c>
      <c r="FX28" s="12">
        <f>VLOOKUP(A28,'Données projet'!$A$243:$I$263,9,0)</f>
        <v>16.8</v>
      </c>
      <c r="FY28" s="12">
        <f t="array" ref="FY28">INDEX(FX:FX,MIN(IF(ISNUMBER(FX28:FX224),ROW(FX28:FX224),"")))</f>
        <v>16.8</v>
      </c>
      <c r="FZ28" s="12">
        <f>IF('Données projet'!$A$244&gt;35,FZ27+FY28-GH27,IF(A28&lt;'Données projet'!$A$244,$FW$205^A28,IF(A28='Données projet'!$A$244,'Données projet'!$B$244,FZ27+FY28-GH27)))</f>
        <v>165.00000000000003</v>
      </c>
      <c r="GA28" s="17">
        <f>FZ28*VLOOKUP('Données projet'!$B$17,Paramètres!$A$1:$I$89,3,0)*VLOOKUP('Données projet'!$B$17,Paramètres!$A$1:$I$89,5,0)</f>
        <v>131.27400000000003</v>
      </c>
      <c r="GB28" s="13">
        <f t="shared" si="49"/>
        <v>34.290576031111669</v>
      </c>
      <c r="GC28" s="20">
        <f t="shared" si="25"/>
        <v>288.35830325418618</v>
      </c>
      <c r="GD28" s="59">
        <f t="shared" si="26"/>
        <v>581.6916365875195</v>
      </c>
      <c r="GE28" s="59">
        <f ca="1">AVERAGE(OFFSET($GD$3,0,0,'Données projet'!$E$17+1,1))-AVERAGE(OFFSET($H$3,0,0,'Données projet'!$E$17+1,1))</f>
        <v>325.72928944930294</v>
      </c>
      <c r="GF28" s="59">
        <f t="shared" si="50"/>
        <v>318.38876834819752</v>
      </c>
      <c r="GG28" s="15">
        <f>IF(ISNA(VLOOKUP(A28,'Données projet'!$A$243:$I$263,3,0)),0,VLOOKUP(A28,'Données projet'!$A$243:$I$263,3,0))</f>
        <v>4</v>
      </c>
      <c r="GH28" s="15">
        <f>IF(ISNA(VLOOKUP(A28,'Données projet'!$A$243:$I$263,4,0)),0,VLOOKUP(A28,'Données projet'!$A$243:$I$263,4,0))</f>
        <v>42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>
        <f>VLOOKUP(A28,'Données projet'!$A$269:$I$289,2,0)</f>
        <v>165</v>
      </c>
      <c r="GS28" s="12">
        <f>VLOOKUP(A28,'Données projet'!$A$269:$I$289,9,0)</f>
        <v>16.8</v>
      </c>
      <c r="GT28" s="12">
        <f t="array" ref="GT28">INDEX(GS:GS,MIN(IF(ISNUMBER(GS28:GS224),ROW(GS28:GS224),"")))</f>
        <v>16.8</v>
      </c>
      <c r="GU28" s="12">
        <f>IF('Données projet'!$A$270&gt;35,GU27+GT28-HC27,IF(A28&lt;'Données projet'!$A$270,$GR$205^A28,IF(A28='Données projet'!$A$270,'Données projet'!$B$270,GU27+GT28-HC27)))</f>
        <v>165.00000000000003</v>
      </c>
      <c r="GV28" s="17">
        <f>GU28*VLOOKUP('Données projet'!$B$18,Paramètres!$A$1:$I$89,3,0)*VLOOKUP('Données projet'!$B$18,Paramètres!$A$1:$I$89,5,0)</f>
        <v>110.68200000000003</v>
      </c>
      <c r="GW28" s="13">
        <f t="shared" si="51"/>
        <v>29.49161124389969</v>
      </c>
      <c r="GX28" s="20">
        <f t="shared" si="28"/>
        <v>244.13570624979198</v>
      </c>
      <c r="GY28" s="59">
        <f t="shared" si="29"/>
        <v>537.46903958312532</v>
      </c>
      <c r="GZ28" s="59">
        <f ca="1">AVERAGE(OFFSET($GY$3,0,0,'Données projet'!$E$18+1,1))-AVERAGE(OFFSET($H$3,0,0,'Données projet'!$E$18+1,1))</f>
        <v>268.04554291387961</v>
      </c>
      <c r="HA28" s="59">
        <f t="shared" si="52"/>
        <v>263.70463099437148</v>
      </c>
      <c r="HB28" s="15">
        <f>IF(ISNA(VLOOKUP(A28,'Données projet'!$A$269:$I$289,3,0)),0,VLOOKUP(A28,'Données projet'!$A$269:$I$289,3,0))</f>
        <v>4</v>
      </c>
      <c r="HC28" s="15">
        <f>IF(ISNA(VLOOKUP(A28,'Données projet'!$A$269:$I$289,4,0)),0,VLOOKUP(A28,'Données projet'!$A$269:$I$289,4,0))</f>
        <v>42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2.8666666666666667</v>
      </c>
      <c r="N29" s="13">
        <f>IF('Données projet'!$A$36&gt;35,N28+M29-V28,IF(A29&lt;'Données projet'!$A$36,$K$205^A29,IF(A29='Données projet'!$A$36,'Données projet'!$B$36,N28+M29-V28)))</f>
        <v>47.485971160082471</v>
      </c>
      <c r="O29" s="13">
        <f>N29*VLOOKUP('Données projet'!$B$9,Paramètres!$A$1:$I$89,3,0)*VLOOKUP('Données projet'!$B$9,Paramètres!$A$1:$I$89,5,0)</f>
        <v>20.988799252756454</v>
      </c>
      <c r="P29" s="13">
        <f t="shared" si="33"/>
        <v>6.7867257954499811</v>
      </c>
      <c r="Q29" s="20">
        <f t="shared" si="2"/>
        <v>48.375706125626209</v>
      </c>
      <c r="R29" s="59">
        <f t="shared" si="0"/>
        <v>341.70903945895952</v>
      </c>
      <c r="S29" s="59">
        <f ca="1">AVERAGE(OFFSET($R$3,0,0,'Données projet'!$E$9+1,1))-AVERAGE(OFFSET($H$3,0,0,'Données projet'!$E$9+1,1))</f>
        <v>46.095319339746538</v>
      </c>
      <c r="T29" s="59">
        <f t="shared" si="34"/>
        <v>48.158174304064403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30.25</v>
      </c>
      <c r="AI29" s="13">
        <f>IF('Données projet'!$A$62&gt;35,AI28+AH29-AQ28,IF(A29&lt;'Données projet'!$A$62,$AF$205^A29,IF(A29='Données projet'!$A$62,'Données projet'!$B$62,AI28+AH29-AQ28)))</f>
        <v>274.5</v>
      </c>
      <c r="AJ29" s="13">
        <f>AI29*VLOOKUP('Données projet'!$B$10,Paramètres!$A$1:$I$89,3,0)*VLOOKUP('Données projet'!$B$10,Paramètres!$A$1:$I$89,5,0)</f>
        <v>164.15100000000001</v>
      </c>
      <c r="AK29" s="13">
        <f t="shared" si="35"/>
        <v>41.777384809640523</v>
      </c>
      <c r="AL29" s="20">
        <f t="shared" si="4"/>
        <v>358.65860354345728</v>
      </c>
      <c r="AM29" s="59">
        <f t="shared" si="5"/>
        <v>651.99193687679053</v>
      </c>
      <c r="AN29" s="59">
        <f ca="1">AVERAGE(OFFSET($AM$3,0,0,'Données projet'!$E$10+1,1))-AVERAGE(OFFSET($H$3,0,0,'Données projet'!$E$10+1,1))</f>
        <v>408.84545509668794</v>
      </c>
      <c r="AO29" s="59">
        <f t="shared" si="36"/>
        <v>409.9253979841132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19.369801009548759</v>
      </c>
      <c r="AW29" s="21">
        <f>EXP(-LN(2)/2)*AW28+(1-EXP(-LN(2)/2))/(LN(2)/2)*AQ29*AT29*VLOOKUP('Données projet'!$B$10,Paramètres!$A$1:$I$89,3,0)*0.475*44/12</f>
        <v>7.0733169913666369</v>
      </c>
      <c r="AX29" s="21">
        <f t="shared" si="6"/>
        <v>26.443118000915398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17.600000000000001</v>
      </c>
      <c r="BD29" s="12">
        <f>IF('Données projet'!$A$88&gt;35,BD28+BC29-BL28,IF(A29&lt;'Données projet'!$A$88,$BA$205^A29,IF(A29='Données projet'!$A$88,'Données projet'!$B$88,BD28+BC29-BL28)))</f>
        <v>185.60000000000002</v>
      </c>
      <c r="BE29" s="13">
        <f>BD29*VLOOKUP('Données projet'!$B$11,Paramètres!$A$1:$I$89,3,0)*VLOOKUP('Données projet'!$B$11,Paramètres!$A$1:$I$89,5,0)</f>
        <v>110.98880000000003</v>
      </c>
      <c r="BF29" s="13">
        <f t="shared" si="37"/>
        <v>29.56383208945169</v>
      </c>
      <c r="BG29" s="20">
        <f t="shared" si="7"/>
        <v>244.79583422246174</v>
      </c>
      <c r="BH29" s="59">
        <f t="shared" si="8"/>
        <v>538.12916755579499</v>
      </c>
      <c r="BI29" s="59">
        <f ca="1">AVERAGE(OFFSET($BH$3,0,0,'Données projet'!$E$11+1,1))-AVERAGE(OFFSET($H$3,0,0,'Données projet'!$E$11+1,1))</f>
        <v>279.69031306919914</v>
      </c>
      <c r="BJ29" s="59">
        <f t="shared" si="38"/>
        <v>297.01680128882509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12.673521083981422</v>
      </c>
      <c r="BR29" s="21">
        <f>EXP(-LN(2)/2)*BR28+(1-EXP(-LN(2)/2))/(LN(2)/2)*BL29*BO29*VLOOKUP('Données projet'!$B$11,Paramètres!$A$1:$I$89,3,0)*0.475*44/12</f>
        <v>7.5815481713352755</v>
      </c>
      <c r="BS29" s="22">
        <f t="shared" si="9"/>
        <v>20.255069255316698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7.5</v>
      </c>
      <c r="BY29" s="12">
        <f>IF('Données projet'!$A$114&gt;35,BY28+BX29-CG28,IF(A29&lt;'Données projet'!$A$114,$BV$205^A29,IF(A29='Données projet'!$A$114,'Données projet'!$B$114,BY28+BX29-CG28)))</f>
        <v>80</v>
      </c>
      <c r="BZ29" s="13">
        <f>BY29*VLOOKUP('Données projet'!$B$12,Paramètres!$A$1:$I$89,3,0)*VLOOKUP('Données projet'!$B$12,Paramètres!$A$1:$I$89,5,0)</f>
        <v>47.840000000000011</v>
      </c>
      <c r="CA29" s="13">
        <f t="shared" si="39"/>
        <v>14.054504650394978</v>
      </c>
      <c r="CB29" s="20">
        <f t="shared" si="10"/>
        <v>107.79959559943795</v>
      </c>
      <c r="CC29" s="59">
        <f t="shared" si="11"/>
        <v>401.13292893277128</v>
      </c>
      <c r="CD29" s="59">
        <f ca="1">AVERAGE(OFFSET($CC$3,0,0,'Données projet'!$E$12+1,1))-AVERAGE(OFFSET($H$3,0,0,'Données projet'!$E$12+1,1))</f>
        <v>81.299024916151723</v>
      </c>
      <c r="CE29" s="59">
        <f t="shared" si="40"/>
        <v>88.106373324240167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3.9720024468480934</v>
      </c>
      <c r="CM29" s="21">
        <f>EXP(-LN(2)/2)*CM28+(1-EXP(-LN(2)/2))/(LN(2)/2)*CG29*CJ29*VLOOKUP('Données projet'!$B$12,Paramètres!$A$1:$I$89,3,0)*0.475*44/12</f>
        <v>1.8281022675862322</v>
      </c>
      <c r="CN29" s="22">
        <f t="shared" si="12"/>
        <v>5.8001047144343261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57</v>
      </c>
      <c r="CT29" s="12">
        <f>IF('Données projet'!$A$140&gt;35,CT28+CS29-DB28,IF(A29&lt;'Données projet'!$A$140,$CQ$205^A29,IF(A29='Données projet'!$A$140,'Données projet'!$B$140,CT28+CS29-DB28)))</f>
        <v>296</v>
      </c>
      <c r="CU29" s="17">
        <f>CT29*VLOOKUP('Données projet'!$B$13,Paramètres!$A$1:$I$89,3,0)*VLOOKUP('Données projet'!$B$13,Paramètres!$A$1:$I$89,5,0)</f>
        <v>165.464</v>
      </c>
      <c r="CV29" s="13">
        <f t="shared" si="41"/>
        <v>42.072516963924798</v>
      </c>
      <c r="CW29" s="20">
        <f t="shared" si="13"/>
        <v>361.45943371216896</v>
      </c>
      <c r="CX29" s="59">
        <f t="shared" si="14"/>
        <v>654.79276704550227</v>
      </c>
      <c r="CY29" s="59">
        <f ca="1">AVERAGE(OFFSET($CX$3,0,0,'Données projet'!$E$13+1,1))-AVERAGE(OFFSET($H$3,0,0,'Données projet'!$E$13+1,1))</f>
        <v>475.42482703895411</v>
      </c>
      <c r="CZ29" s="59">
        <f t="shared" si="42"/>
        <v>593.51433014569966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23.099821625434821</v>
      </c>
      <c r="DH29" s="21">
        <f>EXP(-LN(2)/2)*DH28+(1-EXP(-LN(2)/2))/(LN(2)/2)*DB29*DE29*VLOOKUP('Données projet'!$B$13,Paramètres!$A$1:$I$89,3,0)*0.475*44/12</f>
        <v>12.101745548105345</v>
      </c>
      <c r="DI29" s="22">
        <f t="shared" si="15"/>
        <v>35.20156717354017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4</v>
      </c>
      <c r="DO29" s="12">
        <f>IF('Données projet'!$A$166&gt;35,DO28+DN29-DW28,IF(A29&lt;'Données projet'!$A$166,$DL$205^A29,IF(A29='Données projet'!$A$166,'Données projet'!$B$166,DO28+DN29-DW28)))</f>
        <v>104</v>
      </c>
      <c r="DP29" s="17">
        <f>DO29*VLOOKUP('Données projet'!$B$14,Paramètres!$A$1:$I$89,3,0)*VLOOKUP('Données projet'!$B$14,Paramètres!$A$1:$I$89,5,0)</f>
        <v>94.099199999999996</v>
      </c>
      <c r="DQ29" s="13">
        <f t="shared" si="43"/>
        <v>25.551276031514817</v>
      </c>
      <c r="DR29" s="20">
        <f t="shared" si="16"/>
        <v>208.39124575488827</v>
      </c>
      <c r="DS29" s="59">
        <f t="shared" si="17"/>
        <v>501.72457908822162</v>
      </c>
      <c r="DT29" s="59">
        <f ca="1">AVERAGE(OFFSET($DS$3,0,0,'Données projet'!$E$14+1,1))-AVERAGE(OFFSET($H$3,0,0,'Données projet'!$E$14+1,1))</f>
        <v>401.17301323870578</v>
      </c>
      <c r="DU29" s="59">
        <f t="shared" si="44"/>
        <v>201.57993789149754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9</v>
      </c>
      <c r="EJ29" s="12">
        <f>IF('Données projet'!$A$192&gt;35,EJ28+EI29-ER28,IF(A29&lt;'Données projet'!$A$192,$EG$205^A29,IF(A29='Données projet'!$A$192,'Données projet'!$B$192,EJ28+EI29-ER28)))</f>
        <v>148</v>
      </c>
      <c r="EK29" s="17">
        <f>EJ29*VLOOKUP('Données projet'!$B$15,Paramètres!$A$1:$I$89,3,0)*VLOOKUP('Données projet'!$B$15,Paramètres!$A$1:$I$89,5,0)</f>
        <v>129.29280000000003</v>
      </c>
      <c r="EL29" s="13">
        <f t="shared" si="45"/>
        <v>33.832894333299251</v>
      </c>
      <c r="EM29" s="20">
        <f t="shared" si="19"/>
        <v>284.11058429716292</v>
      </c>
      <c r="EN29" s="59">
        <f t="shared" si="20"/>
        <v>577.44391763049623</v>
      </c>
      <c r="EO29" s="59">
        <f ca="1">AVERAGE(OFFSET($EN$3,0,0,'Données projet'!$E$15+1,1))-AVERAGE(OFFSET($H$3,0,0,'Données projet'!$E$15+1,1))</f>
        <v>237.8483058552178</v>
      </c>
      <c r="EP29" s="59">
        <f t="shared" si="46"/>
        <v>313.36201272119723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16.399999999999999</v>
      </c>
      <c r="FE29" s="12">
        <f>IF('Données projet'!$A$218&gt;35,FE28+FD29-FM28,IF(A29&lt;'Données projet'!$A$218,$FB$205^A29,IF(A29='Données projet'!$A$218,'Données projet'!$B$218,FE28+FD29-FM28)))</f>
        <v>139.40000000000003</v>
      </c>
      <c r="FF29" s="17">
        <f>FE29*VLOOKUP('Données projet'!$B$16,Paramètres!$A$1:$I$89,3,0)*VLOOKUP('Données projet'!$B$16,Paramètres!$A$1:$I$89,5,0)</f>
        <v>108.73200000000003</v>
      </c>
      <c r="FG29" s="13">
        <f t="shared" si="47"/>
        <v>29.032032589434234</v>
      </c>
      <c r="FH29" s="20">
        <f t="shared" si="22"/>
        <v>239.93902342659797</v>
      </c>
      <c r="FI29" s="59">
        <f t="shared" si="23"/>
        <v>533.27235675993131</v>
      </c>
      <c r="FJ29" s="59">
        <f ca="1">AVERAGE(OFFSET($FI$3,0,0,'Données projet'!$E$16+1,1))-AVERAGE(OFFSET($H$3,0,0,'Données projet'!$E$16+1,1))</f>
        <v>318.52984981739411</v>
      </c>
      <c r="FK29" s="59">
        <f t="shared" si="48"/>
        <v>311.56398336941714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16.399999999999999</v>
      </c>
      <c r="FZ29" s="12">
        <f>IF('Données projet'!$A$244&gt;35,FZ28+FY29-GH28,IF(A29&lt;'Données projet'!$A$244,$FW$205^A29,IF(A29='Données projet'!$A$244,'Données projet'!$B$244,FZ28+FY29-GH28)))</f>
        <v>139.40000000000003</v>
      </c>
      <c r="GA29" s="17">
        <f>FZ29*VLOOKUP('Données projet'!$B$17,Paramètres!$A$1:$I$89,3,0)*VLOOKUP('Données projet'!$B$17,Paramètres!$A$1:$I$89,5,0)</f>
        <v>110.90664000000004</v>
      </c>
      <c r="GB29" s="13">
        <f t="shared" si="49"/>
        <v>29.544493872672952</v>
      </c>
      <c r="GC29" s="20">
        <f t="shared" si="25"/>
        <v>244.6190581615721</v>
      </c>
      <c r="GD29" s="59">
        <f t="shared" si="26"/>
        <v>537.95239149490544</v>
      </c>
      <c r="GE29" s="59">
        <f ca="1">AVERAGE(OFFSET($GD$3,0,0,'Données projet'!$E$17+1,1))-AVERAGE(OFFSET($H$3,0,0,'Données projet'!$E$17+1,1))</f>
        <v>325.72928944930294</v>
      </c>
      <c r="GF29" s="59">
        <f t="shared" si="50"/>
        <v>318.38876834819752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16.399999999999999</v>
      </c>
      <c r="GU29" s="12">
        <f>IF('Données projet'!$A$270&gt;35,GU28+GT29-HC28,IF(A29&lt;'Données projet'!$A$270,$GR$205^A29,IF(A29='Données projet'!$A$270,'Données projet'!$B$270,GU28+GT29-HC28)))</f>
        <v>139.40000000000003</v>
      </c>
      <c r="GV29" s="17">
        <f>GU29*VLOOKUP('Données projet'!$B$18,Paramètres!$A$1:$I$89,3,0)*VLOOKUP('Données projet'!$B$18,Paramètres!$A$1:$I$89,5,0)</f>
        <v>93.509520000000023</v>
      </c>
      <c r="GW29" s="13">
        <f t="shared" si="51"/>
        <v>25.409743099681585</v>
      </c>
      <c r="GX29" s="20">
        <f t="shared" si="28"/>
        <v>207.11771656527881</v>
      </c>
      <c r="GY29" s="59">
        <f t="shared" si="29"/>
        <v>500.45104989861215</v>
      </c>
      <c r="GZ29" s="59">
        <f ca="1">AVERAGE(OFFSET($GY$3,0,0,'Données projet'!$E$18+1,1))-AVERAGE(OFFSET($H$3,0,0,'Données projet'!$E$18+1,1))</f>
        <v>268.04554291387961</v>
      </c>
      <c r="HA29" s="59">
        <f t="shared" si="52"/>
        <v>263.70463099437148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2.8666666666666667</v>
      </c>
      <c r="N30" s="13">
        <f>IF('Données projet'!$A$36&gt;35,N29+M30-V29,IF(A30&lt;'Données projet'!$A$36,$K$205^A30,IF(A30='Données projet'!$A$36,'Données projet'!$B$36,N29+M30-V29)))</f>
        <v>55.08693461014439</v>
      </c>
      <c r="O30" s="13">
        <f>N30*VLOOKUP('Données projet'!$B$9,Paramètres!$A$1:$I$89,3,0)*VLOOKUP('Données projet'!$B$9,Paramètres!$A$1:$I$89,5,0)</f>
        <v>24.348425097683823</v>
      </c>
      <c r="P30" s="13">
        <f t="shared" si="33"/>
        <v>7.7381604482387987</v>
      </c>
      <c r="Q30" s="20">
        <f t="shared" si="2"/>
        <v>55.8841364924819</v>
      </c>
      <c r="R30" s="59">
        <f t="shared" si="0"/>
        <v>349.21746982581521</v>
      </c>
      <c r="S30" s="59">
        <f ca="1">AVERAGE(OFFSET($R$3,0,0,'Données projet'!$E$9+1,1))-AVERAGE(OFFSET($H$3,0,0,'Données projet'!$E$9+1,1))</f>
        <v>46.095319339746538</v>
      </c>
      <c r="T30" s="59">
        <f t="shared" si="34"/>
        <v>48.158174304064403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30.25</v>
      </c>
      <c r="AI30" s="13">
        <f>IF('Données projet'!$A$62&gt;35,AI29+AH30-AQ29,IF(A30&lt;'Données projet'!$A$62,$AF$205^A30,IF(A30='Données projet'!$A$62,'Données projet'!$B$62,AI29+AH30-AQ29)))</f>
        <v>304.75</v>
      </c>
      <c r="AJ30" s="13">
        <f>AI30*VLOOKUP('Données projet'!$B$10,Paramètres!$A$1:$I$89,3,0)*VLOOKUP('Données projet'!$B$10,Paramètres!$A$1:$I$89,5,0)</f>
        <v>182.2405</v>
      </c>
      <c r="AK30" s="13">
        <f t="shared" si="35"/>
        <v>45.82029669375072</v>
      </c>
      <c r="AL30" s="20">
        <f t="shared" si="4"/>
        <v>397.20588757494914</v>
      </c>
      <c r="AM30" s="59">
        <f t="shared" si="5"/>
        <v>690.53922090828246</v>
      </c>
      <c r="AN30" s="59">
        <f ca="1">AVERAGE(OFFSET($AM$3,0,0,'Données projet'!$E$10+1,1))-AVERAGE(OFFSET($H$3,0,0,'Données projet'!$E$10+1,1))</f>
        <v>408.84545509668794</v>
      </c>
      <c r="AO30" s="59">
        <f t="shared" si="36"/>
        <v>409.9253979841132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18.840132782329082</v>
      </c>
      <c r="AW30" s="21">
        <f>EXP(-LN(2)/2)*AW29+(1-EXP(-LN(2)/2))/(LN(2)/2)*AQ30*AT30*VLOOKUP('Données projet'!$B$10,Paramètres!$A$1:$I$89,3,0)*0.475*44/12</f>
        <v>5.0015904100773776</v>
      </c>
      <c r="AX30" s="21">
        <f t="shared" si="6"/>
        <v>23.841723192406459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17.600000000000001</v>
      </c>
      <c r="BD30" s="12">
        <f>IF('Données projet'!$A$88&gt;35,BD29+BC30-BL29,IF(A30&lt;'Données projet'!$A$88,$BA$205^A30,IF(A30='Données projet'!$A$88,'Données projet'!$B$88,BD29+BC30-BL29)))</f>
        <v>203.20000000000002</v>
      </c>
      <c r="BE30" s="13">
        <f>BD30*VLOOKUP('Données projet'!$B$11,Paramètres!$A$1:$I$89,3,0)*VLOOKUP('Données projet'!$B$11,Paramètres!$A$1:$I$89,5,0)</f>
        <v>121.51360000000001</v>
      </c>
      <c r="BF30" s="13">
        <f t="shared" si="37"/>
        <v>32.027763694063836</v>
      </c>
      <c r="BG30" s="20">
        <f t="shared" si="7"/>
        <v>267.41787510049454</v>
      </c>
      <c r="BH30" s="59">
        <f t="shared" si="8"/>
        <v>560.75120843382786</v>
      </c>
      <c r="BI30" s="59">
        <f ca="1">AVERAGE(OFFSET($BH$3,0,0,'Données projet'!$E$11+1,1))-AVERAGE(OFFSET($H$3,0,0,'Données projet'!$E$11+1,1))</f>
        <v>279.69031306919914</v>
      </c>
      <c r="BJ30" s="59">
        <f t="shared" si="38"/>
        <v>297.01680128882509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12.326962983468443</v>
      </c>
      <c r="BR30" s="21">
        <f>EXP(-LN(2)/2)*BR29+(1-EXP(-LN(2)/2))/(LN(2)/2)*BL30*BO30*VLOOKUP('Données projet'!$B$11,Paramètres!$A$1:$I$89,3,0)*0.475*44/12</f>
        <v>5.360964123843643</v>
      </c>
      <c r="BS30" s="22">
        <f t="shared" si="9"/>
        <v>17.687927107312085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7.5</v>
      </c>
      <c r="BY30" s="12">
        <f>IF('Données projet'!$A$114&gt;35,BY29+BX30-CG29,IF(A30&lt;'Données projet'!$A$114,$BV$205^A30,IF(A30='Données projet'!$A$114,'Données projet'!$B$114,BY29+BX30-CG29)))</f>
        <v>87.5</v>
      </c>
      <c r="BZ30" s="13">
        <f>BY30*VLOOKUP('Données projet'!$B$12,Paramètres!$A$1:$I$89,3,0)*VLOOKUP('Données projet'!$B$12,Paramètres!$A$1:$I$89,5,0)</f>
        <v>52.325000000000003</v>
      </c>
      <c r="CA30" s="13">
        <f t="shared" si="39"/>
        <v>15.212603524222455</v>
      </c>
      <c r="CB30" s="20">
        <f t="shared" si="10"/>
        <v>117.62799280468744</v>
      </c>
      <c r="CC30" s="59">
        <f t="shared" si="11"/>
        <v>410.96132613802075</v>
      </c>
      <c r="CD30" s="59">
        <f ca="1">AVERAGE(OFFSET($CC$3,0,0,'Données projet'!$E$12+1,1))-AVERAGE(OFFSET($H$3,0,0,'Données projet'!$E$12+1,1))</f>
        <v>81.299024916151723</v>
      </c>
      <c r="CE30" s="59">
        <f t="shared" si="40"/>
        <v>88.106373324240167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3.8633878310605017</v>
      </c>
      <c r="CM30" s="21">
        <f>EXP(-LN(2)/2)*CM29+(1-EXP(-LN(2)/2))/(LN(2)/2)*CG30*CJ30*VLOOKUP('Données projet'!$B$12,Paramètres!$A$1:$I$89,3,0)*0.475*44/12</f>
        <v>1.2926635101127293</v>
      </c>
      <c r="CN30" s="22">
        <f t="shared" si="12"/>
        <v>5.1560513411732307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57</v>
      </c>
      <c r="CT30" s="12">
        <f>IF('Données projet'!$A$140&gt;35,CT29+CS30-DB29,IF(A30&lt;'Données projet'!$A$140,$CQ$205^A30,IF(A30='Données projet'!$A$140,'Données projet'!$B$140,CT29+CS30-DB29)))</f>
        <v>353</v>
      </c>
      <c r="CU30" s="17">
        <f>CT30*VLOOKUP('Données projet'!$B$13,Paramètres!$A$1:$I$89,3,0)*VLOOKUP('Données projet'!$B$13,Paramètres!$A$1:$I$89,5,0)</f>
        <v>197.327</v>
      </c>
      <c r="CV30" s="13">
        <f t="shared" si="41"/>
        <v>49.15626400063298</v>
      </c>
      <c r="CW30" s="20">
        <f t="shared" si="13"/>
        <v>429.29168480110246</v>
      </c>
      <c r="CX30" s="59">
        <f t="shared" si="14"/>
        <v>722.62501813443578</v>
      </c>
      <c r="CY30" s="59">
        <f ca="1">AVERAGE(OFFSET($CX$3,0,0,'Données projet'!$E$13+1,1))-AVERAGE(OFFSET($H$3,0,0,'Données projet'!$E$13+1,1))</f>
        <v>475.42482703895411</v>
      </c>
      <c r="CZ30" s="59">
        <f t="shared" si="42"/>
        <v>593.51433014569966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22.46815578832048</v>
      </c>
      <c r="DH30" s="21">
        <f>EXP(-LN(2)/2)*DH29+(1-EXP(-LN(2)/2))/(LN(2)/2)*DB30*DE30*VLOOKUP('Données projet'!$B$13,Paramètres!$A$1:$I$89,3,0)*0.475*44/12</f>
        <v>8.557226341259403</v>
      </c>
      <c r="DI30" s="22">
        <f t="shared" si="15"/>
        <v>31.025382129579882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4</v>
      </c>
      <c r="DO30" s="12">
        <f>IF('Données projet'!$A$166&gt;35,DO29+DN30-DW29,IF(A30&lt;'Données projet'!$A$166,$DL$205^A30,IF(A30='Données projet'!$A$166,'Données projet'!$B$166,DO29+DN30-DW29)))</f>
        <v>108</v>
      </c>
      <c r="DP30" s="17">
        <f>DO30*VLOOKUP('Données projet'!$B$14,Paramètres!$A$1:$I$89,3,0)*VLOOKUP('Données projet'!$B$14,Paramètres!$A$1:$I$89,5,0)</f>
        <v>97.718399999999988</v>
      </c>
      <c r="DQ30" s="13">
        <f t="shared" si="43"/>
        <v>26.417709819192194</v>
      </c>
      <c r="DR30" s="20">
        <f t="shared" si="16"/>
        <v>216.20372460175972</v>
      </c>
      <c r="DS30" s="59">
        <f t="shared" si="17"/>
        <v>509.537057935093</v>
      </c>
      <c r="DT30" s="59">
        <f ca="1">AVERAGE(OFFSET($DS$3,0,0,'Données projet'!$E$14+1,1))-AVERAGE(OFFSET($H$3,0,0,'Données projet'!$E$14+1,1))</f>
        <v>401.17301323870578</v>
      </c>
      <c r="DU30" s="59">
        <f t="shared" si="44"/>
        <v>201.57993789149754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9</v>
      </c>
      <c r="EJ30" s="12">
        <f>IF('Données projet'!$A$192&gt;35,EJ29+EI30-ER29,IF(A30&lt;'Données projet'!$A$192,$EG$205^A30,IF(A30='Données projet'!$A$192,'Données projet'!$B$192,EJ29+EI30-ER29)))</f>
        <v>157</v>
      </c>
      <c r="EK30" s="17">
        <f>EJ30*VLOOKUP('Données projet'!$B$15,Paramètres!$A$1:$I$89,3,0)*VLOOKUP('Données projet'!$B$15,Paramètres!$A$1:$I$89,5,0)</f>
        <v>137.15520000000001</v>
      </c>
      <c r="EL30" s="13">
        <f t="shared" si="45"/>
        <v>35.644525151069693</v>
      </c>
      <c r="EM30" s="20">
        <f t="shared" si="19"/>
        <v>300.95952130477974</v>
      </c>
      <c r="EN30" s="59">
        <f t="shared" si="20"/>
        <v>594.29285463811311</v>
      </c>
      <c r="EO30" s="59">
        <f ca="1">AVERAGE(OFFSET($EN$3,0,0,'Données projet'!$E$15+1,1))-AVERAGE(OFFSET($H$3,0,0,'Données projet'!$E$15+1,1))</f>
        <v>237.8483058552178</v>
      </c>
      <c r="EP30" s="59">
        <f t="shared" si="46"/>
        <v>313.36201272119723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16.399999999999999</v>
      </c>
      <c r="FE30" s="12">
        <f>IF('Données projet'!$A$218&gt;35,FE29+FD30-FM29,IF(A30&lt;'Données projet'!$A$218,$FB$205^A30,IF(A30='Données projet'!$A$218,'Données projet'!$B$218,FE29+FD30-FM29)))</f>
        <v>155.80000000000004</v>
      </c>
      <c r="FF30" s="17">
        <f>FE30*VLOOKUP('Données projet'!$B$16,Paramètres!$A$1:$I$89,3,0)*VLOOKUP('Données projet'!$B$16,Paramètres!$A$1:$I$89,5,0)</f>
        <v>121.52400000000003</v>
      </c>
      <c r="FG30" s="13">
        <f t="shared" si="47"/>
        <v>32.030185774775809</v>
      </c>
      <c r="FH30" s="20">
        <f t="shared" si="22"/>
        <v>267.44020689106793</v>
      </c>
      <c r="FI30" s="59">
        <f t="shared" si="23"/>
        <v>560.77354022440124</v>
      </c>
      <c r="FJ30" s="59">
        <f ca="1">AVERAGE(OFFSET($FI$3,0,0,'Données projet'!$E$16+1,1))-AVERAGE(OFFSET($H$3,0,0,'Données projet'!$E$16+1,1))</f>
        <v>318.52984981739411</v>
      </c>
      <c r="FK30" s="59">
        <f t="shared" si="48"/>
        <v>311.56398336941714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16.399999999999999</v>
      </c>
      <c r="FZ30" s="12">
        <f>IF('Données projet'!$A$244&gt;35,FZ29+FY30-GH29,IF(A30&lt;'Données projet'!$A$244,$FW$205^A30,IF(A30='Données projet'!$A$244,'Données projet'!$B$244,FZ29+FY30-GH29)))</f>
        <v>155.80000000000004</v>
      </c>
      <c r="GA30" s="17">
        <f>FZ30*VLOOKUP('Données projet'!$B$17,Paramètres!$A$1:$I$89,3,0)*VLOOKUP('Données projet'!$B$17,Paramètres!$A$1:$I$89,5,0)</f>
        <v>123.95448000000005</v>
      </c>
      <c r="GB30" s="13">
        <f t="shared" si="49"/>
        <v>32.595569202682604</v>
      </c>
      <c r="GC30" s="20">
        <f t="shared" si="25"/>
        <v>272.65800236133896</v>
      </c>
      <c r="GD30" s="59">
        <f t="shared" si="26"/>
        <v>565.99133569467222</v>
      </c>
      <c r="GE30" s="59">
        <f ca="1">AVERAGE(OFFSET($GD$3,0,0,'Données projet'!$E$17+1,1))-AVERAGE(OFFSET($H$3,0,0,'Données projet'!$E$17+1,1))</f>
        <v>325.72928944930294</v>
      </c>
      <c r="GF30" s="59">
        <f t="shared" si="50"/>
        <v>318.38876834819752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16.399999999999999</v>
      </c>
      <c r="GU30" s="12">
        <f>IF('Données projet'!$A$270&gt;35,GU29+GT30-HC29,IF(A30&lt;'Données projet'!$A$270,$GR$205^A30,IF(A30='Données projet'!$A$270,'Données projet'!$B$270,GU29+GT30-HC29)))</f>
        <v>155.80000000000004</v>
      </c>
      <c r="GV30" s="17">
        <f>GU30*VLOOKUP('Données projet'!$B$18,Paramètres!$A$1:$I$89,3,0)*VLOOKUP('Données projet'!$B$18,Paramètres!$A$1:$I$89,5,0)</f>
        <v>104.51064000000002</v>
      </c>
      <c r="GW30" s="13">
        <f t="shared" si="51"/>
        <v>28.033820555448408</v>
      </c>
      <c r="GX30" s="20">
        <f t="shared" si="28"/>
        <v>230.84826880073933</v>
      </c>
      <c r="GY30" s="59">
        <f t="shared" si="29"/>
        <v>524.18160213407259</v>
      </c>
      <c r="GZ30" s="59">
        <f ca="1">AVERAGE(OFFSET($GY$3,0,0,'Données projet'!$E$18+1,1))-AVERAGE(OFFSET($H$3,0,0,'Données projet'!$E$18+1,1))</f>
        <v>268.04554291387961</v>
      </c>
      <c r="HA30" s="59">
        <f t="shared" si="52"/>
        <v>263.70463099437148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0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2.8666666666666667</v>
      </c>
      <c r="N31" s="13">
        <f>IF('Données projet'!$A$36&gt;35,N30+M31-V30,IF(A31&lt;'Données projet'!$A$36,$K$205^A31,IF(A31='Données projet'!$A$36,'Données projet'!$B$36,N30+M31-V30)))</f>
        <v>63.904565719258898</v>
      </c>
      <c r="O31" s="13">
        <f>N31*VLOOKUP('Données projet'!$B$9,Paramètres!$A$1:$I$89,3,0)*VLOOKUP('Données projet'!$B$9,Paramètres!$A$1:$I$89,5,0)</f>
        <v>28.245818047912437</v>
      </c>
      <c r="P31" s="13">
        <f t="shared" si="33"/>
        <v>8.8229772245744797</v>
      </c>
      <c r="Q31" s="20">
        <f t="shared" si="2"/>
        <v>64.56148509958139</v>
      </c>
      <c r="R31" s="59">
        <f t="shared" si="0"/>
        <v>357.89481843291469</v>
      </c>
      <c r="S31" s="59">
        <f ca="1">AVERAGE(OFFSET($R$3,0,0,'Données projet'!$E$9+1,1))-AVERAGE(OFFSET($H$3,0,0,'Données projet'!$E$9+1,1))</f>
        <v>46.095319339746538</v>
      </c>
      <c r="T31" s="59">
        <f t="shared" si="34"/>
        <v>48.158174304064403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>
        <f>VLOOKUP(A31,'Données projet'!$A$61:$I$81,2,0)</f>
        <v>335</v>
      </c>
      <c r="AG31" s="12">
        <f>VLOOKUP(A31,'Données projet'!$A$61:$I$81,9,0)</f>
        <v>30.25</v>
      </c>
      <c r="AH31" s="12">
        <f t="array" ref="AH31">INDEX(AG:AG,MIN(IF(ISNUMBER(AG31:AG227),ROW(AG31:AG227),"")))</f>
        <v>30.25</v>
      </c>
      <c r="AI31" s="13">
        <f>IF('Données projet'!$A$62&gt;35,AI30+AH31-AQ30,IF(A31&lt;'Données projet'!$A$62,$AF$205^A31,IF(A31='Données projet'!$A$62,'Données projet'!$B$62,AI30+AH31-AQ30)))</f>
        <v>335</v>
      </c>
      <c r="AJ31" s="13">
        <f>AI31*VLOOKUP('Données projet'!$B$10,Paramètres!$A$1:$I$89,3,0)*VLOOKUP('Données projet'!$B$10,Paramètres!$A$1:$I$89,5,0)</f>
        <v>200.33</v>
      </c>
      <c r="AK31" s="13">
        <f t="shared" si="35"/>
        <v>49.81668477706846</v>
      </c>
      <c r="AL31" s="20">
        <f t="shared" si="4"/>
        <v>435.67214265339425</v>
      </c>
      <c r="AM31" s="59">
        <f t="shared" si="5"/>
        <v>729.00547598672756</v>
      </c>
      <c r="AN31" s="59">
        <f ca="1">AVERAGE(OFFSET($AM$3,0,0,'Données projet'!$E$10+1,1))-AVERAGE(OFFSET($H$3,0,0,'Données projet'!$E$10+1,1))</f>
        <v>408.84545509668794</v>
      </c>
      <c r="AO31" s="59">
        <f t="shared" si="36"/>
        <v>409.9253979841132</v>
      </c>
      <c r="AP31" s="15">
        <f>IF(ISNA(VLOOKUP(A31,'Données projet'!$A$61:$I$81,3,0)),0,VLOOKUP(A31,'Données projet'!$A$61:$I$81,3,0))</f>
        <v>5</v>
      </c>
      <c r="AQ31" s="15">
        <f>IF(ISNA(VLOOKUP(A31,'Données projet'!$A$61:$I$81,4,0)),0,VLOOKUP(A31,'Données projet'!$A$61:$I$81,4,0))</f>
        <v>42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0.27</v>
      </c>
      <c r="AT31" s="16">
        <f>IF(ISNA(VLOOKUP(A31,'Données projet'!$A$61:$I$81,7,0)),0%,VLOOKUP(A31,'Données projet'!$A$61:$I$81,7,0))</f>
        <v>0.4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27.285386312674135</v>
      </c>
      <c r="AW31" s="21">
        <f>EXP(-LN(2)/2)*AW30+(1-EXP(-LN(2)/2))/(LN(2)/2)*AQ31*AT31*VLOOKUP('Données projet'!$B$10,Paramètres!$A$1:$I$89,3,0)*0.475*44/12</f>
        <v>14.911517049553206</v>
      </c>
      <c r="AX31" s="21">
        <f t="shared" si="6"/>
        <v>42.196903362227339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17.600000000000001</v>
      </c>
      <c r="BD31" s="12">
        <f>IF('Données projet'!$A$88&gt;35,BD30+BC31-BL30,IF(A31&lt;'Données projet'!$A$88,$BA$205^A31,IF(A31='Données projet'!$A$88,'Données projet'!$B$88,BD30+BC31-BL30)))</f>
        <v>220.8</v>
      </c>
      <c r="BE31" s="13">
        <f>BD31*VLOOKUP('Données projet'!$B$11,Paramètres!$A$1:$I$89,3,0)*VLOOKUP('Données projet'!$B$11,Paramètres!$A$1:$I$89,5,0)</f>
        <v>132.03840000000002</v>
      </c>
      <c r="BF31" s="13">
        <f t="shared" si="37"/>
        <v>34.466946374534373</v>
      </c>
      <c r="BG31" s="20">
        <f t="shared" si="7"/>
        <v>289.99681160231404</v>
      </c>
      <c r="BH31" s="59">
        <f t="shared" si="8"/>
        <v>583.33014493564735</v>
      </c>
      <c r="BI31" s="59">
        <f ca="1">AVERAGE(OFFSET($BH$3,0,0,'Données projet'!$E$11+1,1))-AVERAGE(OFFSET($H$3,0,0,'Données projet'!$E$11+1,1))</f>
        <v>279.69031306919914</v>
      </c>
      <c r="BJ31" s="59">
        <f t="shared" si="38"/>
        <v>297.01680128882509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11.989881532438689</v>
      </c>
      <c r="BR31" s="21">
        <f>EXP(-LN(2)/2)*BR30+(1-EXP(-LN(2)/2))/(LN(2)/2)*BL31*BO31*VLOOKUP('Données projet'!$B$11,Paramètres!$A$1:$I$89,3,0)*0.475*44/12</f>
        <v>3.7907740856676386</v>
      </c>
      <c r="BS31" s="22">
        <f t="shared" si="9"/>
        <v>15.780655618106328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>
        <f>VLOOKUP(A31,'Données projet'!$A$113:$I$133,2,0)</f>
        <v>95</v>
      </c>
      <c r="BW31" s="12">
        <f>VLOOKUP(A31,'Données projet'!$A$113:$I$133,9,0)</f>
        <v>7.5</v>
      </c>
      <c r="BX31" s="12">
        <f t="array" ref="BX31">INDEX(BW:BW,MIN(IF(ISNUMBER(BW31:BW227),ROW(BW31:BW227),"")))</f>
        <v>7.5</v>
      </c>
      <c r="BY31" s="12">
        <f>IF('Données projet'!$A$114&gt;35,BY30+BX31-CG30,IF(A31&lt;'Données projet'!$A$114,$BV$205^A31,IF(A31='Données projet'!$A$114,'Données projet'!$B$114,BY30+BX31-CG30)))</f>
        <v>95</v>
      </c>
      <c r="BZ31" s="13">
        <f>BY31*VLOOKUP('Données projet'!$B$12,Paramètres!$A$1:$I$89,3,0)*VLOOKUP('Données projet'!$B$12,Paramètres!$A$1:$I$89,5,0)</f>
        <v>56.81</v>
      </c>
      <c r="CA31" s="13">
        <f t="shared" si="39"/>
        <v>16.359190460575888</v>
      </c>
      <c r="CB31" s="20">
        <f t="shared" si="10"/>
        <v>127.43634005216967</v>
      </c>
      <c r="CC31" s="59">
        <f t="shared" si="11"/>
        <v>420.76967338550298</v>
      </c>
      <c r="CD31" s="59">
        <f ca="1">AVERAGE(OFFSET($CC$3,0,0,'Données projet'!$E$12+1,1))-AVERAGE(OFFSET($H$3,0,0,'Données projet'!$E$12+1,1))</f>
        <v>81.299024916151723</v>
      </c>
      <c r="CE31" s="59">
        <f t="shared" si="40"/>
        <v>88.106373324240167</v>
      </c>
      <c r="CF31" s="15">
        <f>IF(ISNA(VLOOKUP(A31,'Données projet'!$A$113:$I$133,3,0)),0,VLOOKUP(A31,'Données projet'!$A$113:$I$133,3,0))</f>
        <v>5</v>
      </c>
      <c r="CG31" s="15">
        <f>IF(ISNA(VLOOKUP(A31,'Données projet'!$A$113:$I$133,4,0)),0,VLOOKUP(A31,'Données projet'!$A$113:$I$133,4,0))</f>
        <v>13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0.27</v>
      </c>
      <c r="CJ31" s="16">
        <f>IF(ISNA(VLOOKUP(A31,'Données projet'!$A$113:$I$133,7,0)),0%,VLOOKUP(A31,'Données projet'!$A$113:$I$133,7,0))</f>
        <v>0.4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6.5312121775697429</v>
      </c>
      <c r="CM31" s="21">
        <f>EXP(-LN(2)/2)*CM30+(1-EXP(-LN(2)/2))/(LN(2)/2)*CG31*CJ31*VLOOKUP('Données projet'!$B$12,Paramètres!$A$1:$I$89,3,0)*0.475*44/12</f>
        <v>4.4348406861814142</v>
      </c>
      <c r="CN31" s="22">
        <f t="shared" si="12"/>
        <v>10.966052863751157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57</v>
      </c>
      <c r="CT31" s="12">
        <f>IF('Données projet'!$A$140&gt;35,CT30+CS31-DB30,IF(A31&lt;'Données projet'!$A$140,$CQ$205^A31,IF(A31='Données projet'!$A$140,'Données projet'!$B$140,CT30+CS31-DB30)))</f>
        <v>410</v>
      </c>
      <c r="CU31" s="17">
        <f>CT31*VLOOKUP('Données projet'!$B$13,Paramètres!$A$1:$I$89,3,0)*VLOOKUP('Données projet'!$B$13,Paramètres!$A$1:$I$89,5,0)</f>
        <v>229.19000000000003</v>
      </c>
      <c r="CV31" s="13">
        <f t="shared" si="41"/>
        <v>56.107504648403449</v>
      </c>
      <c r="CW31" s="20">
        <f t="shared" si="13"/>
        <v>496.89315392930263</v>
      </c>
      <c r="CX31" s="59">
        <f t="shared" si="14"/>
        <v>790.22648726263594</v>
      </c>
      <c r="CY31" s="59">
        <f ca="1">AVERAGE(OFFSET($CX$3,0,0,'Données projet'!$E$13+1,1))-AVERAGE(OFFSET($H$3,0,0,'Données projet'!$E$13+1,1))</f>
        <v>475.42482703895411</v>
      </c>
      <c r="CZ31" s="59">
        <f t="shared" si="42"/>
        <v>593.51433014569966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21.853762886739897</v>
      </c>
      <c r="DH31" s="21">
        <f>EXP(-LN(2)/2)*DH30+(1-EXP(-LN(2)/2))/(LN(2)/2)*DB31*DE31*VLOOKUP('Données projet'!$B$13,Paramètres!$A$1:$I$89,3,0)*0.475*44/12</f>
        <v>6.0508727740526735</v>
      </c>
      <c r="DI31" s="22">
        <f t="shared" si="15"/>
        <v>27.904635660792572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4</v>
      </c>
      <c r="DO31" s="12">
        <f>IF('Données projet'!$A$166&gt;35,DO30+DN31-DW30,IF(A31&lt;'Données projet'!$A$166,$DL$205^A31,IF(A31='Données projet'!$A$166,'Données projet'!$B$166,DO30+DN31-DW30)))</f>
        <v>112</v>
      </c>
      <c r="DP31" s="17">
        <f>DO31*VLOOKUP('Données projet'!$B$14,Paramètres!$A$1:$I$89,3,0)*VLOOKUP('Données projet'!$B$14,Paramètres!$A$1:$I$89,5,0)</f>
        <v>101.33759999999999</v>
      </c>
      <c r="DQ31" s="13">
        <f t="shared" si="43"/>
        <v>27.280415454305565</v>
      </c>
      <c r="DR31" s="20">
        <f t="shared" si="16"/>
        <v>224.00971024958213</v>
      </c>
      <c r="DS31" s="59">
        <f t="shared" si="17"/>
        <v>517.34304358291547</v>
      </c>
      <c r="DT31" s="59">
        <f ca="1">AVERAGE(OFFSET($DS$3,0,0,'Données projet'!$E$14+1,1))-AVERAGE(OFFSET($H$3,0,0,'Données projet'!$E$14+1,1))</f>
        <v>401.17301323870578</v>
      </c>
      <c r="DU31" s="59">
        <f t="shared" si="44"/>
        <v>201.57993789149754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9</v>
      </c>
      <c r="EJ31" s="12">
        <f>IF('Données projet'!$A$192&gt;35,EJ30+EI31-ER30,IF(A31&lt;'Données projet'!$A$192,$EG$205^A31,IF(A31='Données projet'!$A$192,'Données projet'!$B$192,EJ30+EI31-ER30)))</f>
        <v>166</v>
      </c>
      <c r="EK31" s="17">
        <f>EJ31*VLOOKUP('Données projet'!$B$15,Paramètres!$A$1:$I$89,3,0)*VLOOKUP('Données projet'!$B$15,Paramètres!$A$1:$I$89,5,0)</f>
        <v>145.01760000000002</v>
      </c>
      <c r="EL31" s="13">
        <f t="shared" si="45"/>
        <v>37.444100932065233</v>
      </c>
      <c r="EM31" s="20">
        <f t="shared" si="19"/>
        <v>317.78746245668026</v>
      </c>
      <c r="EN31" s="59">
        <f t="shared" si="20"/>
        <v>611.12079579001352</v>
      </c>
      <c r="EO31" s="59">
        <f ca="1">AVERAGE(OFFSET($EN$3,0,0,'Données projet'!$E$15+1,1))-AVERAGE(OFFSET($H$3,0,0,'Données projet'!$E$15+1,1))</f>
        <v>237.8483058552178</v>
      </c>
      <c r="EP31" s="59">
        <f t="shared" si="46"/>
        <v>313.36201272119723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16.399999999999999</v>
      </c>
      <c r="FE31" s="12">
        <f>IF('Données projet'!$A$218&gt;35,FE30+FD31-FM30,IF(A31&lt;'Données projet'!$A$218,$FB$205^A31,IF(A31='Données projet'!$A$218,'Données projet'!$B$218,FE30+FD31-FM30)))</f>
        <v>172.20000000000005</v>
      </c>
      <c r="FF31" s="17">
        <f>FE31*VLOOKUP('Données projet'!$B$16,Paramètres!$A$1:$I$89,3,0)*VLOOKUP('Données projet'!$B$16,Paramètres!$A$1:$I$89,5,0)</f>
        <v>134.31600000000003</v>
      </c>
      <c r="FG31" s="13">
        <f t="shared" si="47"/>
        <v>34.991756585122445</v>
      </c>
      <c r="FH31" s="20">
        <f t="shared" si="22"/>
        <v>294.87767605242163</v>
      </c>
      <c r="FI31" s="59">
        <f t="shared" si="23"/>
        <v>588.21100938575501</v>
      </c>
      <c r="FJ31" s="59">
        <f ca="1">AVERAGE(OFFSET($FI$3,0,0,'Données projet'!$E$16+1,1))-AVERAGE(OFFSET($H$3,0,0,'Données projet'!$E$16+1,1))</f>
        <v>318.52984981739411</v>
      </c>
      <c r="FK31" s="59">
        <f t="shared" si="48"/>
        <v>311.56398336941714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16.399999999999999</v>
      </c>
      <c r="FZ31" s="12">
        <f>IF('Données projet'!$A$244&gt;35,FZ30+FY31-GH30,IF(A31&lt;'Données projet'!$A$244,$FW$205^A31,IF(A31='Données projet'!$A$244,'Données projet'!$B$244,FZ30+FY31-GH30)))</f>
        <v>172.20000000000005</v>
      </c>
      <c r="GA31" s="17">
        <f>FZ31*VLOOKUP('Données projet'!$B$17,Paramètres!$A$1:$I$89,3,0)*VLOOKUP('Données projet'!$B$17,Paramètres!$A$1:$I$89,5,0)</f>
        <v>137.00232000000005</v>
      </c>
      <c r="GB31" s="13">
        <f t="shared" si="49"/>
        <v>35.609416420931346</v>
      </c>
      <c r="GC31" s="20">
        <f t="shared" si="25"/>
        <v>300.63210759978887</v>
      </c>
      <c r="GD31" s="59">
        <f t="shared" si="26"/>
        <v>593.96544093312218</v>
      </c>
      <c r="GE31" s="59">
        <f ca="1">AVERAGE(OFFSET($GD$3,0,0,'Données projet'!$E$17+1,1))-AVERAGE(OFFSET($H$3,0,0,'Données projet'!$E$17+1,1))</f>
        <v>325.72928944930294</v>
      </c>
      <c r="GF31" s="59">
        <f t="shared" si="50"/>
        <v>318.38876834819752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16.399999999999999</v>
      </c>
      <c r="GU31" s="12">
        <f>IF('Données projet'!$A$270&gt;35,GU30+GT31-HC30,IF(A31&lt;'Données projet'!$A$270,$GR$205^A31,IF(A31='Données projet'!$A$270,'Données projet'!$B$270,GU30+GT31-HC30)))</f>
        <v>172.20000000000005</v>
      </c>
      <c r="GV31" s="17">
        <f>GU31*VLOOKUP('Données projet'!$B$18,Paramètres!$A$1:$I$89,3,0)*VLOOKUP('Données projet'!$B$18,Paramètres!$A$1:$I$89,5,0)</f>
        <v>115.51176000000004</v>
      </c>
      <c r="GW31" s="13">
        <f t="shared" si="51"/>
        <v>30.625879972253081</v>
      </c>
      <c r="GX31" s="20">
        <f t="shared" si="28"/>
        <v>254.52305628500753</v>
      </c>
      <c r="GY31" s="59">
        <f t="shared" si="29"/>
        <v>547.85638961834081</v>
      </c>
      <c r="GZ31" s="59">
        <f ca="1">AVERAGE(OFFSET($GY$3,0,0,'Données projet'!$E$18+1,1))-AVERAGE(OFFSET($H$3,0,0,'Données projet'!$E$18+1,1))</f>
        <v>268.04554291387961</v>
      </c>
      <c r="HA31" s="59">
        <f t="shared" si="52"/>
        <v>263.70463099437148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0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2.8666666666666667</v>
      </c>
      <c r="N32" s="13">
        <f>IF('Données projet'!$A$36&gt;35,N31+M32-V31,IF(A32&lt;'Données projet'!$A$36,$K$205^A32,IF(A32='Données projet'!$A$36,'Données projet'!$B$36,N31+M32-V31)))</f>
        <v>74.133613508692861</v>
      </c>
      <c r="O32" s="13">
        <f>N32*VLOOKUP('Données projet'!$B$9,Paramètres!$A$1:$I$89,3,0)*VLOOKUP('Données projet'!$B$9,Paramètres!$A$1:$I$89,5,0)</f>
        <v>32.76705717084225</v>
      </c>
      <c r="P32" s="13">
        <f t="shared" si="33"/>
        <v>10.059875034392373</v>
      </c>
      <c r="Q32" s="20">
        <f t="shared" si="2"/>
        <v>74.590240257450304</v>
      </c>
      <c r="R32" s="59">
        <f t="shared" si="0"/>
        <v>367.92357359078363</v>
      </c>
      <c r="S32" s="59">
        <f ca="1">AVERAGE(OFFSET($R$3,0,0,'Données projet'!$E$9+1,1))-AVERAGE(OFFSET($H$3,0,0,'Données projet'!$E$9+1,1))</f>
        <v>46.095319339746538</v>
      </c>
      <c r="T32" s="59">
        <f t="shared" si="34"/>
        <v>48.158174304064403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25.833333333333332</v>
      </c>
      <c r="AI32" s="13">
        <f>IF('Données projet'!$A$62&gt;35,AI31+AH32-AQ31,IF(A32&lt;'Données projet'!$A$62,$AF$205^A32,IF(A32='Données projet'!$A$62,'Données projet'!$B$62,AI31+AH32-AQ31)))</f>
        <v>318.83333333333331</v>
      </c>
      <c r="AJ32" s="13">
        <f>AI32*VLOOKUP('Données projet'!$B$10,Paramètres!$A$1:$I$89,3,0)*VLOOKUP('Données projet'!$B$10,Paramètres!$A$1:$I$89,5,0)</f>
        <v>190.66233333333332</v>
      </c>
      <c r="AK32" s="13">
        <f t="shared" si="35"/>
        <v>47.68635567705892</v>
      </c>
      <c r="AL32" s="20">
        <f t="shared" si="4"/>
        <v>415.12396669309982</v>
      </c>
      <c r="AM32" s="59">
        <f t="shared" si="5"/>
        <v>708.45730002643313</v>
      </c>
      <c r="AN32" s="59">
        <f ca="1">AVERAGE(OFFSET($AM$3,0,0,'Données projet'!$E$10+1,1))-AVERAGE(OFFSET($H$3,0,0,'Données projet'!$E$10+1,1))</f>
        <v>408.84545509668794</v>
      </c>
      <c r="AO32" s="59">
        <f t="shared" si="36"/>
        <v>409.9253979841132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26.539265989077954</v>
      </c>
      <c r="AW32" s="21">
        <f>EXP(-LN(2)/2)*AW31+(1-EXP(-LN(2)/2))/(LN(2)/2)*AQ32*AT32*VLOOKUP('Données projet'!$B$10,Paramètres!$A$1:$I$89,3,0)*0.475*44/12</f>
        <v>10.544034823517892</v>
      </c>
      <c r="AX32" s="21">
        <f t="shared" si="6"/>
        <v>37.083300812595844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17.600000000000001</v>
      </c>
      <c r="BD32" s="12">
        <f>IF('Données projet'!$A$88&gt;35,BD31+BC32-BL31,IF(A32&lt;'Données projet'!$A$88,$BA$205^A32,IF(A32='Données projet'!$A$88,'Données projet'!$B$88,BD31+BC32-BL31)))</f>
        <v>238.4</v>
      </c>
      <c r="BE32" s="13">
        <f>BD32*VLOOKUP('Données projet'!$B$11,Paramètres!$A$1:$I$89,3,0)*VLOOKUP('Données projet'!$B$11,Paramètres!$A$1:$I$89,5,0)</f>
        <v>142.56319999999999</v>
      </c>
      <c r="BF32" s="13">
        <f t="shared" si="37"/>
        <v>36.883577154665602</v>
      </c>
      <c r="BG32" s="20">
        <f t="shared" si="7"/>
        <v>312.53647021104257</v>
      </c>
      <c r="BH32" s="59">
        <f t="shared" si="8"/>
        <v>605.86980354437583</v>
      </c>
      <c r="BI32" s="59">
        <f ca="1">AVERAGE(OFFSET($BH$3,0,0,'Données projet'!$E$11+1,1))-AVERAGE(OFFSET($H$3,0,0,'Données projet'!$E$11+1,1))</f>
        <v>279.69031306919914</v>
      </c>
      <c r="BJ32" s="59">
        <f t="shared" si="38"/>
        <v>297.01680128882509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11.662017591413687</v>
      </c>
      <c r="BR32" s="21">
        <f>EXP(-LN(2)/2)*BR31+(1-EXP(-LN(2)/2))/(LN(2)/2)*BL32*BO32*VLOOKUP('Données projet'!$B$11,Paramètres!$A$1:$I$89,3,0)*0.475*44/12</f>
        <v>2.6804820619218219</v>
      </c>
      <c r="BS32" s="22">
        <f t="shared" si="9"/>
        <v>14.342499653335508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6</v>
      </c>
      <c r="BY32" s="12">
        <f>IF('Données projet'!$A$114&gt;35,BY31+BX32-CG31,IF(A32&lt;'Données projet'!$A$114,$BV$205^A32,IF(A32='Données projet'!$A$114,'Données projet'!$B$114,BY31+BX32-CG31)))</f>
        <v>88</v>
      </c>
      <c r="BZ32" s="13">
        <f>BY32*VLOOKUP('Données projet'!$B$12,Paramètres!$A$1:$I$89,3,0)*VLOOKUP('Données projet'!$B$12,Paramètres!$A$1:$I$89,5,0)</f>
        <v>52.624000000000009</v>
      </c>
      <c r="CA32" s="13">
        <f t="shared" si="39"/>
        <v>15.289388641788772</v>
      </c>
      <c r="CB32" s="20">
        <f t="shared" si="10"/>
        <v>118.28248521778211</v>
      </c>
      <c r="CC32" s="59">
        <f t="shared" si="11"/>
        <v>411.61581855111541</v>
      </c>
      <c r="CD32" s="59">
        <f ca="1">AVERAGE(OFFSET($CC$3,0,0,'Données projet'!$E$12+1,1))-AVERAGE(OFFSET($H$3,0,0,'Données projet'!$E$12+1,1))</f>
        <v>81.299024916151723</v>
      </c>
      <c r="CE32" s="59">
        <f t="shared" si="40"/>
        <v>88.106373324240167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6.3526158371125776</v>
      </c>
      <c r="CM32" s="21">
        <f>EXP(-LN(2)/2)*CM31+(1-EXP(-LN(2)/2))/(LN(2)/2)*CG32*CJ32*VLOOKUP('Données projet'!$B$12,Paramètres!$A$1:$I$89,3,0)*0.475*44/12</f>
        <v>3.1359059226808799</v>
      </c>
      <c r="CN32" s="22">
        <f t="shared" si="12"/>
        <v>9.488521759793457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57</v>
      </c>
      <c r="CT32" s="12">
        <f>IF('Données projet'!$A$140&gt;35,CT31+CS32-DB31,IF(A32&lt;'Données projet'!$A$140,$CQ$205^A32,IF(A32='Données projet'!$A$140,'Données projet'!$B$140,CT31+CS32-DB31)))</f>
        <v>467</v>
      </c>
      <c r="CU32" s="17">
        <f>CT32*VLOOKUP('Données projet'!$B$13,Paramètres!$A$1:$I$89,3,0)*VLOOKUP('Données projet'!$B$13,Paramètres!$A$1:$I$89,5,0)</f>
        <v>261.053</v>
      </c>
      <c r="CV32" s="13">
        <f t="shared" si="41"/>
        <v>62.946782176265927</v>
      </c>
      <c r="CW32" s="20">
        <f t="shared" si="13"/>
        <v>564.29962062366303</v>
      </c>
      <c r="CX32" s="59">
        <f t="shared" si="14"/>
        <v>857.63295395699629</v>
      </c>
      <c r="CY32" s="59">
        <f ca="1">AVERAGE(OFFSET($CX$3,0,0,'Données projet'!$E$13+1,1))-AVERAGE(OFFSET($H$3,0,0,'Données projet'!$E$13+1,1))</f>
        <v>475.42482703895411</v>
      </c>
      <c r="CZ32" s="59">
        <f t="shared" si="42"/>
        <v>593.51433014569966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21.256170591362551</v>
      </c>
      <c r="DH32" s="21">
        <f>EXP(-LN(2)/2)*DH31+(1-EXP(-LN(2)/2))/(LN(2)/2)*DB32*DE32*VLOOKUP('Données projet'!$B$13,Paramètres!$A$1:$I$89,3,0)*0.475*44/12</f>
        <v>4.2786131706297024</v>
      </c>
      <c r="DI32" s="22">
        <f t="shared" si="15"/>
        <v>25.534783761992252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4</v>
      </c>
      <c r="DO32" s="12">
        <f>IF('Données projet'!$A$166&gt;35,DO31+DN32-DW31,IF(A32&lt;'Données projet'!$A$166,$DL$205^A32,IF(A32='Données projet'!$A$166,'Données projet'!$B$166,DO31+DN32-DW31)))</f>
        <v>116</v>
      </c>
      <c r="DP32" s="17">
        <f>DO32*VLOOKUP('Données projet'!$B$14,Paramètres!$A$1:$I$89,3,0)*VLOOKUP('Données projet'!$B$14,Paramètres!$A$1:$I$89,5,0)</f>
        <v>104.9568</v>
      </c>
      <c r="DQ32" s="13">
        <f t="shared" si="43"/>
        <v>28.139541339232373</v>
      </c>
      <c r="DR32" s="20">
        <f t="shared" si="16"/>
        <v>231.8094611658297</v>
      </c>
      <c r="DS32" s="59">
        <f t="shared" si="17"/>
        <v>525.14279449916307</v>
      </c>
      <c r="DT32" s="59">
        <f ca="1">AVERAGE(OFFSET($DS$3,0,0,'Données projet'!$E$14+1,1))-AVERAGE(OFFSET($H$3,0,0,'Données projet'!$E$14+1,1))</f>
        <v>401.17301323870578</v>
      </c>
      <c r="DU32" s="59">
        <f t="shared" si="44"/>
        <v>201.57993789149754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9</v>
      </c>
      <c r="EJ32" s="12">
        <f>IF('Données projet'!$A$192&gt;35,EJ31+EI32-ER31,IF(A32&lt;'Données projet'!$A$192,$EG$205^A32,IF(A32='Données projet'!$A$192,'Données projet'!$B$192,EJ31+EI32-ER31)))</f>
        <v>175</v>
      </c>
      <c r="EK32" s="17">
        <f>EJ32*VLOOKUP('Données projet'!$B$15,Paramètres!$A$1:$I$89,3,0)*VLOOKUP('Données projet'!$B$15,Paramètres!$A$1:$I$89,5,0)</f>
        <v>152.88000000000002</v>
      </c>
      <c r="EL32" s="13">
        <f t="shared" si="45"/>
        <v>39.232349774697852</v>
      </c>
      <c r="EM32" s="20">
        <f t="shared" si="19"/>
        <v>334.59567585759874</v>
      </c>
      <c r="EN32" s="59">
        <f t="shared" si="20"/>
        <v>627.92900919093199</v>
      </c>
      <c r="EO32" s="59">
        <f ca="1">AVERAGE(OFFSET($EN$3,0,0,'Données projet'!$E$15+1,1))-AVERAGE(OFFSET($H$3,0,0,'Données projet'!$E$15+1,1))</f>
        <v>237.8483058552178</v>
      </c>
      <c r="EP32" s="59">
        <f t="shared" si="46"/>
        <v>313.36201272119723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16.399999999999999</v>
      </c>
      <c r="FE32" s="12">
        <f>IF('Données projet'!$A$218&gt;35,FE31+FD32-FM31,IF(A32&lt;'Données projet'!$A$218,$FB$205^A32,IF(A32='Données projet'!$A$218,'Données projet'!$B$218,FE31+FD32-FM31)))</f>
        <v>188.60000000000005</v>
      </c>
      <c r="FF32" s="17">
        <f>FE32*VLOOKUP('Données projet'!$B$16,Paramètres!$A$1:$I$89,3,0)*VLOOKUP('Données projet'!$B$16,Paramètres!$A$1:$I$89,5,0)</f>
        <v>147.10800000000003</v>
      </c>
      <c r="FG32" s="13">
        <f t="shared" si="47"/>
        <v>37.920625436598897</v>
      </c>
      <c r="FH32" s="20">
        <f t="shared" si="22"/>
        <v>322.25818930207646</v>
      </c>
      <c r="FI32" s="59">
        <f t="shared" si="23"/>
        <v>615.59152263540977</v>
      </c>
      <c r="FJ32" s="59">
        <f ca="1">AVERAGE(OFFSET($FI$3,0,0,'Données projet'!$E$16+1,1))-AVERAGE(OFFSET($H$3,0,0,'Données projet'!$E$16+1,1))</f>
        <v>318.52984981739411</v>
      </c>
      <c r="FK32" s="59">
        <f t="shared" si="48"/>
        <v>311.56398336941714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16.399999999999999</v>
      </c>
      <c r="FZ32" s="12">
        <f>IF('Données projet'!$A$244&gt;35,FZ31+FY32-GH31,IF(A32&lt;'Données projet'!$A$244,$FW$205^A32,IF(A32='Données projet'!$A$244,'Données projet'!$B$244,FZ31+FY32-GH31)))</f>
        <v>188.60000000000005</v>
      </c>
      <c r="GA32" s="17">
        <f>FZ32*VLOOKUP('Données projet'!$B$17,Paramètres!$A$1:$I$89,3,0)*VLOOKUP('Données projet'!$B$17,Paramètres!$A$1:$I$89,5,0)</f>
        <v>150.05016000000003</v>
      </c>
      <c r="GB32" s="13">
        <f t="shared" si="49"/>
        <v>38.589984439024605</v>
      </c>
      <c r="GC32" s="20">
        <f t="shared" si="25"/>
        <v>328.5482515646346</v>
      </c>
      <c r="GD32" s="59">
        <f t="shared" si="26"/>
        <v>621.88158489796797</v>
      </c>
      <c r="GE32" s="59">
        <f ca="1">AVERAGE(OFFSET($GD$3,0,0,'Données projet'!$E$17+1,1))-AVERAGE(OFFSET($H$3,0,0,'Données projet'!$E$17+1,1))</f>
        <v>325.72928944930294</v>
      </c>
      <c r="GF32" s="59">
        <f t="shared" si="50"/>
        <v>318.38876834819752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16.399999999999999</v>
      </c>
      <c r="GU32" s="12">
        <f>IF('Données projet'!$A$270&gt;35,GU31+GT32-HC31,IF(A32&lt;'Données projet'!$A$270,$GR$205^A32,IF(A32='Données projet'!$A$270,'Données projet'!$B$270,GU31+GT32-HC31)))</f>
        <v>188.60000000000005</v>
      </c>
      <c r="GV32" s="17">
        <f>GU32*VLOOKUP('Données projet'!$B$18,Paramètres!$A$1:$I$89,3,0)*VLOOKUP('Données projet'!$B$18,Paramètres!$A$1:$I$89,5,0)</f>
        <v>126.51288000000005</v>
      </c>
      <c r="GW32" s="13">
        <f t="shared" si="51"/>
        <v>33.189317611674916</v>
      </c>
      <c r="GX32" s="20">
        <f t="shared" si="28"/>
        <v>278.1479941736672</v>
      </c>
      <c r="GY32" s="59">
        <f t="shared" si="29"/>
        <v>571.48132750700051</v>
      </c>
      <c r="GZ32" s="59">
        <f ca="1">AVERAGE(OFFSET($GY$3,0,0,'Données projet'!$E$18+1,1))-AVERAGE(OFFSET($H$3,0,0,'Données projet'!$E$18+1,1))</f>
        <v>268.04554291387961</v>
      </c>
      <c r="HA32" s="59">
        <f t="shared" si="52"/>
        <v>263.70463099437148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0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86</v>
      </c>
      <c r="L33" s="12">
        <f>VLOOKUP(A33,'Données projet'!$A$35:$I$55,9,0)</f>
        <v>2.8666666666666667</v>
      </c>
      <c r="M33" s="12">
        <f t="array" ref="M33">INDEX(L:L,MIN(IF(ISNUMBER(L33:L229),ROW(L33:L229),"")))</f>
        <v>2.8666666666666667</v>
      </c>
      <c r="N33" s="13">
        <f>IF('Données projet'!$A$36&gt;35,N32+M33-V32,IF(A33&lt;'Données projet'!$A$36,$K$205^A33,IF(A33='Données projet'!$A$36,'Données projet'!$B$36,N32+M33-V32)))</f>
        <v>86</v>
      </c>
      <c r="O33" s="13">
        <f>N33*VLOOKUP('Données projet'!$B$9,Paramètres!$A$1:$I$89,3,0)*VLOOKUP('Données projet'!$B$9,Paramètres!$A$1:$I$89,5,0)</f>
        <v>38.012</v>
      </c>
      <c r="P33" s="13">
        <f t="shared" si="33"/>
        <v>11.470174197629985</v>
      </c>
      <c r="Q33" s="20">
        <f t="shared" si="2"/>
        <v>86.181453394205562</v>
      </c>
      <c r="R33" s="59">
        <f t="shared" si="0"/>
        <v>379.51478672753888</v>
      </c>
      <c r="S33" s="59">
        <f ca="1">AVERAGE(OFFSET($R$3,0,0,'Données projet'!$E$9+1,1))-AVERAGE(OFFSET($H$3,0,0,'Données projet'!$E$9+1,1))</f>
        <v>46.095319339746538</v>
      </c>
      <c r="T33" s="59">
        <f t="shared" si="34"/>
        <v>48.158174304064403</v>
      </c>
      <c r="U33" s="15">
        <f>IF(ISNA(VLOOKUP(A33,'Données projet'!$A$35:$I$55,3,0)),0,VLOOKUP(A33,'Données projet'!$A$35:$I$55,3,0))</f>
        <v>1</v>
      </c>
      <c r="V33" s="15">
        <f>IF(ISNA(VLOOKUP(A33,'Données projet'!$A$35:$I$55,4,0)),0,VLOOKUP(A33,'Données projet'!$A$35:$I$55,4,0))</f>
        <v>12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0.27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1.8922663998091329</v>
      </c>
      <c r="AB33" s="21">
        <f>EXP(-LN(2)/2)*AB32+(1-EXP(-LN(2)/2))/(LN(2)/2)*V33*Y33*VLOOKUP('Données projet'!$B$9,Paramètres!$A$1:$I$89,3,0)*0.475*44/12</f>
        <v>2.4021440424321501</v>
      </c>
      <c r="AC33" s="22">
        <f t="shared" si="3"/>
        <v>4.2944104422412828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25.833333333333332</v>
      </c>
      <c r="AI33" s="13">
        <f>IF('Données projet'!$A$62&gt;35,AI32+AH33-AQ32,IF(A33&lt;'Données projet'!$A$62,$AF$205^A33,IF(A33='Données projet'!$A$62,'Données projet'!$B$62,AI32+AH33-AQ32)))</f>
        <v>344.66666666666663</v>
      </c>
      <c r="AJ33" s="13">
        <f>AI33*VLOOKUP('Données projet'!$B$10,Paramètres!$A$1:$I$89,3,0)*VLOOKUP('Données projet'!$B$10,Paramètres!$A$1:$I$89,5,0)</f>
        <v>206.11066666666665</v>
      </c>
      <c r="AK33" s="13">
        <f t="shared" si="35"/>
        <v>51.084746007546435</v>
      </c>
      <c r="AL33" s="20">
        <f t="shared" si="4"/>
        <v>447.94867707425442</v>
      </c>
      <c r="AM33" s="59">
        <f t="shared" si="5"/>
        <v>741.28201040758768</v>
      </c>
      <c r="AN33" s="59">
        <f ca="1">AVERAGE(OFFSET($AM$3,0,0,'Données projet'!$E$10+1,1))-AVERAGE(OFFSET($H$3,0,0,'Données projet'!$E$10+1,1))</f>
        <v>408.84545509668794</v>
      </c>
      <c r="AO33" s="59">
        <f t="shared" si="36"/>
        <v>409.9253979841132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25.813548364967275</v>
      </c>
      <c r="AW33" s="21">
        <f>EXP(-LN(2)/2)*AW32+(1-EXP(-LN(2)/2))/(LN(2)/2)*AQ33*AT33*VLOOKUP('Données projet'!$B$10,Paramètres!$A$1:$I$89,3,0)*0.475*44/12</f>
        <v>7.4557585247766038</v>
      </c>
      <c r="AX33" s="21">
        <f t="shared" si="6"/>
        <v>33.269306889743881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256</v>
      </c>
      <c r="BB33" s="12">
        <f>VLOOKUP(A33,'Données projet'!$A$87:$I$107,9,0)</f>
        <v>17.600000000000001</v>
      </c>
      <c r="BC33" s="12">
        <f t="array" ref="BC33">INDEX(BB:BB,MIN(IF(ISNUMBER(BB33:BB229),ROW(BB33:BB229),"")))</f>
        <v>17.600000000000001</v>
      </c>
      <c r="BD33" s="12">
        <f>IF('Données projet'!$A$88&gt;35,BD32+BC33-BL32,IF(A33&lt;'Données projet'!$A$88,$BA$205^A33,IF(A33='Données projet'!$A$88,'Données projet'!$B$88,BD32+BC33-BL32)))</f>
        <v>256</v>
      </c>
      <c r="BE33" s="13">
        <f>BD33*VLOOKUP('Données projet'!$B$11,Paramètres!$A$1:$I$89,3,0)*VLOOKUP('Données projet'!$B$11,Paramètres!$A$1:$I$89,5,0)</f>
        <v>153.08800000000002</v>
      </c>
      <c r="BF33" s="13">
        <f t="shared" si="37"/>
        <v>39.27951026543515</v>
      </c>
      <c r="BG33" s="20">
        <f t="shared" si="7"/>
        <v>335.04008037896625</v>
      </c>
      <c r="BH33" s="59">
        <f t="shared" si="8"/>
        <v>628.37341371229957</v>
      </c>
      <c r="BI33" s="59">
        <f ca="1">AVERAGE(OFFSET($BH$3,0,0,'Données projet'!$E$11+1,1))-AVERAGE(OFFSET($H$3,0,0,'Données projet'!$E$11+1,1))</f>
        <v>279.69031306919914</v>
      </c>
      <c r="BJ33" s="59">
        <f t="shared" si="38"/>
        <v>297.01680128882509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54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0.27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22.863682188288522</v>
      </c>
      <c r="BR33" s="21">
        <f>EXP(-LN(2)/2)*BR32+(1-EXP(-LN(2)/2))/(LN(2)/2)*BL33*BO33*VLOOKUP('Données projet'!$B$11,Paramètres!$A$1:$I$89,3,0)*0.475*44/12</f>
        <v>16.520205183523675</v>
      </c>
      <c r="BS33" s="22">
        <f t="shared" si="9"/>
        <v>39.383887371812193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6</v>
      </c>
      <c r="BY33" s="12">
        <f>IF('Données projet'!$A$114&gt;35,BY32+BX33-CG32,IF(A33&lt;'Données projet'!$A$114,$BV$205^A33,IF(A33='Données projet'!$A$114,'Données projet'!$B$114,BY32+BX33-CG32)))</f>
        <v>94</v>
      </c>
      <c r="BZ33" s="13">
        <f>BY33*VLOOKUP('Données projet'!$B$12,Paramètres!$A$1:$I$89,3,0)*VLOOKUP('Données projet'!$B$12,Paramètres!$A$1:$I$89,5,0)</f>
        <v>56.212000000000003</v>
      </c>
      <c r="CA33" s="13">
        <f t="shared" si="39"/>
        <v>16.206939185290707</v>
      </c>
      <c r="CB33" s="20">
        <f t="shared" si="10"/>
        <v>126.12965241438131</v>
      </c>
      <c r="CC33" s="59">
        <f t="shared" si="11"/>
        <v>419.46298574771464</v>
      </c>
      <c r="CD33" s="59">
        <f ca="1">AVERAGE(OFFSET($CC$3,0,0,'Données projet'!$E$12+1,1))-AVERAGE(OFFSET($H$3,0,0,'Données projet'!$E$12+1,1))</f>
        <v>81.299024916151723</v>
      </c>
      <c r="CE33" s="59">
        <f t="shared" si="40"/>
        <v>88.106373324240167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6.1789032229771861</v>
      </c>
      <c r="CM33" s="21">
        <f>EXP(-LN(2)/2)*CM32+(1-EXP(-LN(2)/2))/(LN(2)/2)*CG33*CJ33*VLOOKUP('Données projet'!$B$12,Paramètres!$A$1:$I$89,3,0)*0.475*44/12</f>
        <v>2.2174203430907076</v>
      </c>
      <c r="CN33" s="22">
        <f t="shared" si="12"/>
        <v>8.3963235660678937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524</v>
      </c>
      <c r="CR33" s="12">
        <f>VLOOKUP(A33,'Données projet'!$A$139:$I$159,9,0)</f>
        <v>57</v>
      </c>
      <c r="CS33" s="12">
        <f t="array" ref="CS33">INDEX(CR:CR,MIN(IF(ISNUMBER(CR33:CR229),ROW(CR33:CR229),"")))</f>
        <v>57</v>
      </c>
      <c r="CT33" s="12">
        <f>IF('Données projet'!$A$140&gt;35,CT32+CS33-DB32,IF(A33&lt;'Données projet'!$A$140,$CQ$205^A33,IF(A33='Données projet'!$A$140,'Données projet'!$B$140,CT32+CS33-DB32)))</f>
        <v>524</v>
      </c>
      <c r="CU33" s="17">
        <f>CT33*VLOOKUP('Données projet'!$B$13,Paramètres!$A$1:$I$89,3,0)*VLOOKUP('Données projet'!$B$13,Paramètres!$A$1:$I$89,5,0)</f>
        <v>292.916</v>
      </c>
      <c r="CV33" s="13">
        <f t="shared" si="41"/>
        <v>69.68932587703776</v>
      </c>
      <c r="CW33" s="20">
        <f t="shared" si="13"/>
        <v>631.53760923584082</v>
      </c>
      <c r="CX33" s="59">
        <f t="shared" si="14"/>
        <v>924.87094256917408</v>
      </c>
      <c r="CY33" s="59">
        <f ca="1">AVERAGE(OFFSET($CX$3,0,0,'Données projet'!$E$13+1,1))-AVERAGE(OFFSET($H$3,0,0,'Données projet'!$E$13+1,1))</f>
        <v>475.42482703895411</v>
      </c>
      <c r="CZ33" s="59">
        <f t="shared" si="42"/>
        <v>593.51433014569966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90</v>
      </c>
      <c r="DC33" s="16">
        <f>IF(ISNA(VLOOKUP(A33,'Données projet'!$A$139:$I$159,5,0)),0%,VLOOKUP(A33,'Données projet'!$A$139:$I$159,5,0)*VLOOKUP('Données projet'!$B$13,Paramètres!$A$1:$I$89,7,0))</f>
        <v>0.11000000000000001</v>
      </c>
      <c r="DD33" s="16">
        <f>IF(ISNA(VLOOKUP(A33,'Données projet'!$A$139:$I$159,6,0)),0%,VLOOKUP(A33,'Données projet'!$A$139:$I$159,6,0)*VLOOKUP('Données projet'!$B$13,Paramètres!$A$1:$I$89,7,0))</f>
        <v>0.22000000000000003</v>
      </c>
      <c r="DE33" s="16">
        <f>IF(ISNA(VLOOKUP(A33,'Données projet'!$A$139:$I$159,7,0)),0%,VLOOKUP(A33,'Données projet'!$A$139:$I$159,7,0))</f>
        <v>0.4</v>
      </c>
      <c r="DF33" s="21">
        <f>EXP(-LN(2)/35)*DF32+(1-EXP(-LN(2)/35))/(LN(2)/35)*DB33*DC33*VLOOKUP('Données projet'!$B$13,Paramètres!$A$1:$I$89,3,0)*0.475*44/12</f>
        <v>7.3413403528479604</v>
      </c>
      <c r="DG33" s="21">
        <f>EXP(-LN(2)/25)*DG32+(1-EXP(-LN(2)/25))/(LN(2)/25)*Calculateur!DB33*Calculateur!DD33*VLOOKUP('Données projet'!$B$13,Paramètres!$A$1:$I$89,3,0)*0.475*44/12</f>
        <v>35.299788885945958</v>
      </c>
      <c r="DH33" s="21">
        <f>EXP(-LN(2)/2)*DH32+(1-EXP(-LN(2)/2))/(LN(2)/2)*DB33*DE33*VLOOKUP('Données projet'!$B$13,Paramètres!$A$1:$I$89,3,0)*0.475*44/12</f>
        <v>25.810479142448937</v>
      </c>
      <c r="DI33" s="22">
        <f t="shared" si="15"/>
        <v>68.451608381242849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4</v>
      </c>
      <c r="DO33" s="12">
        <f>IF('Données projet'!$A$166&gt;35,DO32+DN33-DW32,IF(A33&lt;'Données projet'!$A$166,$DL$205^A33,IF(A33='Données projet'!$A$166,'Données projet'!$B$166,DO32+DN33-DW32)))</f>
        <v>120</v>
      </c>
      <c r="DP33" s="17">
        <f>DO33*VLOOKUP('Données projet'!$B$14,Paramètres!$A$1:$I$89,3,0)*VLOOKUP('Données projet'!$B$14,Paramètres!$A$1:$I$89,5,0)</f>
        <v>108.57599999999999</v>
      </c>
      <c r="DQ33" s="13">
        <f t="shared" si="43"/>
        <v>28.995225061228002</v>
      </c>
      <c r="DR33" s="20">
        <f t="shared" si="16"/>
        <v>239.60321698163875</v>
      </c>
      <c r="DS33" s="59">
        <f t="shared" si="17"/>
        <v>532.93655031497201</v>
      </c>
      <c r="DT33" s="59">
        <f ca="1">AVERAGE(OFFSET($DS$3,0,0,'Données projet'!$E$14+1,1))-AVERAGE(OFFSET($H$3,0,0,'Données projet'!$E$14+1,1))</f>
        <v>401.17301323870578</v>
      </c>
      <c r="DU33" s="59">
        <f t="shared" si="44"/>
        <v>201.57993789149754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184</v>
      </c>
      <c r="EH33" s="12">
        <f>VLOOKUP(A33,'Données projet'!$A$191:$I$211,9,0)</f>
        <v>9</v>
      </c>
      <c r="EI33" s="12">
        <f t="array" ref="EI33">INDEX(EH:EH,MIN(IF(ISNUMBER(EH33:EH229),ROW(EH33:EH229),"")))</f>
        <v>9</v>
      </c>
      <c r="EJ33" s="12">
        <f>IF('Données projet'!$A$192&gt;35,EJ32+EI33-ER32,IF(A33&lt;'Données projet'!$A$192,$EG$205^A33,IF(A33='Données projet'!$A$192,'Données projet'!$B$192,EJ32+EI33-ER32)))</f>
        <v>184</v>
      </c>
      <c r="EK33" s="17">
        <f>EJ33*VLOOKUP('Données projet'!$B$15,Paramètres!$A$1:$I$89,3,0)*VLOOKUP('Données projet'!$B$15,Paramètres!$A$1:$I$89,5,0)</f>
        <v>160.7424</v>
      </c>
      <c r="EL33" s="13">
        <f t="shared" si="45"/>
        <v>41.009920657227809</v>
      </c>
      <c r="EM33" s="20">
        <f t="shared" si="19"/>
        <v>351.38529181133845</v>
      </c>
      <c r="EN33" s="59">
        <f t="shared" si="20"/>
        <v>644.71862514467171</v>
      </c>
      <c r="EO33" s="59">
        <f ca="1">AVERAGE(OFFSET($EN$3,0,0,'Données projet'!$E$15+1,1))-AVERAGE(OFFSET($H$3,0,0,'Données projet'!$E$15+1,1))</f>
        <v>237.8483058552178</v>
      </c>
      <c r="EP33" s="59">
        <f t="shared" si="46"/>
        <v>313.36201272119723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44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205</v>
      </c>
      <c r="FC33" s="12">
        <f>VLOOKUP(A33,'Données projet'!$A$217:$I$237,9,0)</f>
        <v>16.399999999999999</v>
      </c>
      <c r="FD33" s="12">
        <f t="array" ref="FD33">INDEX(FC:FC,MIN(IF(ISNUMBER(FC33:FC229),ROW(FC33:FC229),"")))</f>
        <v>16.399999999999999</v>
      </c>
      <c r="FE33" s="12">
        <f>IF('Données projet'!$A$218&gt;35,FE32+FD33-FM32,IF(A33&lt;'Données projet'!$A$218,$FB$205^A33,IF(A33='Données projet'!$A$218,'Données projet'!$B$218,FE32+FD33-FM32)))</f>
        <v>205.00000000000006</v>
      </c>
      <c r="FF33" s="17">
        <f>FE33*VLOOKUP('Données projet'!$B$16,Paramètres!$A$1:$I$89,3,0)*VLOOKUP('Données projet'!$B$16,Paramètres!$A$1:$I$89,5,0)</f>
        <v>159.90000000000006</v>
      </c>
      <c r="FG33" s="13">
        <f t="shared" si="47"/>
        <v>40.819959306923344</v>
      </c>
      <c r="FH33" s="20">
        <f t="shared" si="22"/>
        <v>349.5872624595583</v>
      </c>
      <c r="FI33" s="59">
        <f t="shared" si="23"/>
        <v>642.92059579289162</v>
      </c>
      <c r="FJ33" s="59">
        <f ca="1">AVERAGE(OFFSET($FI$3,0,0,'Données projet'!$E$16+1,1))-AVERAGE(OFFSET($H$3,0,0,'Données projet'!$E$16+1,1))</f>
        <v>318.52984981739411</v>
      </c>
      <c r="FK33" s="59">
        <f t="shared" si="48"/>
        <v>311.56398336941714</v>
      </c>
      <c r="FL33" s="15">
        <f>IF(ISNA(VLOOKUP(A33,'Données projet'!$A$217:$I$237,3,0)),0,VLOOKUP(A33,'Données projet'!$A$217:$I$237,3,0))</f>
        <v>5</v>
      </c>
      <c r="FM33" s="15">
        <f>IF(ISNA(VLOOKUP(A33,'Données projet'!$A$217:$I$237,4,0)),0,VLOOKUP(A33,'Données projet'!$A$217:$I$237,4,0))</f>
        <v>42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205</v>
      </c>
      <c r="FX33" s="12">
        <f>VLOOKUP(A33,'Données projet'!$A$243:$I$263,9,0)</f>
        <v>16.399999999999999</v>
      </c>
      <c r="FY33" s="12">
        <f t="array" ref="FY33">INDEX(FX:FX,MIN(IF(ISNUMBER(FX33:FX229),ROW(FX33:FX229),"")))</f>
        <v>16.399999999999999</v>
      </c>
      <c r="FZ33" s="12">
        <f>IF('Données projet'!$A$244&gt;35,FZ32+FY33-GH32,IF(A33&lt;'Données projet'!$A$244,$FW$205^A33,IF(A33='Données projet'!$A$244,'Données projet'!$B$244,FZ32+FY33-GH32)))</f>
        <v>205.00000000000006</v>
      </c>
      <c r="GA33" s="17">
        <f>FZ33*VLOOKUP('Données projet'!$B$17,Paramètres!$A$1:$I$89,3,0)*VLOOKUP('Données projet'!$B$17,Paramètres!$A$1:$I$89,5,0)</f>
        <v>163.09800000000004</v>
      </c>
      <c r="GB33" s="13">
        <f t="shared" si="49"/>
        <v>41.540496136845142</v>
      </c>
      <c r="GC33" s="20">
        <f t="shared" si="25"/>
        <v>356.41204743833867</v>
      </c>
      <c r="GD33" s="59">
        <f t="shared" si="26"/>
        <v>649.74538077167199</v>
      </c>
      <c r="GE33" s="59">
        <f ca="1">AVERAGE(OFFSET($GD$3,0,0,'Données projet'!$E$17+1,1))-AVERAGE(OFFSET($H$3,0,0,'Données projet'!$E$17+1,1))</f>
        <v>325.72928944930294</v>
      </c>
      <c r="GF33" s="59">
        <f t="shared" si="50"/>
        <v>318.38876834819752</v>
      </c>
      <c r="GG33" s="15">
        <f>IF(ISNA(VLOOKUP(A33,'Données projet'!$A$243:$I$263,3,0)),0,VLOOKUP(A33,'Données projet'!$A$243:$I$263,3,0))</f>
        <v>5</v>
      </c>
      <c r="GH33" s="15">
        <f>IF(ISNA(VLOOKUP(A33,'Données projet'!$A$243:$I$263,4,0)),0,VLOOKUP(A33,'Données projet'!$A$243:$I$263,4,0))</f>
        <v>42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205</v>
      </c>
      <c r="GS33" s="12">
        <f>VLOOKUP(A33,'Données projet'!$A$269:$I$289,9,0)</f>
        <v>16.399999999999999</v>
      </c>
      <c r="GT33" s="12">
        <f t="array" ref="GT33">INDEX(GS:GS,MIN(IF(ISNUMBER(GS33:GS229),ROW(GS33:GS229),"")))</f>
        <v>16.399999999999999</v>
      </c>
      <c r="GU33" s="12">
        <f>IF('Données projet'!$A$270&gt;35,GU32+GT33-HC32,IF(A33&lt;'Données projet'!$A$270,$GR$205^A33,IF(A33='Données projet'!$A$270,'Données projet'!$B$270,GU32+GT33-HC32)))</f>
        <v>205.00000000000006</v>
      </c>
      <c r="GV33" s="17">
        <f>GU33*VLOOKUP('Données projet'!$B$18,Paramètres!$A$1:$I$89,3,0)*VLOOKUP('Données projet'!$B$18,Paramètres!$A$1:$I$89,5,0)</f>
        <v>137.51400000000004</v>
      </c>
      <c r="GW33" s="13">
        <f t="shared" si="51"/>
        <v>35.726905311681854</v>
      </c>
      <c r="GX33" s="20">
        <f t="shared" si="28"/>
        <v>301.72791008451264</v>
      </c>
      <c r="GY33" s="59">
        <f t="shared" si="29"/>
        <v>595.06124341784596</v>
      </c>
      <c r="GZ33" s="59">
        <f ca="1">AVERAGE(OFFSET($GY$3,0,0,'Données projet'!$E$18+1,1))-AVERAGE(OFFSET($H$3,0,0,'Données projet'!$E$18+1,1))</f>
        <v>268.04554291387961</v>
      </c>
      <c r="HA33" s="59">
        <f t="shared" si="52"/>
        <v>263.70463099437148</v>
      </c>
      <c r="HB33" s="15">
        <f>IF(ISNA(VLOOKUP(A33,'Données projet'!$A$269:$I$289,3,0)),0,VLOOKUP(A33,'Données projet'!$A$269:$I$289,3,0))</f>
        <v>5</v>
      </c>
      <c r="HC33" s="15">
        <f>IF(ISNA(VLOOKUP(A33,'Données projet'!$A$269:$I$289,4,0)),0,VLOOKUP(A33,'Données projet'!$A$269:$I$289,4,0))</f>
        <v>42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0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6.8</v>
      </c>
      <c r="N34" s="13">
        <f>IF('Données projet'!$A$36&gt;35,N33+M34-V33,IF(A34&lt;'Données projet'!$A$36,$K$205^A34,IF(A34='Données projet'!$A$36,'Données projet'!$B$36,N33+M34-V33)))</f>
        <v>80.8</v>
      </c>
      <c r="O34" s="13">
        <f>N34*VLOOKUP('Données projet'!$B$9,Paramètres!$A$1:$I$89,3,0)*VLOOKUP('Données projet'!$B$9,Paramètres!$A$1:$I$89,5,0)</f>
        <v>35.7136</v>
      </c>
      <c r="P34" s="13">
        <f t="shared" si="33"/>
        <v>10.855150784646591</v>
      </c>
      <c r="Q34" s="20">
        <f t="shared" si="2"/>
        <v>81.107240949926137</v>
      </c>
      <c r="R34" s="59">
        <f t="shared" si="0"/>
        <v>374.44057428325948</v>
      </c>
      <c r="S34" s="59">
        <f ca="1">AVERAGE(OFFSET($R$3,0,0,'Données projet'!$E$9+1,1))-AVERAGE(OFFSET($H$3,0,0,'Données projet'!$E$9+1,1))</f>
        <v>46.095319339746538</v>
      </c>
      <c r="T34" s="59">
        <f t="shared" si="34"/>
        <v>48.158174304064403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1.840522275596387</v>
      </c>
      <c r="AB34" s="21">
        <f>EXP(-LN(2)/2)*AB33+(1-EXP(-LN(2)/2))/(LN(2)/2)*V34*Y34*VLOOKUP('Données projet'!$B$9,Paramètres!$A$1:$I$89,3,0)*0.475*44/12</f>
        <v>1.6985723417906391</v>
      </c>
      <c r="AC34" s="22">
        <f t="shared" si="3"/>
        <v>3.5390946173870264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25.833333333333332</v>
      </c>
      <c r="AI34" s="13">
        <f>IF('Données projet'!$A$62&gt;35,AI33+AH34-AQ33,IF(A34&lt;'Données projet'!$A$62,$AF$205^A34,IF(A34='Données projet'!$A$62,'Données projet'!$B$62,AI33+AH34-AQ33)))</f>
        <v>370.49999999999994</v>
      </c>
      <c r="AJ34" s="13">
        <f>AI34*VLOOKUP('Données projet'!$B$10,Paramètres!$A$1:$I$89,3,0)*VLOOKUP('Données projet'!$B$10,Paramètres!$A$1:$I$89,5,0)</f>
        <v>221.55899999999997</v>
      </c>
      <c r="AK34" s="13">
        <f t="shared" si="35"/>
        <v>54.453587288087064</v>
      </c>
      <c r="AL34" s="20">
        <f t="shared" si="4"/>
        <v>480.72192286008493</v>
      </c>
      <c r="AM34" s="59">
        <f t="shared" si="5"/>
        <v>774.05525619341824</v>
      </c>
      <c r="AN34" s="59">
        <f ca="1">AVERAGE(OFFSET($AM$3,0,0,'Données projet'!$E$10+1,1))-AVERAGE(OFFSET($H$3,0,0,'Données projet'!$E$10+1,1))</f>
        <v>408.84545509668794</v>
      </c>
      <c r="AO34" s="59">
        <f t="shared" si="36"/>
        <v>409.9253979841132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25.107675527451732</v>
      </c>
      <c r="AW34" s="21">
        <f>EXP(-LN(2)/2)*AW33+(1-EXP(-LN(2)/2))/(LN(2)/2)*AQ34*AT34*VLOOKUP('Données projet'!$B$10,Paramètres!$A$1:$I$89,3,0)*0.475*44/12</f>
        <v>5.2720174117589469</v>
      </c>
      <c r="AX34" s="21">
        <f t="shared" si="6"/>
        <v>30.379692939210678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18.8</v>
      </c>
      <c r="BD34" s="12">
        <f>IF('Données projet'!$A$88&gt;35,BD33+BC34-BL33,IF(A34&lt;'Données projet'!$A$88,$BA$205^A34,IF(A34='Données projet'!$A$88,'Données projet'!$B$88,BD33+BC34-BL33)))</f>
        <v>220.8</v>
      </c>
      <c r="BE34" s="13">
        <f>BD34*VLOOKUP('Données projet'!$B$11,Paramètres!$A$1:$I$89,3,0)*VLOOKUP('Données projet'!$B$11,Paramètres!$A$1:$I$89,5,0)</f>
        <v>132.03840000000002</v>
      </c>
      <c r="BF34" s="13">
        <f t="shared" si="37"/>
        <v>34.466946374534373</v>
      </c>
      <c r="BG34" s="20">
        <f t="shared" si="7"/>
        <v>289.99681160231404</v>
      </c>
      <c r="BH34" s="59">
        <f t="shared" si="8"/>
        <v>583.33014493564735</v>
      </c>
      <c r="BI34" s="59">
        <f ca="1">AVERAGE(OFFSET($BH$3,0,0,'Données projet'!$E$11+1,1))-AVERAGE(OFFSET($H$3,0,0,'Données projet'!$E$11+1,1))</f>
        <v>279.69031306919914</v>
      </c>
      <c r="BJ34" s="59">
        <f t="shared" si="38"/>
        <v>297.01680128882509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22.238473596500981</v>
      </c>
      <c r="BR34" s="21">
        <f>EXP(-LN(2)/2)*BR33+(1-EXP(-LN(2)/2))/(LN(2)/2)*BL34*BO34*VLOOKUP('Données projet'!$B$11,Paramètres!$A$1:$I$89,3,0)*0.475*44/12</f>
        <v>11.681549111862745</v>
      </c>
      <c r="BS34" s="22">
        <f t="shared" si="9"/>
        <v>33.920022708363724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6</v>
      </c>
      <c r="BY34" s="12">
        <f>IF('Données projet'!$A$114&gt;35,BY33+BX34-CG33,IF(A34&lt;'Données projet'!$A$114,$BV$205^A34,IF(A34='Données projet'!$A$114,'Données projet'!$B$114,BY33+BX34-CG33)))</f>
        <v>100</v>
      </c>
      <c r="BZ34" s="13">
        <f>BY34*VLOOKUP('Données projet'!$B$12,Paramètres!$A$1:$I$89,3,0)*VLOOKUP('Données projet'!$B$12,Paramètres!$A$1:$I$89,5,0)</f>
        <v>59.800000000000004</v>
      </c>
      <c r="CA34" s="13">
        <f t="shared" si="39"/>
        <v>17.117692915451741</v>
      </c>
      <c r="CB34" s="20">
        <f t="shared" si="10"/>
        <v>133.96498182774511</v>
      </c>
      <c r="CC34" s="59">
        <f t="shared" si="11"/>
        <v>427.29831516107845</v>
      </c>
      <c r="CD34" s="59">
        <f ca="1">AVERAGE(OFFSET($CC$3,0,0,'Données projet'!$E$12+1,1))-AVERAGE(OFFSET($H$3,0,0,'Données projet'!$E$12+1,1))</f>
        <v>81.299024916151723</v>
      </c>
      <c r="CE34" s="59">
        <f t="shared" si="40"/>
        <v>88.106373324240167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6.0099407894104768</v>
      </c>
      <c r="CM34" s="21">
        <f>EXP(-LN(2)/2)*CM33+(1-EXP(-LN(2)/2))/(LN(2)/2)*CG34*CJ34*VLOOKUP('Données projet'!$B$12,Paramètres!$A$1:$I$89,3,0)*0.475*44/12</f>
        <v>1.5679529613404402</v>
      </c>
      <c r="CN34" s="22">
        <f t="shared" si="12"/>
        <v>7.577893750750917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28.4</v>
      </c>
      <c r="CT34" s="12">
        <f>IF('Données projet'!$A$140&gt;35,CT33+CS34-DB33,IF(A34&lt;'Données projet'!$A$140,$CQ$205^A34,IF(A34='Données projet'!$A$140,'Données projet'!$B$140,CT33+CS34-DB33)))</f>
        <v>462.4</v>
      </c>
      <c r="CU34" s="17">
        <f>CT34*VLOOKUP('Données projet'!$B$13,Paramètres!$A$1:$I$89,3,0)*VLOOKUP('Données projet'!$B$13,Paramètres!$A$1:$I$89,5,0)</f>
        <v>258.48160000000001</v>
      </c>
      <c r="CV34" s="13">
        <f t="shared" si="41"/>
        <v>62.398606187610767</v>
      </c>
      <c r="CW34" s="20">
        <f t="shared" si="13"/>
        <v>558.86635911008875</v>
      </c>
      <c r="CX34" s="59">
        <f t="shared" si="14"/>
        <v>852.19969244342201</v>
      </c>
      <c r="CY34" s="59">
        <f ca="1">AVERAGE(OFFSET($CX$3,0,0,'Données projet'!$E$13+1,1))-AVERAGE(OFFSET($H$3,0,0,'Données projet'!$E$13+1,1))</f>
        <v>475.42482703895411</v>
      </c>
      <c r="CZ34" s="59">
        <f t="shared" si="42"/>
        <v>593.51433014569966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7.1973811463040835</v>
      </c>
      <c r="DG34" s="21">
        <f>EXP(-LN(2)/25)*DG33+(1-EXP(-LN(2)/25))/(LN(2)/25)*Calculateur!DB34*Calculateur!DD34*VLOOKUP('Données projet'!$B$13,Paramètres!$A$1:$I$89,3,0)*0.475*44/12</f>
        <v>34.334514302524546</v>
      </c>
      <c r="DH34" s="21">
        <f>EXP(-LN(2)/2)*DH33+(1-EXP(-LN(2)/2))/(LN(2)/2)*DB34*DE34*VLOOKUP('Données projet'!$B$13,Paramètres!$A$1:$I$89,3,0)*0.475*44/12</f>
        <v>18.250764827299591</v>
      </c>
      <c r="DI34" s="22">
        <f t="shared" si="15"/>
        <v>59.782660276128219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4</v>
      </c>
      <c r="DO34" s="12">
        <f>IF('Données projet'!$A$166&gt;35,DO33+DN34-DW33,IF(A34&lt;'Données projet'!$A$166,$DL$205^A34,IF(A34='Données projet'!$A$166,'Données projet'!$B$166,DO33+DN34-DW33)))</f>
        <v>124</v>
      </c>
      <c r="DP34" s="17">
        <f>DO34*VLOOKUP('Données projet'!$B$14,Paramètres!$A$1:$I$89,3,0)*VLOOKUP('Données projet'!$B$14,Paramètres!$A$1:$I$89,5,0)</f>
        <v>112.1952</v>
      </c>
      <c r="DQ34" s="13">
        <f t="shared" si="43"/>
        <v>29.847594514573263</v>
      </c>
      <c r="DR34" s="20">
        <f t="shared" si="16"/>
        <v>247.39120044621509</v>
      </c>
      <c r="DS34" s="59">
        <f t="shared" si="17"/>
        <v>540.72453377954844</v>
      </c>
      <c r="DT34" s="59">
        <f ca="1">AVERAGE(OFFSET($DS$3,0,0,'Données projet'!$E$14+1,1))-AVERAGE(OFFSET($H$3,0,0,'Données projet'!$E$14+1,1))</f>
        <v>401.17301323870578</v>
      </c>
      <c r="DU34" s="59">
        <f t="shared" si="44"/>
        <v>201.57993789149754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7.3</v>
      </c>
      <c r="EJ34" s="12">
        <f>IF('Données projet'!$A$192&gt;35,EJ33+EI34-ER33,IF(A34&lt;'Données projet'!$A$192,$EG$205^A34,IF(A34='Données projet'!$A$192,'Données projet'!$B$192,EJ33+EI34-ER33)))</f>
        <v>147.30000000000001</v>
      </c>
      <c r="EK34" s="17">
        <f>EJ34*VLOOKUP('Données projet'!$B$15,Paramètres!$A$1:$I$89,3,0)*VLOOKUP('Données projet'!$B$15,Paramètres!$A$1:$I$89,5,0)</f>
        <v>128.68128000000002</v>
      </c>
      <c r="EL34" s="13">
        <f t="shared" si="45"/>
        <v>33.691461276802286</v>
      </c>
      <c r="EM34" s="20">
        <f t="shared" si="19"/>
        <v>282.79919105709729</v>
      </c>
      <c r="EN34" s="59">
        <f t="shared" si="20"/>
        <v>576.1325243904306</v>
      </c>
      <c r="EO34" s="59">
        <f ca="1">AVERAGE(OFFSET($EN$3,0,0,'Données projet'!$E$15+1,1))-AVERAGE(OFFSET($H$3,0,0,'Données projet'!$E$15+1,1))</f>
        <v>237.8483058552178</v>
      </c>
      <c r="EP34" s="59">
        <f t="shared" si="46"/>
        <v>313.36201272119723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15.2</v>
      </c>
      <c r="FE34" s="12">
        <f>IF('Données projet'!$A$218&gt;35,FE33+FD34-FM33,IF(A34&lt;'Données projet'!$A$218,$FB$205^A34,IF(A34='Données projet'!$A$218,'Données projet'!$B$218,FE33+FD34-FM33)))</f>
        <v>178.20000000000005</v>
      </c>
      <c r="FF34" s="17">
        <f>FE34*VLOOKUP('Données projet'!$B$16,Paramètres!$A$1:$I$89,3,0)*VLOOKUP('Données projet'!$B$16,Paramètres!$A$1:$I$89,5,0)</f>
        <v>138.99600000000004</v>
      </c>
      <c r="FG34" s="13">
        <f t="shared" si="47"/>
        <v>36.066906938767758</v>
      </c>
      <c r="FH34" s="20">
        <f t="shared" si="22"/>
        <v>304.90122958502059</v>
      </c>
      <c r="FI34" s="59">
        <f t="shared" si="23"/>
        <v>598.23456291835396</v>
      </c>
      <c r="FJ34" s="59">
        <f ca="1">AVERAGE(OFFSET($FI$3,0,0,'Données projet'!$E$16+1,1))-AVERAGE(OFFSET($H$3,0,0,'Données projet'!$E$16+1,1))</f>
        <v>318.52984981739411</v>
      </c>
      <c r="FK34" s="59">
        <f t="shared" si="48"/>
        <v>311.56398336941714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15.2</v>
      </c>
      <c r="FZ34" s="12">
        <f>IF('Données projet'!$A$244&gt;35,FZ33+FY34-GH33,IF(A34&lt;'Données projet'!$A$244,$FW$205^A34,IF(A34='Données projet'!$A$244,'Données projet'!$B$244,FZ33+FY34-GH33)))</f>
        <v>178.20000000000005</v>
      </c>
      <c r="GA34" s="17">
        <f>FZ34*VLOOKUP('Données projet'!$B$17,Paramètres!$A$1:$I$89,3,0)*VLOOKUP('Données projet'!$B$17,Paramètres!$A$1:$I$89,5,0)</f>
        <v>141.77592000000004</v>
      </c>
      <c r="GB34" s="13">
        <f t="shared" si="49"/>
        <v>36.703544878441981</v>
      </c>
      <c r="GC34" s="20">
        <f t="shared" si="25"/>
        <v>310.85173466328649</v>
      </c>
      <c r="GD34" s="59">
        <f t="shared" si="26"/>
        <v>604.18506799661986</v>
      </c>
      <c r="GE34" s="59">
        <f ca="1">AVERAGE(OFFSET($GD$3,0,0,'Données projet'!$E$17+1,1))-AVERAGE(OFFSET($H$3,0,0,'Données projet'!$E$17+1,1))</f>
        <v>325.72928944930294</v>
      </c>
      <c r="GF34" s="59">
        <f t="shared" si="50"/>
        <v>318.38876834819752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15.2</v>
      </c>
      <c r="GU34" s="12">
        <f>IF('Données projet'!$A$270&gt;35,GU33+GT34-HC33,IF(A34&lt;'Données projet'!$A$270,$GR$205^A34,IF(A34='Données projet'!$A$270,'Données projet'!$B$270,GU33+GT34-HC33)))</f>
        <v>178.20000000000005</v>
      </c>
      <c r="GV34" s="17">
        <f>GU34*VLOOKUP('Données projet'!$B$18,Paramètres!$A$1:$I$89,3,0)*VLOOKUP('Données projet'!$B$18,Paramètres!$A$1:$I$89,5,0)</f>
        <v>119.53656000000004</v>
      </c>
      <c r="GW34" s="13">
        <f t="shared" si="51"/>
        <v>31.566885194519276</v>
      </c>
      <c r="GX34" s="20">
        <f t="shared" si="28"/>
        <v>263.17183371378781</v>
      </c>
      <c r="GY34" s="59">
        <f t="shared" si="29"/>
        <v>556.50516704712118</v>
      </c>
      <c r="GZ34" s="59">
        <f ca="1">AVERAGE(OFFSET($GY$3,0,0,'Données projet'!$E$18+1,1))-AVERAGE(OFFSET($H$3,0,0,'Données projet'!$E$18+1,1))</f>
        <v>268.04554291387961</v>
      </c>
      <c r="HA34" s="59">
        <f t="shared" si="52"/>
        <v>263.70463099437148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0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6.8</v>
      </c>
      <c r="N35" s="13">
        <f>IF('Données projet'!$A$36&gt;35,N34+M35-V34,IF(A35&lt;'Données projet'!$A$36,$K$205^A35,IF(A35='Données projet'!$A$36,'Données projet'!$B$36,N34+M35-V34)))</f>
        <v>87.6</v>
      </c>
      <c r="O35" s="13">
        <f>N35*VLOOKUP('Données projet'!$B$9,Paramètres!$A$1:$I$89,3,0)*VLOOKUP('Données projet'!$B$9,Paramètres!$A$1:$I$89,5,0)</f>
        <v>38.719200000000001</v>
      </c>
      <c r="P35" s="13">
        <f t="shared" si="33"/>
        <v>11.658530421381979</v>
      </c>
      <c r="Q35" s="20">
        <f t="shared" ref="Q35:Q66" si="53">(O35+P35)*0.475*44/12</f>
        <v>87.741213817240293</v>
      </c>
      <c r="R35" s="59">
        <f t="shared" si="0"/>
        <v>381.07454715057361</v>
      </c>
      <c r="S35" s="59">
        <f ca="1">AVERAGE(OFFSET($R$3,0,0,'Données projet'!$E$9+1,1))-AVERAGE(OFFSET($H$3,0,0,'Données projet'!$E$9+1,1))</f>
        <v>46.095319339746538</v>
      </c>
      <c r="T35" s="59">
        <f t="shared" si="34"/>
        <v>48.158174304064403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1.790193097181344</v>
      </c>
      <c r="AB35" s="21">
        <f>EXP(-LN(2)/2)*AB34+(1-EXP(-LN(2)/2))/(LN(2)/2)*V35*Y35*VLOOKUP('Données projet'!$B$9,Paramètres!$A$1:$I$89,3,0)*0.475*44/12</f>
        <v>1.201072021216075</v>
      </c>
      <c r="AC35" s="22">
        <f t="shared" si="3"/>
        <v>2.9912651183974193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25.833333333333332</v>
      </c>
      <c r="AI35" s="13">
        <f>IF('Données projet'!$A$62&gt;35,AI34+AH35-AQ34,IF(A35&lt;'Données projet'!$A$62,$AF$205^A35,IF(A35='Données projet'!$A$62,'Données projet'!$B$62,AI34+AH35-AQ34)))</f>
        <v>396.33333333333326</v>
      </c>
      <c r="AJ35" s="13">
        <f>AI35*VLOOKUP('Données projet'!$B$10,Paramètres!$A$1:$I$89,3,0)*VLOOKUP('Données projet'!$B$10,Paramètres!$A$1:$I$89,5,0)</f>
        <v>237.00733333333329</v>
      </c>
      <c r="AK35" s="13">
        <f t="shared" si="35"/>
        <v>57.795174205071021</v>
      </c>
      <c r="AL35" s="20">
        <f t="shared" si="4"/>
        <v>513.44770062938744</v>
      </c>
      <c r="AM35" s="59">
        <f t="shared" si="5"/>
        <v>806.78103396272081</v>
      </c>
      <c r="AN35" s="59">
        <f ca="1">AVERAGE(OFFSET($AM$3,0,0,'Données projet'!$E$10+1,1))-AVERAGE(OFFSET($H$3,0,0,'Données projet'!$E$10+1,1))</f>
        <v>408.84545509668794</v>
      </c>
      <c r="AO35" s="59">
        <f t="shared" si="36"/>
        <v>409.9253979841132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24.421104819798295</v>
      </c>
      <c r="AW35" s="21">
        <f>EXP(-LN(2)/2)*AW34+(1-EXP(-LN(2)/2))/(LN(2)/2)*AQ35*AT35*VLOOKUP('Données projet'!$B$10,Paramètres!$A$1:$I$89,3,0)*0.475*44/12</f>
        <v>3.7278792623883024</v>
      </c>
      <c r="AX35" s="21">
        <f t="shared" si="6"/>
        <v>28.148984082186598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18.8</v>
      </c>
      <c r="BD35" s="12">
        <f>IF('Données projet'!$A$88&gt;35,BD34+BC35-BL34,IF(A35&lt;'Données projet'!$A$88,$BA$205^A35,IF(A35='Données projet'!$A$88,'Données projet'!$B$88,BD34+BC35-BL34)))</f>
        <v>239.60000000000002</v>
      </c>
      <c r="BE35" s="13">
        <f>BD35*VLOOKUP('Données projet'!$B$11,Paramètres!$A$1:$I$89,3,0)*VLOOKUP('Données projet'!$B$11,Paramètres!$A$1:$I$89,5,0)</f>
        <v>143.28080000000003</v>
      </c>
      <c r="BF35" s="13">
        <f t="shared" si="37"/>
        <v>37.047574465948976</v>
      </c>
      <c r="BG35" s="20">
        <f t="shared" si="7"/>
        <v>314.07191886152782</v>
      </c>
      <c r="BH35" s="59">
        <f t="shared" si="8"/>
        <v>607.40525219486108</v>
      </c>
      <c r="BI35" s="59">
        <f ca="1">AVERAGE(OFFSET($BH$3,0,0,'Données projet'!$E$11+1,1))-AVERAGE(OFFSET($H$3,0,0,'Données projet'!$E$11+1,1))</f>
        <v>279.69031306919914</v>
      </c>
      <c r="BJ35" s="59">
        <f t="shared" si="38"/>
        <v>297.01680128882509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21.630361366534164</v>
      </c>
      <c r="BR35" s="21">
        <f>EXP(-LN(2)/2)*BR34+(1-EXP(-LN(2)/2))/(LN(2)/2)*BL35*BO35*VLOOKUP('Données projet'!$B$11,Paramètres!$A$1:$I$89,3,0)*0.475*44/12</f>
        <v>8.2601025917618394</v>
      </c>
      <c r="BS35" s="22">
        <f t="shared" si="9"/>
        <v>29.890463958296003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6</v>
      </c>
      <c r="BY35" s="12">
        <f>IF('Données projet'!$A$114&gt;35,BY34+BX35-CG34,IF(A35&lt;'Données projet'!$A$114,$BV$205^A35,IF(A35='Données projet'!$A$114,'Données projet'!$B$114,BY34+BX35-CG34)))</f>
        <v>106</v>
      </c>
      <c r="BZ35" s="13">
        <f>BY35*VLOOKUP('Données projet'!$B$12,Paramètres!$A$1:$I$89,3,0)*VLOOKUP('Données projet'!$B$12,Paramètres!$A$1:$I$89,5,0)</f>
        <v>63.388000000000012</v>
      </c>
      <c r="CA35" s="13">
        <f t="shared" si="39"/>
        <v>18.022104085041263</v>
      </c>
      <c r="CB35" s="20">
        <f t="shared" si="10"/>
        <v>141.78926461478019</v>
      </c>
      <c r="CC35" s="59">
        <f t="shared" si="11"/>
        <v>435.12259794811348</v>
      </c>
      <c r="CD35" s="59">
        <f ca="1">AVERAGE(OFFSET($CC$3,0,0,'Données projet'!$E$12+1,1))-AVERAGE(OFFSET($H$3,0,0,'Données projet'!$E$12+1,1))</f>
        <v>81.299024916151723</v>
      </c>
      <c r="CE35" s="59">
        <f t="shared" si="40"/>
        <v>88.106373324240167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5.8455986424749975</v>
      </c>
      <c r="CM35" s="21">
        <f>EXP(-LN(2)/2)*CM34+(1-EXP(-LN(2)/2))/(LN(2)/2)*CG35*CJ35*VLOOKUP('Données projet'!$B$12,Paramètres!$A$1:$I$89,3,0)*0.475*44/12</f>
        <v>1.108710171545354</v>
      </c>
      <c r="CN35" s="22">
        <f t="shared" si="12"/>
        <v>6.9543088140203517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28.4</v>
      </c>
      <c r="CT35" s="12">
        <f>IF('Données projet'!$A$140&gt;35,CT34+CS35-DB34,IF(A35&lt;'Données projet'!$A$140,$CQ$205^A35,IF(A35='Données projet'!$A$140,'Données projet'!$B$140,CT34+CS35-DB34)))</f>
        <v>490.79999999999995</v>
      </c>
      <c r="CU35" s="17">
        <f>CT35*VLOOKUP('Données projet'!$B$13,Paramètres!$A$1:$I$89,3,0)*VLOOKUP('Données projet'!$B$13,Paramètres!$A$1:$I$89,5,0)</f>
        <v>274.35719999999998</v>
      </c>
      <c r="CV35" s="13">
        <f t="shared" si="41"/>
        <v>65.773113764972635</v>
      </c>
      <c r="CW35" s="20">
        <f t="shared" si="13"/>
        <v>592.39362980732722</v>
      </c>
      <c r="CX35" s="59">
        <f t="shared" si="14"/>
        <v>885.72696314066047</v>
      </c>
      <c r="CY35" s="59">
        <f ca="1">AVERAGE(OFFSET($CX$3,0,0,'Données projet'!$E$13+1,1))-AVERAGE(OFFSET($H$3,0,0,'Données projet'!$E$13+1,1))</f>
        <v>475.42482703895411</v>
      </c>
      <c r="CZ35" s="59">
        <f t="shared" si="42"/>
        <v>593.51433014569966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7.0562448919940861</v>
      </c>
      <c r="DG35" s="21">
        <f>EXP(-LN(2)/25)*DG34+(1-EXP(-LN(2)/25))/(LN(2)/25)*Calculateur!DB35*Calculateur!DD35*VLOOKUP('Données projet'!$B$13,Paramètres!$A$1:$I$89,3,0)*0.475*44/12</f>
        <v>33.395635203348377</v>
      </c>
      <c r="DH35" s="21">
        <f>EXP(-LN(2)/2)*DH34+(1-EXP(-LN(2)/2))/(LN(2)/2)*DB35*DE35*VLOOKUP('Données projet'!$B$13,Paramètres!$A$1:$I$89,3,0)*0.475*44/12</f>
        <v>12.90523957122447</v>
      </c>
      <c r="DI35" s="22">
        <f t="shared" si="15"/>
        <v>53.357119666566931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4</v>
      </c>
      <c r="DO35" s="12">
        <f>IF('Données projet'!$A$166&gt;35,DO34+DN35-DW34,IF(A35&lt;'Données projet'!$A$166,$DL$205^A35,IF(A35='Données projet'!$A$166,'Données projet'!$B$166,DO34+DN35-DW34)))</f>
        <v>128</v>
      </c>
      <c r="DP35" s="17">
        <f>DO35*VLOOKUP('Données projet'!$B$14,Paramètres!$A$1:$I$89,3,0)*VLOOKUP('Données projet'!$B$14,Paramètres!$A$1:$I$89,5,0)</f>
        <v>115.81439999999999</v>
      </c>
      <c r="DQ35" s="13">
        <f t="shared" si="43"/>
        <v>30.696768873861398</v>
      </c>
      <c r="DR35" s="20">
        <f t="shared" si="16"/>
        <v>255.17361912197524</v>
      </c>
      <c r="DS35" s="59">
        <f t="shared" si="17"/>
        <v>548.50695245530858</v>
      </c>
      <c r="DT35" s="59">
        <f ca="1">AVERAGE(OFFSET($DS$3,0,0,'Données projet'!$E$14+1,1))-AVERAGE(OFFSET($H$3,0,0,'Données projet'!$E$14+1,1))</f>
        <v>401.17301323870578</v>
      </c>
      <c r="DU35" s="59">
        <f t="shared" si="44"/>
        <v>201.57993789149754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7.3</v>
      </c>
      <c r="EJ35" s="12">
        <f>IF('Données projet'!$A$192&gt;35,EJ34+EI35-ER34,IF(A35&lt;'Données projet'!$A$192,$EG$205^A35,IF(A35='Données projet'!$A$192,'Données projet'!$B$192,EJ34+EI35-ER34)))</f>
        <v>154.60000000000002</v>
      </c>
      <c r="EK35" s="17">
        <f>EJ35*VLOOKUP('Données projet'!$B$15,Paramètres!$A$1:$I$89,3,0)*VLOOKUP('Données projet'!$B$15,Paramètres!$A$1:$I$89,5,0)</f>
        <v>135.05856000000003</v>
      </c>
      <c r="EL35" s="13">
        <f t="shared" si="45"/>
        <v>35.16263443880888</v>
      </c>
      <c r="EM35" s="20">
        <f t="shared" si="19"/>
        <v>296.46858031425882</v>
      </c>
      <c r="EN35" s="59">
        <f t="shared" si="20"/>
        <v>589.80191364759207</v>
      </c>
      <c r="EO35" s="59">
        <f ca="1">AVERAGE(OFFSET($EN$3,0,0,'Données projet'!$E$15+1,1))-AVERAGE(OFFSET($H$3,0,0,'Données projet'!$E$15+1,1))</f>
        <v>237.8483058552178</v>
      </c>
      <c r="EP35" s="59">
        <f t="shared" si="46"/>
        <v>313.36201272119723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15.2</v>
      </c>
      <c r="FE35" s="12">
        <f>IF('Données projet'!$A$218&gt;35,FE34+FD35-FM34,IF(A35&lt;'Données projet'!$A$218,$FB$205^A35,IF(A35='Données projet'!$A$218,'Données projet'!$B$218,FE34+FD35-FM34)))</f>
        <v>193.40000000000003</v>
      </c>
      <c r="FF35" s="17">
        <f>FE35*VLOOKUP('Données projet'!$B$16,Paramètres!$A$1:$I$89,3,0)*VLOOKUP('Données projet'!$B$16,Paramètres!$A$1:$I$89,5,0)</f>
        <v>150.85200000000003</v>
      </c>
      <c r="FG35" s="13">
        <f t="shared" si="47"/>
        <v>38.772141806881415</v>
      </c>
      <c r="FH35" s="20">
        <f t="shared" si="22"/>
        <v>330.26204698031853</v>
      </c>
      <c r="FI35" s="59">
        <f t="shared" si="23"/>
        <v>623.59538031365184</v>
      </c>
      <c r="FJ35" s="59">
        <f ca="1">AVERAGE(OFFSET($FI$3,0,0,'Données projet'!$E$16+1,1))-AVERAGE(OFFSET($H$3,0,0,'Données projet'!$E$16+1,1))</f>
        <v>318.52984981739411</v>
      </c>
      <c r="FK35" s="59">
        <f t="shared" si="48"/>
        <v>311.56398336941714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15.2</v>
      </c>
      <c r="FZ35" s="12">
        <f>IF('Données projet'!$A$244&gt;35,FZ34+FY35-GH34,IF(A35&lt;'Données projet'!$A$244,$FW$205^A35,IF(A35='Données projet'!$A$244,'Données projet'!$B$244,FZ34+FY35-GH34)))</f>
        <v>193.40000000000003</v>
      </c>
      <c r="GA35" s="17">
        <f>FZ35*VLOOKUP('Données projet'!$B$17,Paramètres!$A$1:$I$89,3,0)*VLOOKUP('Données projet'!$B$17,Paramètres!$A$1:$I$89,5,0)</f>
        <v>153.86904000000004</v>
      </c>
      <c r="GB35" s="13">
        <f t="shared" si="49"/>
        <v>39.456531419736123</v>
      </c>
      <c r="GC35" s="20">
        <f t="shared" si="25"/>
        <v>336.70870355604046</v>
      </c>
      <c r="GD35" s="59">
        <f t="shared" si="26"/>
        <v>630.04203688937378</v>
      </c>
      <c r="GE35" s="59">
        <f ca="1">AVERAGE(OFFSET($GD$3,0,0,'Données projet'!$E$17+1,1))-AVERAGE(OFFSET($H$3,0,0,'Données projet'!$E$17+1,1))</f>
        <v>325.72928944930294</v>
      </c>
      <c r="GF35" s="59">
        <f t="shared" si="50"/>
        <v>318.38876834819752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15.2</v>
      </c>
      <c r="GU35" s="12">
        <f>IF('Données projet'!$A$270&gt;35,GU34+GT35-HC34,IF(A35&lt;'Données projet'!$A$270,$GR$205^A35,IF(A35='Données projet'!$A$270,'Données projet'!$B$270,GU34+GT35-HC34)))</f>
        <v>193.40000000000003</v>
      </c>
      <c r="GV35" s="17">
        <f>GU35*VLOOKUP('Données projet'!$B$18,Paramètres!$A$1:$I$89,3,0)*VLOOKUP('Données projet'!$B$18,Paramètres!$A$1:$I$89,5,0)</f>
        <v>129.73272000000003</v>
      </c>
      <c r="GW35" s="13">
        <f t="shared" si="51"/>
        <v>33.934591376003993</v>
      </c>
      <c r="GX35" s="20">
        <f t="shared" si="28"/>
        <v>285.05390064654028</v>
      </c>
      <c r="GY35" s="59">
        <f t="shared" si="29"/>
        <v>578.3872339798736</v>
      </c>
      <c r="GZ35" s="59">
        <f ca="1">AVERAGE(OFFSET($GY$3,0,0,'Données projet'!$E$18+1,1))-AVERAGE(OFFSET($H$3,0,0,'Données projet'!$E$18+1,1))</f>
        <v>268.04554291387961</v>
      </c>
      <c r="HA35" s="59">
        <f t="shared" si="52"/>
        <v>263.70463099437148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0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6.8</v>
      </c>
      <c r="N36" s="13">
        <f>IF('Données projet'!$A$36&gt;35,N35+M36-V35,IF(A36&lt;'Données projet'!$A$36,$K$205^A36,IF(A36='Données projet'!$A$36,'Données projet'!$B$36,N35+M36-V35)))</f>
        <v>94.399999999999991</v>
      </c>
      <c r="O36" s="13">
        <f>N36*VLOOKUP('Données projet'!$B$9,Paramètres!$A$1:$I$89,3,0)*VLOOKUP('Données projet'!$B$9,Paramètres!$A$1:$I$89,5,0)</f>
        <v>41.724799999999995</v>
      </c>
      <c r="P36" s="13">
        <f t="shared" si="33"/>
        <v>12.454676059847424</v>
      </c>
      <c r="Q36" s="20">
        <f t="shared" si="53"/>
        <v>94.362587470900905</v>
      </c>
      <c r="R36" s="59">
        <f t="shared" si="0"/>
        <v>387.69592080423422</v>
      </c>
      <c r="S36" s="59">
        <f ca="1">AVERAGE(OFFSET($R$3,0,0,'Données projet'!$E$9+1,1))-AVERAGE(OFFSET($H$3,0,0,'Données projet'!$E$9+1,1))</f>
        <v>46.095319339746538</v>
      </c>
      <c r="T36" s="59">
        <f t="shared" si="34"/>
        <v>48.158174304064403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1.7412401727967568</v>
      </c>
      <c r="AB36" s="21">
        <f>EXP(-LN(2)/2)*AB35+(1-EXP(-LN(2)/2))/(LN(2)/2)*V36*Y36*VLOOKUP('Données projet'!$B$9,Paramètres!$A$1:$I$89,3,0)*0.475*44/12</f>
        <v>0.84928617089531955</v>
      </c>
      <c r="AC36" s="22">
        <f t="shared" si="3"/>
        <v>2.5905263436920762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25.833333333333332</v>
      </c>
      <c r="AI36" s="13">
        <f>IF('Données projet'!$A$62&gt;35,AI35+AH36-AQ35,IF(A36&lt;'Données projet'!$A$62,$AF$205^A36,IF(A36='Données projet'!$A$62,'Données projet'!$B$62,AI35+AH36-AQ35)))</f>
        <v>422.16666666666657</v>
      </c>
      <c r="AJ36" s="13">
        <f>AI36*VLOOKUP('Données projet'!$B$10,Paramètres!$A$1:$I$89,3,0)*VLOOKUP('Données projet'!$B$10,Paramètres!$A$1:$I$89,5,0)</f>
        <v>252.45566666666662</v>
      </c>
      <c r="AK36" s="13">
        <f t="shared" si="35"/>
        <v>61.111485388689381</v>
      </c>
      <c r="AL36" s="20">
        <f t="shared" si="4"/>
        <v>546.12945649641176</v>
      </c>
      <c r="AM36" s="59">
        <f t="shared" si="5"/>
        <v>839.46278982974513</v>
      </c>
      <c r="AN36" s="59">
        <f ca="1">AVERAGE(OFFSET($AM$3,0,0,'Données projet'!$E$10+1,1))-AVERAGE(OFFSET($H$3,0,0,'Données projet'!$E$10+1,1))</f>
        <v>408.84545509668794</v>
      </c>
      <c r="AO36" s="59">
        <f t="shared" si="36"/>
        <v>409.9253979841132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23.753308424250822</v>
      </c>
      <c r="AW36" s="21">
        <f>EXP(-LN(2)/2)*AW35+(1-EXP(-LN(2)/2))/(LN(2)/2)*AQ36*AT36*VLOOKUP('Données projet'!$B$10,Paramètres!$A$1:$I$89,3,0)*0.475*44/12</f>
        <v>2.6360087058794739</v>
      </c>
      <c r="AX36" s="21">
        <f t="shared" si="6"/>
        <v>26.389317130130294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18.8</v>
      </c>
      <c r="BD36" s="12">
        <f>IF('Données projet'!$A$88&gt;35,BD35+BC36-BL35,IF(A36&lt;'Données projet'!$A$88,$BA$205^A36,IF(A36='Données projet'!$A$88,'Données projet'!$B$88,BD35+BC36-BL35)))</f>
        <v>258.40000000000003</v>
      </c>
      <c r="BE36" s="13">
        <f>BD36*VLOOKUP('Données projet'!$B$11,Paramètres!$A$1:$I$89,3,0)*VLOOKUP('Données projet'!$B$11,Paramètres!$A$1:$I$89,5,0)</f>
        <v>154.52320000000003</v>
      </c>
      <c r="BF36" s="13">
        <f t="shared" si="37"/>
        <v>39.60471498856284</v>
      </c>
      <c r="BG36" s="20">
        <f t="shared" si="7"/>
        <v>338.10611860508033</v>
      </c>
      <c r="BH36" s="59">
        <f t="shared" si="8"/>
        <v>631.43945193841364</v>
      </c>
      <c r="BI36" s="59">
        <f ca="1">AVERAGE(OFFSET($BH$3,0,0,'Données projet'!$E$11+1,1))-AVERAGE(OFFSET($H$3,0,0,'Données projet'!$E$11+1,1))</f>
        <v>279.69031306919914</v>
      </c>
      <c r="BJ36" s="59">
        <f t="shared" si="38"/>
        <v>297.01680128882509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21.038877997475019</v>
      </c>
      <c r="BR36" s="21">
        <f>EXP(-LN(2)/2)*BR35+(1-EXP(-LN(2)/2))/(LN(2)/2)*BL36*BO36*VLOOKUP('Données projet'!$B$11,Paramètres!$A$1:$I$89,3,0)*0.475*44/12</f>
        <v>5.8407745559313735</v>
      </c>
      <c r="BS36" s="22">
        <f t="shared" si="9"/>
        <v>26.879652553406395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6</v>
      </c>
      <c r="BY36" s="12">
        <f>IF('Données projet'!$A$114&gt;35,BY35+BX36-CG35,IF(A36&lt;'Données projet'!$A$114,$BV$205^A36,IF(A36='Données projet'!$A$114,'Données projet'!$B$114,BY35+BX36-CG35)))</f>
        <v>112</v>
      </c>
      <c r="BZ36" s="13">
        <f>BY36*VLOOKUP('Données projet'!$B$12,Paramètres!$A$1:$I$89,3,0)*VLOOKUP('Données projet'!$B$12,Paramètres!$A$1:$I$89,5,0)</f>
        <v>66.976000000000013</v>
      </c>
      <c r="CA36" s="13">
        <f t="shared" si="39"/>
        <v>18.920572617446965</v>
      </c>
      <c r="CB36" s="20">
        <f t="shared" si="10"/>
        <v>149.60319730872013</v>
      </c>
      <c r="CC36" s="59">
        <f t="shared" si="11"/>
        <v>442.93653064205341</v>
      </c>
      <c r="CD36" s="59">
        <f ca="1">AVERAGE(OFFSET($CC$3,0,0,'Données projet'!$E$12+1,1))-AVERAGE(OFFSET($H$3,0,0,'Données projet'!$E$12+1,1))</f>
        <v>81.299024916151723</v>
      </c>
      <c r="CE36" s="59">
        <f t="shared" si="40"/>
        <v>88.106373324240167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5.685750440189846</v>
      </c>
      <c r="CM36" s="21">
        <f>EXP(-LN(2)/2)*CM35+(1-EXP(-LN(2)/2))/(LN(2)/2)*CG36*CJ36*VLOOKUP('Données projet'!$B$12,Paramètres!$A$1:$I$89,3,0)*0.475*44/12</f>
        <v>0.7839764806702203</v>
      </c>
      <c r="CN36" s="22">
        <f t="shared" si="12"/>
        <v>6.4697269208600661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28.4</v>
      </c>
      <c r="CT36" s="12">
        <f>IF('Données projet'!$A$140&gt;35,CT35+CS36-DB35,IF(A36&lt;'Données projet'!$A$140,$CQ$205^A36,IF(A36='Données projet'!$A$140,'Données projet'!$B$140,CT35+CS36-DB35)))</f>
        <v>519.19999999999993</v>
      </c>
      <c r="CU36" s="17">
        <f>CT36*VLOOKUP('Données projet'!$B$13,Paramètres!$A$1:$I$89,3,0)*VLOOKUP('Données projet'!$B$13,Paramètres!$A$1:$I$89,5,0)</f>
        <v>290.2328</v>
      </c>
      <c r="CV36" s="13">
        <f t="shared" si="41"/>
        <v>69.124955529636495</v>
      </c>
      <c r="CW36" s="20">
        <f t="shared" si="13"/>
        <v>625.88142421411692</v>
      </c>
      <c r="CX36" s="59">
        <f t="shared" si="14"/>
        <v>919.21475754745029</v>
      </c>
      <c r="CY36" s="59">
        <f ca="1">AVERAGE(OFFSET($CX$3,0,0,'Données projet'!$E$13+1,1))-AVERAGE(OFFSET($H$3,0,0,'Données projet'!$E$13+1,1))</f>
        <v>475.42482703895411</v>
      </c>
      <c r="CZ36" s="59">
        <f t="shared" si="42"/>
        <v>593.51433014569966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6.9178762335464929</v>
      </c>
      <c r="DG36" s="21">
        <f>EXP(-LN(2)/25)*DG35+(1-EXP(-LN(2)/25))/(LN(2)/25)*Calculateur!DB36*Calculateur!DD36*VLOOKUP('Données projet'!$B$13,Paramètres!$A$1:$I$89,3,0)*0.475*44/12</f>
        <v>32.482429802512684</v>
      </c>
      <c r="DH36" s="21">
        <f>EXP(-LN(2)/2)*DH35+(1-EXP(-LN(2)/2))/(LN(2)/2)*DB36*DE36*VLOOKUP('Données projet'!$B$13,Paramètres!$A$1:$I$89,3,0)*0.475*44/12</f>
        <v>9.1253824136497972</v>
      </c>
      <c r="DI36" s="22">
        <f t="shared" si="15"/>
        <v>48.525688449708973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4</v>
      </c>
      <c r="DO36" s="12">
        <f>IF('Données projet'!$A$166&gt;35,DO35+DN36-DW35,IF(A36&lt;'Données projet'!$A$166,$DL$205^A36,IF(A36='Données projet'!$A$166,'Données projet'!$B$166,DO35+DN36-DW35)))</f>
        <v>132</v>
      </c>
      <c r="DP36" s="17">
        <f>DO36*VLOOKUP('Données projet'!$B$14,Paramètres!$A$1:$I$89,3,0)*VLOOKUP('Données projet'!$B$14,Paramètres!$A$1:$I$89,5,0)</f>
        <v>119.43359999999998</v>
      </c>
      <c r="DQ36" s="13">
        <f t="shared" si="43"/>
        <v>31.54285944220668</v>
      </c>
      <c r="DR36" s="20">
        <f t="shared" si="16"/>
        <v>262.95066686184327</v>
      </c>
      <c r="DS36" s="59">
        <f t="shared" si="17"/>
        <v>556.28400019517653</v>
      </c>
      <c r="DT36" s="59">
        <f ca="1">AVERAGE(OFFSET($DS$3,0,0,'Données projet'!$E$14+1,1))-AVERAGE(OFFSET($H$3,0,0,'Données projet'!$E$14+1,1))</f>
        <v>401.17301323870578</v>
      </c>
      <c r="DU36" s="59">
        <f t="shared" si="44"/>
        <v>201.57993789149754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7.3</v>
      </c>
      <c r="EJ36" s="12">
        <f>IF('Données projet'!$A$192&gt;35,EJ35+EI36-ER35,IF(A36&lt;'Données projet'!$A$192,$EG$205^A36,IF(A36='Données projet'!$A$192,'Données projet'!$B$192,EJ35+EI36-ER35)))</f>
        <v>161.90000000000003</v>
      </c>
      <c r="EK36" s="17">
        <f>EJ36*VLOOKUP('Données projet'!$B$15,Paramètres!$A$1:$I$89,3,0)*VLOOKUP('Données projet'!$B$15,Paramètres!$A$1:$I$89,5,0)</f>
        <v>141.43584000000004</v>
      </c>
      <c r="EL36" s="13">
        <f t="shared" si="45"/>
        <v>36.625740683064912</v>
      </c>
      <c r="EM36" s="20">
        <f t="shared" si="19"/>
        <v>310.12391968967148</v>
      </c>
      <c r="EN36" s="59">
        <f t="shared" si="20"/>
        <v>603.4572530230048</v>
      </c>
      <c r="EO36" s="59">
        <f ca="1">AVERAGE(OFFSET($EN$3,0,0,'Données projet'!$E$15+1,1))-AVERAGE(OFFSET($H$3,0,0,'Données projet'!$E$15+1,1))</f>
        <v>237.8483058552178</v>
      </c>
      <c r="EP36" s="59">
        <f t="shared" si="46"/>
        <v>313.36201272119723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15.2</v>
      </c>
      <c r="FE36" s="12">
        <f>IF('Données projet'!$A$218&gt;35,FE35+FD36-FM35,IF(A36&lt;'Données projet'!$A$218,$FB$205^A36,IF(A36='Données projet'!$A$218,'Données projet'!$B$218,FE35+FD36-FM35)))</f>
        <v>208.60000000000002</v>
      </c>
      <c r="FF36" s="17">
        <f>FE36*VLOOKUP('Données projet'!$B$16,Paramètres!$A$1:$I$89,3,0)*VLOOKUP('Données projet'!$B$16,Paramètres!$A$1:$I$89,5,0)</f>
        <v>162.70800000000003</v>
      </c>
      <c r="FG36" s="13">
        <f t="shared" si="47"/>
        <v>41.452714465110255</v>
      </c>
      <c r="FH36" s="20">
        <f t="shared" si="22"/>
        <v>355.57991102673373</v>
      </c>
      <c r="FI36" s="59">
        <f t="shared" si="23"/>
        <v>648.91324436006698</v>
      </c>
      <c r="FJ36" s="59">
        <f ca="1">AVERAGE(OFFSET($FI$3,0,0,'Données projet'!$E$16+1,1))-AVERAGE(OFFSET($H$3,0,0,'Données projet'!$E$16+1,1))</f>
        <v>318.52984981739411</v>
      </c>
      <c r="FK36" s="59">
        <f t="shared" si="48"/>
        <v>311.56398336941714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15.2</v>
      </c>
      <c r="FZ36" s="12">
        <f>IF('Données projet'!$A$244&gt;35,FZ35+FY36-GH35,IF(A36&lt;'Données projet'!$A$244,$FW$205^A36,IF(A36='Données projet'!$A$244,'Données projet'!$B$244,FZ35+FY36-GH35)))</f>
        <v>208.60000000000002</v>
      </c>
      <c r="GA36" s="17">
        <f>FZ36*VLOOKUP('Données projet'!$B$17,Paramètres!$A$1:$I$89,3,0)*VLOOKUP('Données projet'!$B$17,Paramètres!$A$1:$I$89,5,0)</f>
        <v>165.96216000000001</v>
      </c>
      <c r="GB36" s="13">
        <f t="shared" si="49"/>
        <v>42.184420424142857</v>
      </c>
      <c r="GC36" s="20">
        <f t="shared" si="25"/>
        <v>362.52196090538217</v>
      </c>
      <c r="GD36" s="59">
        <f t="shared" si="26"/>
        <v>655.85529423871549</v>
      </c>
      <c r="GE36" s="59">
        <f ca="1">AVERAGE(OFFSET($GD$3,0,0,'Données projet'!$E$17+1,1))-AVERAGE(OFFSET($H$3,0,0,'Données projet'!$E$17+1,1))</f>
        <v>325.72928944930294</v>
      </c>
      <c r="GF36" s="59">
        <f t="shared" si="50"/>
        <v>318.38876834819752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15.2</v>
      </c>
      <c r="GU36" s="12">
        <f>IF('Données projet'!$A$270&gt;35,GU35+GT36-HC35,IF(A36&lt;'Données projet'!$A$270,$GR$205^A36,IF(A36='Données projet'!$A$270,'Données projet'!$B$270,GU35+GT36-HC35)))</f>
        <v>208.60000000000002</v>
      </c>
      <c r="GV36" s="17">
        <f>GU36*VLOOKUP('Données projet'!$B$18,Paramètres!$A$1:$I$89,3,0)*VLOOKUP('Données projet'!$B$18,Paramètres!$A$1:$I$89,5,0)</f>
        <v>139.92888000000002</v>
      </c>
      <c r="GW36" s="13">
        <f t="shared" si="51"/>
        <v>36.280712419916505</v>
      </c>
      <c r="GX36" s="20">
        <f t="shared" si="28"/>
        <v>306.89837346468795</v>
      </c>
      <c r="GY36" s="59">
        <f t="shared" si="29"/>
        <v>600.23170679802126</v>
      </c>
      <c r="GZ36" s="59">
        <f ca="1">AVERAGE(OFFSET($GY$3,0,0,'Données projet'!$E$18+1,1))-AVERAGE(OFFSET($H$3,0,0,'Données projet'!$E$18+1,1))</f>
        <v>268.04554291387961</v>
      </c>
      <c r="HA36" s="59">
        <f t="shared" si="52"/>
        <v>263.70463099437148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0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6.8</v>
      </c>
      <c r="N37" s="13">
        <f>IF('Données projet'!$A$36&gt;35,N36+M37-V36,IF(A37&lt;'Données projet'!$A$36,$K$205^A37,IF(A37='Données projet'!$A$36,'Données projet'!$B$36,N36+M37-V36)))</f>
        <v>101.19999999999999</v>
      </c>
      <c r="O37" s="13">
        <f>N37*VLOOKUP('Données projet'!$B$9,Paramètres!$A$1:$I$89,3,0)*VLOOKUP('Données projet'!$B$9,Paramètres!$A$1:$I$89,5,0)</f>
        <v>44.730400000000003</v>
      </c>
      <c r="P37" s="13">
        <f t="shared" si="33"/>
        <v>13.244168056379049</v>
      </c>
      <c r="Q37" s="20">
        <f t="shared" si="53"/>
        <v>100.97237269819352</v>
      </c>
      <c r="R37" s="59">
        <f t="shared" si="0"/>
        <v>394.30570603152682</v>
      </c>
      <c r="S37" s="59">
        <f ca="1">AVERAGE(OFFSET($R$3,0,0,'Données projet'!$E$9+1,1))-AVERAGE(OFFSET($H$3,0,0,'Données projet'!$E$9+1,1))</f>
        <v>46.095319339746538</v>
      </c>
      <c r="T37" s="59">
        <f t="shared" si="34"/>
        <v>48.158174304064403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1.6936258687037884</v>
      </c>
      <c r="AB37" s="21">
        <f>EXP(-LN(2)/2)*AB36+(1-EXP(-LN(2)/2))/(LN(2)/2)*V37*Y37*VLOOKUP('Données projet'!$B$9,Paramètres!$A$1:$I$89,3,0)*0.475*44/12</f>
        <v>0.60053601060803752</v>
      </c>
      <c r="AC37" s="22">
        <f t="shared" si="3"/>
        <v>2.2941618793118259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448</v>
      </c>
      <c r="AG37" s="12">
        <f>VLOOKUP(A37,'Données projet'!$A$61:$I$81,9,0)</f>
        <v>25.833333333333332</v>
      </c>
      <c r="AH37" s="12">
        <f t="array" ref="AH37">INDEX(AG:AG,MIN(IF(ISNUMBER(AG37:AG233),ROW(AG37:AG233),"")))</f>
        <v>25.833333333333332</v>
      </c>
      <c r="AI37" s="13">
        <f>IF('Données projet'!$A$62&gt;35,AI36+AH37-AQ36,IF(A37&lt;'Données projet'!$A$62,$AF$205^A37,IF(A37='Données projet'!$A$62,'Données projet'!$B$62,AI36+AH37-AQ36)))</f>
        <v>447.99999999999989</v>
      </c>
      <c r="AJ37" s="13">
        <f>AI37*VLOOKUP('Données projet'!$B$10,Paramètres!$A$1:$I$89,3,0)*VLOOKUP('Données projet'!$B$10,Paramètres!$A$1:$I$89,5,0)</f>
        <v>267.90399999999994</v>
      </c>
      <c r="AK37" s="13">
        <f t="shared" si="35"/>
        <v>64.40424363186321</v>
      </c>
      <c r="AL37" s="20">
        <f t="shared" si="4"/>
        <v>578.77019099216159</v>
      </c>
      <c r="AM37" s="59">
        <f t="shared" si="5"/>
        <v>872.10352432549485</v>
      </c>
      <c r="AN37" s="59">
        <f ca="1">AVERAGE(OFFSET($AM$3,0,0,'Données projet'!$E$10+1,1))-AVERAGE(OFFSET($H$3,0,0,'Données projet'!$E$10+1,1))</f>
        <v>408.84545509668794</v>
      </c>
      <c r="AO37" s="59">
        <f t="shared" si="36"/>
        <v>409.9253979841132</v>
      </c>
      <c r="AP37" s="15">
        <f>IF(ISNA(VLOOKUP(A37,'Données projet'!$A$61:$I$81,3,0)),0,VLOOKUP(A37,'Données projet'!$A$61:$I$81,3,0))</f>
        <v>6</v>
      </c>
      <c r="AQ37" s="15">
        <f>IF(ISNA(VLOOKUP(A37,'Données projet'!$A$61:$I$81,4,0)),0,VLOOKUP(A37,'Données projet'!$A$61:$I$81,4,0))</f>
        <v>39</v>
      </c>
      <c r="AR37" s="16">
        <f>IF(ISNA(VLOOKUP(A37,'Données projet'!$A$61:$I$81,5,0)),0%,VLOOKUP(A37,'Données projet'!$A$61:$I$81,5,0)*VLOOKUP('Données projet'!$B$10,Paramètres!$A$1:$I$89,7,0))</f>
        <v>9.0000000000000011E-2</v>
      </c>
      <c r="AS37" s="16">
        <f>IF(ISNA(VLOOKUP(A37,'Données projet'!$A$61:$I$81,6,0)),0%,VLOOKUP(A37,'Données projet'!$A$61:$I$81,6,0)*VLOOKUP('Données projet'!$B$10,Paramètres!$A$1:$I$89,7,0))</f>
        <v>0.18000000000000002</v>
      </c>
      <c r="AT37" s="16">
        <f>IF(ISNA(VLOOKUP(A37,'Données projet'!$A$61:$I$81,7,0)),0%,VLOOKUP(A37,'Données projet'!$A$61:$I$81,7,0))</f>
        <v>0.4</v>
      </c>
      <c r="AU37" s="21">
        <f>EXP(-LN(2)/35)*AU36+(1-EXP(-LN(2)/35))/(LN(2)/35)*AQ37*AR37*VLOOKUP('Données projet'!$B$10,Paramètres!$A$1:$I$89,3,0)*0.475*44/12</f>
        <v>2.7844322606784861</v>
      </c>
      <c r="AV37" s="21">
        <f>EXP(-LN(2)/25)*AV36+(1-EXP(-LN(2)/25))/(LN(2)/25)*Calculateur!AQ37*Calculateur!AS37*VLOOKUP('Données projet'!$B$10,Paramètres!$A$1:$I$89,3,0)*0.475*44/12</f>
        <v>28.650710736090137</v>
      </c>
      <c r="AW37" s="21">
        <f>EXP(-LN(2)/2)*AW36+(1-EXP(-LN(2)/2))/(LN(2)/2)*AQ37*AT37*VLOOKUP('Données projet'!$B$10,Paramètres!$A$1:$I$89,3,0)*0.475*44/12</f>
        <v>12.426308288359047</v>
      </c>
      <c r="AX37" s="21">
        <f t="shared" si="6"/>
        <v>43.861451285127671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18.8</v>
      </c>
      <c r="BD37" s="12">
        <f>IF('Données projet'!$A$88&gt;35,BD36+BC37-BL36,IF(A37&lt;'Données projet'!$A$88,$BA$205^A37,IF(A37='Données projet'!$A$88,'Données projet'!$B$88,BD36+BC37-BL36)))</f>
        <v>277.20000000000005</v>
      </c>
      <c r="BE37" s="13">
        <f>BD37*VLOOKUP('Données projet'!$B$11,Paramètres!$A$1:$I$89,3,0)*VLOOKUP('Données projet'!$B$11,Paramètres!$A$1:$I$89,5,0)</f>
        <v>165.76560000000003</v>
      </c>
      <c r="BF37" s="13">
        <f t="shared" si="37"/>
        <v>42.140271125684265</v>
      </c>
      <c r="BG37" s="20">
        <f t="shared" si="7"/>
        <v>362.10272554390014</v>
      </c>
      <c r="BH37" s="59">
        <f t="shared" si="8"/>
        <v>655.43605887723345</v>
      </c>
      <c r="BI37" s="59">
        <f ca="1">AVERAGE(OFFSET($BH$3,0,0,'Données projet'!$E$11+1,1))-AVERAGE(OFFSET($H$3,0,0,'Données projet'!$E$11+1,1))</f>
        <v>279.69031306919914</v>
      </c>
      <c r="BJ37" s="59">
        <f t="shared" si="38"/>
        <v>297.01680128882509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20.463568772247555</v>
      </c>
      <c r="BR37" s="21">
        <f>EXP(-LN(2)/2)*BR36+(1-EXP(-LN(2)/2))/(LN(2)/2)*BL37*BO37*VLOOKUP('Données projet'!$B$11,Paramètres!$A$1:$I$89,3,0)*0.475*44/12</f>
        <v>4.1300512958809206</v>
      </c>
      <c r="BS37" s="22">
        <f t="shared" si="9"/>
        <v>24.593620068128477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>
        <f>VLOOKUP(A37,'Données projet'!$A$113:$I$133,2,0)</f>
        <v>118</v>
      </c>
      <c r="BW37" s="12">
        <f>VLOOKUP(A37,'Données projet'!$A$113:$I$133,9,0)</f>
        <v>6</v>
      </c>
      <c r="BX37" s="12">
        <f t="array" ref="BX37">INDEX(BW:BW,MIN(IF(ISNUMBER(BW37:BW233),ROW(BW37:BW233),"")))</f>
        <v>6</v>
      </c>
      <c r="BY37" s="12">
        <f>IF('Données projet'!$A$114&gt;35,BY36+BX37-CG36,IF(A37&lt;'Données projet'!$A$114,$BV$205^A37,IF(A37='Données projet'!$A$114,'Données projet'!$B$114,BY36+BX37-CG36)))</f>
        <v>118</v>
      </c>
      <c r="BZ37" s="13">
        <f>BY37*VLOOKUP('Données projet'!$B$12,Paramètres!$A$1:$I$89,3,0)*VLOOKUP('Données projet'!$B$12,Paramètres!$A$1:$I$89,5,0)</f>
        <v>70.564000000000007</v>
      </c>
      <c r="CA37" s="13">
        <f t="shared" si="39"/>
        <v>19.813453167086163</v>
      </c>
      <c r="CB37" s="20">
        <f t="shared" si="10"/>
        <v>157.40739759934175</v>
      </c>
      <c r="CC37" s="59">
        <f t="shared" si="11"/>
        <v>450.74073093267509</v>
      </c>
      <c r="CD37" s="59">
        <f ca="1">AVERAGE(OFFSET($CC$3,0,0,'Données projet'!$E$12+1,1))-AVERAGE(OFFSET($H$3,0,0,'Données projet'!$E$12+1,1))</f>
        <v>81.299024916151723</v>
      </c>
      <c r="CE37" s="59">
        <f t="shared" si="40"/>
        <v>88.106373324240167</v>
      </c>
      <c r="CF37" s="15">
        <f>IF(ISNA(VLOOKUP(A37,'Données projet'!$A$113:$I$133,3,0)),0,VLOOKUP(A37,'Données projet'!$A$113:$I$133,3,0))</f>
        <v>6</v>
      </c>
      <c r="CG37" s="15">
        <f>IF(ISNA(VLOOKUP(A37,'Données projet'!$A$113:$I$133,4,0)),0,VLOOKUP(A37,'Données projet'!$A$113:$I$133,4,0))</f>
        <v>25</v>
      </c>
      <c r="CH37" s="16">
        <f>IF(ISNA(VLOOKUP(A37,'Données projet'!$A$113:$I$133,5,0)),0%,VLOOKUP(A37,'Données projet'!$A$113:$I$133,5,0)*VLOOKUP('Données projet'!$B$12,Paramètres!$A$1:$I$89,7,0))</f>
        <v>9.0000000000000011E-2</v>
      </c>
      <c r="CI37" s="16">
        <f>IF(ISNA(VLOOKUP(A37,'Données projet'!$A$113:$I$133,6,0)),0%,VLOOKUP(A37,'Données projet'!$A$113:$I$133,6,0)*VLOOKUP('Données projet'!$B$12,Paramètres!$A$1:$I$89,7,0))</f>
        <v>0.18000000000000002</v>
      </c>
      <c r="CJ37" s="16">
        <f>IF(ISNA(VLOOKUP(A37,'Données projet'!$A$113:$I$133,7,0)),0%,VLOOKUP(A37,'Données projet'!$A$113:$I$133,7,0))</f>
        <v>0.4</v>
      </c>
      <c r="CK37" s="21">
        <f>EXP(-LN(2)/35)*CK36+(1-EXP(-LN(2)/35))/(LN(2)/35)*CG37*CH37*VLOOKUP('Données projet'!$B$12,Paramètres!$A$1:$I$89,3,0)*0.475*44/12</f>
        <v>1.7848924747939015</v>
      </c>
      <c r="CL37" s="21">
        <f>EXP(-LN(2)/25)*CL36+(1-EXP(-LN(2)/25))/(LN(2)/25)*Calculateur!CG37*Calculateur!CI37*VLOOKUP('Données projet'!$B$12,Paramètres!$A$1:$I$89,3,0)*0.475*44/12</f>
        <v>9.0860026414488058</v>
      </c>
      <c r="CM37" s="21">
        <f>EXP(-LN(2)/2)*CM36+(1-EXP(-LN(2)/2))/(LN(2)/2)*CG37*CJ37*VLOOKUP('Données projet'!$B$12,Paramètres!$A$1:$I$89,3,0)*0.475*44/12</f>
        <v>7.3251042249809428</v>
      </c>
      <c r="CN37" s="22">
        <f t="shared" si="12"/>
        <v>18.195999341223651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28.4</v>
      </c>
      <c r="CT37" s="12">
        <f>IF('Données projet'!$A$140&gt;35,CT36+CS37-DB36,IF(A37&lt;'Données projet'!$A$140,$CQ$205^A37,IF(A37='Données projet'!$A$140,'Données projet'!$B$140,CT36+CS37-DB36)))</f>
        <v>547.59999999999991</v>
      </c>
      <c r="CU37" s="17">
        <f>CT37*VLOOKUP('Données projet'!$B$13,Paramètres!$A$1:$I$89,3,0)*VLOOKUP('Données projet'!$B$13,Paramètres!$A$1:$I$89,5,0)</f>
        <v>306.10839999999996</v>
      </c>
      <c r="CV37" s="13">
        <f t="shared" si="41"/>
        <v>72.455512621968097</v>
      </c>
      <c r="CW37" s="20">
        <f t="shared" si="13"/>
        <v>659.33214781659433</v>
      </c>
      <c r="CX37" s="59">
        <f t="shared" si="14"/>
        <v>952.6654811499277</v>
      </c>
      <c r="CY37" s="59">
        <f ca="1">AVERAGE(OFFSET($CX$3,0,0,'Données projet'!$E$13+1,1))-AVERAGE(OFFSET($H$3,0,0,'Données projet'!$E$13+1,1))</f>
        <v>475.42482703895411</v>
      </c>
      <c r="CZ37" s="59">
        <f t="shared" si="42"/>
        <v>593.51433014569966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6.7822209000945088</v>
      </c>
      <c r="DG37" s="21">
        <f>EXP(-LN(2)/25)*DG36+(1-EXP(-LN(2)/25))/(LN(2)/25)*Calculateur!DB37*Calculateur!DD37*VLOOKUP('Données projet'!$B$13,Paramètres!$A$1:$I$89,3,0)*0.475*44/12</f>
        <v>31.594196051386231</v>
      </c>
      <c r="DH37" s="21">
        <f>EXP(-LN(2)/2)*DH36+(1-EXP(-LN(2)/2))/(LN(2)/2)*DB37*DE37*VLOOKUP('Données projet'!$B$13,Paramètres!$A$1:$I$89,3,0)*0.475*44/12</f>
        <v>6.4526197856122369</v>
      </c>
      <c r="DI37" s="22">
        <f t="shared" si="15"/>
        <v>44.829036737092977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4</v>
      </c>
      <c r="DO37" s="12">
        <f>IF('Données projet'!$A$166&gt;35,DO36+DN37-DW36,IF(A37&lt;'Données projet'!$A$166,$DL$205^A37,IF(A37='Données projet'!$A$166,'Données projet'!$B$166,DO36+DN37-DW36)))</f>
        <v>136</v>
      </c>
      <c r="DP37" s="17">
        <f>DO37*VLOOKUP('Données projet'!$B$14,Paramètres!$A$1:$I$89,3,0)*VLOOKUP('Données projet'!$B$14,Paramètres!$A$1:$I$89,5,0)</f>
        <v>123.05279999999999</v>
      </c>
      <c r="DQ37" s="13">
        <f t="shared" si="43"/>
        <v>32.385970393750824</v>
      </c>
      <c r="DR37" s="20">
        <f t="shared" si="16"/>
        <v>270.72252510244931</v>
      </c>
      <c r="DS37" s="59">
        <f t="shared" si="17"/>
        <v>564.05585843578262</v>
      </c>
      <c r="DT37" s="59">
        <f ca="1">AVERAGE(OFFSET($DS$3,0,0,'Données projet'!$E$14+1,1))-AVERAGE(OFFSET($H$3,0,0,'Données projet'!$E$14+1,1))</f>
        <v>401.17301323870578</v>
      </c>
      <c r="DU37" s="59">
        <f t="shared" si="44"/>
        <v>201.57993789149754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7.3</v>
      </c>
      <c r="EJ37" s="12">
        <f>IF('Données projet'!$A$192&gt;35,EJ36+EI37-ER36,IF(A37&lt;'Données projet'!$A$192,$EG$205^A37,IF(A37='Données projet'!$A$192,'Données projet'!$B$192,EJ36+EI37-ER36)))</f>
        <v>169.20000000000005</v>
      </c>
      <c r="EK37" s="17">
        <f>EJ37*VLOOKUP('Données projet'!$B$15,Paramètres!$A$1:$I$89,3,0)*VLOOKUP('Données projet'!$B$15,Paramètres!$A$1:$I$89,5,0)</f>
        <v>147.81312000000005</v>
      </c>
      <c r="EL37" s="13">
        <f t="shared" si="45"/>
        <v>38.081185298782486</v>
      </c>
      <c r="EM37" s="20">
        <f t="shared" si="19"/>
        <v>323.76591506204625</v>
      </c>
      <c r="EN37" s="59">
        <f t="shared" si="20"/>
        <v>617.09924839537962</v>
      </c>
      <c r="EO37" s="59">
        <f ca="1">AVERAGE(OFFSET($EN$3,0,0,'Données projet'!$E$15+1,1))-AVERAGE(OFFSET($H$3,0,0,'Données projet'!$E$15+1,1))</f>
        <v>237.8483058552178</v>
      </c>
      <c r="EP37" s="59">
        <f t="shared" si="46"/>
        <v>313.36201272119723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15.2</v>
      </c>
      <c r="FE37" s="12">
        <f>IF('Données projet'!$A$218&gt;35,FE36+FD37-FM36,IF(A37&lt;'Données projet'!$A$218,$FB$205^A37,IF(A37='Données projet'!$A$218,'Données projet'!$B$218,FE36+FD37-FM36)))</f>
        <v>223.8</v>
      </c>
      <c r="FF37" s="17">
        <f>FE37*VLOOKUP('Données projet'!$B$16,Paramètres!$A$1:$I$89,3,0)*VLOOKUP('Données projet'!$B$16,Paramètres!$A$1:$I$89,5,0)</f>
        <v>174.56400000000002</v>
      </c>
      <c r="FG37" s="13">
        <f t="shared" si="47"/>
        <v>44.110626333127961</v>
      </c>
      <c r="FH37" s="20">
        <f t="shared" si="22"/>
        <v>380.85830753019786</v>
      </c>
      <c r="FI37" s="59">
        <f t="shared" si="23"/>
        <v>674.19164086353112</v>
      </c>
      <c r="FJ37" s="59">
        <f ca="1">AVERAGE(OFFSET($FI$3,0,0,'Données projet'!$E$16+1,1))-AVERAGE(OFFSET($H$3,0,0,'Données projet'!$E$16+1,1))</f>
        <v>318.52984981739411</v>
      </c>
      <c r="FK37" s="59">
        <f t="shared" si="48"/>
        <v>311.56398336941714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15.2</v>
      </c>
      <c r="FZ37" s="12">
        <f>IF('Données projet'!$A$244&gt;35,FZ36+FY37-GH36,IF(A37&lt;'Données projet'!$A$244,$FW$205^A37,IF(A37='Données projet'!$A$244,'Données projet'!$B$244,FZ36+FY37-GH36)))</f>
        <v>223.8</v>
      </c>
      <c r="GA37" s="17">
        <f>FZ37*VLOOKUP('Données projet'!$B$17,Paramètres!$A$1:$I$89,3,0)*VLOOKUP('Données projet'!$B$17,Paramètres!$A$1:$I$89,5,0)</f>
        <v>178.05528000000001</v>
      </c>
      <c r="GB37" s="13">
        <f t="shared" si="49"/>
        <v>44.889248639558041</v>
      </c>
      <c r="GC37" s="20">
        <f t="shared" si="25"/>
        <v>388.29505404723028</v>
      </c>
      <c r="GD37" s="59">
        <f t="shared" si="26"/>
        <v>681.62838738056359</v>
      </c>
      <c r="GE37" s="59">
        <f ca="1">AVERAGE(OFFSET($GD$3,0,0,'Données projet'!$E$17+1,1))-AVERAGE(OFFSET($H$3,0,0,'Données projet'!$E$17+1,1))</f>
        <v>325.72928944930294</v>
      </c>
      <c r="GF37" s="59">
        <f t="shared" si="50"/>
        <v>318.38876834819752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15.2</v>
      </c>
      <c r="GU37" s="12">
        <f>IF('Données projet'!$A$270&gt;35,GU36+GT37-HC36,IF(A37&lt;'Données projet'!$A$270,$GR$205^A37,IF(A37='Données projet'!$A$270,'Données projet'!$B$270,GU36+GT37-HC36)))</f>
        <v>223.8</v>
      </c>
      <c r="GV37" s="17">
        <f>GU37*VLOOKUP('Données projet'!$B$18,Paramètres!$A$1:$I$89,3,0)*VLOOKUP('Données projet'!$B$18,Paramètres!$A$1:$I$89,5,0)</f>
        <v>150.12504000000001</v>
      </c>
      <c r="GW37" s="13">
        <f t="shared" si="51"/>
        <v>38.607000031363413</v>
      </c>
      <c r="GX37" s="20">
        <f t="shared" si="28"/>
        <v>328.70830305462459</v>
      </c>
      <c r="GY37" s="59">
        <f t="shared" si="29"/>
        <v>622.04163638795785</v>
      </c>
      <c r="GZ37" s="59">
        <f ca="1">AVERAGE(OFFSET($GY$3,0,0,'Données projet'!$E$18+1,1))-AVERAGE(OFFSET($H$3,0,0,'Données projet'!$E$18+1,1))</f>
        <v>268.04554291387961</v>
      </c>
      <c r="HA37" s="59">
        <f t="shared" si="52"/>
        <v>263.70463099437148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0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108</v>
      </c>
      <c r="L38" s="12">
        <f>VLOOKUP(A38,'Données projet'!$A$35:$I$55,9,0)</f>
        <v>6.8</v>
      </c>
      <c r="M38" s="12">
        <f t="array" ref="M38">INDEX(L:L,MIN(IF(ISNUMBER(L38:L234),ROW(L38:L234),"")))</f>
        <v>6.8</v>
      </c>
      <c r="N38" s="13">
        <f>IF('Données projet'!$A$36&gt;35,N37+M38-V37,IF(A38&lt;'Données projet'!$A$36,$K$205^A38,IF(A38='Données projet'!$A$36,'Données projet'!$B$36,N37+M38-V37)))</f>
        <v>107.99999999999999</v>
      </c>
      <c r="O38" s="13">
        <f>N38*VLOOKUP('Données projet'!$B$9,Paramètres!$A$1:$I$89,3,0)*VLOOKUP('Données projet'!$B$9,Paramètres!$A$1:$I$89,5,0)</f>
        <v>47.735999999999997</v>
      </c>
      <c r="P38" s="13">
        <f t="shared" si="33"/>
        <v>14.027504361700418</v>
      </c>
      <c r="Q38" s="20">
        <f t="shared" si="53"/>
        <v>107.5714367632949</v>
      </c>
      <c r="R38" s="59">
        <f t="shared" si="0"/>
        <v>400.90477009662823</v>
      </c>
      <c r="S38" s="59">
        <f ca="1">AVERAGE(OFFSET($R$3,0,0,'Données projet'!$E$9+1,1))-AVERAGE(OFFSET($H$3,0,0,'Données projet'!$E$9+1,1))</f>
        <v>46.095319339746538</v>
      </c>
      <c r="T38" s="59">
        <f t="shared" si="34"/>
        <v>48.158174304064403</v>
      </c>
      <c r="U38" s="15">
        <f>IF(ISNA(VLOOKUP(A38,'Données projet'!$A$35:$I$55,3,0)),0,VLOOKUP(A38,'Données projet'!$A$35:$I$55,3,0))</f>
        <v>2</v>
      </c>
      <c r="V38" s="15">
        <f>IF(ISNA(VLOOKUP(A38,'Données projet'!$A$35:$I$55,4,0)),0,VLOOKUP(A38,'Données projet'!$A$35:$I$55,4,0))</f>
        <v>18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0.27</v>
      </c>
      <c r="Y38" s="16">
        <f>IF(ISNA(VLOOKUP(A38,'Données projet'!$A$35:$I$55,7,0)),0%,VLOOKUP(A38,'Données projet'!$A$35:$I$55,7,0))</f>
        <v>0.4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4.4857131799738692</v>
      </c>
      <c r="AB38" s="21">
        <f>EXP(-LN(2)/2)*AB37+(1-EXP(-LN(2)/2))/(LN(2)/2)*V38*Y38*VLOOKUP('Données projet'!$B$9,Paramètres!$A$1:$I$89,3,0)*0.475*44/12</f>
        <v>4.0278591490958862</v>
      </c>
      <c r="AC38" s="22">
        <f t="shared" si="3"/>
        <v>8.5135723290697563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21.333333333333332</v>
      </c>
      <c r="AI38" s="13">
        <f>IF('Données projet'!$A$62&gt;35,AI37+AH38-AQ37,IF(A38&lt;'Données projet'!$A$62,$AF$205^A38,IF(A38='Données projet'!$A$62,'Données projet'!$B$62,AI37+AH38-AQ37)))</f>
        <v>430.3333333333332</v>
      </c>
      <c r="AJ38" s="13">
        <f>AI38*VLOOKUP('Données projet'!$B$10,Paramètres!$A$1:$I$89,3,0)*VLOOKUP('Données projet'!$B$10,Paramètres!$A$1:$I$89,5,0)</f>
        <v>257.33933333333329</v>
      </c>
      <c r="AK38" s="13">
        <f t="shared" si="35"/>
        <v>62.154892268288449</v>
      </c>
      <c r="AL38" s="20">
        <f t="shared" si="4"/>
        <v>556.45244292282439</v>
      </c>
      <c r="AM38" s="59">
        <f t="shared" si="5"/>
        <v>849.78577625615776</v>
      </c>
      <c r="AN38" s="59">
        <f ca="1">AVERAGE(OFFSET($AM$3,0,0,'Données projet'!$E$10+1,1))-AVERAGE(OFFSET($H$3,0,0,'Données projet'!$E$10+1,1))</f>
        <v>408.84545509668794</v>
      </c>
      <c r="AO38" s="59">
        <f t="shared" si="36"/>
        <v>409.9253979841132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2.7298312423825633</v>
      </c>
      <c r="AV38" s="21">
        <f>EXP(-LN(2)/25)*AV37+(1-EXP(-LN(2)/25))/(LN(2)/25)*Calculateur!AQ38*Calculateur!AS38*VLOOKUP('Données projet'!$B$10,Paramètres!$A$1:$I$89,3,0)*0.475*44/12</f>
        <v>27.867255544336356</v>
      </c>
      <c r="AW38" s="21">
        <f>EXP(-LN(2)/2)*AW37+(1-EXP(-LN(2)/2))/(LN(2)/2)*AQ38*AT38*VLOOKUP('Données projet'!$B$10,Paramètres!$A$1:$I$89,3,0)*0.475*44/12</f>
        <v>8.7867268558132832</v>
      </c>
      <c r="AX38" s="21">
        <f t="shared" si="6"/>
        <v>39.383813642532203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296</v>
      </c>
      <c r="BB38" s="12">
        <f>VLOOKUP(A38,'Données projet'!$A$87:$I$107,9,0)</f>
        <v>18.8</v>
      </c>
      <c r="BC38" s="12">
        <f t="array" ref="BC38">INDEX(BB:BB,MIN(IF(ISNUMBER(BB38:BB234),ROW(BB38:BB234),"")))</f>
        <v>18.8</v>
      </c>
      <c r="BD38" s="12">
        <f>IF('Données projet'!$A$88&gt;35,BD37+BC38-BL37,IF(A38&lt;'Données projet'!$A$88,$BA$205^A38,IF(A38='Données projet'!$A$88,'Données projet'!$B$88,BD37+BC38-BL37)))</f>
        <v>296.00000000000006</v>
      </c>
      <c r="BE38" s="13">
        <f>BD38*VLOOKUP('Données projet'!$B$11,Paramètres!$A$1:$I$89,3,0)*VLOOKUP('Données projet'!$B$11,Paramètres!$A$1:$I$89,5,0)</f>
        <v>177.00800000000004</v>
      </c>
      <c r="BF38" s="13">
        <f t="shared" si="37"/>
        <v>44.65587329900309</v>
      </c>
      <c r="BG38" s="20">
        <f t="shared" si="7"/>
        <v>386.06457932909711</v>
      </c>
      <c r="BH38" s="59">
        <f t="shared" si="8"/>
        <v>679.39791266243037</v>
      </c>
      <c r="BI38" s="59">
        <f ca="1">AVERAGE(OFFSET($BH$3,0,0,'Données projet'!$E$11+1,1))-AVERAGE(OFFSET($H$3,0,0,'Données projet'!$E$11+1,1))</f>
        <v>279.69031306919914</v>
      </c>
      <c r="BJ38" s="59">
        <f t="shared" si="38"/>
        <v>297.01680128882509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52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0.27</v>
      </c>
      <c r="BO38" s="16">
        <f>IF(ISNA(VLOOKUP(A38,'Données projet'!$A$87:$I$107,7,0)),0%,VLOOKUP(A38,'Données projet'!$A$87:$I$107,7,0))</f>
        <v>0.4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30.997866967703441</v>
      </c>
      <c r="BR38" s="21">
        <f>EXP(-LN(2)/2)*BR37+(1-EXP(-LN(2)/2))/(LN(2)/2)*BL38*BO38*VLOOKUP('Données projet'!$B$11,Paramètres!$A$1:$I$89,3,0)*0.475*44/12</f>
        <v>17.003545487518878</v>
      </c>
      <c r="BS38" s="22">
        <f t="shared" si="9"/>
        <v>48.001412455222322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7.5</v>
      </c>
      <c r="BY38" s="12">
        <f>IF('Données projet'!$A$114&gt;35,BY37+BX38-CG37,IF(A38&lt;'Données projet'!$A$114,$BV$205^A38,IF(A38='Données projet'!$A$114,'Données projet'!$B$114,BY37+BX38-CG37)))</f>
        <v>100.5</v>
      </c>
      <c r="BZ38" s="13">
        <f>BY38*VLOOKUP('Données projet'!$B$12,Paramètres!$A$1:$I$89,3,0)*VLOOKUP('Données projet'!$B$12,Paramètres!$A$1:$I$89,5,0)</f>
        <v>60.099000000000004</v>
      </c>
      <c r="CA38" s="13">
        <f t="shared" si="39"/>
        <v>17.193296916435699</v>
      </c>
      <c r="CB38" s="20">
        <f t="shared" si="10"/>
        <v>134.61741712945886</v>
      </c>
      <c r="CC38" s="59">
        <f t="shared" si="11"/>
        <v>427.95075046279214</v>
      </c>
      <c r="CD38" s="59">
        <f ca="1">AVERAGE(OFFSET($CC$3,0,0,'Données projet'!$E$12+1,1))-AVERAGE(OFFSET($H$3,0,0,'Données projet'!$E$12+1,1))</f>
        <v>81.299024916151723</v>
      </c>
      <c r="CE38" s="59">
        <f t="shared" si="40"/>
        <v>88.106373324240167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1.7498918220401047</v>
      </c>
      <c r="CL38" s="21">
        <f>EXP(-LN(2)/25)*CL37+(1-EXP(-LN(2)/25))/(LN(2)/25)*Calculateur!CG38*Calculateur!CI38*VLOOKUP('Données projet'!$B$12,Paramètres!$A$1:$I$89,3,0)*0.475*44/12</f>
        <v>8.8375454214062756</v>
      </c>
      <c r="CM38" s="21">
        <f>EXP(-LN(2)/2)*CM37+(1-EXP(-LN(2)/2))/(LN(2)/2)*CG38*CJ38*VLOOKUP('Données projet'!$B$12,Paramètres!$A$1:$I$89,3,0)*0.475*44/12</f>
        <v>5.1796308703822547</v>
      </c>
      <c r="CN38" s="22">
        <f t="shared" si="12"/>
        <v>15.767068113828635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576</v>
      </c>
      <c r="CR38" s="12">
        <f>VLOOKUP(A38,'Données projet'!$A$139:$I$159,9,0)</f>
        <v>28.4</v>
      </c>
      <c r="CS38" s="12">
        <f t="array" ref="CS38">INDEX(CR:CR,MIN(IF(ISNUMBER(CR38:CR234),ROW(CR38:CR234),"")))</f>
        <v>28.4</v>
      </c>
      <c r="CT38" s="12">
        <f>IF('Données projet'!$A$140&gt;35,CT37+CS38-DB37,IF(A38&lt;'Données projet'!$A$140,$CQ$205^A38,IF(A38='Données projet'!$A$140,'Données projet'!$B$140,CT37+CS38-DB37)))</f>
        <v>575.99999999999989</v>
      </c>
      <c r="CU38" s="17">
        <f>CT38*VLOOKUP('Données projet'!$B$13,Paramètres!$A$1:$I$89,3,0)*VLOOKUP('Données projet'!$B$13,Paramètres!$A$1:$I$89,5,0)</f>
        <v>321.98399999999992</v>
      </c>
      <c r="CV38" s="13">
        <f t="shared" si="41"/>
        <v>75.76601483154208</v>
      </c>
      <c r="CW38" s="20">
        <f t="shared" si="13"/>
        <v>692.74794249826891</v>
      </c>
      <c r="CX38" s="59">
        <f t="shared" si="14"/>
        <v>986.08127583160217</v>
      </c>
      <c r="CY38" s="59">
        <f ca="1">AVERAGE(OFFSET($CX$3,0,0,'Données projet'!$E$13+1,1))-AVERAGE(OFFSET($H$3,0,0,'Données projet'!$E$13+1,1))</f>
        <v>475.42482703895411</v>
      </c>
      <c r="CZ38" s="59">
        <f t="shared" si="42"/>
        <v>593.51433014569966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72</v>
      </c>
      <c r="DC38" s="16">
        <f>IF(ISNA(VLOOKUP(A38,'Données projet'!$A$139:$I$159,5,0)),0%,VLOOKUP(A38,'Données projet'!$A$139:$I$159,5,0)*VLOOKUP('Données projet'!$B$13,Paramètres!$A$1:$I$89,7,0))</f>
        <v>0.22000000000000003</v>
      </c>
      <c r="DD38" s="16">
        <f>IF(ISNA(VLOOKUP(A38,'Données projet'!$A$139:$I$159,6,0)),0%,VLOOKUP(A38,'Données projet'!$A$139:$I$159,6,0)*VLOOKUP('Données projet'!$B$13,Paramètres!$A$1:$I$89,7,0))</f>
        <v>0.16500000000000001</v>
      </c>
      <c r="DE38" s="16">
        <f>IF(ISNA(VLOOKUP(A38,'Données projet'!$A$139:$I$159,7,0)),0%,VLOOKUP(A38,'Données projet'!$A$139:$I$159,7,0))</f>
        <v>0.3</v>
      </c>
      <c r="DF38" s="21">
        <f>EXP(-LN(2)/35)*DF37+(1-EXP(-LN(2)/35))/(LN(2)/35)*DB38*DC38*VLOOKUP('Données projet'!$B$13,Paramètres!$A$1:$I$89,3,0)*0.475*44/12</f>
        <v>18.395370249546673</v>
      </c>
      <c r="DG38" s="21">
        <f>EXP(-LN(2)/25)*DG37+(1-EXP(-LN(2)/25))/(LN(2)/25)*Calculateur!DB38*Calculateur!DD38*VLOOKUP('Données projet'!$B$13,Paramètres!$A$1:$I$89,3,0)*0.475*44/12</f>
        <v>39.505172737225095</v>
      </c>
      <c r="DH38" s="21">
        <f>EXP(-LN(2)/2)*DH37+(1-EXP(-LN(2)/2))/(LN(2)/2)*DB38*DE38*VLOOKUP('Données projet'!$B$13,Paramètres!$A$1:$I$89,3,0)*0.475*44/12</f>
        <v>18.233716860078459</v>
      </c>
      <c r="DI38" s="22">
        <f t="shared" si="15"/>
        <v>76.134259846850227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4</v>
      </c>
      <c r="DO38" s="12">
        <f>IF('Données projet'!$A$166&gt;35,DO37+DN38-DW37,IF(A38&lt;'Données projet'!$A$166,$DL$205^A38,IF(A38='Données projet'!$A$166,'Données projet'!$B$166,DO37+DN38-DW37)))</f>
        <v>140</v>
      </c>
      <c r="DP38" s="17">
        <f>DO38*VLOOKUP('Données projet'!$B$14,Paramètres!$A$1:$I$89,3,0)*VLOOKUP('Données projet'!$B$14,Paramètres!$A$1:$I$89,5,0)</f>
        <v>126.67199999999998</v>
      </c>
      <c r="DQ38" s="13">
        <f t="shared" si="43"/>
        <v>33.226199426361347</v>
      </c>
      <c r="DR38" s="20">
        <f t="shared" si="16"/>
        <v>278.48936400091264</v>
      </c>
      <c r="DS38" s="59">
        <f t="shared" si="17"/>
        <v>571.82269733424596</v>
      </c>
      <c r="DT38" s="59">
        <f ca="1">AVERAGE(OFFSET($DS$3,0,0,'Données projet'!$E$14+1,1))-AVERAGE(OFFSET($H$3,0,0,'Données projet'!$E$14+1,1))</f>
        <v>401.17301323870578</v>
      </c>
      <c r="DU38" s="59">
        <f t="shared" si="44"/>
        <v>201.57993789149754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7.3</v>
      </c>
      <c r="EJ38" s="12">
        <f>IF('Données projet'!$A$192&gt;35,EJ37+EI38-ER37,IF(A38&lt;'Données projet'!$A$192,$EG$205^A38,IF(A38='Données projet'!$A$192,'Données projet'!$B$192,EJ37+EI38-ER37)))</f>
        <v>176.50000000000006</v>
      </c>
      <c r="EK38" s="17">
        <f>EJ38*VLOOKUP('Données projet'!$B$15,Paramètres!$A$1:$I$89,3,0)*VLOOKUP('Données projet'!$B$15,Paramètres!$A$1:$I$89,5,0)</f>
        <v>154.19040000000007</v>
      </c>
      <c r="EL38" s="13">
        <f t="shared" si="45"/>
        <v>39.529336625598283</v>
      </c>
      <c r="EM38" s="20">
        <f t="shared" si="19"/>
        <v>337.39520795625043</v>
      </c>
      <c r="EN38" s="59">
        <f t="shared" si="20"/>
        <v>630.72854128958375</v>
      </c>
      <c r="EO38" s="59">
        <f ca="1">AVERAGE(OFFSET($EN$3,0,0,'Données projet'!$E$15+1,1))-AVERAGE(OFFSET($H$3,0,0,'Données projet'!$E$15+1,1))</f>
        <v>237.8483058552178</v>
      </c>
      <c r="EP38" s="59">
        <f t="shared" si="46"/>
        <v>313.36201272119723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239</v>
      </c>
      <c r="FC38" s="12">
        <f>VLOOKUP(A38,'Données projet'!$A$217:$I$237,9,0)</f>
        <v>15.2</v>
      </c>
      <c r="FD38" s="12">
        <f t="array" ref="FD38">INDEX(FC:FC,MIN(IF(ISNUMBER(FC38:FC234),ROW(FC38:FC234),"")))</f>
        <v>15.2</v>
      </c>
      <c r="FE38" s="12">
        <f>IF('Données projet'!$A$218&gt;35,FE37+FD38-FM37,IF(A38&lt;'Données projet'!$A$218,$FB$205^A38,IF(A38='Données projet'!$A$218,'Données projet'!$B$218,FE37+FD38-FM37)))</f>
        <v>239</v>
      </c>
      <c r="FF38" s="17">
        <f>FE38*VLOOKUP('Données projet'!$B$16,Paramètres!$A$1:$I$89,3,0)*VLOOKUP('Données projet'!$B$16,Paramètres!$A$1:$I$89,5,0)</f>
        <v>186.42000000000002</v>
      </c>
      <c r="FG38" s="13">
        <f t="shared" si="47"/>
        <v>46.747591580384572</v>
      </c>
      <c r="FH38" s="20">
        <f t="shared" si="22"/>
        <v>406.10022200250313</v>
      </c>
      <c r="FI38" s="59">
        <f t="shared" si="23"/>
        <v>699.43355533583645</v>
      </c>
      <c r="FJ38" s="59">
        <f ca="1">AVERAGE(OFFSET($FI$3,0,0,'Données projet'!$E$16+1,1))-AVERAGE(OFFSET($H$3,0,0,'Données projet'!$E$16+1,1))</f>
        <v>318.52984981739411</v>
      </c>
      <c r="FK38" s="59">
        <f t="shared" si="48"/>
        <v>311.56398336941714</v>
      </c>
      <c r="FL38" s="15">
        <f>IF(ISNA(VLOOKUP(A38,'Données projet'!$A$217:$I$237,3,0)),0,VLOOKUP(A38,'Données projet'!$A$217:$I$237,3,0))</f>
        <v>6</v>
      </c>
      <c r="FM38" s="15">
        <f>IF(ISNA(VLOOKUP(A38,'Données projet'!$A$217:$I$237,4,0)),0,VLOOKUP(A38,'Données projet'!$A$217:$I$237,4,0))</f>
        <v>42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0.129</v>
      </c>
      <c r="FP38" s="16">
        <f>IF(ISNA(VLOOKUP(A38,'Données projet'!$A$217:$I$237,7,0)),0%,VLOOKUP(A38,'Données projet'!$A$217:$I$237,7,0))</f>
        <v>0.4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4.6533675354783401</v>
      </c>
      <c r="FS38" s="21">
        <f>EXP(-LN(2)/2)*FS37+(1-EXP(-LN(2)/2))/(LN(2)/2)*FM38*FP38*VLOOKUP('Données projet'!$B$16,Paramètres!$A$1:$I$89,3,0)*0.475*44/12</f>
        <v>12.363976688989007</v>
      </c>
      <c r="FT38" s="22">
        <f t="shared" si="24"/>
        <v>17.017344224467347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239</v>
      </c>
      <c r="FX38" s="12">
        <f>VLOOKUP(A38,'Données projet'!$A$243:$I$263,9,0)</f>
        <v>15.2</v>
      </c>
      <c r="FY38" s="12">
        <f t="array" ref="FY38">INDEX(FX:FX,MIN(IF(ISNUMBER(FX38:FX234),ROW(FX38:FX234),"")))</f>
        <v>15.2</v>
      </c>
      <c r="FZ38" s="12">
        <f>IF('Données projet'!$A$244&gt;35,FZ37+FY38-GH37,IF(A38&lt;'Données projet'!$A$244,$FW$205^A38,IF(A38='Données projet'!$A$244,'Données projet'!$B$244,FZ37+FY38-GH37)))</f>
        <v>239</v>
      </c>
      <c r="GA38" s="17">
        <f>FZ38*VLOOKUP('Données projet'!$B$17,Paramètres!$A$1:$I$89,3,0)*VLOOKUP('Données projet'!$B$17,Paramètres!$A$1:$I$89,5,0)</f>
        <v>190.14840000000001</v>
      </c>
      <c r="GB38" s="13">
        <f t="shared" si="49"/>
        <v>47.572760493232991</v>
      </c>
      <c r="GC38" s="20">
        <f t="shared" si="25"/>
        <v>414.03102119238082</v>
      </c>
      <c r="GD38" s="59">
        <f t="shared" si="26"/>
        <v>707.36435452571413</v>
      </c>
      <c r="GE38" s="59">
        <f ca="1">AVERAGE(OFFSET($GD$3,0,0,'Données projet'!$E$17+1,1))-AVERAGE(OFFSET($H$3,0,0,'Données projet'!$E$17+1,1))</f>
        <v>325.72928944930294</v>
      </c>
      <c r="GF38" s="59">
        <f t="shared" si="50"/>
        <v>318.38876834819752</v>
      </c>
      <c r="GG38" s="15">
        <f>IF(ISNA(VLOOKUP(A38,'Données projet'!$A$243:$I$263,3,0)),0,VLOOKUP(A38,'Données projet'!$A$243:$I$263,3,0))</f>
        <v>6</v>
      </c>
      <c r="GH38" s="15">
        <f>IF(ISNA(VLOOKUP(A38,'Données projet'!$A$243:$I$263,4,0)),0,VLOOKUP(A38,'Données projet'!$A$243:$I$263,4,0))</f>
        <v>42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0.159</v>
      </c>
      <c r="GK38" s="16">
        <f>IF(ISNA(VLOOKUP(A38,'Données projet'!$A$243:$I$263,7,0)),0%,VLOOKUP(A38,'Données projet'!$A$243:$I$263,7,0))</f>
        <v>0.4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5.8502569527432335</v>
      </c>
      <c r="GN38" s="21">
        <f>EXP(-LN(2)/2)*GN37+(1-EXP(-LN(2)/2))/(LN(2)/2)*GH38*GK38*VLOOKUP('Données projet'!$B$17,Paramètres!$A$1:$I$89,3,0)*0.475*44/12</f>
        <v>12.611256222768789</v>
      </c>
      <c r="GO38" s="21">
        <f t="shared" si="27"/>
        <v>18.461513175512025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projet'!$A$269:$I$289,2,0)</f>
        <v>239</v>
      </c>
      <c r="GS38" s="12">
        <f>VLOOKUP(A38,'Données projet'!$A$269:$I$289,9,0)</f>
        <v>15.2</v>
      </c>
      <c r="GT38" s="12">
        <f t="array" ref="GT38">INDEX(GS:GS,MIN(IF(ISNUMBER(GS38:GS234),ROW(GS38:GS234),"")))</f>
        <v>15.2</v>
      </c>
      <c r="GU38" s="12">
        <f>IF('Données projet'!$A$270&gt;35,GU37+GT38-HC37,IF(A38&lt;'Données projet'!$A$270,$GR$205^A38,IF(A38='Données projet'!$A$270,'Données projet'!$B$270,GU37+GT38-HC37)))</f>
        <v>239</v>
      </c>
      <c r="GV38" s="17">
        <f>GU38*VLOOKUP('Données projet'!$B$18,Paramètres!$A$1:$I$89,3,0)*VLOOKUP('Données projet'!$B$18,Paramètres!$A$1:$I$89,5,0)</f>
        <v>160.3212</v>
      </c>
      <c r="GW38" s="13">
        <f t="shared" si="51"/>
        <v>40.914954505069986</v>
      </c>
      <c r="GX38" s="20">
        <f t="shared" si="28"/>
        <v>350.48630242966351</v>
      </c>
      <c r="GY38" s="59">
        <f t="shared" si="29"/>
        <v>643.81963576299677</v>
      </c>
      <c r="GZ38" s="59">
        <f ca="1">AVERAGE(OFFSET($GY$3,0,0,'Données projet'!$E$18+1,1))-AVERAGE(OFFSET($H$3,0,0,'Données projet'!$E$18+1,1))</f>
        <v>268.04554291387961</v>
      </c>
      <c r="HA38" s="59">
        <f t="shared" si="52"/>
        <v>263.70463099437148</v>
      </c>
      <c r="HB38" s="15">
        <f>IF(ISNA(VLOOKUP(A38,'Données projet'!$A$269:$I$289,3,0)),0,VLOOKUP(A38,'Données projet'!$A$269:$I$289,3,0))</f>
        <v>6</v>
      </c>
      <c r="HC38" s="15">
        <f>IF(ISNA(VLOOKUP(A38,'Données projet'!$A$269:$I$289,4,0)),0,VLOOKUP(A38,'Données projet'!$A$269:$I$289,4,0))</f>
        <v>42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0.159</v>
      </c>
      <c r="HF38" s="16">
        <f>IF(ISNA(VLOOKUP(A38,'Données projet'!$A$269:$I$289,7,0)),0%,VLOOKUP(A38,'Données projet'!$A$269:$I$289,7,0))</f>
        <v>0.4</v>
      </c>
      <c r="HG38" s="21">
        <f>EXP(-LN(2)/35)*HG37+(1-EXP(-LN(2)/35))/(LN(2)/35)*HC38*HD38*VLOOKUP('Données projet'!$B$18,Paramètres!$A$1:$I$89,3,0)*0.475*44/12</f>
        <v>0</v>
      </c>
      <c r="HH38" s="21">
        <f>EXP(-LN(2)/25)*HH37+(1-EXP(-LN(2)/25))/(LN(2)/25)*Calculateur!HC38*Calculateur!HE38*VLOOKUP('Données projet'!$B$18,Paramètres!$A$1:$I$89,3,0)*0.475*44/12</f>
        <v>4.9325695876070403</v>
      </c>
      <c r="HI38" s="21">
        <f>EXP(-LN(2)/2)*HI37+(1-EXP(-LN(2)/2))/(LN(2)/2)*HC38*HF38*VLOOKUP('Données projet'!$B$18,Paramètres!$A$1:$I$89,3,0)*0.475*44/12</f>
        <v>10.633019952530548</v>
      </c>
      <c r="HJ38" s="22">
        <f t="shared" si="30"/>
        <v>15.565589540137587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8.1999999999999993</v>
      </c>
      <c r="N39" s="13">
        <f>IF('Données projet'!$A$36&gt;35,N38+M39-V38,IF(A39&lt;'Données projet'!$A$36,$K$205^A39,IF(A39='Données projet'!$A$36,'Données projet'!$B$36,N38+M39-V38)))</f>
        <v>98.199999999999989</v>
      </c>
      <c r="O39" s="13">
        <f>N39*VLOOKUP('Données projet'!$B$9,Paramètres!$A$1:$I$89,3,0)*VLOOKUP('Données projet'!$B$9,Paramètres!$A$1:$I$89,5,0)</f>
        <v>43.404400000000003</v>
      </c>
      <c r="P39" s="13">
        <f t="shared" si="33"/>
        <v>12.896649374097558</v>
      </c>
      <c r="Q39" s="20">
        <f t="shared" si="53"/>
        <v>98.057660993219926</v>
      </c>
      <c r="R39" s="59">
        <f t="shared" si="0"/>
        <v>391.39099432655325</v>
      </c>
      <c r="S39" s="59">
        <f ca="1">AVERAGE(OFFSET($R$3,0,0,'Données projet'!$E$9+1,1))-AVERAGE(OFFSET($H$3,0,0,'Données projet'!$E$9+1,1))</f>
        <v>46.095319339746538</v>
      </c>
      <c r="T39" s="59">
        <f t="shared" si="34"/>
        <v>48.158174304064403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4.3630511171740798</v>
      </c>
      <c r="AB39" s="21">
        <f>EXP(-LN(2)/2)*AB38+(1-EXP(-LN(2)/2))/(LN(2)/2)*V39*Y39*VLOOKUP('Données projet'!$B$9,Paramètres!$A$1:$I$89,3,0)*0.475*44/12</f>
        <v>2.8481265179899786</v>
      </c>
      <c r="AC39" s="22">
        <f t="shared" si="3"/>
        <v>7.2111776351640584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21.333333333333332</v>
      </c>
      <c r="AI39" s="13">
        <f>IF('Données projet'!$A$62&gt;35,AI38+AH39-AQ38,IF(A39&lt;'Données projet'!$A$62,$AF$205^A39,IF(A39='Données projet'!$A$62,'Données projet'!$B$62,AI38+AH39-AQ38)))</f>
        <v>451.66666666666652</v>
      </c>
      <c r="AJ39" s="13">
        <f>AI39*VLOOKUP('Données projet'!$B$10,Paramètres!$A$1:$I$89,3,0)*VLOOKUP('Données projet'!$B$10,Paramètres!$A$1:$I$89,5,0)</f>
        <v>270.09666666666658</v>
      </c>
      <c r="AK39" s="13">
        <f t="shared" si="35"/>
        <v>64.869783966791246</v>
      </c>
      <c r="AL39" s="20">
        <f t="shared" si="4"/>
        <v>583.39990151993914</v>
      </c>
      <c r="AM39" s="59">
        <f t="shared" si="5"/>
        <v>876.73323485327251</v>
      </c>
      <c r="AN39" s="59">
        <f ca="1">AVERAGE(OFFSET($AM$3,0,0,'Données projet'!$E$10+1,1))-AVERAGE(OFFSET($H$3,0,0,'Données projet'!$E$10+1,1))</f>
        <v>408.84545509668794</v>
      </c>
      <c r="AO39" s="59">
        <f t="shared" si="36"/>
        <v>409.9253979841132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2.6763009167520906</v>
      </c>
      <c r="AV39" s="21">
        <f>EXP(-LN(2)/25)*AV38+(1-EXP(-LN(2)/25))/(LN(2)/25)*Calculateur!AQ39*Calculateur!AS39*VLOOKUP('Données projet'!$B$10,Paramètres!$A$1:$I$89,3,0)*0.475*44/12</f>
        <v>27.105223976001202</v>
      </c>
      <c r="AW39" s="21">
        <f>EXP(-LN(2)/2)*AW38+(1-EXP(-LN(2)/2))/(LN(2)/2)*AQ39*AT39*VLOOKUP('Données projet'!$B$10,Paramètres!$A$1:$I$89,3,0)*0.475*44/12</f>
        <v>6.2131541441795246</v>
      </c>
      <c r="AX39" s="21">
        <f t="shared" si="6"/>
        <v>35.994679036932816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17.600000000000001</v>
      </c>
      <c r="BD39" s="12">
        <f>IF('Données projet'!$A$88&gt;35,BD38+BC39-BL38,IF(A39&lt;'Données projet'!$A$88,$BA$205^A39,IF(A39='Données projet'!$A$88,'Données projet'!$B$88,BD38+BC39-BL38)))</f>
        <v>261.60000000000008</v>
      </c>
      <c r="BE39" s="13">
        <f>BD39*VLOOKUP('Données projet'!$B$11,Paramètres!$A$1:$I$89,3,0)*VLOOKUP('Données projet'!$B$11,Paramètres!$A$1:$I$89,5,0)</f>
        <v>156.43680000000006</v>
      </c>
      <c r="BF39" s="13">
        <f t="shared" si="37"/>
        <v>40.037775291207829</v>
      </c>
      <c r="BG39" s="20">
        <f t="shared" si="7"/>
        <v>342.1932186321871</v>
      </c>
      <c r="BH39" s="59">
        <f t="shared" si="8"/>
        <v>635.52655196552041</v>
      </c>
      <c r="BI39" s="59">
        <f ca="1">AVERAGE(OFFSET($BH$3,0,0,'Données projet'!$E$11+1,1))-AVERAGE(OFFSET($H$3,0,0,'Données projet'!$E$11+1,1))</f>
        <v>279.69031306919914</v>
      </c>
      <c r="BJ39" s="59">
        <f t="shared" si="38"/>
        <v>297.01680128882509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30.150228665364612</v>
      </c>
      <c r="BR39" s="21">
        <f>EXP(-LN(2)/2)*BR38+(1-EXP(-LN(2)/2))/(LN(2)/2)*BL39*BO39*VLOOKUP('Données projet'!$B$11,Paramètres!$A$1:$I$89,3,0)*0.475*44/12</f>
        <v>12.023322318438519</v>
      </c>
      <c r="BS39" s="22">
        <f t="shared" si="9"/>
        <v>42.173550983803132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7.5</v>
      </c>
      <c r="BY39" s="12">
        <f>IF('Données projet'!$A$114&gt;35,BY38+BX39-CG38,IF(A39&lt;'Données projet'!$A$114,$BV$205^A39,IF(A39='Données projet'!$A$114,'Données projet'!$B$114,BY38+BX39-CG38)))</f>
        <v>108</v>
      </c>
      <c r="BZ39" s="13">
        <f>BY39*VLOOKUP('Données projet'!$B$12,Paramètres!$A$1:$I$89,3,0)*VLOOKUP('Données projet'!$B$12,Paramètres!$A$1:$I$89,5,0)</f>
        <v>64.584000000000003</v>
      </c>
      <c r="CA39" s="13">
        <f t="shared" si="39"/>
        <v>18.322235519392734</v>
      </c>
      <c r="CB39" s="20">
        <f t="shared" si="10"/>
        <v>144.39502686294233</v>
      </c>
      <c r="CC39" s="59">
        <f t="shared" si="11"/>
        <v>437.72836019627562</v>
      </c>
      <c r="CD39" s="59">
        <f ca="1">AVERAGE(OFFSET($CC$3,0,0,'Données projet'!$E$12+1,1))-AVERAGE(OFFSET($H$3,0,0,'Données projet'!$E$12+1,1))</f>
        <v>81.299024916151723</v>
      </c>
      <c r="CE39" s="59">
        <f t="shared" si="40"/>
        <v>88.106373324240167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1.7155775107385198</v>
      </c>
      <c r="CL39" s="21">
        <f>EXP(-LN(2)/25)*CL38+(1-EXP(-LN(2)/25))/(LN(2)/25)*Calculateur!CG39*Calculateur!CI39*VLOOKUP('Données projet'!$B$12,Paramètres!$A$1:$I$89,3,0)*0.475*44/12</f>
        <v>8.5958822771116061</v>
      </c>
      <c r="CM39" s="21">
        <f>EXP(-LN(2)/2)*CM38+(1-EXP(-LN(2)/2))/(LN(2)/2)*CG39*CJ39*VLOOKUP('Données projet'!$B$12,Paramètres!$A$1:$I$89,3,0)*0.475*44/12</f>
        <v>3.6625521124904719</v>
      </c>
      <c r="CN39" s="22">
        <f t="shared" si="12"/>
        <v>13.974011900340598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27</v>
      </c>
      <c r="CT39" s="12">
        <f>IF('Données projet'!$A$140&gt;35,CT38+CS39-DB38,IF(A39&lt;'Données projet'!$A$140,$CQ$205^A39,IF(A39='Données projet'!$A$140,'Données projet'!$B$140,CT38+CS39-DB38)))</f>
        <v>530.99999999999989</v>
      </c>
      <c r="CU39" s="17">
        <f>CT39*VLOOKUP('Données projet'!$B$13,Paramètres!$A$1:$I$89,3,0)*VLOOKUP('Données projet'!$B$13,Paramètres!$A$1:$I$89,5,0)</f>
        <v>296.82899999999995</v>
      </c>
      <c r="CV39" s="13">
        <f t="shared" si="41"/>
        <v>70.511289513454344</v>
      </c>
      <c r="CW39" s="20">
        <f t="shared" si="13"/>
        <v>639.78433756926631</v>
      </c>
      <c r="CX39" s="59">
        <f t="shared" si="14"/>
        <v>933.11767090259968</v>
      </c>
      <c r="CY39" s="59">
        <f ca="1">AVERAGE(OFFSET($CX$3,0,0,'Données projet'!$E$13+1,1))-AVERAGE(OFFSET($H$3,0,0,'Données projet'!$E$13+1,1))</f>
        <v>475.42482703895411</v>
      </c>
      <c r="CZ39" s="59">
        <f t="shared" si="42"/>
        <v>593.51433014569966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18.034648259021026</v>
      </c>
      <c r="DG39" s="21">
        <f>EXP(-LN(2)/25)*DG38+(1-EXP(-LN(2)/25))/(LN(2)/25)*Calculateur!DB39*Calculateur!DD39*VLOOKUP('Données projet'!$B$13,Paramètres!$A$1:$I$89,3,0)*0.475*44/12</f>
        <v>38.424901711238931</v>
      </c>
      <c r="DH39" s="21">
        <f>EXP(-LN(2)/2)*DH38+(1-EXP(-LN(2)/2))/(LN(2)/2)*DB39*DE39*VLOOKUP('Données projet'!$B$13,Paramètres!$A$1:$I$89,3,0)*0.475*44/12</f>
        <v>12.893184837996962</v>
      </c>
      <c r="DI39" s="22">
        <f t="shared" si="15"/>
        <v>69.352734808256912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>
        <f>VLOOKUP(A39,'Données projet'!$A$165:$I$185,2,0)</f>
        <v>144</v>
      </c>
      <c r="DM39" s="12">
        <f>VLOOKUP(A39,'Données projet'!$A$165:$I$185,9,0)</f>
        <v>4</v>
      </c>
      <c r="DN39" s="12">
        <f t="array" ref="DN39">INDEX(DM:DM,MIN(IF(ISNUMBER(DM39:DM235),ROW(DM39:DM235),"")))</f>
        <v>4</v>
      </c>
      <c r="DO39" s="12">
        <f>IF('Données projet'!$A$166&gt;35,DO38+DN39-DW38,IF(A39&lt;'Données projet'!$A$166,$DL$205^A39,IF(A39='Données projet'!$A$166,'Données projet'!$B$166,DO38+DN39-DW38)))</f>
        <v>144</v>
      </c>
      <c r="DP39" s="17">
        <f>DO39*VLOOKUP('Données projet'!$B$14,Paramètres!$A$1:$I$89,3,0)*VLOOKUP('Données projet'!$B$14,Paramètres!$A$1:$I$89,5,0)</f>
        <v>130.2912</v>
      </c>
      <c r="DQ39" s="13">
        <f t="shared" si="43"/>
        <v>34.063638337638949</v>
      </c>
      <c r="DR39" s="20">
        <f t="shared" si="16"/>
        <v>286.25134343805456</v>
      </c>
      <c r="DS39" s="59">
        <f t="shared" si="17"/>
        <v>579.58467677138788</v>
      </c>
      <c r="DT39" s="59">
        <f ca="1">AVERAGE(OFFSET($DS$3,0,0,'Données projet'!$E$14+1,1))-AVERAGE(OFFSET($H$3,0,0,'Données projet'!$E$14+1,1))</f>
        <v>401.17301323870578</v>
      </c>
      <c r="DU39" s="59">
        <f t="shared" si="44"/>
        <v>201.57993789149754</v>
      </c>
      <c r="DV39" s="15">
        <f>IF(ISNA(VLOOKUP(A39,'Données projet'!$A$165:$I$185,3,0)),0,VLOOKUP(A39,'Données projet'!$A$165:$I$185,3,0))</f>
        <v>1</v>
      </c>
      <c r="DW39" s="15">
        <f>IF(ISNA(VLOOKUP(A39,'Données projet'!$A$165:$I$185,4,0)),0,VLOOKUP(A39,'Données projet'!$A$165:$I$185,4,0))</f>
        <v>35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7.3</v>
      </c>
      <c r="EJ39" s="12">
        <f>IF('Données projet'!$A$192&gt;35,EJ38+EI39-ER38,IF(A39&lt;'Données projet'!$A$192,$EG$205^A39,IF(A39='Données projet'!$A$192,'Données projet'!$B$192,EJ38+EI39-ER38)))</f>
        <v>183.80000000000007</v>
      </c>
      <c r="EK39" s="17">
        <f>EJ39*VLOOKUP('Données projet'!$B$15,Paramètres!$A$1:$I$89,3,0)*VLOOKUP('Données projet'!$B$15,Paramètres!$A$1:$I$89,5,0)</f>
        <v>160.56768000000008</v>
      </c>
      <c r="EL39" s="13">
        <f t="shared" si="45"/>
        <v>40.970530810309882</v>
      </c>
      <c r="EM39" s="20">
        <f t="shared" si="19"/>
        <v>351.01238382795651</v>
      </c>
      <c r="EN39" s="59">
        <f t="shared" si="20"/>
        <v>644.34571716128983</v>
      </c>
      <c r="EO39" s="59">
        <f ca="1">AVERAGE(OFFSET($EN$3,0,0,'Données projet'!$E$15+1,1))-AVERAGE(OFFSET($H$3,0,0,'Données projet'!$E$15+1,1))</f>
        <v>237.8483058552178</v>
      </c>
      <c r="EP39" s="59">
        <f t="shared" si="46"/>
        <v>313.36201272119723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13.2</v>
      </c>
      <c r="FE39" s="12">
        <f>IF('Données projet'!$A$218&gt;35,FE38+FD39-FM38,IF(A39&lt;'Données projet'!$A$218,$FB$205^A39,IF(A39='Données projet'!$A$218,'Données projet'!$B$218,FE38+FD39-FM38)))</f>
        <v>210.2</v>
      </c>
      <c r="FF39" s="17">
        <f>FE39*VLOOKUP('Données projet'!$B$16,Paramètres!$A$1:$I$89,3,0)*VLOOKUP('Données projet'!$B$16,Paramètres!$A$1:$I$89,5,0)</f>
        <v>163.95599999999999</v>
      </c>
      <c r="FG39" s="13">
        <f t="shared" si="47"/>
        <v>41.733529914742562</v>
      </c>
      <c r="FH39" s="20">
        <f t="shared" si="22"/>
        <v>358.24259793484322</v>
      </c>
      <c r="FI39" s="59">
        <f t="shared" si="23"/>
        <v>651.57593126817653</v>
      </c>
      <c r="FJ39" s="59">
        <f ca="1">AVERAGE(OFFSET($FI$3,0,0,'Données projet'!$E$16+1,1))-AVERAGE(OFFSET($H$3,0,0,'Données projet'!$E$16+1,1))</f>
        <v>318.52984981739411</v>
      </c>
      <c r="FK39" s="59">
        <f t="shared" si="48"/>
        <v>311.56398336941714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4.5261209555107218</v>
      </c>
      <c r="FS39" s="21">
        <f>EXP(-LN(2)/2)*FS38+(1-EXP(-LN(2)/2))/(LN(2)/2)*FM39*FP39*VLOOKUP('Données projet'!$B$16,Paramètres!$A$1:$I$89,3,0)*0.475*44/12</f>
        <v>8.7426517592165247</v>
      </c>
      <c r="FT39" s="22">
        <f t="shared" si="24"/>
        <v>13.268772714727247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13.2</v>
      </c>
      <c r="FZ39" s="12">
        <f>IF('Données projet'!$A$244&gt;35,FZ38+FY39-GH38,IF(A39&lt;'Données projet'!$A$244,$FW$205^A39,IF(A39='Données projet'!$A$244,'Données projet'!$B$244,FZ38+FY39-GH38)))</f>
        <v>210.2</v>
      </c>
      <c r="GA39" s="17">
        <f>FZ39*VLOOKUP('Données projet'!$B$17,Paramètres!$A$1:$I$89,3,0)*VLOOKUP('Données projet'!$B$17,Paramètres!$A$1:$I$89,5,0)</f>
        <v>167.23511999999999</v>
      </c>
      <c r="GB39" s="13">
        <f t="shared" si="49"/>
        <v>42.470192710511604</v>
      </c>
      <c r="GC39" s="20">
        <f t="shared" si="25"/>
        <v>365.23675297080769</v>
      </c>
      <c r="GD39" s="59">
        <f t="shared" si="26"/>
        <v>658.570086304141</v>
      </c>
      <c r="GE39" s="59">
        <f ca="1">AVERAGE(OFFSET($GD$3,0,0,'Données projet'!$E$17+1,1))-AVERAGE(OFFSET($H$3,0,0,'Données projet'!$E$17+1,1))</f>
        <v>325.72928944930294</v>
      </c>
      <c r="GF39" s="59">
        <f t="shared" si="50"/>
        <v>318.38876834819752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5.6902813687188276</v>
      </c>
      <c r="GN39" s="21">
        <f>EXP(-LN(2)/2)*GN38+(1-EXP(-LN(2)/2))/(LN(2)/2)*GH39*GK39*VLOOKUP('Données projet'!$B$17,Paramètres!$A$1:$I$89,3,0)*0.475*44/12</f>
        <v>8.9175047944008572</v>
      </c>
      <c r="GO39" s="21">
        <f t="shared" si="27"/>
        <v>14.607786163119684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13.2</v>
      </c>
      <c r="GU39" s="12">
        <f>IF('Données projet'!$A$270&gt;35,GU38+GT39-HC38,IF(A39&lt;'Données projet'!$A$270,$GR$205^A39,IF(A39='Données projet'!$A$270,'Données projet'!$B$270,GU38+GT39-HC38)))</f>
        <v>210.2</v>
      </c>
      <c r="GV39" s="17">
        <f>GU39*VLOOKUP('Données projet'!$B$18,Paramètres!$A$1:$I$89,3,0)*VLOOKUP('Données projet'!$B$18,Paramètres!$A$1:$I$89,5,0)</f>
        <v>141.00216</v>
      </c>
      <c r="GW39" s="13">
        <f t="shared" si="51"/>
        <v>36.526490885878076</v>
      </c>
      <c r="GX39" s="20">
        <f t="shared" si="28"/>
        <v>309.19573362623765</v>
      </c>
      <c r="GY39" s="59">
        <f t="shared" si="29"/>
        <v>602.52906695957097</v>
      </c>
      <c r="GZ39" s="59">
        <f ca="1">AVERAGE(OFFSET($GY$3,0,0,'Données projet'!$E$18+1,1))-AVERAGE(OFFSET($H$3,0,0,'Données projet'!$E$18+1,1))</f>
        <v>268.04554291387961</v>
      </c>
      <c r="HA39" s="59">
        <f t="shared" si="52"/>
        <v>263.70463099437148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0</v>
      </c>
      <c r="HH39" s="21">
        <f>EXP(-LN(2)/25)*HH38+(1-EXP(-LN(2)/25))/(LN(2)/25)*Calculateur!HC39*Calculateur!HE39*VLOOKUP('Données projet'!$B$18,Paramètres!$A$1:$I$89,3,0)*0.475*44/12</f>
        <v>4.7976882128413649</v>
      </c>
      <c r="HI39" s="21">
        <f>EXP(-LN(2)/2)*HI38+(1-EXP(-LN(2)/2))/(LN(2)/2)*HC39*HF39*VLOOKUP('Données projet'!$B$18,Paramètres!$A$1:$I$89,3,0)*0.475*44/12</f>
        <v>7.5186805129262124</v>
      </c>
      <c r="HJ39" s="22">
        <f t="shared" si="30"/>
        <v>12.316368725767578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8.1999999999999993</v>
      </c>
      <c r="N40" s="13">
        <f>IF('Données projet'!$A$36&gt;35,N39+M40-V39,IF(A40&lt;'Données projet'!$A$36,$K$205^A40,IF(A40='Données projet'!$A$36,'Données projet'!$B$36,N39+M40-V39)))</f>
        <v>106.39999999999999</v>
      </c>
      <c r="O40" s="13">
        <f>N40*VLOOKUP('Données projet'!$B$9,Paramètres!$A$1:$I$89,3,0)*VLOOKUP('Données projet'!$B$9,Paramètres!$A$1:$I$89,5,0)</f>
        <v>47.028800000000004</v>
      </c>
      <c r="P40" s="13">
        <f t="shared" si="33"/>
        <v>13.84371992871276</v>
      </c>
      <c r="Q40" s="20">
        <f t="shared" si="53"/>
        <v>106.01963887584138</v>
      </c>
      <c r="R40" s="59">
        <f t="shared" si="0"/>
        <v>399.35297220917471</v>
      </c>
      <c r="S40" s="59">
        <f ca="1">AVERAGE(OFFSET($R$3,0,0,'Données projet'!$E$9+1,1))-AVERAGE(OFFSET($H$3,0,0,'Données projet'!$E$9+1,1))</f>
        <v>46.095319339746538</v>
      </c>
      <c r="T40" s="59">
        <f t="shared" si="34"/>
        <v>48.158174304064403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4.2437432549320686</v>
      </c>
      <c r="AB40" s="21">
        <f>EXP(-LN(2)/2)*AB39+(1-EXP(-LN(2)/2))/(LN(2)/2)*V40*Y40*VLOOKUP('Données projet'!$B$9,Paramètres!$A$1:$I$89,3,0)*0.475*44/12</f>
        <v>2.0139295745479435</v>
      </c>
      <c r="AC40" s="22">
        <f t="shared" si="3"/>
        <v>6.2576728294800121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21.333333333333332</v>
      </c>
      <c r="AI40" s="13">
        <f>IF('Données projet'!$A$62&gt;35,AI39+AH40-AQ39,IF(A40&lt;'Données projet'!$A$62,$AF$205^A40,IF(A40='Données projet'!$A$62,'Données projet'!$B$62,AI39+AH40-AQ39)))</f>
        <v>472.99999999999983</v>
      </c>
      <c r="AJ40" s="13">
        <f>AI40*VLOOKUP('Données projet'!$B$10,Paramètres!$A$1:$I$89,3,0)*VLOOKUP('Données projet'!$B$10,Paramètres!$A$1:$I$89,5,0)</f>
        <v>282.85399999999993</v>
      </c>
      <c r="AK40" s="13">
        <f t="shared" si="35"/>
        <v>67.569784681074992</v>
      </c>
      <c r="AL40" s="20">
        <f t="shared" si="4"/>
        <v>610.32142498620556</v>
      </c>
      <c r="AM40" s="59">
        <f t="shared" si="5"/>
        <v>903.65475831953881</v>
      </c>
      <c r="AN40" s="59">
        <f ca="1">AVERAGE(OFFSET($AM$3,0,0,'Données projet'!$E$10+1,1))-AVERAGE(OFFSET($H$3,0,0,'Données projet'!$E$10+1,1))</f>
        <v>408.84545509668794</v>
      </c>
      <c r="AO40" s="59">
        <f t="shared" si="36"/>
        <v>409.9253979841132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2.6238202881569568</v>
      </c>
      <c r="AV40" s="21">
        <f>EXP(-LN(2)/25)*AV39+(1-EXP(-LN(2)/25))/(LN(2)/25)*Calculateur!AQ40*Calculateur!AS40*VLOOKUP('Données projet'!$B$10,Paramètres!$A$1:$I$89,3,0)*0.475*44/12</f>
        <v>26.36403020097567</v>
      </c>
      <c r="AW40" s="21">
        <f>EXP(-LN(2)/2)*AW39+(1-EXP(-LN(2)/2))/(LN(2)/2)*AQ40*AT40*VLOOKUP('Données projet'!$B$10,Paramètres!$A$1:$I$89,3,0)*0.475*44/12</f>
        <v>4.3933634279066425</v>
      </c>
      <c r="AX40" s="21">
        <f t="shared" si="6"/>
        <v>33.381213917039268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17.600000000000001</v>
      </c>
      <c r="BD40" s="12">
        <f>IF('Données projet'!$A$88&gt;35,BD39+BC40-BL39,IF(A40&lt;'Données projet'!$A$88,$BA$205^A40,IF(A40='Données projet'!$A$88,'Données projet'!$B$88,BD39+BC40-BL39)))</f>
        <v>279.2000000000001</v>
      </c>
      <c r="BE40" s="13">
        <f>BD40*VLOOKUP('Données projet'!$B$11,Paramètres!$A$1:$I$89,3,0)*VLOOKUP('Données projet'!$B$11,Paramètres!$A$1:$I$89,5,0)</f>
        <v>166.96160000000006</v>
      </c>
      <c r="BF40" s="13">
        <f t="shared" si="37"/>
        <v>42.408810446399933</v>
      </c>
      <c r="BG40" s="20">
        <f t="shared" si="7"/>
        <v>364.6534648608133</v>
      </c>
      <c r="BH40" s="59">
        <f t="shared" si="8"/>
        <v>657.98679819414656</v>
      </c>
      <c r="BI40" s="59">
        <f ca="1">AVERAGE(OFFSET($BH$3,0,0,'Données projet'!$E$11+1,1))-AVERAGE(OFFSET($H$3,0,0,'Données projet'!$E$11+1,1))</f>
        <v>279.69031306919914</v>
      </c>
      <c r="BJ40" s="59">
        <f t="shared" si="38"/>
        <v>297.01680128882509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29.325769076978599</v>
      </c>
      <c r="BR40" s="21">
        <f>EXP(-LN(2)/2)*BR39+(1-EXP(-LN(2)/2))/(LN(2)/2)*BL40*BO40*VLOOKUP('Données projet'!$B$11,Paramètres!$A$1:$I$89,3,0)*0.475*44/12</f>
        <v>8.5017727437594388</v>
      </c>
      <c r="BS40" s="22">
        <f t="shared" si="9"/>
        <v>37.827541820738034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7.5</v>
      </c>
      <c r="BY40" s="12">
        <f>IF('Données projet'!$A$114&gt;35,BY39+BX40-CG39,IF(A40&lt;'Données projet'!$A$114,$BV$205^A40,IF(A40='Données projet'!$A$114,'Données projet'!$B$114,BY39+BX40-CG39)))</f>
        <v>115.5</v>
      </c>
      <c r="BZ40" s="13">
        <f>BY40*VLOOKUP('Données projet'!$B$12,Paramètres!$A$1:$I$89,3,0)*VLOOKUP('Données projet'!$B$12,Paramètres!$A$1:$I$89,5,0)</f>
        <v>69.069000000000003</v>
      </c>
      <c r="CA40" s="13">
        <f t="shared" si="39"/>
        <v>19.442077604017239</v>
      </c>
      <c r="CB40" s="20">
        <f t="shared" si="10"/>
        <v>154.15679349366337</v>
      </c>
      <c r="CC40" s="59">
        <f t="shared" si="11"/>
        <v>447.49012682699669</v>
      </c>
      <c r="CD40" s="59">
        <f ca="1">AVERAGE(OFFSET($CC$3,0,0,'Données projet'!$E$12+1,1))-AVERAGE(OFFSET($H$3,0,0,'Données projet'!$E$12+1,1))</f>
        <v>81.299024916151723</v>
      </c>
      <c r="CE40" s="59">
        <f t="shared" si="40"/>
        <v>88.106373324240167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1.6819360821518956</v>
      </c>
      <c r="CL40" s="21">
        <f>EXP(-LN(2)/25)*CL39+(1-EXP(-LN(2)/25))/(LN(2)/25)*Calculateur!CG40*Calculateur!CI40*VLOOKUP('Données projet'!$B$12,Paramètres!$A$1:$I$89,3,0)*0.475*44/12</f>
        <v>8.3608274242061871</v>
      </c>
      <c r="CM40" s="21">
        <f>EXP(-LN(2)/2)*CM39+(1-EXP(-LN(2)/2))/(LN(2)/2)*CG40*CJ40*VLOOKUP('Données projet'!$B$12,Paramètres!$A$1:$I$89,3,0)*0.475*44/12</f>
        <v>2.5898154351911278</v>
      </c>
      <c r="CN40" s="22">
        <f t="shared" si="12"/>
        <v>12.632578941549211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27</v>
      </c>
      <c r="CT40" s="12">
        <f>IF('Données projet'!$A$140&gt;35,CT39+CS40-DB39,IF(A40&lt;'Données projet'!$A$140,$CQ$205^A40,IF(A40='Données projet'!$A$140,'Données projet'!$B$140,CT39+CS40-DB39)))</f>
        <v>557.99999999999989</v>
      </c>
      <c r="CU40" s="17">
        <f>CT40*VLOOKUP('Données projet'!$B$13,Paramètres!$A$1:$I$89,3,0)*VLOOKUP('Données projet'!$B$13,Paramètres!$A$1:$I$89,5,0)</f>
        <v>311.92199999999991</v>
      </c>
      <c r="CV40" s="13">
        <f t="shared" si="41"/>
        <v>73.670075764965745</v>
      </c>
      <c r="CW40" s="20">
        <f t="shared" si="13"/>
        <v>671.57286529064845</v>
      </c>
      <c r="CX40" s="59">
        <f t="shared" si="14"/>
        <v>964.90619862398171</v>
      </c>
      <c r="CY40" s="59">
        <f ca="1">AVERAGE(OFFSET($CX$3,0,0,'Données projet'!$E$13+1,1))-AVERAGE(OFFSET($H$3,0,0,'Données projet'!$E$13+1,1))</f>
        <v>475.42482703895411</v>
      </c>
      <c r="CZ40" s="59">
        <f t="shared" si="42"/>
        <v>593.51433014569966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17.680999806710897</v>
      </c>
      <c r="DG40" s="21">
        <f>EXP(-LN(2)/25)*DG39+(1-EXP(-LN(2)/25))/(LN(2)/25)*Calculateur!DB40*Calculateur!DD40*VLOOKUP('Données projet'!$B$13,Paramètres!$A$1:$I$89,3,0)*0.475*44/12</f>
        <v>37.374170753267343</v>
      </c>
      <c r="DH40" s="21">
        <f>EXP(-LN(2)/2)*DH39+(1-EXP(-LN(2)/2))/(LN(2)/2)*DB40*DE40*VLOOKUP('Données projet'!$B$13,Paramètres!$A$1:$I$89,3,0)*0.475*44/12</f>
        <v>9.1168584300392315</v>
      </c>
      <c r="DI40" s="22">
        <f t="shared" si="15"/>
        <v>64.172028990017466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9.875</v>
      </c>
      <c r="DO40" s="12">
        <f>IF('Données projet'!$A$166&gt;35,DO39+DN40-DW39,IF(A40&lt;'Données projet'!$A$166,$DL$205^A40,IF(A40='Données projet'!$A$166,'Données projet'!$B$166,DO39+DN40-DW39)))</f>
        <v>118.875</v>
      </c>
      <c r="DP40" s="17">
        <f>DO40*VLOOKUP('Données projet'!$B$14,Paramètres!$A$1:$I$89,3,0)*VLOOKUP('Données projet'!$B$14,Paramètres!$A$1:$I$89,5,0)</f>
        <v>107.5581</v>
      </c>
      <c r="DQ40" s="13">
        <f t="shared" si="43"/>
        <v>28.754904352903992</v>
      </c>
      <c r="DR40" s="20">
        <f t="shared" si="16"/>
        <v>237.4118159146411</v>
      </c>
      <c r="DS40" s="59">
        <f t="shared" si="17"/>
        <v>530.74514924797438</v>
      </c>
      <c r="DT40" s="59">
        <f ca="1">AVERAGE(OFFSET($DS$3,0,0,'Données projet'!$E$14+1,1))-AVERAGE(OFFSET($H$3,0,0,'Données projet'!$E$14+1,1))</f>
        <v>401.17301323870578</v>
      </c>
      <c r="DU40" s="59">
        <f t="shared" si="44"/>
        <v>201.57993789149754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7.3</v>
      </c>
      <c r="EJ40" s="12">
        <f>IF('Données projet'!$A$192&gt;35,EJ39+EI40-ER39,IF(A40&lt;'Données projet'!$A$192,$EG$205^A40,IF(A40='Données projet'!$A$192,'Données projet'!$B$192,EJ39+EI40-ER39)))</f>
        <v>191.10000000000008</v>
      </c>
      <c r="EK40" s="17">
        <f>EJ40*VLOOKUP('Données projet'!$B$15,Paramètres!$A$1:$I$89,3,0)*VLOOKUP('Données projet'!$B$15,Paramètres!$A$1:$I$89,5,0)</f>
        <v>166.94496000000009</v>
      </c>
      <c r="EL40" s="13">
        <f t="shared" si="45"/>
        <v>42.405075786649157</v>
      </c>
      <c r="EM40" s="20">
        <f t="shared" si="19"/>
        <v>364.61797899508082</v>
      </c>
      <c r="EN40" s="59">
        <f t="shared" si="20"/>
        <v>657.95131232841413</v>
      </c>
      <c r="EO40" s="59">
        <f ca="1">AVERAGE(OFFSET($EN$3,0,0,'Données projet'!$E$15+1,1))-AVERAGE(OFFSET($H$3,0,0,'Données projet'!$E$15+1,1))</f>
        <v>237.8483058552178</v>
      </c>
      <c r="EP40" s="59">
        <f t="shared" si="46"/>
        <v>313.36201272119723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13.2</v>
      </c>
      <c r="FE40" s="12">
        <f>IF('Données projet'!$A$218&gt;35,FE39+FD40-FM39,IF(A40&lt;'Données projet'!$A$218,$FB$205^A40,IF(A40='Données projet'!$A$218,'Données projet'!$B$218,FE39+FD40-FM39)))</f>
        <v>223.39999999999998</v>
      </c>
      <c r="FF40" s="17">
        <f>FE40*VLOOKUP('Données projet'!$B$16,Paramètres!$A$1:$I$89,3,0)*VLOOKUP('Données projet'!$B$16,Paramètres!$A$1:$I$89,5,0)</f>
        <v>174.25199999999998</v>
      </c>
      <c r="FG40" s="13">
        <f t="shared" si="47"/>
        <v>44.040956616447659</v>
      </c>
      <c r="FH40" s="20">
        <f t="shared" si="22"/>
        <v>380.19356610697963</v>
      </c>
      <c r="FI40" s="59">
        <f t="shared" si="23"/>
        <v>673.52689944031295</v>
      </c>
      <c r="FJ40" s="59">
        <f ca="1">AVERAGE(OFFSET($FI$3,0,0,'Données projet'!$E$16+1,1))-AVERAGE(OFFSET($H$3,0,0,'Données projet'!$E$16+1,1))</f>
        <v>318.52984981739411</v>
      </c>
      <c r="FK40" s="59">
        <f t="shared" si="48"/>
        <v>311.56398336941714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4.4023539399639242</v>
      </c>
      <c r="FS40" s="21">
        <f>EXP(-LN(2)/2)*FS39+(1-EXP(-LN(2)/2))/(LN(2)/2)*FM40*FP40*VLOOKUP('Données projet'!$B$16,Paramètres!$A$1:$I$89,3,0)*0.475*44/12</f>
        <v>6.1819883444945045</v>
      </c>
      <c r="FT40" s="22">
        <f t="shared" si="24"/>
        <v>10.58434228445843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13.2</v>
      </c>
      <c r="FZ40" s="12">
        <f>IF('Données projet'!$A$244&gt;35,FZ39+FY40-GH39,IF(A40&lt;'Données projet'!$A$244,$FW$205^A40,IF(A40='Données projet'!$A$244,'Données projet'!$B$244,FZ39+FY40-GH39)))</f>
        <v>223.39999999999998</v>
      </c>
      <c r="GA40" s="17">
        <f>FZ40*VLOOKUP('Données projet'!$B$17,Paramètres!$A$1:$I$89,3,0)*VLOOKUP('Données projet'!$B$17,Paramètres!$A$1:$I$89,5,0)</f>
        <v>177.73703999999998</v>
      </c>
      <c r="GB40" s="13">
        <f t="shared" si="49"/>
        <v>44.818349142210366</v>
      </c>
      <c r="GC40" s="20">
        <f t="shared" si="25"/>
        <v>387.61730275601627</v>
      </c>
      <c r="GD40" s="59">
        <f t="shared" si="26"/>
        <v>680.95063608934959</v>
      </c>
      <c r="GE40" s="59">
        <f ca="1">AVERAGE(OFFSET($GD$3,0,0,'Données projet'!$E$17+1,1))-AVERAGE(OFFSET($H$3,0,0,'Données projet'!$E$17+1,1))</f>
        <v>325.72928944930294</v>
      </c>
      <c r="GF40" s="59">
        <f t="shared" si="50"/>
        <v>318.38876834819752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5.5346803254523191</v>
      </c>
      <c r="GN40" s="21">
        <f>EXP(-LN(2)/2)*GN39+(1-EXP(-LN(2)/2))/(LN(2)/2)*GH40*GK40*VLOOKUP('Données projet'!$B$17,Paramètres!$A$1:$I$89,3,0)*0.475*44/12</f>
        <v>6.3056281113843955</v>
      </c>
      <c r="GO40" s="21">
        <f t="shared" si="27"/>
        <v>11.840308436836715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13.2</v>
      </c>
      <c r="GU40" s="12">
        <f>IF('Données projet'!$A$270&gt;35,GU39+GT40-HC39,IF(A40&lt;'Données projet'!$A$270,$GR$205^A40,IF(A40='Données projet'!$A$270,'Données projet'!$B$270,GU39+GT40-HC39)))</f>
        <v>223.39999999999998</v>
      </c>
      <c r="GV40" s="17">
        <f>GU40*VLOOKUP('Données projet'!$B$18,Paramètres!$A$1:$I$89,3,0)*VLOOKUP('Données projet'!$B$18,Paramètres!$A$1:$I$89,5,0)</f>
        <v>149.85671999999997</v>
      </c>
      <c r="GW40" s="13">
        <f t="shared" si="51"/>
        <v>38.546022915923054</v>
      </c>
      <c r="GX40" s="20">
        <f t="shared" si="28"/>
        <v>328.13477724523256</v>
      </c>
      <c r="GY40" s="59">
        <f t="shared" si="29"/>
        <v>621.46811057856587</v>
      </c>
      <c r="GZ40" s="59">
        <f ca="1">AVERAGE(OFFSET($GY$3,0,0,'Données projet'!$E$18+1,1))-AVERAGE(OFFSET($H$3,0,0,'Données projet'!$E$18+1,1))</f>
        <v>268.04554291387961</v>
      </c>
      <c r="HA40" s="59">
        <f t="shared" si="52"/>
        <v>263.70463099437148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0</v>
      </c>
      <c r="HH40" s="21">
        <f>EXP(-LN(2)/25)*HH39+(1-EXP(-LN(2)/25))/(LN(2)/25)*Calculateur!HC40*Calculateur!HE40*VLOOKUP('Données projet'!$B$18,Paramètres!$A$1:$I$89,3,0)*0.475*44/12</f>
        <v>4.6664951763617601</v>
      </c>
      <c r="HI40" s="21">
        <f>EXP(-LN(2)/2)*HI39+(1-EXP(-LN(2)/2))/(LN(2)/2)*HC40*HF40*VLOOKUP('Données projet'!$B$18,Paramètres!$A$1:$I$89,3,0)*0.475*44/12</f>
        <v>5.3165099762652748</v>
      </c>
      <c r="HJ40" s="22">
        <f t="shared" si="30"/>
        <v>9.9830051526270349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8.1999999999999993</v>
      </c>
      <c r="N41" s="13">
        <f>IF('Données projet'!$A$36&gt;35,N40+M41-V40,IF(A41&lt;'Données projet'!$A$36,$K$205^A41,IF(A41='Données projet'!$A$36,'Données projet'!$B$36,N40+M41-V40)))</f>
        <v>114.6</v>
      </c>
      <c r="O41" s="13">
        <f>N41*VLOOKUP('Données projet'!$B$9,Paramètres!$A$1:$I$89,3,0)*VLOOKUP('Données projet'!$B$9,Paramètres!$A$1:$I$89,5,0)</f>
        <v>50.653199999999998</v>
      </c>
      <c r="P41" s="13">
        <f t="shared" si="33"/>
        <v>14.782323770660172</v>
      </c>
      <c r="Q41" s="20">
        <f t="shared" si="53"/>
        <v>113.96687056723312</v>
      </c>
      <c r="R41" s="59">
        <f t="shared" si="0"/>
        <v>407.30020390056643</v>
      </c>
      <c r="S41" s="59">
        <f ca="1">AVERAGE(OFFSET($R$3,0,0,'Données projet'!$E$9+1,1))-AVERAGE(OFFSET($H$3,0,0,'Données projet'!$E$9+1,1))</f>
        <v>46.095319339746538</v>
      </c>
      <c r="T41" s="59">
        <f t="shared" si="34"/>
        <v>48.158174304064403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4.1276978724571922</v>
      </c>
      <c r="AB41" s="21">
        <f>EXP(-LN(2)/2)*AB40+(1-EXP(-LN(2)/2))/(LN(2)/2)*V41*Y41*VLOOKUP('Données projet'!$B$9,Paramètres!$A$1:$I$89,3,0)*0.475*44/12</f>
        <v>1.4240632589949895</v>
      </c>
      <c r="AC41" s="22">
        <f t="shared" si="3"/>
        <v>5.5517611314521815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21.333333333333332</v>
      </c>
      <c r="AI41" s="13">
        <f>IF('Données projet'!$A$62&gt;35,AI40+AH41-AQ40,IF(A41&lt;'Données projet'!$A$62,$AF$205^A41,IF(A41='Données projet'!$A$62,'Données projet'!$B$62,AI40+AH41-AQ40)))</f>
        <v>494.33333333333314</v>
      </c>
      <c r="AJ41" s="13">
        <f>AI41*VLOOKUP('Données projet'!$B$10,Paramètres!$A$1:$I$89,3,0)*VLOOKUP('Données projet'!$B$10,Paramètres!$A$1:$I$89,5,0)</f>
        <v>295.61133333333322</v>
      </c>
      <c r="AK41" s="13">
        <f t="shared" si="35"/>
        <v>70.255642756787523</v>
      </c>
      <c r="AL41" s="20">
        <f t="shared" si="4"/>
        <v>637.21831669029359</v>
      </c>
      <c r="AM41" s="59">
        <f t="shared" si="5"/>
        <v>930.55165002362696</v>
      </c>
      <c r="AN41" s="59">
        <f ca="1">AVERAGE(OFFSET($AM$3,0,0,'Données projet'!$E$10+1,1))-AVERAGE(OFFSET($H$3,0,0,'Données projet'!$E$10+1,1))</f>
        <v>408.84545509668794</v>
      </c>
      <c r="AO41" s="59">
        <f t="shared" si="36"/>
        <v>409.9253979841132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2.5723687726785509</v>
      </c>
      <c r="AV41" s="21">
        <f>EXP(-LN(2)/25)*AV40+(1-EXP(-LN(2)/25))/(LN(2)/25)*Calculateur!AQ41*Calculateur!AS41*VLOOKUP('Données projet'!$B$10,Paramètres!$A$1:$I$89,3,0)*0.475*44/12</f>
        <v>25.643104408705899</v>
      </c>
      <c r="AW41" s="21">
        <f>EXP(-LN(2)/2)*AW40+(1-EXP(-LN(2)/2))/(LN(2)/2)*AQ41*AT41*VLOOKUP('Données projet'!$B$10,Paramètres!$A$1:$I$89,3,0)*0.475*44/12</f>
        <v>3.1065770720897627</v>
      </c>
      <c r="AX41" s="21">
        <f t="shared" si="6"/>
        <v>31.322050253474213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17.600000000000001</v>
      </c>
      <c r="BD41" s="12">
        <f>IF('Données projet'!$A$88&gt;35,BD40+BC41-BL40,IF(A41&lt;'Données projet'!$A$88,$BA$205^A41,IF(A41='Données projet'!$A$88,'Données projet'!$B$88,BD40+BC41-BL40)))</f>
        <v>296.80000000000013</v>
      </c>
      <c r="BE41" s="13">
        <f>BD41*VLOOKUP('Données projet'!$B$11,Paramètres!$A$1:$I$89,3,0)*VLOOKUP('Données projet'!$B$11,Paramètres!$A$1:$I$89,5,0)</f>
        <v>177.48640000000012</v>
      </c>
      <c r="BF41" s="13">
        <f t="shared" si="37"/>
        <v>44.762499594286361</v>
      </c>
      <c r="BG41" s="20">
        <f t="shared" si="7"/>
        <v>387.08350012671559</v>
      </c>
      <c r="BH41" s="59">
        <f t="shared" si="8"/>
        <v>680.41683346004891</v>
      </c>
      <c r="BI41" s="59">
        <f ca="1">AVERAGE(OFFSET($BH$3,0,0,'Données projet'!$E$11+1,1))-AVERAGE(OFFSET($H$3,0,0,'Données projet'!$E$11+1,1))</f>
        <v>279.69031306919914</v>
      </c>
      <c r="BJ41" s="59">
        <f t="shared" si="38"/>
        <v>297.01680128882509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28.523854379393448</v>
      </c>
      <c r="BR41" s="21">
        <f>EXP(-LN(2)/2)*BR40+(1-EXP(-LN(2)/2))/(LN(2)/2)*BL41*BO41*VLOOKUP('Données projet'!$B$11,Paramètres!$A$1:$I$89,3,0)*0.475*44/12</f>
        <v>6.0116611592192593</v>
      </c>
      <c r="BS41" s="22">
        <f t="shared" si="9"/>
        <v>34.535515538612707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7.5</v>
      </c>
      <c r="BY41" s="12">
        <f>IF('Données projet'!$A$114&gt;35,BY40+BX41-CG40,IF(A41&lt;'Données projet'!$A$114,$BV$205^A41,IF(A41='Données projet'!$A$114,'Données projet'!$B$114,BY40+BX41-CG40)))</f>
        <v>123</v>
      </c>
      <c r="BZ41" s="13">
        <f>BY41*VLOOKUP('Données projet'!$B$12,Paramètres!$A$1:$I$89,3,0)*VLOOKUP('Données projet'!$B$12,Paramètres!$A$1:$I$89,5,0)</f>
        <v>73.554000000000016</v>
      </c>
      <c r="CA41" s="13">
        <f t="shared" si="39"/>
        <v>20.553481077376691</v>
      </c>
      <c r="CB41" s="20">
        <f t="shared" si="10"/>
        <v>163.90386287643108</v>
      </c>
      <c r="CC41" s="59">
        <f t="shared" si="11"/>
        <v>457.23719620976442</v>
      </c>
      <c r="CD41" s="59">
        <f ca="1">AVERAGE(OFFSET($CC$3,0,0,'Données projet'!$E$12+1,1))-AVERAGE(OFFSET($H$3,0,0,'Données projet'!$E$12+1,1))</f>
        <v>81.299024916151723</v>
      </c>
      <c r="CE41" s="59">
        <f t="shared" si="40"/>
        <v>88.106373324240167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1.6489543414606098</v>
      </c>
      <c r="CL41" s="21">
        <f>EXP(-LN(2)/25)*CL40+(1-EXP(-LN(2)/25))/(LN(2)/25)*Calculateur!CG41*Calculateur!CI41*VLOOKUP('Données projet'!$B$12,Paramètres!$A$1:$I$89,3,0)*0.475*44/12</f>
        <v>8.132200158614463</v>
      </c>
      <c r="CM41" s="21">
        <f>EXP(-LN(2)/2)*CM40+(1-EXP(-LN(2)/2))/(LN(2)/2)*CG41*CJ41*VLOOKUP('Données projet'!$B$12,Paramètres!$A$1:$I$89,3,0)*0.475*44/12</f>
        <v>1.8312760562452364</v>
      </c>
      <c r="CN41" s="22">
        <f t="shared" si="12"/>
        <v>11.612430556320309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27</v>
      </c>
      <c r="CT41" s="12">
        <f>IF('Données projet'!$A$140&gt;35,CT40+CS41-DB40,IF(A41&lt;'Données projet'!$A$140,$CQ$205^A41,IF(A41='Données projet'!$A$140,'Données projet'!$B$140,CT40+CS41-DB40)))</f>
        <v>584.99999999999989</v>
      </c>
      <c r="CU41" s="17">
        <f>CT41*VLOOKUP('Données projet'!$B$13,Paramètres!$A$1:$I$89,3,0)*VLOOKUP('Données projet'!$B$13,Paramètres!$A$1:$I$89,5,0)</f>
        <v>327.01499999999993</v>
      </c>
      <c r="CV41" s="13">
        <f t="shared" si="41"/>
        <v>76.811113612871907</v>
      </c>
      <c r="CW41" s="20">
        <f t="shared" si="13"/>
        <v>703.33048120908506</v>
      </c>
      <c r="CX41" s="59">
        <f t="shared" si="14"/>
        <v>996.66381454241832</v>
      </c>
      <c r="CY41" s="59">
        <f ca="1">AVERAGE(OFFSET($CX$3,0,0,'Données projet'!$E$13+1,1))-AVERAGE(OFFSET($H$3,0,0,'Données projet'!$E$13+1,1))</f>
        <v>475.42482703895411</v>
      </c>
      <c r="CZ41" s="59">
        <f t="shared" si="42"/>
        <v>593.51433014569966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17.334286184846313</v>
      </c>
      <c r="DG41" s="21">
        <f>EXP(-LN(2)/25)*DG40+(1-EXP(-LN(2)/25))/(LN(2)/25)*Calculateur!DB41*Calculateur!DD41*VLOOKUP('Données projet'!$B$13,Paramètres!$A$1:$I$89,3,0)*0.475*44/12</f>
        <v>36.35217208859703</v>
      </c>
      <c r="DH41" s="21">
        <f>EXP(-LN(2)/2)*DH40+(1-EXP(-LN(2)/2))/(LN(2)/2)*DB41*DE41*VLOOKUP('Données projet'!$B$13,Paramètres!$A$1:$I$89,3,0)*0.475*44/12</f>
        <v>6.4465924189984829</v>
      </c>
      <c r="DI41" s="22">
        <f t="shared" si="15"/>
        <v>60.133050692441827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9.875</v>
      </c>
      <c r="DO41" s="12">
        <f>IF('Données projet'!$A$166&gt;35,DO40+DN41-DW40,IF(A41&lt;'Données projet'!$A$166,$DL$205^A41,IF(A41='Données projet'!$A$166,'Données projet'!$B$166,DO40+DN41-DW40)))</f>
        <v>128.75</v>
      </c>
      <c r="DP41" s="17">
        <f>DO41*VLOOKUP('Données projet'!$B$14,Paramètres!$A$1:$I$89,3,0)*VLOOKUP('Données projet'!$B$14,Paramètres!$A$1:$I$89,5,0)</f>
        <v>116.49299999999999</v>
      </c>
      <c r="DQ41" s="13">
        <f t="shared" si="43"/>
        <v>30.855642519307857</v>
      </c>
      <c r="DR41" s="20">
        <f t="shared" si="16"/>
        <v>256.63221905446113</v>
      </c>
      <c r="DS41" s="59">
        <f t="shared" si="17"/>
        <v>549.96555238779445</v>
      </c>
      <c r="DT41" s="59">
        <f ca="1">AVERAGE(OFFSET($DS$3,0,0,'Données projet'!$E$14+1,1))-AVERAGE(OFFSET($H$3,0,0,'Données projet'!$E$14+1,1))</f>
        <v>401.17301323870578</v>
      </c>
      <c r="DU41" s="59">
        <f t="shared" si="44"/>
        <v>201.57993789149754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7.3</v>
      </c>
      <c r="EJ41" s="12">
        <f>IF('Données projet'!$A$192&gt;35,EJ40+EI41-ER40,IF(A41&lt;'Données projet'!$A$192,$EG$205^A41,IF(A41='Données projet'!$A$192,'Données projet'!$B$192,EJ40+EI41-ER40)))</f>
        <v>198.40000000000009</v>
      </c>
      <c r="EK41" s="17">
        <f>EJ41*VLOOKUP('Données projet'!$B$15,Paramètres!$A$1:$I$89,3,0)*VLOOKUP('Données projet'!$B$15,Paramètres!$A$1:$I$89,5,0)</f>
        <v>173.32224000000011</v>
      </c>
      <c r="EL41" s="13">
        <f t="shared" si="45"/>
        <v>43.833254629845165</v>
      </c>
      <c r="EM41" s="20">
        <f t="shared" si="19"/>
        <v>378.21248648031383</v>
      </c>
      <c r="EN41" s="59">
        <f t="shared" si="20"/>
        <v>671.54581981364709</v>
      </c>
      <c r="EO41" s="59">
        <f ca="1">AVERAGE(OFFSET($EN$3,0,0,'Données projet'!$E$15+1,1))-AVERAGE(OFFSET($H$3,0,0,'Données projet'!$E$15+1,1))</f>
        <v>237.8483058552178</v>
      </c>
      <c r="EP41" s="59">
        <f t="shared" si="46"/>
        <v>313.36201272119723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13.2</v>
      </c>
      <c r="FE41" s="12">
        <f>IF('Données projet'!$A$218&gt;35,FE40+FD41-FM40,IF(A41&lt;'Données projet'!$A$218,$FB$205^A41,IF(A41='Données projet'!$A$218,'Données projet'!$B$218,FE40+FD41-FM40)))</f>
        <v>236.59999999999997</v>
      </c>
      <c r="FF41" s="17">
        <f>FE41*VLOOKUP('Données projet'!$B$16,Paramètres!$A$1:$I$89,3,0)*VLOOKUP('Données projet'!$B$16,Paramètres!$A$1:$I$89,5,0)</f>
        <v>184.54799999999997</v>
      </c>
      <c r="FG41" s="13">
        <f t="shared" si="47"/>
        <v>46.332558240871656</v>
      </c>
      <c r="FH41" s="20">
        <f t="shared" si="22"/>
        <v>402.1169722695181</v>
      </c>
      <c r="FI41" s="59">
        <f t="shared" si="23"/>
        <v>695.45030560285136</v>
      </c>
      <c r="FJ41" s="59">
        <f ca="1">AVERAGE(OFFSET($FI$3,0,0,'Données projet'!$E$16+1,1))-AVERAGE(OFFSET($H$3,0,0,'Données projet'!$E$16+1,1))</f>
        <v>318.52984981739411</v>
      </c>
      <c r="FK41" s="59">
        <f t="shared" si="48"/>
        <v>311.56398336941714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4.281971339965879</v>
      </c>
      <c r="FS41" s="21">
        <f>EXP(-LN(2)/2)*FS40+(1-EXP(-LN(2)/2))/(LN(2)/2)*FM41*FP41*VLOOKUP('Données projet'!$B$16,Paramètres!$A$1:$I$89,3,0)*0.475*44/12</f>
        <v>4.3713258796082632</v>
      </c>
      <c r="FT41" s="22">
        <f t="shared" si="24"/>
        <v>8.6532972195741422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13.2</v>
      </c>
      <c r="FZ41" s="12">
        <f>IF('Données projet'!$A$244&gt;35,FZ40+FY41-GH40,IF(A41&lt;'Données projet'!$A$244,$FW$205^A41,IF(A41='Données projet'!$A$244,'Données projet'!$B$244,FZ40+FY41-GH40)))</f>
        <v>236.59999999999997</v>
      </c>
      <c r="GA41" s="17">
        <f>FZ41*VLOOKUP('Données projet'!$B$17,Paramètres!$A$1:$I$89,3,0)*VLOOKUP('Données projet'!$B$17,Paramètres!$A$1:$I$89,5,0)</f>
        <v>188.23895999999999</v>
      </c>
      <c r="GB41" s="13">
        <f t="shared" si="49"/>
        <v>47.150401158990007</v>
      </c>
      <c r="GC41" s="20">
        <f t="shared" si="25"/>
        <v>409.96980401857422</v>
      </c>
      <c r="GD41" s="59">
        <f t="shared" si="26"/>
        <v>703.30313735190748</v>
      </c>
      <c r="GE41" s="59">
        <f ca="1">AVERAGE(OFFSET($GD$3,0,0,'Données projet'!$E$17+1,1))-AVERAGE(OFFSET($H$3,0,0,'Données projet'!$E$17+1,1))</f>
        <v>325.72928944930294</v>
      </c>
      <c r="GF41" s="59">
        <f t="shared" si="50"/>
        <v>318.38876834819752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5.3833342008966367</v>
      </c>
      <c r="GN41" s="21">
        <f>EXP(-LN(2)/2)*GN40+(1-EXP(-LN(2)/2))/(LN(2)/2)*GH41*GK41*VLOOKUP('Données projet'!$B$17,Paramètres!$A$1:$I$89,3,0)*0.475*44/12</f>
        <v>4.4587523972004286</v>
      </c>
      <c r="GO41" s="21">
        <f t="shared" si="27"/>
        <v>9.8420865980970653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13.2</v>
      </c>
      <c r="GU41" s="12">
        <f>IF('Données projet'!$A$270&gt;35,GU40+GT41-HC40,IF(A41&lt;'Données projet'!$A$270,$GR$205^A41,IF(A41='Données projet'!$A$270,'Données projet'!$B$270,GU40+GT41-HC40)))</f>
        <v>236.59999999999997</v>
      </c>
      <c r="GV41" s="17">
        <f>GU41*VLOOKUP('Données projet'!$B$18,Paramètres!$A$1:$I$89,3,0)*VLOOKUP('Données projet'!$B$18,Paramètres!$A$1:$I$89,5,0)</f>
        <v>158.71127999999999</v>
      </c>
      <c r="GW41" s="13">
        <f t="shared" si="51"/>
        <v>40.551704343293025</v>
      </c>
      <c r="GX41" s="20">
        <f t="shared" si="28"/>
        <v>347.04969773123526</v>
      </c>
      <c r="GY41" s="59">
        <f t="shared" si="29"/>
        <v>640.38303106456851</v>
      </c>
      <c r="GZ41" s="59">
        <f ca="1">AVERAGE(OFFSET($GY$3,0,0,'Données projet'!$E$18+1,1))-AVERAGE(OFFSET($H$3,0,0,'Données projet'!$E$18+1,1))</f>
        <v>268.04554291387961</v>
      </c>
      <c r="HA41" s="59">
        <f t="shared" si="52"/>
        <v>263.70463099437148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0</v>
      </c>
      <c r="HH41" s="21">
        <f>EXP(-LN(2)/25)*HH40+(1-EXP(-LN(2)/25))/(LN(2)/25)*Calculateur!HC41*Calculateur!HE41*VLOOKUP('Données projet'!$B$18,Paramètres!$A$1:$I$89,3,0)*0.475*44/12</f>
        <v>4.5388896203638316</v>
      </c>
      <c r="HI41" s="21">
        <f>EXP(-LN(2)/2)*HI40+(1-EXP(-LN(2)/2))/(LN(2)/2)*HC41*HF41*VLOOKUP('Données projet'!$B$18,Paramètres!$A$1:$I$89,3,0)*0.475*44/12</f>
        <v>3.7593402564631071</v>
      </c>
      <c r="HJ41" s="22">
        <f t="shared" si="30"/>
        <v>8.2982298768269391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8.1999999999999993</v>
      </c>
      <c r="N42" s="13">
        <f>IF('Données projet'!$A$36&gt;35,N41+M42-V41,IF(A42&lt;'Données projet'!$A$36,$K$205^A42,IF(A42='Données projet'!$A$36,'Données projet'!$B$36,N41+M42-V41)))</f>
        <v>122.8</v>
      </c>
      <c r="O42" s="13">
        <f>N42*VLOOKUP('Données projet'!$B$9,Paramètres!$A$1:$I$89,3,0)*VLOOKUP('Données projet'!$B$9,Paramètres!$A$1:$I$89,5,0)</f>
        <v>54.277600000000007</v>
      </c>
      <c r="P42" s="13">
        <f t="shared" si="33"/>
        <v>15.713135622179719</v>
      </c>
      <c r="Q42" s="20">
        <f t="shared" si="53"/>
        <v>121.90053120862969</v>
      </c>
      <c r="R42" s="59">
        <f t="shared" si="0"/>
        <v>415.23386454196299</v>
      </c>
      <c r="S42" s="59">
        <f ca="1">AVERAGE(OFFSET($R$3,0,0,'Données projet'!$E$9+1,1))-AVERAGE(OFFSET($H$3,0,0,'Données projet'!$E$9+1,1))</f>
        <v>46.095319339746538</v>
      </c>
      <c r="T42" s="59">
        <f t="shared" si="34"/>
        <v>48.158174304064403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4.0148257570686532</v>
      </c>
      <c r="AB42" s="21">
        <f>EXP(-LN(2)/2)*AB41+(1-EXP(-LN(2)/2))/(LN(2)/2)*V42*Y42*VLOOKUP('Données projet'!$B$9,Paramètres!$A$1:$I$89,3,0)*0.475*44/12</f>
        <v>1.006964787273972</v>
      </c>
      <c r="AC42" s="22">
        <f t="shared" si="3"/>
        <v>5.0217905443426254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21.333333333333332</v>
      </c>
      <c r="AI42" s="13">
        <f>IF('Données projet'!$A$62&gt;35,AI41+AH42-AQ41,IF(A42&lt;'Données projet'!$A$62,$AF$205^A42,IF(A42='Données projet'!$A$62,'Données projet'!$B$62,AI41+AH42-AQ41)))</f>
        <v>515.66666666666652</v>
      </c>
      <c r="AJ42" s="13">
        <f>AI42*VLOOKUP('Données projet'!$B$10,Paramètres!$A$1:$I$89,3,0)*VLOOKUP('Données projet'!$B$10,Paramètres!$A$1:$I$89,5,0)</f>
        <v>308.36866666666663</v>
      </c>
      <c r="AK42" s="13">
        <f t="shared" si="35"/>
        <v>72.928038295823441</v>
      </c>
      <c r="AL42" s="20">
        <f t="shared" si="4"/>
        <v>664.09176114300351</v>
      </c>
      <c r="AM42" s="59">
        <f t="shared" si="5"/>
        <v>957.42509447633688</v>
      </c>
      <c r="AN42" s="59">
        <f ca="1">AVERAGE(OFFSET($AM$3,0,0,'Données projet'!$E$10+1,1))-AVERAGE(OFFSET($H$3,0,0,'Données projet'!$E$10+1,1))</f>
        <v>408.84545509668794</v>
      </c>
      <c r="AO42" s="59">
        <f t="shared" si="36"/>
        <v>409.9253979841132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2.5219261900363508</v>
      </c>
      <c r="AV42" s="21">
        <f>EXP(-LN(2)/25)*AV41+(1-EXP(-LN(2)/25))/(LN(2)/25)*Calculateur!AQ42*Calculateur!AS42*VLOOKUP('Données projet'!$B$10,Paramètres!$A$1:$I$89,3,0)*0.475*44/12</f>
        <v>24.941892370137584</v>
      </c>
      <c r="AW42" s="21">
        <f>EXP(-LN(2)/2)*AW41+(1-EXP(-LN(2)/2))/(LN(2)/2)*AQ42*AT42*VLOOKUP('Données projet'!$B$10,Paramètres!$A$1:$I$89,3,0)*0.475*44/12</f>
        <v>2.1966817139533217</v>
      </c>
      <c r="AX42" s="21">
        <f t="shared" si="6"/>
        <v>29.660500274127255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17.600000000000001</v>
      </c>
      <c r="BD42" s="12">
        <f>IF('Données projet'!$A$88&gt;35,BD41+BC42-BL41,IF(A42&lt;'Données projet'!$A$88,$BA$205^A42,IF(A42='Données projet'!$A$88,'Données projet'!$B$88,BD41+BC42-BL41)))</f>
        <v>314.40000000000015</v>
      </c>
      <c r="BE42" s="13">
        <f>BD42*VLOOKUP('Données projet'!$B$11,Paramètres!$A$1:$I$89,3,0)*VLOOKUP('Données projet'!$B$11,Paramètres!$A$1:$I$89,5,0)</f>
        <v>188.01120000000012</v>
      </c>
      <c r="BF42" s="13">
        <f t="shared" si="37"/>
        <v>47.099988496591031</v>
      </c>
      <c r="BG42" s="20">
        <f t="shared" si="7"/>
        <v>409.48531996489623</v>
      </c>
      <c r="BH42" s="59">
        <f t="shared" si="8"/>
        <v>702.81865329822949</v>
      </c>
      <c r="BI42" s="59">
        <f ca="1">AVERAGE(OFFSET($BH$3,0,0,'Données projet'!$E$11+1,1))-AVERAGE(OFFSET($H$3,0,0,'Données projet'!$E$11+1,1))</f>
        <v>279.69031306919914</v>
      </c>
      <c r="BJ42" s="59">
        <f t="shared" si="38"/>
        <v>297.01680128882509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27.743868081384626</v>
      </c>
      <c r="BR42" s="21">
        <f>EXP(-LN(2)/2)*BR41+(1-EXP(-LN(2)/2))/(LN(2)/2)*BL42*BO42*VLOOKUP('Données projet'!$B$11,Paramètres!$A$1:$I$89,3,0)*0.475*44/12</f>
        <v>4.2508863718797194</v>
      </c>
      <c r="BS42" s="22">
        <f t="shared" si="9"/>
        <v>31.994754453264346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7.5</v>
      </c>
      <c r="BY42" s="12">
        <f>IF('Données projet'!$A$114&gt;35,BY41+BX42-CG41,IF(A42&lt;'Données projet'!$A$114,$BV$205^A42,IF(A42='Données projet'!$A$114,'Données projet'!$B$114,BY41+BX42-CG41)))</f>
        <v>130.5</v>
      </c>
      <c r="BZ42" s="13">
        <f>BY42*VLOOKUP('Données projet'!$B$12,Paramètres!$A$1:$I$89,3,0)*VLOOKUP('Données projet'!$B$12,Paramètres!$A$1:$I$89,5,0)</f>
        <v>78.039000000000001</v>
      </c>
      <c r="CA42" s="13">
        <f t="shared" si="39"/>
        <v>21.657019080358005</v>
      </c>
      <c r="CB42" s="20">
        <f t="shared" si="10"/>
        <v>173.63723323162355</v>
      </c>
      <c r="CC42" s="59">
        <f t="shared" si="11"/>
        <v>466.97056656495687</v>
      </c>
      <c r="CD42" s="59">
        <f ca="1">AVERAGE(OFFSET($CC$3,0,0,'Données projet'!$E$12+1,1))-AVERAGE(OFFSET($H$3,0,0,'Données projet'!$E$12+1,1))</f>
        <v>81.299024916151723</v>
      </c>
      <c r="CE42" s="59">
        <f t="shared" si="40"/>
        <v>88.106373324240167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1.6166193525874046</v>
      </c>
      <c r="CL42" s="21">
        <f>EXP(-LN(2)/25)*CL41+(1-EXP(-LN(2)/25))/(LN(2)/25)*Calculateur!CG42*Calculateur!CI42*VLOOKUP('Données projet'!$B$12,Paramètres!$A$1:$I$89,3,0)*0.475*44/12</f>
        <v>7.9098247176233309</v>
      </c>
      <c r="CM42" s="21">
        <f>EXP(-LN(2)/2)*CM41+(1-EXP(-LN(2)/2))/(LN(2)/2)*CG42*CJ42*VLOOKUP('Données projet'!$B$12,Paramètres!$A$1:$I$89,3,0)*0.475*44/12</f>
        <v>1.2949077175955641</v>
      </c>
      <c r="CN42" s="22">
        <f t="shared" si="12"/>
        <v>10.8213517878063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27</v>
      </c>
      <c r="CT42" s="12">
        <f>IF('Données projet'!$A$140&gt;35,CT41+CS42-DB41,IF(A42&lt;'Données projet'!$A$140,$CQ$205^A42,IF(A42='Données projet'!$A$140,'Données projet'!$B$140,CT41+CS42-DB41)))</f>
        <v>611.99999999999989</v>
      </c>
      <c r="CU42" s="17">
        <f>CT42*VLOOKUP('Données projet'!$B$13,Paramètres!$A$1:$I$89,3,0)*VLOOKUP('Données projet'!$B$13,Paramètres!$A$1:$I$89,5,0)</f>
        <v>342.10799999999995</v>
      </c>
      <c r="CV42" s="13">
        <f t="shared" si="41"/>
        <v>79.935315774430151</v>
      </c>
      <c r="CW42" s="20">
        <f t="shared" si="13"/>
        <v>735.0587749737989</v>
      </c>
      <c r="CX42" s="59">
        <f t="shared" si="14"/>
        <v>1028.3921083071323</v>
      </c>
      <c r="CY42" s="59">
        <f ca="1">AVERAGE(OFFSET($CX$3,0,0,'Données projet'!$E$13+1,1))-AVERAGE(OFFSET($H$3,0,0,'Données projet'!$E$13+1,1))</f>
        <v>475.42482703895411</v>
      </c>
      <c r="CZ42" s="59">
        <f t="shared" si="42"/>
        <v>593.51433014569966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16.994371405632066</v>
      </c>
      <c r="DG42" s="21">
        <f>EXP(-LN(2)/25)*DG41+(1-EXP(-LN(2)/25))/(LN(2)/25)*Calculateur!DB42*Calculateur!DD42*VLOOKUP('Données projet'!$B$13,Paramètres!$A$1:$I$89,3,0)*0.475*44/12</f>
        <v>35.358120031156695</v>
      </c>
      <c r="DH42" s="21">
        <f>EXP(-LN(2)/2)*DH41+(1-EXP(-LN(2)/2))/(LN(2)/2)*DB42*DE42*VLOOKUP('Données projet'!$B$13,Paramètres!$A$1:$I$89,3,0)*0.475*44/12</f>
        <v>4.5584292150196166</v>
      </c>
      <c r="DI42" s="22">
        <f t="shared" si="15"/>
        <v>56.910920651808375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9.875</v>
      </c>
      <c r="DO42" s="12">
        <f>IF('Données projet'!$A$166&gt;35,DO41+DN42-DW41,IF(A42&lt;'Données projet'!$A$166,$DL$205^A42,IF(A42='Données projet'!$A$166,'Données projet'!$B$166,DO41+DN42-DW41)))</f>
        <v>138.625</v>
      </c>
      <c r="DP42" s="17">
        <f>DO42*VLOOKUP('Données projet'!$B$14,Paramètres!$A$1:$I$89,3,0)*VLOOKUP('Données projet'!$B$14,Paramètres!$A$1:$I$89,5,0)</f>
        <v>125.42789999999999</v>
      </c>
      <c r="DQ42" s="13">
        <f t="shared" si="43"/>
        <v>32.937689922759176</v>
      </c>
      <c r="DR42" s="20">
        <f t="shared" si="16"/>
        <v>275.82006911547222</v>
      </c>
      <c r="DS42" s="59">
        <f t="shared" si="17"/>
        <v>569.15340244880554</v>
      </c>
      <c r="DT42" s="59">
        <f ca="1">AVERAGE(OFFSET($DS$3,0,0,'Données projet'!$E$14+1,1))-AVERAGE(OFFSET($H$3,0,0,'Données projet'!$E$14+1,1))</f>
        <v>401.17301323870578</v>
      </c>
      <c r="DU42" s="59">
        <f t="shared" si="44"/>
        <v>201.57993789149754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7.3</v>
      </c>
      <c r="EJ42" s="12">
        <f>IF('Données projet'!$A$192&gt;35,EJ41+EI42-ER41,IF(A42&lt;'Données projet'!$A$192,$EG$205^A42,IF(A42='Données projet'!$A$192,'Données projet'!$B$192,EJ41+EI42-ER41)))</f>
        <v>205.7000000000001</v>
      </c>
      <c r="EK42" s="17">
        <f>EJ42*VLOOKUP('Données projet'!$B$15,Paramètres!$A$1:$I$89,3,0)*VLOOKUP('Données projet'!$B$15,Paramètres!$A$1:$I$89,5,0)</f>
        <v>179.69952000000009</v>
      </c>
      <c r="EL42" s="13">
        <f t="shared" si="45"/>
        <v>45.25532840359331</v>
      </c>
      <c r="EM42" s="20">
        <f t="shared" si="19"/>
        <v>391.79636096959183</v>
      </c>
      <c r="EN42" s="59">
        <f t="shared" si="20"/>
        <v>685.12969430292515</v>
      </c>
      <c r="EO42" s="59">
        <f ca="1">AVERAGE(OFFSET($EN$3,0,0,'Données projet'!$E$15+1,1))-AVERAGE(OFFSET($H$3,0,0,'Données projet'!$E$15+1,1))</f>
        <v>237.8483058552178</v>
      </c>
      <c r="EP42" s="59">
        <f t="shared" si="46"/>
        <v>313.36201272119723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13.2</v>
      </c>
      <c r="FE42" s="12">
        <f>IF('Données projet'!$A$218&gt;35,FE41+FD42-FM41,IF(A42&lt;'Données projet'!$A$218,$FB$205^A42,IF(A42='Données projet'!$A$218,'Données projet'!$B$218,FE41+FD42-FM41)))</f>
        <v>249.79999999999995</v>
      </c>
      <c r="FF42" s="17">
        <f>FE42*VLOOKUP('Données projet'!$B$16,Paramètres!$A$1:$I$89,3,0)*VLOOKUP('Données projet'!$B$16,Paramètres!$A$1:$I$89,5,0)</f>
        <v>194.84399999999997</v>
      </c>
      <c r="FG42" s="13">
        <f t="shared" si="47"/>
        <v>48.609318297492194</v>
      </c>
      <c r="FH42" s="20">
        <f t="shared" si="22"/>
        <v>424.01452936813217</v>
      </c>
      <c r="FI42" s="59">
        <f t="shared" si="23"/>
        <v>717.34786270146549</v>
      </c>
      <c r="FJ42" s="59">
        <f ca="1">AVERAGE(OFFSET($FI$3,0,0,'Données projet'!$E$16+1,1))-AVERAGE(OFFSET($H$3,0,0,'Données projet'!$E$16+1,1))</f>
        <v>318.52984981739411</v>
      </c>
      <c r="FK42" s="59">
        <f t="shared" si="48"/>
        <v>311.56398336941714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4.1648806084954257</v>
      </c>
      <c r="FS42" s="21">
        <f>EXP(-LN(2)/2)*FS41+(1-EXP(-LN(2)/2))/(LN(2)/2)*FM42*FP42*VLOOKUP('Données projet'!$B$16,Paramètres!$A$1:$I$89,3,0)*0.475*44/12</f>
        <v>3.0909941722472527</v>
      </c>
      <c r="FT42" s="22">
        <f t="shared" si="24"/>
        <v>7.255874780742678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13.2</v>
      </c>
      <c r="FZ42" s="12">
        <f>IF('Données projet'!$A$244&gt;35,FZ41+FY42-GH41,IF(A42&lt;'Données projet'!$A$244,$FW$205^A42,IF(A42='Données projet'!$A$244,'Données projet'!$B$244,FZ41+FY42-GH41)))</f>
        <v>249.79999999999995</v>
      </c>
      <c r="GA42" s="17">
        <f>FZ42*VLOOKUP('Données projet'!$B$17,Paramètres!$A$1:$I$89,3,0)*VLOOKUP('Données projet'!$B$17,Paramètres!$A$1:$I$89,5,0)</f>
        <v>198.74087999999998</v>
      </c>
      <c r="GB42" s="13">
        <f t="shared" si="49"/>
        <v>49.467349630825638</v>
      </c>
      <c r="GC42" s="20">
        <f t="shared" si="25"/>
        <v>432.29599994035453</v>
      </c>
      <c r="GD42" s="59">
        <f t="shared" si="26"/>
        <v>725.62933327368785</v>
      </c>
      <c r="GE42" s="59">
        <f ca="1">AVERAGE(OFFSET($GD$3,0,0,'Données projet'!$E$17+1,1))-AVERAGE(OFFSET($H$3,0,0,'Données projet'!$E$17+1,1))</f>
        <v>325.72928944930294</v>
      </c>
      <c r="GF42" s="59">
        <f t="shared" si="50"/>
        <v>318.38876834819752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5.2361266440758767</v>
      </c>
      <c r="GN42" s="21">
        <f>EXP(-LN(2)/2)*GN41+(1-EXP(-LN(2)/2))/(LN(2)/2)*GH42*GK42*VLOOKUP('Données projet'!$B$17,Paramètres!$A$1:$I$89,3,0)*0.475*44/12</f>
        <v>3.1528140556921977</v>
      </c>
      <c r="GO42" s="21">
        <f t="shared" si="27"/>
        <v>8.3889406997680744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13.2</v>
      </c>
      <c r="GU42" s="12">
        <f>IF('Données projet'!$A$270&gt;35,GU41+GT42-HC41,IF(A42&lt;'Données projet'!$A$270,$GR$205^A42,IF(A42='Données projet'!$A$270,'Données projet'!$B$270,GU41+GT42-HC41)))</f>
        <v>249.79999999999995</v>
      </c>
      <c r="GV42" s="17">
        <f>GU42*VLOOKUP('Données projet'!$B$18,Paramètres!$A$1:$I$89,3,0)*VLOOKUP('Données projet'!$B$18,Paramètres!$A$1:$I$89,5,0)</f>
        <v>167.56583999999995</v>
      </c>
      <c r="GW42" s="13">
        <f t="shared" si="51"/>
        <v>42.54439596624875</v>
      </c>
      <c r="GX42" s="20">
        <f t="shared" si="28"/>
        <v>365.94199430788308</v>
      </c>
      <c r="GY42" s="59">
        <f t="shared" si="29"/>
        <v>659.27532764121634</v>
      </c>
      <c r="GZ42" s="59">
        <f ca="1">AVERAGE(OFFSET($GY$3,0,0,'Données projet'!$E$18+1,1))-AVERAGE(OFFSET($H$3,0,0,'Données projet'!$E$18+1,1))</f>
        <v>268.04554291387961</v>
      </c>
      <c r="HA42" s="59">
        <f t="shared" si="52"/>
        <v>263.70463099437148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0</v>
      </c>
      <c r="HH42" s="21">
        <f>EXP(-LN(2)/25)*HH41+(1-EXP(-LN(2)/25))/(LN(2)/25)*Calculateur!HC42*Calculateur!HE42*VLOOKUP('Données projet'!$B$18,Paramètres!$A$1:$I$89,3,0)*0.475*44/12</f>
        <v>4.4147734450051512</v>
      </c>
      <c r="HI42" s="21">
        <f>EXP(-LN(2)/2)*HI41+(1-EXP(-LN(2)/2))/(LN(2)/2)*HC42*HF42*VLOOKUP('Données projet'!$B$18,Paramètres!$A$1:$I$89,3,0)*0.475*44/12</f>
        <v>2.6582549881326378</v>
      </c>
      <c r="HJ42" s="22">
        <f t="shared" si="30"/>
        <v>7.0730284331377895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131</v>
      </c>
      <c r="L43" s="12">
        <f>VLOOKUP(A43,'Données projet'!$A$35:$I$55,9,0)</f>
        <v>8.1999999999999993</v>
      </c>
      <c r="M43" s="12">
        <f t="array" ref="M43">INDEX(L:L,MIN(IF(ISNUMBER(L43:L239),ROW(L43:L239),"")))</f>
        <v>8.1999999999999993</v>
      </c>
      <c r="N43" s="13">
        <f>IF('Données projet'!$A$36&gt;35,N42+M43-V42,IF(A43&lt;'Données projet'!$A$36,$K$205^A43,IF(A43='Données projet'!$A$36,'Données projet'!$B$36,N42+M43-V42)))</f>
        <v>131</v>
      </c>
      <c r="O43" s="13">
        <f>N43*VLOOKUP('Données projet'!$B$9,Paramètres!$A$1:$I$89,3,0)*VLOOKUP('Données projet'!$B$9,Paramètres!$A$1:$I$89,5,0)</f>
        <v>57.902000000000008</v>
      </c>
      <c r="P43" s="13">
        <f t="shared" si="33"/>
        <v>16.636734997961913</v>
      </c>
      <c r="Q43" s="20">
        <f t="shared" si="53"/>
        <v>129.82163012145034</v>
      </c>
      <c r="R43" s="59">
        <f t="shared" si="0"/>
        <v>423.15496345478368</v>
      </c>
      <c r="S43" s="59">
        <f ca="1">AVERAGE(OFFSET($R$3,0,0,'Données projet'!$E$9+1,1))-AVERAGE(OFFSET($H$3,0,0,'Données projet'!$E$9+1,1))</f>
        <v>46.095319339746538</v>
      </c>
      <c r="T43" s="59">
        <f t="shared" si="34"/>
        <v>48.158174304064403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20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0.27</v>
      </c>
      <c r="Y43" s="16">
        <f>IF(ISNA(VLOOKUP(A43,'Données projet'!$A$35:$I$55,7,0)),0%,VLOOKUP(A43,'Données projet'!$A$35:$I$55,7,0))</f>
        <v>0.4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7.0588174686263212</v>
      </c>
      <c r="AB43" s="21">
        <f>EXP(-LN(2)/2)*AB42+(1-EXP(-LN(2)/2))/(LN(2)/2)*V43*Y43*VLOOKUP('Données projet'!$B$9,Paramètres!$A$1:$I$89,3,0)*0.475*44/12</f>
        <v>4.7156050335510793</v>
      </c>
      <c r="AC43" s="22">
        <f t="shared" si="3"/>
        <v>11.774422502177401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537</v>
      </c>
      <c r="AG43" s="12">
        <f>VLOOKUP(A43,'Données projet'!$A$61:$I$81,9,0)</f>
        <v>21.333333333333332</v>
      </c>
      <c r="AH43" s="12">
        <f t="array" ref="AH43">INDEX(AG:AG,MIN(IF(ISNUMBER(AG43:AG239),ROW(AG43:AG239),"")))</f>
        <v>21.333333333333332</v>
      </c>
      <c r="AI43" s="13">
        <f>IF('Données projet'!$A$62&gt;35,AI42+AH43-AQ42,IF(A43&lt;'Données projet'!$A$62,$AF$205^A43,IF(A43='Données projet'!$A$62,'Données projet'!$B$62,AI42+AH43-AQ42)))</f>
        <v>536.99999999999989</v>
      </c>
      <c r="AJ43" s="13">
        <f>AI43*VLOOKUP('Données projet'!$B$10,Paramètres!$A$1:$I$89,3,0)*VLOOKUP('Données projet'!$B$10,Paramètres!$A$1:$I$89,5,0)</f>
        <v>321.12599999999998</v>
      </c>
      <c r="AK43" s="13">
        <f t="shared" si="35"/>
        <v>75.587591944000323</v>
      </c>
      <c r="AL43" s="20">
        <f t="shared" si="4"/>
        <v>690.94283930246718</v>
      </c>
      <c r="AM43" s="59">
        <f t="shared" si="5"/>
        <v>984.27617263580055</v>
      </c>
      <c r="AN43" s="59">
        <f ca="1">AVERAGE(OFFSET($AM$3,0,0,'Données projet'!$E$10+1,1))-AVERAGE(OFFSET($H$3,0,0,'Données projet'!$E$10+1,1))</f>
        <v>408.84545509668794</v>
      </c>
      <c r="AO43" s="59">
        <f t="shared" si="36"/>
        <v>409.9253979841132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36</v>
      </c>
      <c r="AR43" s="16">
        <f>IF(ISNA(VLOOKUP(A43,'Données projet'!$A$61:$I$81,5,0)),0%,VLOOKUP(A43,'Données projet'!$A$61:$I$81,5,0)*VLOOKUP('Données projet'!$B$10,Paramètres!$A$1:$I$89,7,0))</f>
        <v>9.0000000000000011E-2</v>
      </c>
      <c r="AS43" s="16">
        <f>IF(ISNA(VLOOKUP(A43,'Données projet'!$A$61:$I$81,6,0)),0%,VLOOKUP(A43,'Données projet'!$A$61:$I$81,6,0)*VLOOKUP('Données projet'!$B$10,Paramètres!$A$1:$I$89,7,0))</f>
        <v>0.18000000000000002</v>
      </c>
      <c r="AT43" s="16">
        <f>IF(ISNA(VLOOKUP(A43,'Données projet'!$A$61:$I$81,7,0)),0%,VLOOKUP(A43,'Données projet'!$A$61:$I$81,7,0))</f>
        <v>0.4</v>
      </c>
      <c r="AU43" s="21">
        <f>EXP(-LN(2)/35)*AU42+(1-EXP(-LN(2)/35))/(LN(2)/35)*AQ43*AR43*VLOOKUP('Données projet'!$B$10,Paramètres!$A$1:$I$89,3,0)*0.475*44/12</f>
        <v>5.0427179193760452</v>
      </c>
      <c r="AV43" s="21">
        <f>EXP(-LN(2)/25)*AV42+(1-EXP(-LN(2)/25))/(LN(2)/25)*Calculateur!AQ43*Calculateur!AS43*VLOOKUP('Données projet'!$B$10,Paramètres!$A$1:$I$89,3,0)*0.475*44/12</f>
        <v>29.380105269946124</v>
      </c>
      <c r="AW43" s="21">
        <f>EXP(-LN(2)/2)*AW42+(1-EXP(-LN(2)/2))/(LN(2)/2)*AQ43*AT43*VLOOKUP('Données projet'!$B$10,Paramètres!$A$1:$I$89,3,0)*0.475*44/12</f>
        <v>11.303167296504784</v>
      </c>
      <c r="AX43" s="21">
        <f t="shared" si="6"/>
        <v>45.725990485826955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332</v>
      </c>
      <c r="BB43" s="12">
        <f>VLOOKUP(A43,'Données projet'!$A$87:$I$107,9,0)</f>
        <v>17.600000000000001</v>
      </c>
      <c r="BC43" s="12">
        <f t="array" ref="BC43">INDEX(BB:BB,MIN(IF(ISNUMBER(BB43:BB239),ROW(BB43:BB239),"")))</f>
        <v>17.600000000000001</v>
      </c>
      <c r="BD43" s="12">
        <f>IF('Données projet'!$A$88&gt;35,BD42+BC43-BL42,IF(A43&lt;'Données projet'!$A$88,$BA$205^A43,IF(A43='Données projet'!$A$88,'Données projet'!$B$88,BD42+BC43-BL42)))</f>
        <v>332.00000000000017</v>
      </c>
      <c r="BE43" s="13">
        <f>BD43*VLOOKUP('Données projet'!$B$11,Paramètres!$A$1:$I$89,3,0)*VLOOKUP('Données projet'!$B$11,Paramètres!$A$1:$I$89,5,0)</f>
        <v>198.53600000000012</v>
      </c>
      <c r="BF43" s="13">
        <f t="shared" si="37"/>
        <v>49.42228739122875</v>
      </c>
      <c r="BG43" s="20">
        <f t="shared" si="7"/>
        <v>431.86068387305687</v>
      </c>
      <c r="BH43" s="59">
        <f t="shared" si="8"/>
        <v>725.19401720639019</v>
      </c>
      <c r="BI43" s="59">
        <f ca="1">AVERAGE(OFFSET($BH$3,0,0,'Données projet'!$E$11+1,1))-AVERAGE(OFFSET($H$3,0,0,'Données projet'!$E$11+1,1))</f>
        <v>279.69031306919914</v>
      </c>
      <c r="BJ43" s="59">
        <f t="shared" si="38"/>
        <v>297.01680128882509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48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0.27</v>
      </c>
      <c r="BO43" s="16">
        <f>IF(ISNA(VLOOKUP(A43,'Données projet'!$A$87:$I$107,7,0)),0%,VLOOKUP(A43,'Données projet'!$A$87:$I$107,7,0))</f>
        <v>0.4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37.225711066326681</v>
      </c>
      <c r="BR43" s="21">
        <f>EXP(-LN(2)/2)*BR42+(1-EXP(-LN(2)/2))/(LN(2)/2)*BL43*BO43*VLOOKUP('Données projet'!$B$11,Paramètres!$A$1:$I$89,3,0)*0.475*44/12</f>
        <v>16.005668926889502</v>
      </c>
      <c r="BS43" s="22">
        <f t="shared" si="9"/>
        <v>53.23137999321618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138</v>
      </c>
      <c r="BW43" s="12">
        <f>VLOOKUP(A43,'Données projet'!$A$113:$I$133,9,0)</f>
        <v>7.5</v>
      </c>
      <c r="BX43" s="12">
        <f t="array" ref="BX43">INDEX(BW:BW,MIN(IF(ISNUMBER(BW43:BW239),ROW(BW43:BW239),"")))</f>
        <v>7.5</v>
      </c>
      <c r="BY43" s="12">
        <f>IF('Données projet'!$A$114&gt;35,BY42+BX43-CG42,IF(A43&lt;'Données projet'!$A$114,$BV$205^A43,IF(A43='Données projet'!$A$114,'Données projet'!$B$114,BY42+BX43-CG42)))</f>
        <v>138</v>
      </c>
      <c r="BZ43" s="13">
        <f>BY43*VLOOKUP('Données projet'!$B$12,Paramètres!$A$1:$I$89,3,0)*VLOOKUP('Données projet'!$B$12,Paramètres!$A$1:$I$89,5,0)</f>
        <v>82.524000000000001</v>
      </c>
      <c r="CA43" s="13">
        <f t="shared" si="39"/>
        <v>22.753195154502869</v>
      </c>
      <c r="CB43" s="20">
        <f t="shared" si="10"/>
        <v>183.35778156075915</v>
      </c>
      <c r="CC43" s="59">
        <f t="shared" si="11"/>
        <v>476.69111489409249</v>
      </c>
      <c r="CD43" s="59">
        <f ca="1">AVERAGE(OFFSET($CC$3,0,0,'Données projet'!$E$12+1,1))-AVERAGE(OFFSET($H$3,0,0,'Données projet'!$E$12+1,1))</f>
        <v>81.299024916151723</v>
      </c>
      <c r="CE43" s="59">
        <f t="shared" si="40"/>
        <v>88.106373324240167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23</v>
      </c>
      <c r="CH43" s="16">
        <f>IF(ISNA(VLOOKUP(A43,'Données projet'!$A$113:$I$133,5,0)),0%,VLOOKUP(A43,'Données projet'!$A$113:$I$133,5,0)*VLOOKUP('Données projet'!$B$12,Paramètres!$A$1:$I$89,7,0))</f>
        <v>9.0000000000000011E-2</v>
      </c>
      <c r="CI43" s="16">
        <f>IF(ISNA(VLOOKUP(A43,'Données projet'!$A$113:$I$133,6,0)),0%,VLOOKUP(A43,'Données projet'!$A$113:$I$133,6,0)*VLOOKUP('Données projet'!$B$12,Paramètres!$A$1:$I$89,7,0))</f>
        <v>0.18000000000000002</v>
      </c>
      <c r="CJ43" s="16">
        <f>IF(ISNA(VLOOKUP(A43,'Données projet'!$A$113:$I$133,7,0)),0%,VLOOKUP(A43,'Données projet'!$A$113:$I$133,7,0))</f>
        <v>0.4</v>
      </c>
      <c r="CK43" s="21">
        <f>EXP(-LN(2)/35)*CK42+(1-EXP(-LN(2)/35))/(LN(2)/35)*CG43*CH43*VLOOKUP('Données projet'!$B$12,Paramètres!$A$1:$I$89,3,0)*0.475*44/12</f>
        <v>3.2270195099339967</v>
      </c>
      <c r="CL43" s="21">
        <f>EXP(-LN(2)/25)*CL42+(1-EXP(-LN(2)/25))/(LN(2)/25)*Calculateur!CG43*Calculateur!CI43*VLOOKUP('Données projet'!$B$12,Paramètres!$A$1:$I$89,3,0)*0.475*44/12</f>
        <v>10.964801143123164</v>
      </c>
      <c r="CM43" s="21">
        <f>EXP(-LN(2)/2)*CM42+(1-EXP(-LN(2)/2))/(LN(2)/2)*CG43*CJ43*VLOOKUP('Données projet'!$B$12,Paramètres!$A$1:$I$89,3,0)*0.475*44/12</f>
        <v>7.1447272361942238</v>
      </c>
      <c r="CN43" s="22">
        <f t="shared" si="12"/>
        <v>21.336547889251385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639</v>
      </c>
      <c r="CR43" s="12">
        <f>VLOOKUP(A43,'Données projet'!$A$139:$I$159,9,0)</f>
        <v>27</v>
      </c>
      <c r="CS43" s="12">
        <f t="array" ref="CS43">INDEX(CR:CR,MIN(IF(ISNUMBER(CR43:CR239),ROW(CR43:CR239),"")))</f>
        <v>27</v>
      </c>
      <c r="CT43" s="12">
        <f>IF('Données projet'!$A$140&gt;35,CT42+CS43-DB42,IF(A43&lt;'Données projet'!$A$140,$CQ$205^A43,IF(A43='Données projet'!$A$140,'Données projet'!$B$140,CT42+CS43-DB42)))</f>
        <v>638.99999999999989</v>
      </c>
      <c r="CU43" s="17">
        <f>CT43*VLOOKUP('Données projet'!$B$13,Paramètres!$A$1:$I$89,3,0)*VLOOKUP('Données projet'!$B$13,Paramètres!$A$1:$I$89,5,0)</f>
        <v>357.20099999999991</v>
      </c>
      <c r="CV43" s="13">
        <f t="shared" si="41"/>
        <v>83.043509879488369</v>
      </c>
      <c r="CW43" s="20">
        <f t="shared" si="13"/>
        <v>766.75918804010871</v>
      </c>
      <c r="CX43" s="59">
        <f t="shared" si="14"/>
        <v>1060.092521373442</v>
      </c>
      <c r="CY43" s="59">
        <f ca="1">AVERAGE(OFFSET($CX$3,0,0,'Données projet'!$E$13+1,1))-AVERAGE(OFFSET($H$3,0,0,'Données projet'!$E$13+1,1))</f>
        <v>475.42482703895411</v>
      </c>
      <c r="CZ43" s="59">
        <f t="shared" si="42"/>
        <v>593.51433014569966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77</v>
      </c>
      <c r="DC43" s="16">
        <f>IF(ISNA(VLOOKUP(A43,'Données projet'!$A$139:$I$159,5,0)),0%,VLOOKUP(A43,'Données projet'!$A$139:$I$159,5,0)*VLOOKUP('Données projet'!$B$13,Paramètres!$A$1:$I$89,7,0))</f>
        <v>0.27500000000000002</v>
      </c>
      <c r="DD43" s="16">
        <f>IF(ISNA(VLOOKUP(A43,'Données projet'!$A$139:$I$159,6,0)),0%,VLOOKUP(A43,'Données projet'!$A$139:$I$159,6,0)*VLOOKUP('Données projet'!$B$13,Paramètres!$A$1:$I$89,7,0))</f>
        <v>0.16500000000000001</v>
      </c>
      <c r="DE43" s="16">
        <f>IF(ISNA(VLOOKUP(A43,'Données projet'!$A$139:$I$159,7,0)),0%,VLOOKUP(A43,'Données projet'!$A$139:$I$159,7,0))</f>
        <v>0.2</v>
      </c>
      <c r="DF43" s="21">
        <f>EXP(-LN(2)/35)*DF42+(1-EXP(-LN(2)/35))/(LN(2)/35)*DB43*DC43*VLOOKUP('Données projet'!$B$13,Paramètres!$A$1:$I$89,3,0)*0.475*44/12</f>
        <v>32.363433458168807</v>
      </c>
      <c r="DG43" s="21">
        <f>EXP(-LN(2)/25)*DG42+(1-EXP(-LN(2)/25))/(LN(2)/25)*Calculateur!DB43*Calculateur!DD43*VLOOKUP('Données projet'!$B$13,Paramètres!$A$1:$I$89,3,0)*0.475*44/12</f>
        <v>43.775541576049982</v>
      </c>
      <c r="DH43" s="21">
        <f>EXP(-LN(2)/2)*DH42+(1-EXP(-LN(2)/2))/(LN(2)/2)*DB43*DE43*VLOOKUP('Données projet'!$B$13,Paramètres!$A$1:$I$89,3,0)*0.475*44/12</f>
        <v>12.970231165985576</v>
      </c>
      <c r="DI43" s="22">
        <f t="shared" si="15"/>
        <v>89.109206200204369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9.875</v>
      </c>
      <c r="DO43" s="12">
        <f>IF('Données projet'!$A$166&gt;35,DO42+DN43-DW42,IF(A43&lt;'Données projet'!$A$166,$DL$205^A43,IF(A43='Données projet'!$A$166,'Données projet'!$B$166,DO42+DN43-DW42)))</f>
        <v>148.5</v>
      </c>
      <c r="DP43" s="17">
        <f>DO43*VLOOKUP('Données projet'!$B$14,Paramètres!$A$1:$I$89,3,0)*VLOOKUP('Données projet'!$B$14,Paramètres!$A$1:$I$89,5,0)</f>
        <v>134.36279999999999</v>
      </c>
      <c r="DQ43" s="13">
        <f t="shared" si="43"/>
        <v>35.002529438504695</v>
      </c>
      <c r="DR43" s="20">
        <f t="shared" si="16"/>
        <v>294.97794877206235</v>
      </c>
      <c r="DS43" s="59">
        <f t="shared" si="17"/>
        <v>588.31128210539566</v>
      </c>
      <c r="DT43" s="59">
        <f ca="1">AVERAGE(OFFSET($DS$3,0,0,'Données projet'!$E$14+1,1))-AVERAGE(OFFSET($H$3,0,0,'Données projet'!$E$14+1,1))</f>
        <v>401.17301323870578</v>
      </c>
      <c r="DU43" s="59">
        <f t="shared" si="44"/>
        <v>201.57993789149754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213</v>
      </c>
      <c r="EH43" s="12">
        <f>VLOOKUP(A43,'Données projet'!$A$191:$I$211,9,0)</f>
        <v>7.3</v>
      </c>
      <c r="EI43" s="12">
        <f t="array" ref="EI43">INDEX(EH:EH,MIN(IF(ISNUMBER(EH43:EH239),ROW(EH43:EH239),"")))</f>
        <v>7.3</v>
      </c>
      <c r="EJ43" s="12">
        <f>IF('Données projet'!$A$192&gt;35,EJ42+EI43-ER42,IF(A43&lt;'Données projet'!$A$192,$EG$205^A43,IF(A43='Données projet'!$A$192,'Données projet'!$B$192,EJ42+EI43-ER42)))</f>
        <v>213.00000000000011</v>
      </c>
      <c r="EK43" s="17">
        <f>EJ43*VLOOKUP('Données projet'!$B$15,Paramètres!$A$1:$I$89,3,0)*VLOOKUP('Données projet'!$B$15,Paramètres!$A$1:$I$89,5,0)</f>
        <v>186.07680000000011</v>
      </c>
      <c r="EL43" s="13">
        <f t="shared" si="45"/>
        <v>46.671538591528716</v>
      </c>
      <c r="EM43" s="20">
        <f t="shared" si="19"/>
        <v>405.37002304691265</v>
      </c>
      <c r="EN43" s="59">
        <f t="shared" si="20"/>
        <v>698.70335638024596</v>
      </c>
      <c r="EO43" s="59">
        <f ca="1">AVERAGE(OFFSET($EN$3,0,0,'Données projet'!$E$15+1,1))-AVERAGE(OFFSET($H$3,0,0,'Données projet'!$E$15+1,1))</f>
        <v>237.8483058552178</v>
      </c>
      <c r="EP43" s="59">
        <f t="shared" si="46"/>
        <v>313.36201272119723</v>
      </c>
      <c r="EQ43" s="15">
        <f>IF(ISNA(VLOOKUP(A43,'Données projet'!$A$191:$I$211,3,0)),0,VLOOKUP(A43,'Données projet'!$A$191:$I$211,3,0))</f>
        <v>3</v>
      </c>
      <c r="ER43" s="15">
        <f>IF(ISNA(VLOOKUP(A43,'Données projet'!$A$191:$I$211,4,0)),0,VLOOKUP(A43,'Données projet'!$A$191:$I$211,4,0))</f>
        <v>39</v>
      </c>
      <c r="ES43" s="16">
        <f>IF(ISNA(VLOOKUP(A43,'Données projet'!$A$191:$I$211,5,0)),0%,VLOOKUP(A43,'Données projet'!$A$191:$I$211,5,0)*VLOOKUP('Données projet'!$B$15,Paramètres!$A$1:$I$89,7,0))</f>
        <v>8.6000000000000007E-2</v>
      </c>
      <c r="ET43" s="16">
        <f>IF(ISNA(VLOOKUP(A43,'Données projet'!$A$191:$I$211,6,0)),0%,VLOOKUP(A43,'Données projet'!$A$191:$I$211,6,0)*VLOOKUP('Données projet'!$B$15,Paramètres!$A$1:$I$89,7,0))</f>
        <v>0.129</v>
      </c>
      <c r="EU43" s="16">
        <f>IF(ISNA(VLOOKUP(A43,'Données projet'!$A$191:$I$211,7,0)),0%,VLOOKUP(A43,'Données projet'!$A$191:$I$211,7,0))</f>
        <v>0.3</v>
      </c>
      <c r="EV43" s="21">
        <f>EXP(-LN(2)/35)*EV42+(1-EXP(-LN(2)/35))/(LN(2)/35)*ER43*ES43*VLOOKUP('Données projet'!$B$15,Paramètres!$A$1:$I$89,3,0)*0.475*44/12</f>
        <v>3.2390883496201912</v>
      </c>
      <c r="EW43" s="21">
        <f>EXP(-LN(2)/25)*EW42+(1-EXP(-LN(2)/25))/(LN(2)/25)*Calculateur!ER43*Calculateur!ET43*VLOOKUP('Données projet'!$B$15,Paramètres!$A$1:$I$89,3,0)*0.475*44/12</f>
        <v>4.8395022368974736</v>
      </c>
      <c r="EX43" s="21">
        <f>EXP(-LN(2)/2)*EX42+(1-EXP(-LN(2)/2))/(LN(2)/2)*ER43*EU43*VLOOKUP('Données projet'!$B$15,Paramètres!$A$1:$I$89,3,0)*0.475*44/12</f>
        <v>9.643901817411427</v>
      </c>
      <c r="EY43" s="22">
        <f t="shared" si="21"/>
        <v>17.722492403929092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263</v>
      </c>
      <c r="FC43" s="12">
        <f>VLOOKUP(A43,'Données projet'!$A$217:$I$237,9,0)</f>
        <v>13.2</v>
      </c>
      <c r="FD43" s="12">
        <f t="array" ref="FD43">INDEX(FC:FC,MIN(IF(ISNUMBER(FC43:FC239),ROW(FC43:FC239),"")))</f>
        <v>13.2</v>
      </c>
      <c r="FE43" s="12">
        <f>IF('Données projet'!$A$218&gt;35,FE42+FD43-FM42,IF(A43&lt;'Données projet'!$A$218,$FB$205^A43,IF(A43='Données projet'!$A$218,'Données projet'!$B$218,FE42+FD43-FM42)))</f>
        <v>262.99999999999994</v>
      </c>
      <c r="FF43" s="17">
        <f>FE43*VLOOKUP('Données projet'!$B$16,Paramètres!$A$1:$I$89,3,0)*VLOOKUP('Données projet'!$B$16,Paramètres!$A$1:$I$89,5,0)</f>
        <v>205.13999999999996</v>
      </c>
      <c r="FG43" s="13">
        <f t="shared" si="47"/>
        <v>50.872110483472312</v>
      </c>
      <c r="FH43" s="20">
        <f t="shared" si="22"/>
        <v>445.88775909204747</v>
      </c>
      <c r="FI43" s="59">
        <f t="shared" si="23"/>
        <v>739.22109242538079</v>
      </c>
      <c r="FJ43" s="59">
        <f ca="1">AVERAGE(OFFSET($FI$3,0,0,'Données projet'!$E$16+1,1))-AVERAGE(OFFSET($H$3,0,0,'Données projet'!$E$16+1,1))</f>
        <v>318.52984981739411</v>
      </c>
      <c r="FK43" s="59">
        <f t="shared" si="48"/>
        <v>311.56398336941714</v>
      </c>
      <c r="FL43" s="15">
        <f>IF(ISNA(VLOOKUP(A43,'Données projet'!$A$217:$I$237,3,0)),0,VLOOKUP(A43,'Données projet'!$A$217:$I$237,3,0))</f>
        <v>7</v>
      </c>
      <c r="FM43" s="15">
        <f>IF(ISNA(VLOOKUP(A43,'Données projet'!$A$217:$I$237,4,0)),0,VLOOKUP(A43,'Données projet'!$A$217:$I$237,4,0))</f>
        <v>40</v>
      </c>
      <c r="FN43" s="16">
        <f>IF(ISNA(VLOOKUP(A43,'Données projet'!$A$217:$I$237,5,0)),0%,VLOOKUP(A43,'Données projet'!$A$217:$I$237,5,0)*VLOOKUP('Données projet'!$B$16,Paramètres!$A$1:$I$89,7,0))</f>
        <v>4.3000000000000003E-2</v>
      </c>
      <c r="FO43" s="16">
        <f>IF(ISNA(VLOOKUP(A43,'Données projet'!$A$217:$I$237,6,0)),0%,VLOOKUP(A43,'Données projet'!$A$217:$I$237,6,0)*VLOOKUP('Données projet'!$B$16,Paramètres!$A$1:$I$89,7,0))</f>
        <v>0.17200000000000001</v>
      </c>
      <c r="FP43" s="16">
        <f>IF(ISNA(VLOOKUP(A43,'Données projet'!$A$217:$I$237,7,0)),0%,VLOOKUP(A43,'Données projet'!$A$217:$I$237,7,0))</f>
        <v>0.3</v>
      </c>
      <c r="FQ43" s="21">
        <f>EXP(-LN(2)/35)*FQ42+(1-EXP(-LN(2)/35))/(LN(2)/35)*FM43*FN43*VLOOKUP('Données projet'!$B$16,Paramètres!$A$1:$I$89,3,0)*0.475*44/12</f>
        <v>1.4830990611814059</v>
      </c>
      <c r="FR43" s="21">
        <f>EXP(-LN(2)/25)*FR42+(1-EXP(-LN(2)/25))/(LN(2)/25)*Calculateur!FM43*Calculateur!FO43*VLOOKUP('Données projet'!$B$16,Paramètres!$A$1:$I$89,3,0)*0.475*44/12</f>
        <v>9.9600298695245222</v>
      </c>
      <c r="FS43" s="21">
        <f>EXP(-LN(2)/2)*FS42+(1-EXP(-LN(2)/2))/(LN(2)/2)*FM43*FP43*VLOOKUP('Données projet'!$B$16,Paramètres!$A$1:$I$89,3,0)*0.475*44/12</f>
        <v>11.017074860510565</v>
      </c>
      <c r="FT43" s="22">
        <f t="shared" si="24"/>
        <v>22.460203791216493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263</v>
      </c>
      <c r="FX43" s="12">
        <f>VLOOKUP(A43,'Données projet'!$A$243:$I$263,9,0)</f>
        <v>13.2</v>
      </c>
      <c r="FY43" s="12">
        <f t="array" ref="FY43">INDEX(FX:FX,MIN(IF(ISNUMBER(FX43:FX239),ROW(FX43:FX239),"")))</f>
        <v>13.2</v>
      </c>
      <c r="FZ43" s="12">
        <f>IF('Données projet'!$A$244&gt;35,FZ42+FY43-GH42,IF(A43&lt;'Données projet'!$A$244,$FW$205^A43,IF(A43='Données projet'!$A$244,'Données projet'!$B$244,FZ42+FY43-GH42)))</f>
        <v>262.99999999999994</v>
      </c>
      <c r="GA43" s="17">
        <f>FZ43*VLOOKUP('Données projet'!$B$17,Paramètres!$A$1:$I$89,3,0)*VLOOKUP('Données projet'!$B$17,Paramètres!$A$1:$I$89,5,0)</f>
        <v>209.24279999999996</v>
      </c>
      <c r="GB43" s="13">
        <f t="shared" si="49"/>
        <v>51.770083677016814</v>
      </c>
      <c r="GC43" s="20">
        <f t="shared" si="25"/>
        <v>454.59743907080411</v>
      </c>
      <c r="GD43" s="59">
        <f t="shared" si="26"/>
        <v>747.93077240413743</v>
      </c>
      <c r="GE43" s="59">
        <f ca="1">AVERAGE(OFFSET($GD$3,0,0,'Données projet'!$E$17+1,1))-AVERAGE(OFFSET($H$3,0,0,'Données projet'!$E$17+1,1))</f>
        <v>325.72928944930294</v>
      </c>
      <c r="GF43" s="59">
        <f t="shared" si="50"/>
        <v>318.38876834819752</v>
      </c>
      <c r="GG43" s="15">
        <f>IF(ISNA(VLOOKUP(A43,'Données projet'!$A$243:$I$263,3,0)),0,VLOOKUP(A43,'Données projet'!$A$243:$I$263,3,0))</f>
        <v>7</v>
      </c>
      <c r="GH43" s="15">
        <f>IF(ISNA(VLOOKUP(A43,'Données projet'!$A$243:$I$263,4,0)),0,VLOOKUP(A43,'Données projet'!$A$243:$I$263,4,0))</f>
        <v>40</v>
      </c>
      <c r="GI43" s="16">
        <f>IF(ISNA(VLOOKUP(A43,'Données projet'!$A$243:$I$263,5,0)),0%,VLOOKUP(A43,'Données projet'!$A$243:$I$263,5,0)*VLOOKUP('Données projet'!$B$17,Paramètres!$A$1:$I$89,7,0))</f>
        <v>5.3000000000000005E-2</v>
      </c>
      <c r="GJ43" s="16">
        <f>IF(ISNA(VLOOKUP(A43,'Données projet'!$A$243:$I$263,6,0)),0%,VLOOKUP(A43,'Données projet'!$A$243:$I$263,6,0)*VLOOKUP('Données projet'!$B$17,Paramètres!$A$1:$I$89,7,0))</f>
        <v>0.21200000000000002</v>
      </c>
      <c r="GK43" s="16">
        <f>IF(ISNA(VLOOKUP(A43,'Données projet'!$A$243:$I$263,7,0)),0%,VLOOKUP(A43,'Données projet'!$A$243:$I$263,7,0))</f>
        <v>0.3</v>
      </c>
      <c r="GL43" s="21">
        <f>EXP(-LN(2)/35)*GL42+(1-EXP(-LN(2)/35))/(LN(2)/35)*GH43*GI43*VLOOKUP('Données projet'!$B$17,Paramètres!$A$1:$I$89,3,0)*0.475*44/12</f>
        <v>1.8645659359876003</v>
      </c>
      <c r="GM43" s="21">
        <f>EXP(-LN(2)/25)*GM42+(1-EXP(-LN(2)/25))/(LN(2)/25)*Calculateur!GH43*Calculateur!GJ43*VLOOKUP('Données projet'!$B$17,Paramètres!$A$1:$I$89,3,0)*0.475*44/12</f>
        <v>12.521842203406877</v>
      </c>
      <c r="GN43" s="21">
        <f>EXP(-LN(2)/2)*GN42+(1-EXP(-LN(2)/2))/(LN(2)/2)*GH43*GK43*VLOOKUP('Données projet'!$B$17,Paramètres!$A$1:$I$89,3,0)*0.475*44/12</f>
        <v>11.237416357720775</v>
      </c>
      <c r="GO43" s="21">
        <f t="shared" si="27"/>
        <v>25.623824497115251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263</v>
      </c>
      <c r="GS43" s="12">
        <f>VLOOKUP(A43,'Données projet'!$A$269:$I$289,9,0)</f>
        <v>13.2</v>
      </c>
      <c r="GT43" s="12">
        <f t="array" ref="GT43">INDEX(GS:GS,MIN(IF(ISNUMBER(GS43:GS239),ROW(GS43:GS239),"")))</f>
        <v>13.2</v>
      </c>
      <c r="GU43" s="12">
        <f>IF('Données projet'!$A$270&gt;35,GU42+GT43-HC42,IF(A43&lt;'Données projet'!$A$270,$GR$205^A43,IF(A43='Données projet'!$A$270,'Données projet'!$B$270,GU42+GT43-HC42)))</f>
        <v>262.99999999999994</v>
      </c>
      <c r="GV43" s="17">
        <f>GU43*VLOOKUP('Données projet'!$B$18,Paramètres!$A$1:$I$89,3,0)*VLOOKUP('Données projet'!$B$18,Paramètres!$A$1:$I$89,5,0)</f>
        <v>176.42039999999997</v>
      </c>
      <c r="GW43" s="13">
        <f t="shared" si="51"/>
        <v>44.5248624718784</v>
      </c>
      <c r="GX43" s="20">
        <f t="shared" si="28"/>
        <v>384.81299880518822</v>
      </c>
      <c r="GY43" s="59">
        <f t="shared" si="29"/>
        <v>678.14633213852153</v>
      </c>
      <c r="GZ43" s="59">
        <f ca="1">AVERAGE(OFFSET($GY$3,0,0,'Données projet'!$E$18+1,1))-AVERAGE(OFFSET($H$3,0,0,'Données projet'!$E$18+1,1))</f>
        <v>268.04554291387961</v>
      </c>
      <c r="HA43" s="59">
        <f t="shared" si="52"/>
        <v>263.70463099437148</v>
      </c>
      <c r="HB43" s="15">
        <f>IF(ISNA(VLOOKUP(A43,'Données projet'!$A$269:$I$289,3,0)),0,VLOOKUP(A43,'Données projet'!$A$269:$I$289,3,0))</f>
        <v>7</v>
      </c>
      <c r="HC43" s="15">
        <f>IF(ISNA(VLOOKUP(A43,'Données projet'!$A$269:$I$289,4,0)),0,VLOOKUP(A43,'Données projet'!$A$269:$I$289,4,0))</f>
        <v>40</v>
      </c>
      <c r="HD43" s="16">
        <f>IF(ISNA(VLOOKUP(A43,'Données projet'!$A$269:$I$289,5,0)),0%,VLOOKUP(A43,'Données projet'!$A$269:$I$289,5,0)*VLOOKUP('Données projet'!$B$18,Paramètres!$A$1:$I$89,7,0))</f>
        <v>5.3000000000000005E-2</v>
      </c>
      <c r="HE43" s="16">
        <f>IF(ISNA(VLOOKUP(A43,'Données projet'!$A$269:$I$289,6,0)),0%,VLOOKUP(A43,'Données projet'!$A$269:$I$289,6,0)*VLOOKUP('Données projet'!$B$18,Paramètres!$A$1:$I$89,7,0))</f>
        <v>0.21200000000000002</v>
      </c>
      <c r="HF43" s="16">
        <f>IF(ISNA(VLOOKUP(A43,'Données projet'!$A$269:$I$289,7,0)),0%,VLOOKUP(A43,'Données projet'!$A$269:$I$289,7,0))</f>
        <v>0.3</v>
      </c>
      <c r="HG43" s="21">
        <f>EXP(-LN(2)/35)*HG42+(1-EXP(-LN(2)/35))/(LN(2)/35)*HC43*HD43*VLOOKUP('Données projet'!$B$18,Paramètres!$A$1:$I$89,3,0)*0.475*44/12</f>
        <v>1.5720850048522903</v>
      </c>
      <c r="HH43" s="21">
        <f>EXP(-LN(2)/25)*HH42+(1-EXP(-LN(2)/25))/(LN(2)/25)*Calculateur!HC43*Calculateur!HE43*VLOOKUP('Données projet'!$B$18,Paramètres!$A$1:$I$89,3,0)*0.475*44/12</f>
        <v>10.557631661695993</v>
      </c>
      <c r="HI43" s="21">
        <f>EXP(-LN(2)/2)*HI42+(1-EXP(-LN(2)/2))/(LN(2)/2)*HC43*HF43*VLOOKUP('Données projet'!$B$18,Paramètres!$A$1:$I$89,3,0)*0.475*44/12</f>
        <v>9.4746843800390845</v>
      </c>
      <c r="HJ43" s="22">
        <f t="shared" si="30"/>
        <v>21.60440104658737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6</v>
      </c>
      <c r="N44" s="13">
        <f>IF('Données projet'!$A$36&gt;35,N43+M44-V43,IF(A44&lt;'Données projet'!$A$36,$K$205^A44,IF(A44='Données projet'!$A$36,'Données projet'!$B$36,N43+M44-V43)))</f>
        <v>117</v>
      </c>
      <c r="O44" s="13">
        <f>N44*VLOOKUP('Données projet'!$B$9,Paramètres!$A$1:$I$89,3,0)*VLOOKUP('Données projet'!$B$9,Paramètres!$A$1:$I$89,5,0)</f>
        <v>51.714000000000006</v>
      </c>
      <c r="P44" s="13">
        <f t="shared" si="33"/>
        <v>15.055535578337075</v>
      </c>
      <c r="Q44" s="20">
        <f t="shared" si="53"/>
        <v>116.29027446560376</v>
      </c>
      <c r="R44" s="59">
        <f t="shared" si="0"/>
        <v>409.62360779893709</v>
      </c>
      <c r="S44" s="59">
        <f ca="1">AVERAGE(OFFSET($R$3,0,0,'Données projet'!$E$9+1,1))-AVERAGE(OFFSET($H$3,0,0,'Données projet'!$E$9+1,1))</f>
        <v>46.095319339746538</v>
      </c>
      <c r="T44" s="59">
        <f t="shared" si="34"/>
        <v>48.158174304064403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6.8657937337396566</v>
      </c>
      <c r="AB44" s="21">
        <f>EXP(-LN(2)/2)*AB43+(1-EXP(-LN(2)/2))/(LN(2)/2)*V44*Y44*VLOOKUP('Données projet'!$B$9,Paramètres!$A$1:$I$89,3,0)*0.475*44/12</f>
        <v>3.3344362966213854</v>
      </c>
      <c r="AC44" s="22">
        <f t="shared" si="3"/>
        <v>10.200230030361041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17</v>
      </c>
      <c r="AI44" s="13">
        <f>IF('Données projet'!$A$62&gt;35,AI43+AH44-AQ43,IF(A44&lt;'Données projet'!$A$62,$AF$205^A44,IF(A44='Données projet'!$A$62,'Données projet'!$B$62,AI43+AH44-AQ43)))</f>
        <v>517.99999999999989</v>
      </c>
      <c r="AJ44" s="13">
        <f>AI44*VLOOKUP('Données projet'!$B$10,Paramètres!$A$1:$I$89,3,0)*VLOOKUP('Données projet'!$B$10,Paramètres!$A$1:$I$89,5,0)</f>
        <v>309.76399999999995</v>
      </c>
      <c r="AK44" s="13">
        <f t="shared" si="35"/>
        <v>73.219541794375047</v>
      </c>
      <c r="AL44" s="20">
        <f t="shared" si="4"/>
        <v>667.02966862520316</v>
      </c>
      <c r="AM44" s="59">
        <f t="shared" si="5"/>
        <v>960.36300195853642</v>
      </c>
      <c r="AN44" s="59">
        <f ca="1">AVERAGE(OFFSET($AM$3,0,0,'Données projet'!$E$10+1,1))-AVERAGE(OFFSET($H$3,0,0,'Données projet'!$E$10+1,1))</f>
        <v>408.84545509668794</v>
      </c>
      <c r="AO44" s="59">
        <f t="shared" si="36"/>
        <v>409.9253979841132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4.9438332967313059</v>
      </c>
      <c r="AV44" s="21">
        <f>EXP(-LN(2)/25)*AV43+(1-EXP(-LN(2)/25))/(LN(2)/25)*Calculateur!AQ44*Calculateur!AS44*VLOOKUP('Données projet'!$B$10,Paramètres!$A$1:$I$89,3,0)*0.475*44/12</f>
        <v>28.576704746306859</v>
      </c>
      <c r="AW44" s="21">
        <f>EXP(-LN(2)/2)*AW43+(1-EXP(-LN(2)/2))/(LN(2)/2)*AQ44*AT44*VLOOKUP('Données projet'!$B$10,Paramètres!$A$1:$I$89,3,0)*0.475*44/12</f>
        <v>7.9925462442445481</v>
      </c>
      <c r="AX44" s="21">
        <f t="shared" si="6"/>
        <v>41.513084287282716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20</v>
      </c>
      <c r="BD44" s="12">
        <f>IF('Données projet'!$A$88&gt;35,BD43+BC44-BL43,IF(A44&lt;'Données projet'!$A$88,$BA$205^A44,IF(A44='Données projet'!$A$88,'Données projet'!$B$88,BD43+BC44-BL43)))</f>
        <v>304.00000000000017</v>
      </c>
      <c r="BE44" s="13">
        <f>BD44*VLOOKUP('Données projet'!$B$11,Paramètres!$A$1:$I$89,3,0)*VLOOKUP('Données projet'!$B$11,Paramètres!$A$1:$I$89,5,0)</f>
        <v>181.79200000000012</v>
      </c>
      <c r="BF44" s="13">
        <f t="shared" si="37"/>
        <v>45.720642997712574</v>
      </c>
      <c r="BG44" s="20">
        <f t="shared" si="7"/>
        <v>396.25118655434966</v>
      </c>
      <c r="BH44" s="59">
        <f t="shared" si="8"/>
        <v>689.58451988768297</v>
      </c>
      <c r="BI44" s="59">
        <f ca="1">AVERAGE(OFFSET($BH$3,0,0,'Données projet'!$E$11+1,1))-AVERAGE(OFFSET($H$3,0,0,'Données projet'!$E$11+1,1))</f>
        <v>279.69031306919914</v>
      </c>
      <c r="BJ44" s="59">
        <f t="shared" si="38"/>
        <v>297.01680128882509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36.207772039602915</v>
      </c>
      <c r="BR44" s="21">
        <f>EXP(-LN(2)/2)*BR43+(1-EXP(-LN(2)/2))/(LN(2)/2)*BL44*BO44*VLOOKUP('Données projet'!$B$11,Paramètres!$A$1:$I$89,3,0)*0.475*44/12</f>
        <v>11.317717035630379</v>
      </c>
      <c r="BS44" s="22">
        <f t="shared" si="9"/>
        <v>47.525489075233295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6.5</v>
      </c>
      <c r="BY44" s="12">
        <f>IF('Données projet'!$A$114&gt;35,BY43+BX44-CG43,IF(A44&lt;'Données projet'!$A$114,$BV$205^A44,IF(A44='Données projet'!$A$114,'Données projet'!$B$114,BY43+BX44-CG43)))</f>
        <v>121.5</v>
      </c>
      <c r="BZ44" s="13">
        <f>BY44*VLOOKUP('Données projet'!$B$12,Paramètres!$A$1:$I$89,3,0)*VLOOKUP('Données projet'!$B$12,Paramètres!$A$1:$I$89,5,0)</f>
        <v>72.656999999999996</v>
      </c>
      <c r="CA44" s="13">
        <f t="shared" si="39"/>
        <v>20.331846873990774</v>
      </c>
      <c r="CB44" s="20">
        <f t="shared" si="10"/>
        <v>161.95557497220057</v>
      </c>
      <c r="CC44" s="59">
        <f t="shared" si="11"/>
        <v>455.28890830553388</v>
      </c>
      <c r="CD44" s="59">
        <f ca="1">AVERAGE(OFFSET($CC$3,0,0,'Données projet'!$E$12+1,1))-AVERAGE(OFFSET($H$3,0,0,'Données projet'!$E$12+1,1))</f>
        <v>81.299024916151723</v>
      </c>
      <c r="CE44" s="59">
        <f t="shared" si="40"/>
        <v>88.106373324240167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3.1637396256317398</v>
      </c>
      <c r="CL44" s="21">
        <f>EXP(-LN(2)/25)*CL43+(1-EXP(-LN(2)/25))/(LN(2)/25)*Calculateur!CG44*Calculateur!CI44*VLOOKUP('Données projet'!$B$12,Paramètres!$A$1:$I$89,3,0)*0.475*44/12</f>
        <v>10.664968079250629</v>
      </c>
      <c r="CM44" s="21">
        <f>EXP(-LN(2)/2)*CM43+(1-EXP(-LN(2)/2))/(LN(2)/2)*CG44*CJ44*VLOOKUP('Données projet'!$B$12,Paramètres!$A$1:$I$89,3,0)*0.475*44/12</f>
        <v>5.0520850784411557</v>
      </c>
      <c r="CN44" s="22">
        <f t="shared" si="12"/>
        <v>18.880792783323525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24.8</v>
      </c>
      <c r="CT44" s="12">
        <f>IF('Données projet'!$A$140&gt;35,CT43+CS44-DB43,IF(A44&lt;'Données projet'!$A$140,$CQ$205^A44,IF(A44='Données projet'!$A$140,'Données projet'!$B$140,CT43+CS44-DB43)))</f>
        <v>586.79999999999984</v>
      </c>
      <c r="CU44" s="17">
        <f>CT44*VLOOKUP('Données projet'!$B$13,Paramètres!$A$1:$I$89,3,0)*VLOOKUP('Données projet'!$B$13,Paramètres!$A$1:$I$89,5,0)</f>
        <v>328.02119999999991</v>
      </c>
      <c r="CV44" s="13">
        <f t="shared" si="41"/>
        <v>77.019907950957702</v>
      </c>
      <c r="CW44" s="20">
        <f t="shared" si="13"/>
        <v>705.44659634791776</v>
      </c>
      <c r="CX44" s="59">
        <f t="shared" si="14"/>
        <v>998.77992968125113</v>
      </c>
      <c r="CY44" s="59">
        <f ca="1">AVERAGE(OFFSET($CX$3,0,0,'Données projet'!$E$13+1,1))-AVERAGE(OFFSET($H$3,0,0,'Données projet'!$E$13+1,1))</f>
        <v>475.42482703895411</v>
      </c>
      <c r="CZ44" s="59">
        <f t="shared" si="42"/>
        <v>593.51433014569966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31.728806267799389</v>
      </c>
      <c r="DG44" s="21">
        <f>EXP(-LN(2)/25)*DG43+(1-EXP(-LN(2)/25))/(LN(2)/25)*Calculateur!DB44*Calculateur!DD44*VLOOKUP('Données projet'!$B$13,Paramètres!$A$1:$I$89,3,0)*0.475*44/12</f>
        <v>42.578497089597214</v>
      </c>
      <c r="DH44" s="21">
        <f>EXP(-LN(2)/2)*DH43+(1-EXP(-LN(2)/2))/(LN(2)/2)*DB44*DE44*VLOOKUP('Données projet'!$B$13,Paramètres!$A$1:$I$89,3,0)*0.475*44/12</f>
        <v>9.1713384110255021</v>
      </c>
      <c r="DI44" s="22">
        <f t="shared" si="15"/>
        <v>83.478641768422108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9.875</v>
      </c>
      <c r="DO44" s="12">
        <f>IF('Données projet'!$A$166&gt;35,DO43+DN44-DW43,IF(A44&lt;'Données projet'!$A$166,$DL$205^A44,IF(A44='Données projet'!$A$166,'Données projet'!$B$166,DO43+DN44-DW43)))</f>
        <v>158.375</v>
      </c>
      <c r="DP44" s="17">
        <f>DO44*VLOOKUP('Données projet'!$B$14,Paramètres!$A$1:$I$89,3,0)*VLOOKUP('Données projet'!$B$14,Paramètres!$A$1:$I$89,5,0)</f>
        <v>143.29769999999999</v>
      </c>
      <c r="DQ44" s="13">
        <f t="shared" si="43"/>
        <v>37.051435567396794</v>
      </c>
      <c r="DR44" s="20">
        <f t="shared" si="16"/>
        <v>314.10807777988271</v>
      </c>
      <c r="DS44" s="59">
        <f t="shared" si="17"/>
        <v>607.44141111321596</v>
      </c>
      <c r="DT44" s="59">
        <f ca="1">AVERAGE(OFFSET($DS$3,0,0,'Données projet'!$E$14+1,1))-AVERAGE(OFFSET($H$3,0,0,'Données projet'!$E$14+1,1))</f>
        <v>401.17301323870578</v>
      </c>
      <c r="DU44" s="59">
        <f t="shared" si="44"/>
        <v>201.57993789149754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5.7</v>
      </c>
      <c r="EJ44" s="12">
        <f>IF('Données projet'!$A$192&gt;35,EJ43+EI44-ER43,IF(A44&lt;'Données projet'!$A$192,$EG$205^A44,IF(A44='Données projet'!$A$192,'Données projet'!$B$192,EJ43+EI44-ER43)))</f>
        <v>179.7000000000001</v>
      </c>
      <c r="EK44" s="17">
        <f>EJ44*VLOOKUP('Données projet'!$B$15,Paramètres!$A$1:$I$89,3,0)*VLOOKUP('Données projet'!$B$15,Paramètres!$A$1:$I$89,5,0)</f>
        <v>156.98592000000011</v>
      </c>
      <c r="EL44" s="13">
        <f t="shared" si="45"/>
        <v>40.1619306207375</v>
      </c>
      <c r="EM44" s="20">
        <f t="shared" si="19"/>
        <v>343.36583983111797</v>
      </c>
      <c r="EN44" s="59">
        <f t="shared" si="20"/>
        <v>636.69917316445128</v>
      </c>
      <c r="EO44" s="59">
        <f ca="1">AVERAGE(OFFSET($EN$3,0,0,'Données projet'!$E$15+1,1))-AVERAGE(OFFSET($H$3,0,0,'Données projet'!$E$15+1,1))</f>
        <v>237.8483058552178</v>
      </c>
      <c r="EP44" s="59">
        <f t="shared" si="46"/>
        <v>313.36201272119723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3.1755718027329536</v>
      </c>
      <c r="EW44" s="21">
        <f>EXP(-LN(2)/25)*EW43+(1-EXP(-LN(2)/25))/(LN(2)/25)*Calculateur!ER44*Calculateur!ET44*VLOOKUP('Données projet'!$B$15,Paramètres!$A$1:$I$89,3,0)*0.475*44/12</f>
        <v>4.70716579373115</v>
      </c>
      <c r="EX44" s="21">
        <f>EXP(-LN(2)/2)*EX43+(1-EXP(-LN(2)/2))/(LN(2)/2)*ER44*EU44*VLOOKUP('Données projet'!$B$15,Paramètres!$A$1:$I$89,3,0)*0.475*44/12</f>
        <v>6.8192683721888905</v>
      </c>
      <c r="EY44" s="22">
        <f t="shared" si="21"/>
        <v>14.702005968652994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11.4</v>
      </c>
      <c r="FE44" s="12">
        <f>IF('Données projet'!$A$218&gt;35,FE43+FD44-FM43,IF(A44&lt;'Données projet'!$A$218,$FB$205^A44,IF(A44='Données projet'!$A$218,'Données projet'!$B$218,FE43+FD44-FM43)))</f>
        <v>234.39999999999992</v>
      </c>
      <c r="FF44" s="17">
        <f>FE44*VLOOKUP('Données projet'!$B$16,Paramètres!$A$1:$I$89,3,0)*VLOOKUP('Données projet'!$B$16,Paramètres!$A$1:$I$89,5,0)</f>
        <v>182.83199999999994</v>
      </c>
      <c r="FG44" s="13">
        <f t="shared" si="47"/>
        <v>45.951680399636224</v>
      </c>
      <c r="FH44" s="20">
        <f t="shared" si="22"/>
        <v>398.46491002936631</v>
      </c>
      <c r="FI44" s="59">
        <f t="shared" si="23"/>
        <v>691.79824336269962</v>
      </c>
      <c r="FJ44" s="59">
        <f ca="1">AVERAGE(OFFSET($FI$3,0,0,'Données projet'!$E$16+1,1))-AVERAGE(OFFSET($H$3,0,0,'Données projet'!$E$16+1,1))</f>
        <v>318.52984981739411</v>
      </c>
      <c r="FK44" s="59">
        <f t="shared" si="48"/>
        <v>311.56398336941714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1.4540163931927439</v>
      </c>
      <c r="FR44" s="21">
        <f>EXP(-LN(2)/25)*FR43+(1-EXP(-LN(2)/25))/(LN(2)/25)*Calculateur!FM44*Calculateur!FO44*VLOOKUP('Données projet'!$B$16,Paramètres!$A$1:$I$89,3,0)*0.475*44/12</f>
        <v>9.6876723289671673</v>
      </c>
      <c r="FS44" s="21">
        <f>EXP(-LN(2)/2)*FS43+(1-EXP(-LN(2)/2))/(LN(2)/2)*FM44*FP44*VLOOKUP('Données projet'!$B$16,Paramètres!$A$1:$I$89,3,0)*0.475*44/12</f>
        <v>7.7902483427068585</v>
      </c>
      <c r="FT44" s="22">
        <f t="shared" si="24"/>
        <v>18.931937064866769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11.4</v>
      </c>
      <c r="FZ44" s="12">
        <f>IF('Données projet'!$A$244&gt;35,FZ43+FY44-GH43,IF(A44&lt;'Données projet'!$A$244,$FW$205^A44,IF(A44='Données projet'!$A$244,'Données projet'!$B$244,FZ43+FY44-GH43)))</f>
        <v>234.39999999999992</v>
      </c>
      <c r="GA44" s="17">
        <f>FZ44*VLOOKUP('Données projet'!$B$17,Paramètres!$A$1:$I$89,3,0)*VLOOKUP('Données projet'!$B$17,Paramètres!$A$1:$I$89,5,0)</f>
        <v>186.48863999999995</v>
      </c>
      <c r="GB44" s="13">
        <f t="shared" si="49"/>
        <v>46.762800221578807</v>
      </c>
      <c r="GC44" s="20">
        <f t="shared" si="25"/>
        <v>406.24625838591629</v>
      </c>
      <c r="GD44" s="59">
        <f t="shared" si="26"/>
        <v>699.57959171924961</v>
      </c>
      <c r="GE44" s="59">
        <f ca="1">AVERAGE(OFFSET($GD$3,0,0,'Données projet'!$E$17+1,1))-AVERAGE(OFFSET($H$3,0,0,'Données projet'!$E$17+1,1))</f>
        <v>325.72928944930294</v>
      </c>
      <c r="GF44" s="59">
        <f t="shared" si="50"/>
        <v>318.38876834819752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1.828002935255808</v>
      </c>
      <c r="GM44" s="21">
        <f>EXP(-LN(2)/25)*GM43+(1-EXP(-LN(2)/25))/(LN(2)/25)*Calculateur!GH44*Calculateur!GJ44*VLOOKUP('Données projet'!$B$17,Paramètres!$A$1:$I$89,3,0)*0.475*44/12</f>
        <v>12.179431769859653</v>
      </c>
      <c r="GN44" s="21">
        <f>EXP(-LN(2)/2)*GN43+(1-EXP(-LN(2)/2))/(LN(2)/2)*GH44*GK44*VLOOKUP('Données projet'!$B$17,Paramètres!$A$1:$I$89,3,0)*0.475*44/12</f>
        <v>7.9460533095609946</v>
      </c>
      <c r="GO44" s="21">
        <f t="shared" si="27"/>
        <v>21.953488014676456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11.4</v>
      </c>
      <c r="GU44" s="12">
        <f>IF('Données projet'!$A$270&gt;35,GU43+GT44-HC43,IF(A44&lt;'Données projet'!$A$270,$GR$205^A44,IF(A44='Données projet'!$A$270,'Données projet'!$B$270,GU43+GT44-HC43)))</f>
        <v>234.39999999999992</v>
      </c>
      <c r="GV44" s="17">
        <f>GU44*VLOOKUP('Données projet'!$B$18,Paramètres!$A$1:$I$89,3,0)*VLOOKUP('Données projet'!$B$18,Paramètres!$A$1:$I$89,5,0)</f>
        <v>157.23551999999995</v>
      </c>
      <c r="GW44" s="13">
        <f t="shared" si="51"/>
        <v>40.218348142057707</v>
      </c>
      <c r="GX44" s="20">
        <f t="shared" si="28"/>
        <v>343.89882034741709</v>
      </c>
      <c r="GY44" s="59">
        <f t="shared" si="29"/>
        <v>637.23215368075034</v>
      </c>
      <c r="GZ44" s="59">
        <f ca="1">AVERAGE(OFFSET($GY$3,0,0,'Données projet'!$E$18+1,1))-AVERAGE(OFFSET($H$3,0,0,'Données projet'!$E$18+1,1))</f>
        <v>268.04554291387961</v>
      </c>
      <c r="HA44" s="59">
        <f t="shared" si="52"/>
        <v>263.70463099437148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1.5412573767843085</v>
      </c>
      <c r="HH44" s="21">
        <f>EXP(-LN(2)/25)*HH43+(1-EXP(-LN(2)/25))/(LN(2)/25)*Calculateur!HC44*Calculateur!HE44*VLOOKUP('Données projet'!$B$18,Paramètres!$A$1:$I$89,3,0)*0.475*44/12</f>
        <v>10.268932668705197</v>
      </c>
      <c r="HI44" s="21">
        <f>EXP(-LN(2)/2)*HI43+(1-EXP(-LN(2)/2))/(LN(2)/2)*HC44*HF44*VLOOKUP('Données projet'!$B$18,Paramètres!$A$1:$I$89,3,0)*0.475*44/12</f>
        <v>6.6996135747278966</v>
      </c>
      <c r="HJ44" s="22">
        <f t="shared" si="30"/>
        <v>18.509803620217404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6</v>
      </c>
      <c r="N45" s="13">
        <f>IF('Données projet'!$A$36&gt;35,N44+M45-V44,IF(A45&lt;'Données projet'!$A$36,$K$205^A45,IF(A45='Données projet'!$A$36,'Données projet'!$B$36,N44+M45-V44)))</f>
        <v>123</v>
      </c>
      <c r="O45" s="13">
        <f>N45*VLOOKUP('Données projet'!$B$9,Paramètres!$A$1:$I$89,3,0)*VLOOKUP('Données projet'!$B$9,Paramètres!$A$1:$I$89,5,0)</f>
        <v>54.366</v>
      </c>
      <c r="P45" s="13">
        <f t="shared" si="33"/>
        <v>15.735746064167198</v>
      </c>
      <c r="Q45" s="20">
        <f t="shared" si="53"/>
        <v>122.09387439509119</v>
      </c>
      <c r="R45" s="59">
        <f t="shared" si="0"/>
        <v>415.42720772842449</v>
      </c>
      <c r="S45" s="59">
        <f ca="1">AVERAGE(OFFSET($R$3,0,0,'Données projet'!$E$9+1,1))-AVERAGE(OFFSET($H$3,0,0,'Données projet'!$E$9+1,1))</f>
        <v>46.095319339746538</v>
      </c>
      <c r="T45" s="59">
        <f t="shared" si="34"/>
        <v>48.158174304064403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6.6780482430341452</v>
      </c>
      <c r="AB45" s="21">
        <f>EXP(-LN(2)/2)*AB44+(1-EXP(-LN(2)/2))/(LN(2)/2)*V45*Y45*VLOOKUP('Données projet'!$B$9,Paramètres!$A$1:$I$89,3,0)*0.475*44/12</f>
        <v>2.3578025167755401</v>
      </c>
      <c r="AC45" s="22">
        <f t="shared" si="3"/>
        <v>9.0358507598096853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17</v>
      </c>
      <c r="AI45" s="13">
        <f>IF('Données projet'!$A$62&gt;35,AI44+AH45-AQ44,IF(A45&lt;'Données projet'!$A$62,$AF$205^A45,IF(A45='Données projet'!$A$62,'Données projet'!$B$62,AI44+AH45-AQ44)))</f>
        <v>534.99999999999989</v>
      </c>
      <c r="AJ45" s="13">
        <f>AI45*VLOOKUP('Données projet'!$B$10,Paramètres!$A$1:$I$89,3,0)*VLOOKUP('Données projet'!$B$10,Paramètres!$A$1:$I$89,5,0)</f>
        <v>319.92999999999995</v>
      </c>
      <c r="AK45" s="13">
        <f t="shared" si="35"/>
        <v>75.338788616039011</v>
      </c>
      <c r="AL45" s="20">
        <f t="shared" si="4"/>
        <v>688.42647350626783</v>
      </c>
      <c r="AM45" s="59">
        <f t="shared" si="5"/>
        <v>981.7598068396012</v>
      </c>
      <c r="AN45" s="59">
        <f ca="1">AVERAGE(OFFSET($AM$3,0,0,'Données projet'!$E$10+1,1))-AVERAGE(OFFSET($H$3,0,0,'Données projet'!$E$10+1,1))</f>
        <v>408.84545509668794</v>
      </c>
      <c r="AO45" s="59">
        <f t="shared" si="36"/>
        <v>409.9253979841132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4.8468877412229663</v>
      </c>
      <c r="AV45" s="21">
        <f>EXP(-LN(2)/25)*AV44+(1-EXP(-LN(2)/25))/(LN(2)/25)*Calculateur!AQ45*Calculateur!AS45*VLOOKUP('Données projet'!$B$10,Paramètres!$A$1:$I$89,3,0)*0.475*44/12</f>
        <v>27.795273252235507</v>
      </c>
      <c r="AW45" s="21">
        <f>EXP(-LN(2)/2)*AW44+(1-EXP(-LN(2)/2))/(LN(2)/2)*AQ45*AT45*VLOOKUP('Données projet'!$B$10,Paramètres!$A$1:$I$89,3,0)*0.475*44/12</f>
        <v>5.6515836482523927</v>
      </c>
      <c r="AX45" s="21">
        <f t="shared" si="6"/>
        <v>38.293744641710866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20</v>
      </c>
      <c r="BD45" s="12">
        <f>IF('Données projet'!$A$88&gt;35,BD44+BC45-BL44,IF(A45&lt;'Données projet'!$A$88,$BA$205^A45,IF(A45='Données projet'!$A$88,'Données projet'!$B$88,BD44+BC45-BL44)))</f>
        <v>324.00000000000017</v>
      </c>
      <c r="BE45" s="13">
        <f>BD45*VLOOKUP('Données projet'!$B$11,Paramètres!$A$1:$I$89,3,0)*VLOOKUP('Données projet'!$B$11,Paramètres!$A$1:$I$89,5,0)</f>
        <v>193.75200000000009</v>
      </c>
      <c r="BF45" s="13">
        <f t="shared" si="37"/>
        <v>48.368520355376113</v>
      </c>
      <c r="BG45" s="20">
        <f t="shared" si="7"/>
        <v>421.69323961894696</v>
      </c>
      <c r="BH45" s="59">
        <f t="shared" si="8"/>
        <v>715.02657295228028</v>
      </c>
      <c r="BI45" s="59">
        <f ca="1">AVERAGE(OFFSET($BH$3,0,0,'Données projet'!$E$11+1,1))-AVERAGE(OFFSET($H$3,0,0,'Données projet'!$E$11+1,1))</f>
        <v>279.69031306919914</v>
      </c>
      <c r="BJ45" s="59">
        <f t="shared" si="38"/>
        <v>297.01680128882509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35.217668609095995</v>
      </c>
      <c r="BR45" s="21">
        <f>EXP(-LN(2)/2)*BR44+(1-EXP(-LN(2)/2))/(LN(2)/2)*BL45*BO45*VLOOKUP('Données projet'!$B$11,Paramètres!$A$1:$I$89,3,0)*0.475*44/12</f>
        <v>8.0028344634447528</v>
      </c>
      <c r="BS45" s="22">
        <f t="shared" si="9"/>
        <v>43.220503072540751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6.5</v>
      </c>
      <c r="BY45" s="12">
        <f>IF('Données projet'!$A$114&gt;35,BY44+BX45-CG44,IF(A45&lt;'Données projet'!$A$114,$BV$205^A45,IF(A45='Données projet'!$A$114,'Données projet'!$B$114,BY44+BX45-CG44)))</f>
        <v>128</v>
      </c>
      <c r="BZ45" s="13">
        <f>BY45*VLOOKUP('Données projet'!$B$12,Paramètres!$A$1:$I$89,3,0)*VLOOKUP('Données projet'!$B$12,Paramètres!$A$1:$I$89,5,0)</f>
        <v>76.544000000000011</v>
      </c>
      <c r="CA45" s="13">
        <f t="shared" si="39"/>
        <v>21.290014647017227</v>
      </c>
      <c r="CB45" s="20">
        <f t="shared" si="10"/>
        <v>170.39424217688835</v>
      </c>
      <c r="CC45" s="59">
        <f t="shared" si="11"/>
        <v>463.72757551022164</v>
      </c>
      <c r="CD45" s="59">
        <f ca="1">AVERAGE(OFFSET($CC$3,0,0,'Données projet'!$E$12+1,1))-AVERAGE(OFFSET($H$3,0,0,'Données projet'!$E$12+1,1))</f>
        <v>81.299024916151723</v>
      </c>
      <c r="CE45" s="59">
        <f t="shared" si="40"/>
        <v>88.106373324240167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3.1017006212637321</v>
      </c>
      <c r="CL45" s="21">
        <f>EXP(-LN(2)/25)*CL44+(1-EXP(-LN(2)/25))/(LN(2)/25)*Calculateur!CG45*Calculateur!CI45*VLOOKUP('Données projet'!$B$12,Paramètres!$A$1:$I$89,3,0)*0.475*44/12</f>
        <v>10.373333966277224</v>
      </c>
      <c r="CM45" s="21">
        <f>EXP(-LN(2)/2)*CM44+(1-EXP(-LN(2)/2))/(LN(2)/2)*CG45*CJ45*VLOOKUP('Données projet'!$B$12,Paramètres!$A$1:$I$89,3,0)*0.475*44/12</f>
        <v>3.5723636180971123</v>
      </c>
      <c r="CN45" s="22">
        <f t="shared" si="12"/>
        <v>17.047398205638068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24.8</v>
      </c>
      <c r="CT45" s="12">
        <f>IF('Données projet'!$A$140&gt;35,CT44+CS45-DB44,IF(A45&lt;'Données projet'!$A$140,$CQ$205^A45,IF(A45='Données projet'!$A$140,'Données projet'!$B$140,CT44+CS45-DB44)))</f>
        <v>611.5999999999998</v>
      </c>
      <c r="CU45" s="17">
        <f>CT45*VLOOKUP('Données projet'!$B$13,Paramètres!$A$1:$I$89,3,0)*VLOOKUP('Données projet'!$B$13,Paramètres!$A$1:$I$89,5,0)</f>
        <v>341.88439999999986</v>
      </c>
      <c r="CV45" s="13">
        <f t="shared" si="41"/>
        <v>79.889150066970018</v>
      </c>
      <c r="CW45" s="20">
        <f t="shared" si="13"/>
        <v>734.58893303330581</v>
      </c>
      <c r="CX45" s="59">
        <f t="shared" si="14"/>
        <v>1027.9222663666392</v>
      </c>
      <c r="CY45" s="59">
        <f ca="1">AVERAGE(OFFSET($CX$3,0,0,'Données projet'!$E$13+1,1))-AVERAGE(OFFSET($H$3,0,0,'Données projet'!$E$13+1,1))</f>
        <v>475.42482703895411</v>
      </c>
      <c r="CZ45" s="59">
        <f t="shared" si="42"/>
        <v>593.51433014569966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31.106623729548748</v>
      </c>
      <c r="DG45" s="21">
        <f>EXP(-LN(2)/25)*DG44+(1-EXP(-LN(2)/25))/(LN(2)/25)*Calculateur!DB45*Calculateur!DD45*VLOOKUP('Données projet'!$B$13,Paramètres!$A$1:$I$89,3,0)*0.475*44/12</f>
        <v>41.414185847576327</v>
      </c>
      <c r="DH45" s="21">
        <f>EXP(-LN(2)/2)*DH44+(1-EXP(-LN(2)/2))/(LN(2)/2)*DB45*DE45*VLOOKUP('Données projet'!$B$13,Paramètres!$A$1:$I$89,3,0)*0.475*44/12</f>
        <v>6.4851155829927887</v>
      </c>
      <c r="DI45" s="22">
        <f t="shared" si="15"/>
        <v>79.005925160117869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9.875</v>
      </c>
      <c r="DO45" s="12">
        <f>IF('Données projet'!$A$166&gt;35,DO44+DN45-DW44,IF(A45&lt;'Données projet'!$A$166,$DL$205^A45,IF(A45='Données projet'!$A$166,'Données projet'!$B$166,DO44+DN45-DW44)))</f>
        <v>168.25</v>
      </c>
      <c r="DP45" s="17">
        <f>DO45*VLOOKUP('Données projet'!$B$14,Paramètres!$A$1:$I$89,3,0)*VLOOKUP('Données projet'!$B$14,Paramètres!$A$1:$I$89,5,0)</f>
        <v>152.23259999999999</v>
      </c>
      <c r="DQ45" s="13">
        <f t="shared" si="43"/>
        <v>39.085514892085854</v>
      </c>
      <c r="DR45" s="20">
        <f t="shared" si="16"/>
        <v>333.21238343704948</v>
      </c>
      <c r="DS45" s="59">
        <f t="shared" si="17"/>
        <v>626.5457167703828</v>
      </c>
      <c r="DT45" s="59">
        <f ca="1">AVERAGE(OFFSET($DS$3,0,0,'Données projet'!$E$14+1,1))-AVERAGE(OFFSET($H$3,0,0,'Données projet'!$E$14+1,1))</f>
        <v>401.17301323870578</v>
      </c>
      <c r="DU45" s="59">
        <f t="shared" si="44"/>
        <v>201.57993789149754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5.7</v>
      </c>
      <c r="EJ45" s="12">
        <f>IF('Données projet'!$A$192&gt;35,EJ44+EI45-ER44,IF(A45&lt;'Données projet'!$A$192,$EG$205^A45,IF(A45='Données projet'!$A$192,'Données projet'!$B$192,EJ44+EI45-ER44)))</f>
        <v>185.40000000000009</v>
      </c>
      <c r="EK45" s="17">
        <f>EJ45*VLOOKUP('Données projet'!$B$15,Paramètres!$A$1:$I$89,3,0)*VLOOKUP('Données projet'!$B$15,Paramètres!$A$1:$I$89,5,0)</f>
        <v>161.96544000000009</v>
      </c>
      <c r="EL45" s="13">
        <f t="shared" si="45"/>
        <v>41.285510388923619</v>
      </c>
      <c r="EM45" s="20">
        <f t="shared" si="19"/>
        <v>353.99540526070876</v>
      </c>
      <c r="EN45" s="59">
        <f t="shared" si="20"/>
        <v>647.32873859404208</v>
      </c>
      <c r="EO45" s="59">
        <f ca="1">AVERAGE(OFFSET($EN$3,0,0,'Données projet'!$E$15+1,1))-AVERAGE(OFFSET($H$3,0,0,'Données projet'!$E$15+1,1))</f>
        <v>237.8483058552178</v>
      </c>
      <c r="EP45" s="59">
        <f t="shared" si="46"/>
        <v>313.36201272119723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3.1133007765889062</v>
      </c>
      <c r="EW45" s="21">
        <f>EXP(-LN(2)/25)*EW44+(1-EXP(-LN(2)/25))/(LN(2)/25)*Calculateur!ER45*Calculateur!ET45*VLOOKUP('Données projet'!$B$15,Paramètres!$A$1:$I$89,3,0)*0.475*44/12</f>
        <v>4.5784480975624806</v>
      </c>
      <c r="EX45" s="21">
        <f>EXP(-LN(2)/2)*EX44+(1-EXP(-LN(2)/2))/(LN(2)/2)*ER45*EU45*VLOOKUP('Données projet'!$B$15,Paramètres!$A$1:$I$89,3,0)*0.475*44/12</f>
        <v>4.8219509087057144</v>
      </c>
      <c r="EY45" s="22">
        <f t="shared" si="21"/>
        <v>12.513699782857101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11.4</v>
      </c>
      <c r="FE45" s="12">
        <f>IF('Données projet'!$A$218&gt;35,FE44+FD45-FM44,IF(A45&lt;'Données projet'!$A$218,$FB$205^A45,IF(A45='Données projet'!$A$218,'Données projet'!$B$218,FE44+FD45-FM44)))</f>
        <v>245.79999999999993</v>
      </c>
      <c r="FF45" s="17">
        <f>FE45*VLOOKUP('Données projet'!$B$16,Paramètres!$A$1:$I$89,3,0)*VLOOKUP('Données projet'!$B$16,Paramètres!$A$1:$I$89,5,0)</f>
        <v>191.72399999999996</v>
      </c>
      <c r="FG45" s="13">
        <f t="shared" si="47"/>
        <v>47.920904167998366</v>
      </c>
      <c r="FH45" s="20">
        <f t="shared" si="22"/>
        <v>417.38154142593044</v>
      </c>
      <c r="FI45" s="59">
        <f t="shared" si="23"/>
        <v>710.71487475926369</v>
      </c>
      <c r="FJ45" s="59">
        <f ca="1">AVERAGE(OFFSET($FI$3,0,0,'Données projet'!$E$16+1,1))-AVERAGE(OFFSET($H$3,0,0,'Données projet'!$E$16+1,1))</f>
        <v>318.52984981739411</v>
      </c>
      <c r="FK45" s="59">
        <f t="shared" si="48"/>
        <v>311.56398336941714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1.4255040185846637</v>
      </c>
      <c r="FR45" s="21">
        <f>EXP(-LN(2)/25)*FR44+(1-EXP(-LN(2)/25))/(LN(2)/25)*Calculateur!FM45*Calculateur!FO45*VLOOKUP('Données projet'!$B$16,Paramètres!$A$1:$I$89,3,0)*0.475*44/12</f>
        <v>9.4227624196790138</v>
      </c>
      <c r="FS45" s="21">
        <f>EXP(-LN(2)/2)*FS44+(1-EXP(-LN(2)/2))/(LN(2)/2)*FM45*FP45*VLOOKUP('Données projet'!$B$16,Paramètres!$A$1:$I$89,3,0)*0.475*44/12</f>
        <v>5.5085374302552834</v>
      </c>
      <c r="FT45" s="22">
        <f t="shared" si="24"/>
        <v>16.356803868518963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11.4</v>
      </c>
      <c r="FZ45" s="12">
        <f>IF('Données projet'!$A$244&gt;35,FZ44+FY45-GH44,IF(A45&lt;'Données projet'!$A$244,$FW$205^A45,IF(A45='Données projet'!$A$244,'Données projet'!$B$244,FZ44+FY45-GH44)))</f>
        <v>245.79999999999993</v>
      </c>
      <c r="GA45" s="17">
        <f>FZ45*VLOOKUP('Données projet'!$B$17,Paramètres!$A$1:$I$89,3,0)*VLOOKUP('Données projet'!$B$17,Paramètres!$A$1:$I$89,5,0)</f>
        <v>195.55847999999995</v>
      </c>
      <c r="GB45" s="13">
        <f t="shared" si="49"/>
        <v>48.766783903364477</v>
      </c>
      <c r="GC45" s="20">
        <f t="shared" si="25"/>
        <v>425.53316796502639</v>
      </c>
      <c r="GD45" s="59">
        <f t="shared" si="26"/>
        <v>718.86650129835971</v>
      </c>
      <c r="GE45" s="59">
        <f ca="1">AVERAGE(OFFSET($GD$3,0,0,'Données projet'!$E$17+1,1))-AVERAGE(OFFSET($H$3,0,0,'Données projet'!$E$17+1,1))</f>
        <v>325.72928944930294</v>
      </c>
      <c r="GF45" s="59">
        <f t="shared" si="50"/>
        <v>318.38876834819752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1.7921569126671379</v>
      </c>
      <c r="GM45" s="21">
        <f>EXP(-LN(2)/25)*GM44+(1-EXP(-LN(2)/25))/(LN(2)/25)*Calculateur!GH45*Calculateur!GJ45*VLOOKUP('Données projet'!$B$17,Paramètres!$A$1:$I$89,3,0)*0.475*44/12</f>
        <v>11.84638456762436</v>
      </c>
      <c r="GN45" s="21">
        <f>EXP(-LN(2)/2)*GN44+(1-EXP(-LN(2)/2))/(LN(2)/2)*GH45*GK45*VLOOKUP('Données projet'!$B$17,Paramètres!$A$1:$I$89,3,0)*0.475*44/12</f>
        <v>5.6187081788603885</v>
      </c>
      <c r="GO45" s="21">
        <f t="shared" si="27"/>
        <v>19.257249659151888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11.4</v>
      </c>
      <c r="GU45" s="12">
        <f>IF('Données projet'!$A$270&gt;35,GU44+GT45-HC44,IF(A45&lt;'Données projet'!$A$270,$GR$205^A45,IF(A45='Données projet'!$A$270,'Données projet'!$B$270,GU44+GT45-HC44)))</f>
        <v>245.79999999999993</v>
      </c>
      <c r="GV45" s="17">
        <f>GU45*VLOOKUP('Données projet'!$B$18,Paramètres!$A$1:$I$89,3,0)*VLOOKUP('Données projet'!$B$18,Paramètres!$A$1:$I$89,5,0)</f>
        <v>164.88263999999995</v>
      </c>
      <c r="GW45" s="13">
        <f t="shared" si="51"/>
        <v>41.941874385207427</v>
      </c>
      <c r="GX45" s="20">
        <f t="shared" si="28"/>
        <v>360.21936255423617</v>
      </c>
      <c r="GY45" s="59">
        <f t="shared" si="29"/>
        <v>653.55269588756948</v>
      </c>
      <c r="GZ45" s="59">
        <f ca="1">AVERAGE(OFFSET($GY$3,0,0,'Données projet'!$E$18+1,1))-AVERAGE(OFFSET($H$3,0,0,'Données projet'!$E$18+1,1))</f>
        <v>268.04554291387961</v>
      </c>
      <c r="HA45" s="59">
        <f t="shared" si="52"/>
        <v>263.70463099437148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1.5110342596997435</v>
      </c>
      <c r="HH45" s="21">
        <f>EXP(-LN(2)/25)*HH44+(1-EXP(-LN(2)/25))/(LN(2)/25)*Calculateur!HC45*Calculateur!HE45*VLOOKUP('Données projet'!$B$18,Paramètres!$A$1:$I$89,3,0)*0.475*44/12</f>
        <v>9.988128164859754</v>
      </c>
      <c r="HI45" s="21">
        <f>EXP(-LN(2)/2)*HI44+(1-EXP(-LN(2)/2))/(LN(2)/2)*HC45*HF45*VLOOKUP('Données projet'!$B$18,Paramètres!$A$1:$I$89,3,0)*0.475*44/12</f>
        <v>4.7373421900195423</v>
      </c>
      <c r="HJ45" s="22">
        <f t="shared" si="30"/>
        <v>16.23650461457904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6</v>
      </c>
      <c r="N46" s="13">
        <f>IF('Données projet'!$A$36&gt;35,N45+M46-V45,IF(A46&lt;'Données projet'!$A$36,$K$205^A46,IF(A46='Données projet'!$A$36,'Données projet'!$B$36,N45+M46-V45)))</f>
        <v>129</v>
      </c>
      <c r="O46" s="13">
        <f>N46*VLOOKUP('Données projet'!$B$9,Paramètres!$A$1:$I$89,3,0)*VLOOKUP('Données projet'!$B$9,Paramètres!$A$1:$I$89,5,0)</f>
        <v>57.018000000000008</v>
      </c>
      <c r="P46" s="13">
        <f t="shared" si="33"/>
        <v>16.412103612717626</v>
      </c>
      <c r="Q46" s="20">
        <f t="shared" si="53"/>
        <v>127.89076379214985</v>
      </c>
      <c r="R46" s="59">
        <f t="shared" si="0"/>
        <v>421.22409712548318</v>
      </c>
      <c r="S46" s="59">
        <f ca="1">AVERAGE(OFFSET($R$3,0,0,'Données projet'!$E$9+1,1))-AVERAGE(OFFSET($H$3,0,0,'Données projet'!$E$9+1,1))</f>
        <v>46.095319339746538</v>
      </c>
      <c r="T46" s="59">
        <f t="shared" si="34"/>
        <v>48.158174304064403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6.4954366626450826</v>
      </c>
      <c r="AB46" s="21">
        <f>EXP(-LN(2)/2)*AB45+(1-EXP(-LN(2)/2))/(LN(2)/2)*V46*Y46*VLOOKUP('Données projet'!$B$9,Paramètres!$A$1:$I$89,3,0)*0.475*44/12</f>
        <v>1.6672181483106929</v>
      </c>
      <c r="AC46" s="22">
        <f t="shared" si="3"/>
        <v>8.1626548109557753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17</v>
      </c>
      <c r="AI46" s="13">
        <f>IF('Données projet'!$A$62&gt;35,AI45+AH46-AQ45,IF(A46&lt;'Données projet'!$A$62,$AF$205^A46,IF(A46='Données projet'!$A$62,'Données projet'!$B$62,AI45+AH46-AQ45)))</f>
        <v>551.99999999999989</v>
      </c>
      <c r="AJ46" s="13">
        <f>AI46*VLOOKUP('Données projet'!$B$10,Paramètres!$A$1:$I$89,3,0)*VLOOKUP('Données projet'!$B$10,Paramètres!$A$1:$I$89,5,0)</f>
        <v>330.09599999999995</v>
      </c>
      <c r="AK46" s="13">
        <f t="shared" si="35"/>
        <v>77.450210084163189</v>
      </c>
      <c r="AL46" s="20">
        <f t="shared" si="4"/>
        <v>709.80964922991734</v>
      </c>
      <c r="AM46" s="59">
        <f t="shared" si="5"/>
        <v>1003.1429825632506</v>
      </c>
      <c r="AN46" s="59">
        <f ca="1">AVERAGE(OFFSET($AM$3,0,0,'Données projet'!$E$10+1,1))-AVERAGE(OFFSET($H$3,0,0,'Données projet'!$E$10+1,1))</f>
        <v>408.84545509668794</v>
      </c>
      <c r="AO46" s="59">
        <f t="shared" si="36"/>
        <v>409.9253979841132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4.7518432289271946</v>
      </c>
      <c r="AV46" s="21">
        <f>EXP(-LN(2)/25)*AV45+(1-EXP(-LN(2)/25))/(LN(2)/25)*Calculateur!AQ46*Calculateur!AS46*VLOOKUP('Données projet'!$B$10,Paramètres!$A$1:$I$89,3,0)*0.475*44/12</f>
        <v>27.035210043463234</v>
      </c>
      <c r="AW46" s="21">
        <f>EXP(-LN(2)/2)*AW45+(1-EXP(-LN(2)/2))/(LN(2)/2)*AQ46*AT46*VLOOKUP('Données projet'!$B$10,Paramètres!$A$1:$I$89,3,0)*0.475*44/12</f>
        <v>3.9962731221222749</v>
      </c>
      <c r="AX46" s="21">
        <f t="shared" si="6"/>
        <v>35.783326394512706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20</v>
      </c>
      <c r="BD46" s="12">
        <f>IF('Données projet'!$A$88&gt;35,BD45+BC46-BL45,IF(A46&lt;'Données projet'!$A$88,$BA$205^A46,IF(A46='Données projet'!$A$88,'Données projet'!$B$88,BD45+BC46-BL45)))</f>
        <v>344.00000000000017</v>
      </c>
      <c r="BE46" s="13">
        <f>BD46*VLOOKUP('Données projet'!$B$11,Paramètres!$A$1:$I$89,3,0)*VLOOKUP('Données projet'!$B$11,Paramètres!$A$1:$I$89,5,0)</f>
        <v>205.71200000000013</v>
      </c>
      <c r="BF46" s="13">
        <f t="shared" si="37"/>
        <v>50.997427696933762</v>
      </c>
      <c r="BG46" s="20">
        <f t="shared" si="7"/>
        <v>447.10225323882656</v>
      </c>
      <c r="BH46" s="59">
        <f t="shared" si="8"/>
        <v>740.43558657215988</v>
      </c>
      <c r="BI46" s="59">
        <f ca="1">AVERAGE(OFFSET($BH$3,0,0,'Données projet'!$E$11+1,1))-AVERAGE(OFFSET($H$3,0,0,'Données projet'!$E$11+1,1))</f>
        <v>279.69031306919914</v>
      </c>
      <c r="BJ46" s="59">
        <f t="shared" si="38"/>
        <v>297.01680128882509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34.254639608963565</v>
      </c>
      <c r="BR46" s="21">
        <f>EXP(-LN(2)/2)*BR45+(1-EXP(-LN(2)/2))/(LN(2)/2)*BL46*BO46*VLOOKUP('Données projet'!$B$11,Paramètres!$A$1:$I$89,3,0)*0.475*44/12</f>
        <v>5.6588585178151902</v>
      </c>
      <c r="BS46" s="22">
        <f t="shared" si="9"/>
        <v>39.913498126778755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6.5</v>
      </c>
      <c r="BY46" s="12">
        <f>IF('Données projet'!$A$114&gt;35,BY45+BX46-CG45,IF(A46&lt;'Données projet'!$A$114,$BV$205^A46,IF(A46='Données projet'!$A$114,'Données projet'!$B$114,BY45+BX46-CG45)))</f>
        <v>134.5</v>
      </c>
      <c r="BZ46" s="13">
        <f>BY46*VLOOKUP('Données projet'!$B$12,Paramètres!$A$1:$I$89,3,0)*VLOOKUP('Données projet'!$B$12,Paramètres!$A$1:$I$89,5,0)</f>
        <v>80.431000000000012</v>
      </c>
      <c r="CA46" s="13">
        <f t="shared" si="39"/>
        <v>22.242532892651344</v>
      </c>
      <c r="CB46" s="20">
        <f t="shared" si="10"/>
        <v>178.82306978803445</v>
      </c>
      <c r="CC46" s="59">
        <f t="shared" si="11"/>
        <v>472.15640312136776</v>
      </c>
      <c r="CD46" s="59">
        <f ca="1">AVERAGE(OFFSET($CC$3,0,0,'Données projet'!$E$12+1,1))-AVERAGE(OFFSET($H$3,0,0,'Données projet'!$E$12+1,1))</f>
        <v>81.299024916151723</v>
      </c>
      <c r="CE46" s="59">
        <f t="shared" si="40"/>
        <v>88.106373324240167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3.0408781639313247</v>
      </c>
      <c r="CL46" s="21">
        <f>EXP(-LN(2)/25)*CL45+(1-EXP(-LN(2)/25))/(LN(2)/25)*Calculateur!CG46*Calculateur!CI46*VLOOKUP('Données projet'!$B$12,Paramètres!$A$1:$I$89,3,0)*0.475*44/12</f>
        <v>10.089674603459448</v>
      </c>
      <c r="CM46" s="21">
        <f>EXP(-LN(2)/2)*CM45+(1-EXP(-LN(2)/2))/(LN(2)/2)*CG46*CJ46*VLOOKUP('Données projet'!$B$12,Paramètres!$A$1:$I$89,3,0)*0.475*44/12</f>
        <v>2.5260425392205783</v>
      </c>
      <c r="CN46" s="22">
        <f t="shared" si="12"/>
        <v>15.656595306611351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24.8</v>
      </c>
      <c r="CT46" s="12">
        <f>IF('Données projet'!$A$140&gt;35,CT45+CS46-DB45,IF(A46&lt;'Données projet'!$A$140,$CQ$205^A46,IF(A46='Données projet'!$A$140,'Données projet'!$B$140,CT45+CS46-DB45)))</f>
        <v>636.39999999999975</v>
      </c>
      <c r="CU46" s="17">
        <f>CT46*VLOOKUP('Données projet'!$B$13,Paramètres!$A$1:$I$89,3,0)*VLOOKUP('Données projet'!$B$13,Paramètres!$A$1:$I$89,5,0)</f>
        <v>355.74759999999986</v>
      </c>
      <c r="CV46" s="13">
        <f t="shared" si="41"/>
        <v>82.744877508992289</v>
      </c>
      <c r="CW46" s="20">
        <f t="shared" si="13"/>
        <v>763.70773166149456</v>
      </c>
      <c r="CX46" s="59">
        <f t="shared" si="14"/>
        <v>1057.0410649948278</v>
      </c>
      <c r="CY46" s="59">
        <f ca="1">AVERAGE(OFFSET($CX$3,0,0,'Données projet'!$E$13+1,1))-AVERAGE(OFFSET($H$3,0,0,'Données projet'!$E$13+1,1))</f>
        <v>475.42482703895411</v>
      </c>
      <c r="CZ46" s="59">
        <f t="shared" si="42"/>
        <v>593.51433014569966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30.496641811379327</v>
      </c>
      <c r="DG46" s="21">
        <f>EXP(-LN(2)/25)*DG45+(1-EXP(-LN(2)/25))/(LN(2)/25)*Calculateur!DB46*Calculateur!DD46*VLOOKUP('Données projet'!$B$13,Paramètres!$A$1:$I$89,3,0)*0.475*44/12</f>
        <v>40.281712757696972</v>
      </c>
      <c r="DH46" s="21">
        <f>EXP(-LN(2)/2)*DH45+(1-EXP(-LN(2)/2))/(LN(2)/2)*DB46*DE46*VLOOKUP('Données projet'!$B$13,Paramètres!$A$1:$I$89,3,0)*0.475*44/12</f>
        <v>4.5856692055127519</v>
      </c>
      <c r="DI46" s="22">
        <f t="shared" si="15"/>
        <v>75.364023774589057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9.875</v>
      </c>
      <c r="DO46" s="12">
        <f>IF('Données projet'!$A$166&gt;35,DO45+DN46-DW45,IF(A46&lt;'Données projet'!$A$166,$DL$205^A46,IF(A46='Données projet'!$A$166,'Données projet'!$B$166,DO45+DN46-DW45)))</f>
        <v>178.125</v>
      </c>
      <c r="DP46" s="17">
        <f>DO46*VLOOKUP('Données projet'!$B$14,Paramètres!$A$1:$I$89,3,0)*VLOOKUP('Données projet'!$B$14,Paramètres!$A$1:$I$89,5,0)</f>
        <v>161.16749999999999</v>
      </c>
      <c r="DQ46" s="13">
        <f t="shared" si="43"/>
        <v>41.105736761364199</v>
      </c>
      <c r="DR46" s="20">
        <f t="shared" si="16"/>
        <v>352.29255402604258</v>
      </c>
      <c r="DS46" s="59">
        <f t="shared" si="17"/>
        <v>645.62588735937584</v>
      </c>
      <c r="DT46" s="59">
        <f ca="1">AVERAGE(OFFSET($DS$3,0,0,'Données projet'!$E$14+1,1))-AVERAGE(OFFSET($H$3,0,0,'Données projet'!$E$14+1,1))</f>
        <v>401.17301323870578</v>
      </c>
      <c r="DU46" s="59">
        <f t="shared" si="44"/>
        <v>201.57993789149754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5.7</v>
      </c>
      <c r="EJ46" s="12">
        <f>IF('Données projet'!$A$192&gt;35,EJ45+EI46-ER45,IF(A46&lt;'Données projet'!$A$192,$EG$205^A46,IF(A46='Données projet'!$A$192,'Données projet'!$B$192,EJ45+EI46-ER45)))</f>
        <v>191.10000000000008</v>
      </c>
      <c r="EK46" s="17">
        <f>EJ46*VLOOKUP('Données projet'!$B$15,Paramètres!$A$1:$I$89,3,0)*VLOOKUP('Données projet'!$B$15,Paramètres!$A$1:$I$89,5,0)</f>
        <v>166.94496000000009</v>
      </c>
      <c r="EL46" s="13">
        <f t="shared" si="45"/>
        <v>42.405075786649157</v>
      </c>
      <c r="EM46" s="20">
        <f t="shared" si="19"/>
        <v>364.61797899508082</v>
      </c>
      <c r="EN46" s="59">
        <f t="shared" si="20"/>
        <v>657.95131232841413</v>
      </c>
      <c r="EO46" s="59">
        <f ca="1">AVERAGE(OFFSET($EN$3,0,0,'Données projet'!$E$15+1,1))-AVERAGE(OFFSET($H$3,0,0,'Données projet'!$E$15+1,1))</f>
        <v>237.8483058552178</v>
      </c>
      <c r="EP46" s="59">
        <f t="shared" si="46"/>
        <v>313.36201272119723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3.052250847285968</v>
      </c>
      <c r="EW46" s="21">
        <f>EXP(-LN(2)/25)*EW45+(1-EXP(-LN(2)/25))/(LN(2)/25)*Calculateur!ER46*Calculateur!ET46*VLOOKUP('Données projet'!$B$15,Paramètres!$A$1:$I$89,3,0)*0.475*44/12</f>
        <v>4.4532501935645135</v>
      </c>
      <c r="EX46" s="21">
        <f>EXP(-LN(2)/2)*EX45+(1-EXP(-LN(2)/2))/(LN(2)/2)*ER46*EU46*VLOOKUP('Données projet'!$B$15,Paramètres!$A$1:$I$89,3,0)*0.475*44/12</f>
        <v>3.4096341860944457</v>
      </c>
      <c r="EY46" s="22">
        <f t="shared" si="21"/>
        <v>10.915135226944926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11.4</v>
      </c>
      <c r="FE46" s="12">
        <f>IF('Données projet'!$A$218&gt;35,FE45+FD46-FM45,IF(A46&lt;'Données projet'!$A$218,$FB$205^A46,IF(A46='Données projet'!$A$218,'Données projet'!$B$218,FE45+FD46-FM45)))</f>
        <v>257.19999999999993</v>
      </c>
      <c r="FF46" s="17">
        <f>FE46*VLOOKUP('Données projet'!$B$16,Paramètres!$A$1:$I$89,3,0)*VLOOKUP('Données projet'!$B$16,Paramètres!$A$1:$I$89,5,0)</f>
        <v>200.61599999999996</v>
      </c>
      <c r="FG46" s="13">
        <f t="shared" si="47"/>
        <v>49.879521641340439</v>
      </c>
      <c r="FH46" s="20">
        <f t="shared" si="22"/>
        <v>436.27970019200114</v>
      </c>
      <c r="FI46" s="59">
        <f t="shared" si="23"/>
        <v>729.61303352533446</v>
      </c>
      <c r="FJ46" s="59">
        <f ca="1">AVERAGE(OFFSET($FI$3,0,0,'Données projet'!$E$16+1,1))-AVERAGE(OFFSET($H$3,0,0,'Données projet'!$E$16+1,1))</f>
        <v>318.52984981739411</v>
      </c>
      <c r="FK46" s="59">
        <f t="shared" si="48"/>
        <v>311.56398336941714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1.3975507542518166</v>
      </c>
      <c r="FR46" s="21">
        <f>EXP(-LN(2)/25)*FR45+(1-EXP(-LN(2)/25))/(LN(2)/25)*Calculateur!FM46*Calculateur!FO46*VLOOKUP('Données projet'!$B$16,Paramètres!$A$1:$I$89,3,0)*0.475*44/12</f>
        <v>9.1650964857913522</v>
      </c>
      <c r="FS46" s="21">
        <f>EXP(-LN(2)/2)*FS45+(1-EXP(-LN(2)/2))/(LN(2)/2)*FM46*FP46*VLOOKUP('Données projet'!$B$16,Paramètres!$A$1:$I$89,3,0)*0.475*44/12</f>
        <v>3.8951241713534297</v>
      </c>
      <c r="FT46" s="22">
        <f t="shared" si="24"/>
        <v>14.4577714113966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11.4</v>
      </c>
      <c r="FZ46" s="12">
        <f>IF('Données projet'!$A$244&gt;35,FZ45+FY46-GH45,IF(A46&lt;'Données projet'!$A$244,$FW$205^A46,IF(A46='Données projet'!$A$244,'Données projet'!$B$244,FZ45+FY46-GH45)))</f>
        <v>257.19999999999993</v>
      </c>
      <c r="GA46" s="17">
        <f>FZ46*VLOOKUP('Données projet'!$B$17,Paramètres!$A$1:$I$89,3,0)*VLOOKUP('Données projet'!$B$17,Paramètres!$A$1:$I$89,5,0)</f>
        <v>204.62831999999995</v>
      </c>
      <c r="GB46" s="13">
        <f t="shared" si="49"/>
        <v>50.759974072251445</v>
      </c>
      <c r="GC46" s="20">
        <f t="shared" si="25"/>
        <v>444.80127884250447</v>
      </c>
      <c r="GD46" s="59">
        <f t="shared" si="26"/>
        <v>738.13461217583779</v>
      </c>
      <c r="GE46" s="59">
        <f ca="1">AVERAGE(OFFSET($GD$3,0,0,'Données projet'!$E$17+1,1))-AVERAGE(OFFSET($H$3,0,0,'Données projet'!$E$17+1,1))</f>
        <v>325.72928944930294</v>
      </c>
      <c r="GF46" s="59">
        <f t="shared" si="50"/>
        <v>318.38876834819752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1.7570138087175167</v>
      </c>
      <c r="GM46" s="21">
        <f>EXP(-LN(2)/25)*GM45+(1-EXP(-LN(2)/25))/(LN(2)/25)*Calculateur!GH46*Calculateur!GJ46*VLOOKUP('Données projet'!$B$17,Paramètres!$A$1:$I$89,3,0)*0.475*44/12</f>
        <v>11.522444558648383</v>
      </c>
      <c r="GN46" s="21">
        <f>EXP(-LN(2)/2)*GN45+(1-EXP(-LN(2)/2))/(LN(2)/2)*GH46*GK46*VLOOKUP('Données projet'!$B$17,Paramètres!$A$1:$I$89,3,0)*0.475*44/12</f>
        <v>3.9730266547804978</v>
      </c>
      <c r="GO46" s="21">
        <f t="shared" si="27"/>
        <v>17.252485022146399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11.4</v>
      </c>
      <c r="GU46" s="12">
        <f>IF('Données projet'!$A$270&gt;35,GU45+GT46-HC45,IF(A46&lt;'Données projet'!$A$270,$GR$205^A46,IF(A46='Données projet'!$A$270,'Données projet'!$B$270,GU45+GT46-HC45)))</f>
        <v>257.19999999999993</v>
      </c>
      <c r="GV46" s="17">
        <f>GU46*VLOOKUP('Données projet'!$B$18,Paramètres!$A$1:$I$89,3,0)*VLOOKUP('Données projet'!$B$18,Paramètres!$A$1:$I$89,5,0)</f>
        <v>172.52975999999995</v>
      </c>
      <c r="GW46" s="13">
        <f t="shared" si="51"/>
        <v>43.656117667170463</v>
      </c>
      <c r="GX46" s="20">
        <f t="shared" si="28"/>
        <v>376.52373693698843</v>
      </c>
      <c r="GY46" s="59">
        <f t="shared" si="29"/>
        <v>669.85707027032174</v>
      </c>
      <c r="GZ46" s="59">
        <f ca="1">AVERAGE(OFFSET($GY$3,0,0,'Données projet'!$E$18+1,1))-AVERAGE(OFFSET($H$3,0,0,'Données projet'!$E$18+1,1))</f>
        <v>268.04554291387961</v>
      </c>
      <c r="HA46" s="59">
        <f t="shared" si="52"/>
        <v>263.70463099437148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1.4814037995069256</v>
      </c>
      <c r="HH46" s="21">
        <f>EXP(-LN(2)/25)*HH45+(1-EXP(-LN(2)/25))/(LN(2)/25)*Calculateur!HC46*Calculateur!HE46*VLOOKUP('Données projet'!$B$18,Paramètres!$A$1:$I$89,3,0)*0.475*44/12</f>
        <v>9.7150022749388327</v>
      </c>
      <c r="HI46" s="21">
        <f>EXP(-LN(2)/2)*HI45+(1-EXP(-LN(2)/2))/(LN(2)/2)*HC46*HF46*VLOOKUP('Données projet'!$B$18,Paramètres!$A$1:$I$89,3,0)*0.475*44/12</f>
        <v>3.3498067873639483</v>
      </c>
      <c r="HJ46" s="22">
        <f t="shared" si="30"/>
        <v>14.546212861809707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6</v>
      </c>
      <c r="N47" s="13">
        <f>IF('Données projet'!$A$36&gt;35,N46+M47-V46,IF(A47&lt;'Données projet'!$A$36,$K$205^A47,IF(A47='Données projet'!$A$36,'Données projet'!$B$36,N46+M47-V46)))</f>
        <v>135</v>
      </c>
      <c r="O47" s="13">
        <f>N47*VLOOKUP('Données projet'!$B$9,Paramètres!$A$1:$I$89,3,0)*VLOOKUP('Données projet'!$B$9,Paramètres!$A$1:$I$89,5,0)</f>
        <v>59.670000000000009</v>
      </c>
      <c r="P47" s="13">
        <f t="shared" si="33"/>
        <v>17.084807896591332</v>
      </c>
      <c r="Q47" s="20">
        <f t="shared" si="53"/>
        <v>133.68129041989661</v>
      </c>
      <c r="R47" s="59">
        <f t="shared" si="0"/>
        <v>427.0146237532299</v>
      </c>
      <c r="S47" s="59">
        <f ca="1">AVERAGE(OFFSET($R$3,0,0,'Données projet'!$E$9+1,1))-AVERAGE(OFFSET($H$3,0,0,'Données projet'!$E$9+1,1))</f>
        <v>46.095319339746538</v>
      </c>
      <c r="T47" s="59">
        <f t="shared" si="34"/>
        <v>48.158174304064403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6.3178186055248844</v>
      </c>
      <c r="AB47" s="21">
        <f>EXP(-LN(2)/2)*AB46+(1-EXP(-LN(2)/2))/(LN(2)/2)*V47*Y47*VLOOKUP('Données projet'!$B$9,Paramètres!$A$1:$I$89,3,0)*0.475*44/12</f>
        <v>1.1789012583877703</v>
      </c>
      <c r="AC47" s="22">
        <f t="shared" si="3"/>
        <v>7.4967198639126549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17</v>
      </c>
      <c r="AI47" s="13">
        <f>IF('Données projet'!$A$62&gt;35,AI46+AH47-AQ46,IF(A47&lt;'Données projet'!$A$62,$AF$205^A47,IF(A47='Données projet'!$A$62,'Données projet'!$B$62,AI46+AH47-AQ46)))</f>
        <v>568.99999999999989</v>
      </c>
      <c r="AJ47" s="13">
        <f>AI47*VLOOKUP('Données projet'!$B$10,Paramètres!$A$1:$I$89,3,0)*VLOOKUP('Données projet'!$B$10,Paramètres!$A$1:$I$89,5,0)</f>
        <v>340.26199999999994</v>
      </c>
      <c r="AK47" s="13">
        <f t="shared" si="35"/>
        <v>79.554074853630979</v>
      </c>
      <c r="AL47" s="20">
        <f t="shared" si="4"/>
        <v>731.17966370340719</v>
      </c>
      <c r="AM47" s="59">
        <f t="shared" si="5"/>
        <v>1024.5129970367404</v>
      </c>
      <c r="AN47" s="59">
        <f ca="1">AVERAGE(OFFSET($AM$3,0,0,'Données projet'!$E$10+1,1))-AVERAGE(OFFSET($H$3,0,0,'Données projet'!$E$10+1,1))</f>
        <v>408.84545509668794</v>
      </c>
      <c r="AO47" s="59">
        <f t="shared" si="36"/>
        <v>409.9253979841132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4.6586624815461146</v>
      </c>
      <c r="AV47" s="21">
        <f>EXP(-LN(2)/25)*AV46+(1-EXP(-LN(2)/25))/(LN(2)/25)*Calculateur!AQ47*Calculateur!AS47*VLOOKUP('Données projet'!$B$10,Paramètres!$A$1:$I$89,3,0)*0.475*44/12</f>
        <v>26.295930803104827</v>
      </c>
      <c r="AW47" s="21">
        <f>EXP(-LN(2)/2)*AW46+(1-EXP(-LN(2)/2))/(LN(2)/2)*AQ47*AT47*VLOOKUP('Données projet'!$B$10,Paramètres!$A$1:$I$89,3,0)*0.475*44/12</f>
        <v>2.8257918241261968</v>
      </c>
      <c r="AX47" s="21">
        <f t="shared" si="6"/>
        <v>33.780385108777139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20</v>
      </c>
      <c r="BD47" s="12">
        <f>IF('Données projet'!$A$88&gt;35,BD46+BC47-BL46,IF(A47&lt;'Données projet'!$A$88,$BA$205^A47,IF(A47='Données projet'!$A$88,'Données projet'!$B$88,BD46+BC47-BL46)))</f>
        <v>364.00000000000017</v>
      </c>
      <c r="BE47" s="13">
        <f>BD47*VLOOKUP('Données projet'!$B$11,Paramètres!$A$1:$I$89,3,0)*VLOOKUP('Données projet'!$B$11,Paramètres!$A$1:$I$89,5,0)</f>
        <v>217.67200000000011</v>
      </c>
      <c r="BF47" s="13">
        <f t="shared" si="37"/>
        <v>53.60859357546007</v>
      </c>
      <c r="BG47" s="20">
        <f t="shared" si="7"/>
        <v>472.48036714392646</v>
      </c>
      <c r="BH47" s="59">
        <f t="shared" si="8"/>
        <v>765.81370047725977</v>
      </c>
      <c r="BI47" s="59">
        <f ca="1">AVERAGE(OFFSET($BH$3,0,0,'Données projet'!$E$11+1,1))-AVERAGE(OFFSET($H$3,0,0,'Données projet'!$E$11+1,1))</f>
        <v>279.69031306919914</v>
      </c>
      <c r="BJ47" s="59">
        <f t="shared" si="38"/>
        <v>297.01680128882509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33.317944687483248</v>
      </c>
      <c r="BR47" s="21">
        <f>EXP(-LN(2)/2)*BR46+(1-EXP(-LN(2)/2))/(LN(2)/2)*BL47*BO47*VLOOKUP('Données projet'!$B$11,Paramètres!$A$1:$I$89,3,0)*0.475*44/12</f>
        <v>4.0014172317223764</v>
      </c>
      <c r="BS47" s="22">
        <f t="shared" si="9"/>
        <v>37.319361919205626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6.5</v>
      </c>
      <c r="BY47" s="12">
        <f>IF('Données projet'!$A$114&gt;35,BY46+BX47-CG46,IF(A47&lt;'Données projet'!$A$114,$BV$205^A47,IF(A47='Données projet'!$A$114,'Données projet'!$B$114,BY46+BX47-CG46)))</f>
        <v>141</v>
      </c>
      <c r="BZ47" s="13">
        <f>BY47*VLOOKUP('Données projet'!$B$12,Paramètres!$A$1:$I$89,3,0)*VLOOKUP('Données projet'!$B$12,Paramètres!$A$1:$I$89,5,0)</f>
        <v>84.317999999999998</v>
      </c>
      <c r="CA47" s="13">
        <f t="shared" si="39"/>
        <v>23.189705803157239</v>
      </c>
      <c r="CB47" s="20">
        <f t="shared" si="10"/>
        <v>187.24258760716552</v>
      </c>
      <c r="CC47" s="59">
        <f t="shared" si="11"/>
        <v>480.5759209404988</v>
      </c>
      <c r="CD47" s="59">
        <f ca="1">AVERAGE(OFFSET($CC$3,0,0,'Données projet'!$E$12+1,1))-AVERAGE(OFFSET($H$3,0,0,'Données projet'!$E$12+1,1))</f>
        <v>81.299024916151723</v>
      </c>
      <c r="CE47" s="59">
        <f t="shared" si="40"/>
        <v>88.106373324240167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2.98124839788917</v>
      </c>
      <c r="CL47" s="21">
        <f>EXP(-LN(2)/25)*CL46+(1-EXP(-LN(2)/25))/(LN(2)/25)*Calculateur!CG47*Calculateur!CI47*VLOOKUP('Données projet'!$B$12,Paramètres!$A$1:$I$89,3,0)*0.475*44/12</f>
        <v>9.8137719208349221</v>
      </c>
      <c r="CM47" s="21">
        <f>EXP(-LN(2)/2)*CM46+(1-EXP(-LN(2)/2))/(LN(2)/2)*CG47*CJ47*VLOOKUP('Données projet'!$B$12,Paramètres!$A$1:$I$89,3,0)*0.475*44/12</f>
        <v>1.7861818090485564</v>
      </c>
      <c r="CN47" s="22">
        <f t="shared" si="12"/>
        <v>14.581202127772649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24.8</v>
      </c>
      <c r="CT47" s="12">
        <f>IF('Données projet'!$A$140&gt;35,CT46+CS47-DB46,IF(A47&lt;'Données projet'!$A$140,$CQ$205^A47,IF(A47='Données projet'!$A$140,'Données projet'!$B$140,CT46+CS47-DB46)))</f>
        <v>661.1999999999997</v>
      </c>
      <c r="CU47" s="17">
        <f>CT47*VLOOKUP('Données projet'!$B$13,Paramètres!$A$1:$I$89,3,0)*VLOOKUP('Données projet'!$B$13,Paramètres!$A$1:$I$89,5,0)</f>
        <v>369.61079999999981</v>
      </c>
      <c r="CV47" s="13">
        <f t="shared" si="41"/>
        <v>85.587677206936931</v>
      </c>
      <c r="CW47" s="20">
        <f t="shared" si="13"/>
        <v>792.80401446874805</v>
      </c>
      <c r="CX47" s="59">
        <f t="shared" si="14"/>
        <v>1086.1373478020814</v>
      </c>
      <c r="CY47" s="59">
        <f ca="1">AVERAGE(OFFSET($CX$3,0,0,'Données projet'!$E$13+1,1))-AVERAGE(OFFSET($H$3,0,0,'Données projet'!$E$13+1,1))</f>
        <v>475.42482703895411</v>
      </c>
      <c r="CZ47" s="59">
        <f t="shared" si="42"/>
        <v>593.51433014569966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29.898621266572974</v>
      </c>
      <c r="DG47" s="21">
        <f>EXP(-LN(2)/25)*DG46+(1-EXP(-LN(2)/25))/(LN(2)/25)*Calculateur!DB47*Calculateur!DD47*VLOOKUP('Données projet'!$B$13,Paramètres!$A$1:$I$89,3,0)*0.475*44/12</f>
        <v>39.180207204014543</v>
      </c>
      <c r="DH47" s="21">
        <f>EXP(-LN(2)/2)*DH46+(1-EXP(-LN(2)/2))/(LN(2)/2)*DB47*DE47*VLOOKUP('Données projet'!$B$13,Paramètres!$A$1:$I$89,3,0)*0.475*44/12</f>
        <v>3.2425577914963948</v>
      </c>
      <c r="DI47" s="22">
        <f t="shared" si="15"/>
        <v>72.321386262083919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>
        <f>VLOOKUP(A47,'Données projet'!$A$165:$I$185,2,0)</f>
        <v>188</v>
      </c>
      <c r="DM47" s="12">
        <f>VLOOKUP(A47,'Données projet'!$A$165:$I$185,9,0)</f>
        <v>9.875</v>
      </c>
      <c r="DN47" s="12">
        <f t="array" ref="DN47">INDEX(DM:DM,MIN(IF(ISNUMBER(DM47:DM243),ROW(DM47:DM243),"")))</f>
        <v>9.875</v>
      </c>
      <c r="DO47" s="12">
        <f>IF('Données projet'!$A$166&gt;35,DO46+DN47-DW46,IF(A47&lt;'Données projet'!$A$166,$DL$205^A47,IF(A47='Données projet'!$A$166,'Données projet'!$B$166,DO46+DN47-DW46)))</f>
        <v>188</v>
      </c>
      <c r="DP47" s="17">
        <f>DO47*VLOOKUP('Données projet'!$B$14,Paramètres!$A$1:$I$89,3,0)*VLOOKUP('Données projet'!$B$14,Paramètres!$A$1:$I$89,5,0)</f>
        <v>170.10239999999999</v>
      </c>
      <c r="DQ47" s="13">
        <f t="shared" si="43"/>
        <v>43.112956975087329</v>
      </c>
      <c r="DR47" s="20">
        <f t="shared" si="16"/>
        <v>371.35008006494377</v>
      </c>
      <c r="DS47" s="59">
        <f t="shared" si="17"/>
        <v>664.68341339827703</v>
      </c>
      <c r="DT47" s="59">
        <f ca="1">AVERAGE(OFFSET($DS$3,0,0,'Données projet'!$E$14+1,1))-AVERAGE(OFFSET($H$3,0,0,'Données projet'!$E$14+1,1))</f>
        <v>401.17301323870578</v>
      </c>
      <c r="DU47" s="59">
        <f t="shared" si="44"/>
        <v>201.57993789149754</v>
      </c>
      <c r="DV47" s="15">
        <f>IF(ISNA(VLOOKUP(A47,'Données projet'!$A$165:$I$185,3,0)),0,VLOOKUP(A47,'Données projet'!$A$165:$I$185,3,0))</f>
        <v>2</v>
      </c>
      <c r="DW47" s="15">
        <f>IF(ISNA(VLOOKUP(A47,'Données projet'!$A$165:$I$185,4,0)),0,VLOOKUP(A47,'Données projet'!$A$165:$I$185,4,0))</f>
        <v>46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0.215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9.8533210989335007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9.8533210989335007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5.7</v>
      </c>
      <c r="EJ47" s="12">
        <f>IF('Données projet'!$A$192&gt;35,EJ46+EI47-ER46,IF(A47&lt;'Données projet'!$A$192,$EG$205^A47,IF(A47='Données projet'!$A$192,'Données projet'!$B$192,EJ46+EI47-ER46)))</f>
        <v>196.80000000000007</v>
      </c>
      <c r="EK47" s="17">
        <f>EJ47*VLOOKUP('Données projet'!$B$15,Paramètres!$A$1:$I$89,3,0)*VLOOKUP('Données projet'!$B$15,Paramètres!$A$1:$I$89,5,0)</f>
        <v>171.9244800000001</v>
      </c>
      <c r="EL47" s="13">
        <f t="shared" si="45"/>
        <v>43.520760297647755</v>
      </c>
      <c r="EM47" s="20">
        <f t="shared" si="19"/>
        <v>375.23379351840327</v>
      </c>
      <c r="EN47" s="59">
        <f t="shared" si="20"/>
        <v>668.56712685173659</v>
      </c>
      <c r="EO47" s="59">
        <f ca="1">AVERAGE(OFFSET($EN$3,0,0,'Données projet'!$E$15+1,1))-AVERAGE(OFFSET($H$3,0,0,'Données projet'!$E$15+1,1))</f>
        <v>237.8483058552178</v>
      </c>
      <c r="EP47" s="59">
        <f t="shared" si="46"/>
        <v>313.36201272119723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2.9923980698598802</v>
      </c>
      <c r="EW47" s="21">
        <f>EXP(-LN(2)/25)*EW46+(1-EXP(-LN(2)/25))/(LN(2)/25)*Calculateur!ER47*Calculateur!ET47*VLOOKUP('Données projet'!$B$15,Paramètres!$A$1:$I$89,3,0)*0.475*44/12</f>
        <v>4.3314758328352418</v>
      </c>
      <c r="EX47" s="21">
        <f>EXP(-LN(2)/2)*EX46+(1-EXP(-LN(2)/2))/(LN(2)/2)*ER47*EU47*VLOOKUP('Données projet'!$B$15,Paramètres!$A$1:$I$89,3,0)*0.475*44/12</f>
        <v>2.4109754543528576</v>
      </c>
      <c r="EY47" s="22">
        <f t="shared" si="21"/>
        <v>9.7348493570479793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11.4</v>
      </c>
      <c r="FE47" s="12">
        <f>IF('Données projet'!$A$218&gt;35,FE46+FD47-FM46,IF(A47&lt;'Données projet'!$A$218,$FB$205^A47,IF(A47='Données projet'!$A$218,'Données projet'!$B$218,FE46+FD47-FM46)))</f>
        <v>268.59999999999991</v>
      </c>
      <c r="FF47" s="17">
        <f>FE47*VLOOKUP('Données projet'!$B$16,Paramètres!$A$1:$I$89,3,0)*VLOOKUP('Données projet'!$B$16,Paramètres!$A$1:$I$89,5,0)</f>
        <v>209.50799999999992</v>
      </c>
      <c r="FG47" s="13">
        <f t="shared" si="47"/>
        <v>51.828056646917659</v>
      </c>
      <c r="FH47" s="20">
        <f t="shared" si="22"/>
        <v>455.16029866004811</v>
      </c>
      <c r="FI47" s="59">
        <f t="shared" si="23"/>
        <v>748.49363199338143</v>
      </c>
      <c r="FJ47" s="59">
        <f ca="1">AVERAGE(OFFSET($FI$3,0,0,'Données projet'!$E$16+1,1))-AVERAGE(OFFSET($H$3,0,0,'Données projet'!$E$16+1,1))</f>
        <v>318.52984981739411</v>
      </c>
      <c r="FK47" s="59">
        <f t="shared" si="48"/>
        <v>311.56398336941714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1.3701456363827289</v>
      </c>
      <c r="FR47" s="21">
        <f>EXP(-LN(2)/25)*FR46+(1-EXP(-LN(2)/25))/(LN(2)/25)*Calculateur!FM47*Calculateur!FO47*VLOOKUP('Données projet'!$B$16,Paramètres!$A$1:$I$89,3,0)*0.475*44/12</f>
        <v>8.9144764404159105</v>
      </c>
      <c r="FS47" s="21">
        <f>EXP(-LN(2)/2)*FS46+(1-EXP(-LN(2)/2))/(LN(2)/2)*FM47*FP47*VLOOKUP('Données projet'!$B$16,Paramètres!$A$1:$I$89,3,0)*0.475*44/12</f>
        <v>2.7542687151276422</v>
      </c>
      <c r="FT47" s="22">
        <f t="shared" si="24"/>
        <v>13.038890791926281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11.4</v>
      </c>
      <c r="FZ47" s="12">
        <f>IF('Données projet'!$A$244&gt;35,FZ46+FY47-GH46,IF(A47&lt;'Données projet'!$A$244,$FW$205^A47,IF(A47='Données projet'!$A$244,'Données projet'!$B$244,FZ46+FY47-GH46)))</f>
        <v>268.59999999999991</v>
      </c>
      <c r="GA47" s="17">
        <f>FZ47*VLOOKUP('Données projet'!$B$17,Paramètres!$A$1:$I$89,3,0)*VLOOKUP('Données projet'!$B$17,Paramètres!$A$1:$I$89,5,0)</f>
        <v>213.69815999999994</v>
      </c>
      <c r="GB47" s="13">
        <f t="shared" si="49"/>
        <v>52.742903801874164</v>
      </c>
      <c r="GC47" s="20">
        <f t="shared" si="25"/>
        <v>464.05151945493071</v>
      </c>
      <c r="GD47" s="59">
        <f t="shared" si="26"/>
        <v>757.38485278826397</v>
      </c>
      <c r="GE47" s="59">
        <f ca="1">AVERAGE(OFFSET($GD$3,0,0,'Données projet'!$E$17+1,1))-AVERAGE(OFFSET($H$3,0,0,'Données projet'!$E$17+1,1))</f>
        <v>325.72928944930294</v>
      </c>
      <c r="GF47" s="59">
        <f t="shared" si="50"/>
        <v>318.38876834819752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1.7225598396011705</v>
      </c>
      <c r="GM47" s="21">
        <f>EXP(-LN(2)/25)*GM46+(1-EXP(-LN(2)/25))/(LN(2)/25)*Calculateur!GH47*Calculateur!GJ47*VLOOKUP('Données projet'!$B$17,Paramètres!$A$1:$I$89,3,0)*0.475*44/12</f>
        <v>11.207362706253118</v>
      </c>
      <c r="GN47" s="21">
        <f>EXP(-LN(2)/2)*GN46+(1-EXP(-LN(2)/2))/(LN(2)/2)*GH47*GK47*VLOOKUP('Données projet'!$B$17,Paramètres!$A$1:$I$89,3,0)*0.475*44/12</f>
        <v>2.8093540894301947</v>
      </c>
      <c r="GO47" s="21">
        <f t="shared" si="27"/>
        <v>15.739276635284483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11.4</v>
      </c>
      <c r="GU47" s="12">
        <f>IF('Données projet'!$A$270&gt;35,GU46+GT47-HC46,IF(A47&lt;'Données projet'!$A$270,$GR$205^A47,IF(A47='Données projet'!$A$270,'Données projet'!$B$270,GU46+GT47-HC46)))</f>
        <v>268.59999999999991</v>
      </c>
      <c r="GV47" s="17">
        <f>GU47*VLOOKUP('Données projet'!$B$18,Paramètres!$A$1:$I$89,3,0)*VLOOKUP('Données projet'!$B$18,Paramètres!$A$1:$I$89,5,0)</f>
        <v>180.17687999999995</v>
      </c>
      <c r="GW47" s="13">
        <f t="shared" si="51"/>
        <v>45.361536457946897</v>
      </c>
      <c r="GX47" s="20">
        <f t="shared" si="28"/>
        <v>392.81274199759076</v>
      </c>
      <c r="GY47" s="59">
        <f t="shared" si="29"/>
        <v>686.14607533092408</v>
      </c>
      <c r="GZ47" s="59">
        <f ca="1">AVERAGE(OFFSET($GY$3,0,0,'Données projet'!$E$18+1,1))-AVERAGE(OFFSET($H$3,0,0,'Données projet'!$E$18+1,1))</f>
        <v>268.04554291387961</v>
      </c>
      <c r="HA47" s="59">
        <f t="shared" si="52"/>
        <v>263.70463099437148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1.4523543745656926</v>
      </c>
      <c r="HH47" s="21">
        <f>EXP(-LN(2)/25)*HH46+(1-EXP(-LN(2)/25))/(LN(2)/25)*Calculateur!HC47*Calculateur!HE47*VLOOKUP('Données projet'!$B$18,Paramètres!$A$1:$I$89,3,0)*0.475*44/12</f>
        <v>9.4493450268408647</v>
      </c>
      <c r="HI47" s="21">
        <f>EXP(-LN(2)/2)*HI46+(1-EXP(-LN(2)/2))/(LN(2)/2)*HC47*HF47*VLOOKUP('Données projet'!$B$18,Paramètres!$A$1:$I$89,3,0)*0.475*44/12</f>
        <v>2.3686710950097711</v>
      </c>
      <c r="HJ47" s="22">
        <f t="shared" si="30"/>
        <v>13.270370496416328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6</v>
      </c>
      <c r="N48" s="13">
        <f>IF('Données projet'!$A$36&gt;35,N47+M48-V47,IF(A48&lt;'Données projet'!$A$36,$K$205^A48,IF(A48='Données projet'!$A$36,'Données projet'!$B$36,N47+M48-V47)))</f>
        <v>141</v>
      </c>
      <c r="O48" s="13">
        <f>N48*VLOOKUP('Données projet'!$B$9,Paramètres!$A$1:$I$89,3,0)*VLOOKUP('Données projet'!$B$9,Paramètres!$A$1:$I$89,5,0)</f>
        <v>62.32200000000001</v>
      </c>
      <c r="P48" s="13">
        <f t="shared" si="33"/>
        <v>17.754039836243702</v>
      </c>
      <c r="Q48" s="20">
        <f t="shared" si="53"/>
        <v>139.46576938145779</v>
      </c>
      <c r="R48" s="59">
        <f t="shared" si="0"/>
        <v>432.7991027147911</v>
      </c>
      <c r="S48" s="59">
        <f ca="1">AVERAGE(OFFSET($R$3,0,0,'Données projet'!$E$9+1,1))-AVERAGE(OFFSET($H$3,0,0,'Données projet'!$E$9+1,1))</f>
        <v>46.095319339746538</v>
      </c>
      <c r="T48" s="59">
        <f t="shared" si="34"/>
        <v>48.158174304064403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6.1450575235171652</v>
      </c>
      <c r="AB48" s="21">
        <f>EXP(-LN(2)/2)*AB47+(1-EXP(-LN(2)/2))/(LN(2)/2)*V48*Y48*VLOOKUP('Données projet'!$B$9,Paramètres!$A$1:$I$89,3,0)*0.475*44/12</f>
        <v>0.83360907415534669</v>
      </c>
      <c r="AC48" s="22">
        <f t="shared" si="3"/>
        <v>6.978666597672512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17</v>
      </c>
      <c r="AI48" s="13">
        <f>IF('Données projet'!$A$62&gt;35,AI47+AH48-AQ47,IF(A48&lt;'Données projet'!$A$62,$AF$205^A48,IF(A48='Données projet'!$A$62,'Données projet'!$B$62,AI47+AH48-AQ47)))</f>
        <v>585.99999999999989</v>
      </c>
      <c r="AJ48" s="13">
        <f>AI48*VLOOKUP('Données projet'!$B$10,Paramètres!$A$1:$I$89,3,0)*VLOOKUP('Données projet'!$B$10,Paramètres!$A$1:$I$89,5,0)</f>
        <v>350.42799999999994</v>
      </c>
      <c r="AK48" s="13">
        <f t="shared" si="35"/>
        <v>81.650634613695345</v>
      </c>
      <c r="AL48" s="20">
        <f t="shared" si="4"/>
        <v>752.53695528551918</v>
      </c>
      <c r="AM48" s="59">
        <f t="shared" si="5"/>
        <v>1045.8702886188526</v>
      </c>
      <c r="AN48" s="59">
        <f ca="1">AVERAGE(OFFSET($AM$3,0,0,'Données projet'!$E$10+1,1))-AVERAGE(OFFSET($H$3,0,0,'Données projet'!$E$10+1,1))</f>
        <v>408.84545509668794</v>
      </c>
      <c r="AO48" s="59">
        <f t="shared" si="36"/>
        <v>409.9253979841132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4.5673089517865337</v>
      </c>
      <c r="AV48" s="21">
        <f>EXP(-LN(2)/25)*AV47+(1-EXP(-LN(2)/25))/(LN(2)/25)*Calculateur!AQ48*Calculateur!AS48*VLOOKUP('Données projet'!$B$10,Paramètres!$A$1:$I$89,3,0)*0.475*44/12</f>
        <v>25.576867192451026</v>
      </c>
      <c r="AW48" s="21">
        <f>EXP(-LN(2)/2)*AW47+(1-EXP(-LN(2)/2))/(LN(2)/2)*AQ48*AT48*VLOOKUP('Données projet'!$B$10,Paramètres!$A$1:$I$89,3,0)*0.475*44/12</f>
        <v>1.9981365610611377</v>
      </c>
      <c r="AX48" s="21">
        <f t="shared" si="6"/>
        <v>32.142312705298693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384</v>
      </c>
      <c r="BB48" s="12">
        <f>VLOOKUP(A48,'Données projet'!$A$87:$I$107,9,0)</f>
        <v>20</v>
      </c>
      <c r="BC48" s="12">
        <f t="array" ref="BC48">INDEX(BB:BB,MIN(IF(ISNUMBER(BB48:BB244),ROW(BB48:BB244),"")))</f>
        <v>20</v>
      </c>
      <c r="BD48" s="12">
        <f>IF('Données projet'!$A$88&gt;35,BD47+BC48-BL47,IF(A48&lt;'Données projet'!$A$88,$BA$205^A48,IF(A48='Données projet'!$A$88,'Données projet'!$B$88,BD47+BC48-BL47)))</f>
        <v>384.00000000000017</v>
      </c>
      <c r="BE48" s="13">
        <f>BD48*VLOOKUP('Données projet'!$B$11,Paramètres!$A$1:$I$89,3,0)*VLOOKUP('Données projet'!$B$11,Paramètres!$A$1:$I$89,5,0)</f>
        <v>229.63200000000015</v>
      </c>
      <c r="BF48" s="13">
        <f t="shared" si="37"/>
        <v>56.20310391330672</v>
      </c>
      <c r="BG48" s="20">
        <f t="shared" si="7"/>
        <v>497.8294726490094</v>
      </c>
      <c r="BH48" s="59">
        <f t="shared" si="8"/>
        <v>791.16280598234266</v>
      </c>
      <c r="BI48" s="59">
        <f ca="1">AVERAGE(OFFSET($BH$3,0,0,'Données projet'!$E$11+1,1))-AVERAGE(OFFSET($H$3,0,0,'Données projet'!$E$11+1,1))</f>
        <v>279.69031306919914</v>
      </c>
      <c r="BJ48" s="59">
        <f t="shared" si="38"/>
        <v>297.01680128882509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57</v>
      </c>
      <c r="BM48" s="16">
        <f>IF(ISNA(VLOOKUP(A48,'Données projet'!$A$87:$I$107,5,0)),0%,VLOOKUP(A48,'Données projet'!$A$87:$I$107,5,0)*VLOOKUP('Données projet'!$B$11,Paramètres!$A$1:$I$89,7,0))</f>
        <v>9.0000000000000011E-2</v>
      </c>
      <c r="BN48" s="16">
        <f>IF(ISNA(VLOOKUP(A48,'Données projet'!$A$87:$I$107,6,0)),0%,VLOOKUP(A48,'Données projet'!$A$87:$I$107,6,0)*VLOOKUP('Données projet'!$B$11,Paramètres!$A$1:$I$89,7,0))</f>
        <v>0.18000000000000002</v>
      </c>
      <c r="BO48" s="16">
        <f>IF(ISNA(VLOOKUP(A48,'Données projet'!$A$87:$I$107,7,0)),0%,VLOOKUP(A48,'Données projet'!$A$87:$I$107,7,0))</f>
        <v>0.4</v>
      </c>
      <c r="BP48" s="21">
        <f>EXP(-LN(2)/35)*BP47+(1-EXP(-LN(2)/35))/(LN(2)/35)*BL48*BM48*VLOOKUP('Données projet'!$B$11,Paramètres!$A$1:$I$89,3,0)*0.475*44/12</f>
        <v>4.0695548425300965</v>
      </c>
      <c r="BQ48" s="21">
        <f>EXP(-LN(2)/25)*BQ47+(1-EXP(-LN(2)/25))/(LN(2)/25)*Calculateur!BL48*Calculateur!BN48*VLOOKUP('Données projet'!$B$11,Paramètres!$A$1:$I$89,3,0)*0.475*44/12</f>
        <v>40.513926646875646</v>
      </c>
      <c r="BR48" s="21">
        <f>EXP(-LN(2)/2)*BR47+(1-EXP(-LN(2)/2))/(LN(2)/2)*BL48*BO48*VLOOKUP('Données projet'!$B$11,Paramètres!$A$1:$I$89,3,0)*0.475*44/12</f>
        <v>18.266737296302445</v>
      </c>
      <c r="BS48" s="22">
        <f t="shared" si="9"/>
        <v>62.850218785708186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6.5</v>
      </c>
      <c r="BY48" s="12">
        <f>IF('Données projet'!$A$114&gt;35,BY47+BX48-CG47,IF(A48&lt;'Données projet'!$A$114,$BV$205^A48,IF(A48='Données projet'!$A$114,'Données projet'!$B$114,BY47+BX48-CG47)))</f>
        <v>147.5</v>
      </c>
      <c r="BZ48" s="13">
        <f>BY48*VLOOKUP('Données projet'!$B$12,Paramètres!$A$1:$I$89,3,0)*VLOOKUP('Données projet'!$B$12,Paramètres!$A$1:$I$89,5,0)</f>
        <v>88.205000000000013</v>
      </c>
      <c r="CA48" s="13">
        <f t="shared" si="39"/>
        <v>24.131807939551543</v>
      </c>
      <c r="CB48" s="20">
        <f t="shared" si="10"/>
        <v>195.65327382805231</v>
      </c>
      <c r="CC48" s="59">
        <f t="shared" si="11"/>
        <v>488.98660716138562</v>
      </c>
      <c r="CD48" s="59">
        <f ca="1">AVERAGE(OFFSET($CC$3,0,0,'Données projet'!$E$12+1,1))-AVERAGE(OFFSET($H$3,0,0,'Données projet'!$E$12+1,1))</f>
        <v>81.299024916151723</v>
      </c>
      <c r="CE48" s="59">
        <f t="shared" si="40"/>
        <v>88.106373324240167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2.9227879351885355</v>
      </c>
      <c r="CL48" s="21">
        <f>EXP(-LN(2)/25)*CL47+(1-EXP(-LN(2)/25))/(LN(2)/25)*Calculateur!CG48*Calculateur!CI48*VLOOKUP('Données projet'!$B$12,Paramètres!$A$1:$I$89,3,0)*0.475*44/12</f>
        <v>9.5454138115758553</v>
      </c>
      <c r="CM48" s="21">
        <f>EXP(-LN(2)/2)*CM47+(1-EXP(-LN(2)/2))/(LN(2)/2)*CG48*CJ48*VLOOKUP('Données projet'!$B$12,Paramètres!$A$1:$I$89,3,0)*0.475*44/12</f>
        <v>1.2630212696102892</v>
      </c>
      <c r="CN48" s="22">
        <f t="shared" si="12"/>
        <v>13.731223016374681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686</v>
      </c>
      <c r="CR48" s="12">
        <f>VLOOKUP(A48,'Données projet'!$A$139:$I$159,9,0)</f>
        <v>24.8</v>
      </c>
      <c r="CS48" s="12">
        <f t="array" ref="CS48">INDEX(CR:CR,MIN(IF(ISNUMBER(CR48:CR244),ROW(CR48:CR244),"")))</f>
        <v>24.8</v>
      </c>
      <c r="CT48" s="12">
        <f>IF('Données projet'!$A$140&gt;35,CT47+CS48-DB47,IF(A48&lt;'Données projet'!$A$140,$CQ$205^A48,IF(A48='Données projet'!$A$140,'Données projet'!$B$140,CT47+CS48-DB47)))</f>
        <v>685.99999999999966</v>
      </c>
      <c r="CU48" s="17">
        <f>CT48*VLOOKUP('Données projet'!$B$13,Paramètres!$A$1:$I$89,3,0)*VLOOKUP('Données projet'!$B$13,Paramètres!$A$1:$I$89,5,0)</f>
        <v>383.47399999999982</v>
      </c>
      <c r="CV48" s="13">
        <f t="shared" si="41"/>
        <v>88.418089567872116</v>
      </c>
      <c r="CW48" s="20">
        <f t="shared" si="13"/>
        <v>821.87872266404372</v>
      </c>
      <c r="CX48" s="59">
        <f t="shared" si="14"/>
        <v>1115.2120559973771</v>
      </c>
      <c r="CY48" s="59">
        <f ca="1">AVERAGE(OFFSET($CX$3,0,0,'Données projet'!$E$13+1,1))-AVERAGE(OFFSET($H$3,0,0,'Données projet'!$E$13+1,1))</f>
        <v>475.42482703895411</v>
      </c>
      <c r="CZ48" s="59">
        <f t="shared" si="42"/>
        <v>593.51433014569966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64</v>
      </c>
      <c r="DC48" s="16">
        <f>IF(ISNA(VLOOKUP(A48,'Données projet'!$A$139:$I$159,5,0)),0%,VLOOKUP(A48,'Données projet'!$A$139:$I$159,5,0)*VLOOKUP('Données projet'!$B$13,Paramètres!$A$1:$I$89,7,0))</f>
        <v>0.33</v>
      </c>
      <c r="DD48" s="16">
        <f>IF(ISNA(VLOOKUP(A48,'Données projet'!$A$139:$I$159,6,0)),0%,VLOOKUP(A48,'Données projet'!$A$139:$I$159,6,0)*VLOOKUP('Données projet'!$B$13,Paramètres!$A$1:$I$89,7,0))</f>
        <v>0.11000000000000001</v>
      </c>
      <c r="DE48" s="16">
        <f>IF(ISNA(VLOOKUP(A48,'Données projet'!$A$139:$I$159,7,0)),0%,VLOOKUP(A48,'Données projet'!$A$139:$I$159,7,0))</f>
        <v>0.2</v>
      </c>
      <c r="DF48" s="21">
        <f>EXP(-LN(2)/35)*DF47+(1-EXP(-LN(2)/35))/(LN(2)/35)*DB48*DC48*VLOOKUP('Données projet'!$B$13,Paramètres!$A$1:$I$89,3,0)*0.475*44/12</f>
        <v>44.973853625969411</v>
      </c>
      <c r="DG48" s="21">
        <f>EXP(-LN(2)/25)*DG47+(1-EXP(-LN(2)/25))/(LN(2)/25)*Calculateur!DB48*Calculateur!DD48*VLOOKUP('Données projet'!$B$13,Paramètres!$A$1:$I$89,3,0)*0.475*44/12</f>
        <v>43.30877594107838</v>
      </c>
      <c r="DH48" s="21">
        <f>EXP(-LN(2)/2)*DH47+(1-EXP(-LN(2)/2))/(LN(2)/2)*DB48*DE48*VLOOKUP('Données projet'!$B$13,Paramètres!$A$1:$I$89,3,0)*0.475*44/12</f>
        <v>10.394183138017745</v>
      </c>
      <c r="DI48" s="22">
        <f t="shared" si="15"/>
        <v>98.676812705065544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11.25</v>
      </c>
      <c r="DO48" s="12">
        <f>IF('Données projet'!$A$166&gt;35,DO47+DN48-DW47,IF(A48&lt;'Données projet'!$A$166,$DL$205^A48,IF(A48='Données projet'!$A$166,'Données projet'!$B$166,DO47+DN48-DW47)))</f>
        <v>153.25</v>
      </c>
      <c r="DP48" s="17">
        <f>DO48*VLOOKUP('Données projet'!$B$14,Paramètres!$A$1:$I$89,3,0)*VLOOKUP('Données projet'!$B$14,Paramètres!$A$1:$I$89,5,0)</f>
        <v>138.66059999999999</v>
      </c>
      <c r="DQ48" s="13">
        <f t="shared" si="43"/>
        <v>35.989996302499641</v>
      </c>
      <c r="DR48" s="20">
        <f t="shared" si="16"/>
        <v>304.18312189352014</v>
      </c>
      <c r="DS48" s="59">
        <f t="shared" si="17"/>
        <v>597.5164552268534</v>
      </c>
      <c r="DT48" s="59">
        <f ca="1">AVERAGE(OFFSET($DS$3,0,0,'Données projet'!$E$14+1,1))-AVERAGE(OFFSET($H$3,0,0,'Données projet'!$E$14+1,1))</f>
        <v>401.17301323870578</v>
      </c>
      <c r="DU48" s="59">
        <f t="shared" si="44"/>
        <v>201.57993789149754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9.5838815153195274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9.5838815153195274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5.7</v>
      </c>
      <c r="EJ48" s="12">
        <f>IF('Données projet'!$A$192&gt;35,EJ47+EI48-ER47,IF(A48&lt;'Données projet'!$A$192,$EG$205^A48,IF(A48='Données projet'!$A$192,'Données projet'!$B$192,EJ47+EI48-ER47)))</f>
        <v>202.50000000000006</v>
      </c>
      <c r="EK48" s="17">
        <f>EJ48*VLOOKUP('Données projet'!$B$15,Paramètres!$A$1:$I$89,3,0)*VLOOKUP('Données projet'!$B$15,Paramètres!$A$1:$I$89,5,0)</f>
        <v>176.90400000000008</v>
      </c>
      <c r="EL48" s="13">
        <f t="shared" si="45"/>
        <v>44.6326892336632</v>
      </c>
      <c r="EM48" s="20">
        <f t="shared" si="19"/>
        <v>385.84306708196351</v>
      </c>
      <c r="EN48" s="59">
        <f t="shared" si="20"/>
        <v>679.17640041529683</v>
      </c>
      <c r="EO48" s="59">
        <f ca="1">AVERAGE(OFFSET($EN$3,0,0,'Données projet'!$E$15+1,1))-AVERAGE(OFFSET($H$3,0,0,'Données projet'!$E$15+1,1))</f>
        <v>237.8483058552178</v>
      </c>
      <c r="EP48" s="59">
        <f t="shared" si="46"/>
        <v>313.36201272119723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2.9337189688925287</v>
      </c>
      <c r="EW48" s="21">
        <f>EXP(-LN(2)/25)*EW47+(1-EXP(-LN(2)/25))/(LN(2)/25)*Calculateur!ER48*Calculateur!ET48*VLOOKUP('Données projet'!$B$15,Paramètres!$A$1:$I$89,3,0)*0.475*44/12</f>
        <v>4.213031398403948</v>
      </c>
      <c r="EX48" s="21">
        <f>EXP(-LN(2)/2)*EX47+(1-EXP(-LN(2)/2))/(LN(2)/2)*ER48*EU48*VLOOKUP('Données projet'!$B$15,Paramètres!$A$1:$I$89,3,0)*0.475*44/12</f>
        <v>1.7048170930472233</v>
      </c>
      <c r="EY48" s="22">
        <f t="shared" si="21"/>
        <v>8.8515674603437002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280</v>
      </c>
      <c r="FC48" s="12">
        <f>VLOOKUP(A48,'Données projet'!$A$217:$I$237,9,0)</f>
        <v>11.4</v>
      </c>
      <c r="FD48" s="12">
        <f t="array" ref="FD48">INDEX(FC:FC,MIN(IF(ISNUMBER(FC48:FC244),ROW(FC48:FC244),"")))</f>
        <v>11.4</v>
      </c>
      <c r="FE48" s="12">
        <f>IF('Données projet'!$A$218&gt;35,FE47+FD48-FM47,IF(A48&lt;'Données projet'!$A$218,$FB$205^A48,IF(A48='Données projet'!$A$218,'Données projet'!$B$218,FE47+FD48-FM47)))</f>
        <v>279.99999999999989</v>
      </c>
      <c r="FF48" s="17">
        <f>FE48*VLOOKUP('Données projet'!$B$16,Paramètres!$A$1:$I$89,3,0)*VLOOKUP('Données projet'!$B$16,Paramètres!$A$1:$I$89,5,0)</f>
        <v>218.39999999999992</v>
      </c>
      <c r="FG48" s="13">
        <f t="shared" si="47"/>
        <v>53.76698603199852</v>
      </c>
      <c r="FH48" s="20">
        <f t="shared" si="22"/>
        <v>474.02416733906381</v>
      </c>
      <c r="FI48" s="59">
        <f t="shared" si="23"/>
        <v>767.35750067239712</v>
      </c>
      <c r="FJ48" s="59">
        <f ca="1">AVERAGE(OFFSET($FI$3,0,0,'Données projet'!$E$16+1,1))-AVERAGE(OFFSET($H$3,0,0,'Données projet'!$E$16+1,1))</f>
        <v>318.52984981739411</v>
      </c>
      <c r="FK48" s="59">
        <f t="shared" si="48"/>
        <v>311.56398336941714</v>
      </c>
      <c r="FL48" s="15">
        <f>IF(ISNA(VLOOKUP(A48,'Données projet'!$A$217:$I$237,3,0)),0,VLOOKUP(A48,'Données projet'!$A$217:$I$237,3,0))</f>
        <v>8</v>
      </c>
      <c r="FM48" s="15">
        <f>IF(ISNA(VLOOKUP(A48,'Données projet'!$A$217:$I$237,4,0)),0,VLOOKUP(A48,'Données projet'!$A$217:$I$237,4,0))</f>
        <v>26</v>
      </c>
      <c r="FN48" s="16">
        <f>IF(ISNA(VLOOKUP(A48,'Données projet'!$A$217:$I$237,5,0)),0%,VLOOKUP(A48,'Données projet'!$A$217:$I$237,5,0)*VLOOKUP('Données projet'!$B$16,Paramètres!$A$1:$I$89,7,0))</f>
        <v>0.129</v>
      </c>
      <c r="FO48" s="16">
        <f>IF(ISNA(VLOOKUP(A48,'Données projet'!$A$217:$I$237,6,0)),0%,VLOOKUP(A48,'Données projet'!$A$217:$I$237,6,0)*VLOOKUP('Données projet'!$B$16,Paramètres!$A$1:$I$89,7,0))</f>
        <v>8.6000000000000007E-2</v>
      </c>
      <c r="FP48" s="16">
        <f>IF(ISNA(VLOOKUP(A48,'Données projet'!$A$217:$I$237,7,0)),0%,VLOOKUP(A48,'Données projet'!$A$217:$I$237,7,0))</f>
        <v>0.3</v>
      </c>
      <c r="FQ48" s="21">
        <f>EXP(-LN(2)/35)*FQ47+(1-EXP(-LN(2)/35))/(LN(2)/35)*FM48*FN48*VLOOKUP('Données projet'!$B$16,Paramètres!$A$1:$I$89,3,0)*0.475*44/12</f>
        <v>4.2353210854633243</v>
      </c>
      <c r="FR48" s="21">
        <f>EXP(-LN(2)/25)*FR47+(1-EXP(-LN(2)/25))/(LN(2)/25)*Calculateur!FM48*Calculateur!FO48*VLOOKUP('Données projet'!$B$16,Paramètres!$A$1:$I$89,3,0)*0.475*44/12</f>
        <v>10.591147008955032</v>
      </c>
      <c r="FS48" s="21">
        <f>EXP(-LN(2)/2)*FS47+(1-EXP(-LN(2)/2))/(LN(2)/2)*FM48*FP48*VLOOKUP('Données projet'!$B$16,Paramètres!$A$1:$I$89,3,0)*0.475*44/12</f>
        <v>7.6879798341358958</v>
      </c>
      <c r="FT48" s="22">
        <f t="shared" si="24"/>
        <v>22.514447928554251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280</v>
      </c>
      <c r="FX48" s="12">
        <f>VLOOKUP(A48,'Données projet'!$A$243:$I$263,9,0)</f>
        <v>11.4</v>
      </c>
      <c r="FY48" s="12">
        <f t="array" ref="FY48">INDEX(FX:FX,MIN(IF(ISNUMBER(FX48:FX244),ROW(FX48:FX244),"")))</f>
        <v>11.4</v>
      </c>
      <c r="FZ48" s="12">
        <f>IF('Données projet'!$A$244&gt;35,FZ47+FY48-GH47,IF(A48&lt;'Données projet'!$A$244,$FW$205^A48,IF(A48='Données projet'!$A$244,'Données projet'!$B$244,FZ47+FY48-GH47)))</f>
        <v>279.99999999999989</v>
      </c>
      <c r="GA48" s="17">
        <f>FZ48*VLOOKUP('Données projet'!$B$17,Paramètres!$A$1:$I$89,3,0)*VLOOKUP('Données projet'!$B$17,Paramètres!$A$1:$I$89,5,0)</f>
        <v>222.76799999999994</v>
      </c>
      <c r="GB48" s="13">
        <f t="shared" si="49"/>
        <v>54.716058356609508</v>
      </c>
      <c r="GC48" s="20">
        <f t="shared" si="25"/>
        <v>483.28473497109485</v>
      </c>
      <c r="GD48" s="59">
        <f t="shared" si="26"/>
        <v>776.61806830442811</v>
      </c>
      <c r="GE48" s="59">
        <f ca="1">AVERAGE(OFFSET($GD$3,0,0,'Données projet'!$E$17+1,1))-AVERAGE(OFFSET($H$3,0,0,'Données projet'!$E$17+1,1))</f>
        <v>325.72928944930294</v>
      </c>
      <c r="GF48" s="59">
        <f t="shared" si="50"/>
        <v>318.38876834819752</v>
      </c>
      <c r="GG48" s="15">
        <f>IF(ISNA(VLOOKUP(A48,'Données projet'!$A$243:$I$263,3,0)),0,VLOOKUP(A48,'Données projet'!$A$243:$I$263,3,0))</f>
        <v>8</v>
      </c>
      <c r="GH48" s="15">
        <f>IF(ISNA(VLOOKUP(A48,'Données projet'!$A$243:$I$263,4,0)),0,VLOOKUP(A48,'Données projet'!$A$243:$I$263,4,0))</f>
        <v>26</v>
      </c>
      <c r="GI48" s="16">
        <f>IF(ISNA(VLOOKUP(A48,'Données projet'!$A$243:$I$263,5,0)),0%,VLOOKUP(A48,'Données projet'!$A$243:$I$263,5,0)*VLOOKUP('Données projet'!$B$17,Paramètres!$A$1:$I$89,7,0))</f>
        <v>0.159</v>
      </c>
      <c r="GJ48" s="16">
        <f>IF(ISNA(VLOOKUP(A48,'Données projet'!$A$243:$I$263,6,0)),0%,VLOOKUP(A48,'Données projet'!$A$243:$I$263,6,0)*VLOOKUP('Données projet'!$B$17,Paramètres!$A$1:$I$89,7,0))</f>
        <v>0.10600000000000001</v>
      </c>
      <c r="GK48" s="16">
        <f>IF(ISNA(VLOOKUP(A48,'Données projet'!$A$243:$I$263,7,0)),0%,VLOOKUP(A48,'Données projet'!$A$243:$I$263,7,0))</f>
        <v>0.3</v>
      </c>
      <c r="GL48" s="21">
        <f>EXP(-LN(2)/35)*GL47+(1-EXP(-LN(2)/35))/(LN(2)/35)*GH48*GI48*VLOOKUP('Données projet'!$B$17,Paramètres!$A$1:$I$89,3,0)*0.475*44/12</f>
        <v>5.3246850669801704</v>
      </c>
      <c r="GM48" s="21">
        <f>EXP(-LN(2)/25)*GM47+(1-EXP(-LN(2)/25))/(LN(2)/25)*Calculateur!GH48*Calculateur!GJ48*VLOOKUP('Données projet'!$B$17,Paramètres!$A$1:$I$89,3,0)*0.475*44/12</f>
        <v>13.315288541956022</v>
      </c>
      <c r="GN48" s="21">
        <f>EXP(-LN(2)/2)*GN47+(1-EXP(-LN(2)/2))/(LN(2)/2)*GH48*GK48*VLOOKUP('Données projet'!$B$17,Paramètres!$A$1:$I$89,3,0)*0.475*44/12</f>
        <v>7.8417394308186141</v>
      </c>
      <c r="GO48" s="21">
        <f t="shared" si="27"/>
        <v>26.481713039754805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>
        <f>VLOOKUP(A48,'Données projet'!$A$269:$I$289,2,0)</f>
        <v>280</v>
      </c>
      <c r="GS48" s="12">
        <f>VLOOKUP(A48,'Données projet'!$A$269:$I$289,9,0)</f>
        <v>11.4</v>
      </c>
      <c r="GT48" s="12">
        <f t="array" ref="GT48">INDEX(GS:GS,MIN(IF(ISNUMBER(GS48:GS244),ROW(GS48:GS244),"")))</f>
        <v>11.4</v>
      </c>
      <c r="GU48" s="12">
        <f>IF('Données projet'!$A$270&gt;35,GU47+GT48-HC47,IF(A48&lt;'Données projet'!$A$270,$GR$205^A48,IF(A48='Données projet'!$A$270,'Données projet'!$B$270,GU47+GT48-HC47)))</f>
        <v>279.99999999999989</v>
      </c>
      <c r="GV48" s="17">
        <f>GU48*VLOOKUP('Données projet'!$B$18,Paramètres!$A$1:$I$89,3,0)*VLOOKUP('Données projet'!$B$18,Paramètres!$A$1:$I$89,5,0)</f>
        <v>187.82399999999993</v>
      </c>
      <c r="GW48" s="13">
        <f t="shared" si="51"/>
        <v>47.058548109182688</v>
      </c>
      <c r="GX48" s="20">
        <f t="shared" si="28"/>
        <v>409.08710462349296</v>
      </c>
      <c r="GY48" s="59">
        <f t="shared" si="29"/>
        <v>702.42043795682628</v>
      </c>
      <c r="GZ48" s="59">
        <f ca="1">AVERAGE(OFFSET($GY$3,0,0,'Données projet'!$E$18+1,1))-AVERAGE(OFFSET($H$3,0,0,'Données projet'!$E$18+1,1))</f>
        <v>268.04554291387961</v>
      </c>
      <c r="HA48" s="59">
        <f t="shared" si="52"/>
        <v>263.70463099437148</v>
      </c>
      <c r="HB48" s="15">
        <f>IF(ISNA(VLOOKUP(A48,'Données projet'!$A$269:$I$289,3,0)),0,VLOOKUP(A48,'Données projet'!$A$269:$I$289,3,0))</f>
        <v>8</v>
      </c>
      <c r="HC48" s="15">
        <f>IF(ISNA(VLOOKUP(A48,'Données projet'!$A$269:$I$289,4,0)),0,VLOOKUP(A48,'Données projet'!$A$269:$I$289,4,0))</f>
        <v>26</v>
      </c>
      <c r="HD48" s="16">
        <f>IF(ISNA(VLOOKUP(A48,'Données projet'!$A$269:$I$289,5,0)),0%,VLOOKUP(A48,'Données projet'!$A$269:$I$289,5,0)*VLOOKUP('Données projet'!$B$18,Paramètres!$A$1:$I$89,7,0))</f>
        <v>0.159</v>
      </c>
      <c r="HE48" s="16">
        <f>IF(ISNA(VLOOKUP(A48,'Données projet'!$A$269:$I$289,6,0)),0%,VLOOKUP(A48,'Données projet'!$A$269:$I$289,6,0)*VLOOKUP('Données projet'!$B$18,Paramètres!$A$1:$I$89,7,0))</f>
        <v>0.10600000000000001</v>
      </c>
      <c r="HF48" s="16">
        <f>IF(ISNA(VLOOKUP(A48,'Données projet'!$A$269:$I$289,7,0)),0%,VLOOKUP(A48,'Données projet'!$A$269:$I$289,7,0))</f>
        <v>0.3</v>
      </c>
      <c r="HG48" s="21">
        <f>EXP(-LN(2)/35)*HG47+(1-EXP(-LN(2)/35))/(LN(2)/35)*HC48*HD48*VLOOKUP('Données projet'!$B$18,Paramètres!$A$1:$I$89,3,0)*0.475*44/12</f>
        <v>4.4894403505911233</v>
      </c>
      <c r="HH48" s="21">
        <f>EXP(-LN(2)/25)*HH47+(1-EXP(-LN(2)/25))/(LN(2)/25)*Calculateur!HC48*Calculateur!HE48*VLOOKUP('Données projet'!$B$18,Paramètres!$A$1:$I$89,3,0)*0.475*44/12</f>
        <v>11.226615829492333</v>
      </c>
      <c r="HI48" s="21">
        <f>EXP(-LN(2)/2)*HI47+(1-EXP(-LN(2)/2))/(LN(2)/2)*HC48*HF48*VLOOKUP('Données projet'!$B$18,Paramètres!$A$1:$I$89,3,0)*0.475*44/12</f>
        <v>6.6116626573568702</v>
      </c>
      <c r="HJ48" s="22">
        <f t="shared" si="30"/>
        <v>22.327718837440326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6</v>
      </c>
      <c r="N49" s="13">
        <f>IF('Données projet'!$A$36&gt;35,N48+M49-V48,IF(A49&lt;'Données projet'!$A$36,$K$205^A49,IF(A49='Données projet'!$A$36,'Données projet'!$B$36,N48+M49-V48)))</f>
        <v>147</v>
      </c>
      <c r="O49" s="13">
        <f>N49*VLOOKUP('Données projet'!$B$9,Paramètres!$A$1:$I$89,3,0)*VLOOKUP('Données projet'!$B$9,Paramètres!$A$1:$I$89,5,0)</f>
        <v>64.974000000000004</v>
      </c>
      <c r="P49" s="13">
        <f t="shared" si="33"/>
        <v>18.419964083720068</v>
      </c>
      <c r="Q49" s="20">
        <f t="shared" si="53"/>
        <v>145.24448744581247</v>
      </c>
      <c r="R49" s="59">
        <f t="shared" si="0"/>
        <v>438.57782077914578</v>
      </c>
      <c r="S49" s="59">
        <f ca="1">AVERAGE(OFFSET($R$3,0,0,'Données projet'!$E$9+1,1))-AVERAGE(OFFSET($H$3,0,0,'Données projet'!$E$9+1,1))</f>
        <v>46.095319339746538</v>
      </c>
      <c r="T49" s="59">
        <f t="shared" si="34"/>
        <v>48.158174304064403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5.9770206023820576</v>
      </c>
      <c r="AB49" s="21">
        <f>EXP(-LN(2)/2)*AB48+(1-EXP(-LN(2)/2))/(LN(2)/2)*V49*Y49*VLOOKUP('Données projet'!$B$9,Paramètres!$A$1:$I$89,3,0)*0.475*44/12</f>
        <v>0.58945062919388524</v>
      </c>
      <c r="AC49" s="22">
        <f t="shared" si="3"/>
        <v>6.5664712315759424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603</v>
      </c>
      <c r="AG49" s="12">
        <f>VLOOKUP(A49,'Données projet'!$A$61:$I$81,9,0)</f>
        <v>17</v>
      </c>
      <c r="AH49" s="12">
        <f t="array" ref="AH49">INDEX(AG:AG,MIN(IF(ISNUMBER(AG49:AG245),ROW(AG49:AG245),"")))</f>
        <v>17</v>
      </c>
      <c r="AI49" s="13">
        <f>IF('Données projet'!$A$62&gt;35,AI48+AH49-AQ48,IF(A49&lt;'Données projet'!$A$62,$AF$205^A49,IF(A49='Données projet'!$A$62,'Données projet'!$B$62,AI48+AH49-AQ48)))</f>
        <v>602.99999999999989</v>
      </c>
      <c r="AJ49" s="13">
        <f>AI49*VLOOKUP('Données projet'!$B$10,Paramètres!$A$1:$I$89,3,0)*VLOOKUP('Données projet'!$B$10,Paramètres!$A$1:$I$89,5,0)</f>
        <v>360.59399999999994</v>
      </c>
      <c r="AK49" s="13">
        <f t="shared" si="35"/>
        <v>83.740125620084939</v>
      </c>
      <c r="AL49" s="20">
        <f t="shared" si="4"/>
        <v>773.88193545498109</v>
      </c>
      <c r="AM49" s="59">
        <f t="shared" si="5"/>
        <v>1067.2152687883145</v>
      </c>
      <c r="AN49" s="59">
        <f ca="1">AVERAGE(OFFSET($AM$3,0,0,'Données projet'!$E$10+1,1))-AVERAGE(OFFSET($H$3,0,0,'Données projet'!$E$10+1,1))</f>
        <v>408.84545509668794</v>
      </c>
      <c r="AO49" s="59">
        <f t="shared" si="36"/>
        <v>409.9253979841132</v>
      </c>
      <c r="AP49" s="15">
        <f>IF(ISNA(VLOOKUP(A49,'Données projet'!$A$61:$I$81,3,0)),0,VLOOKUP(A49,'Données projet'!$A$61:$I$81,3,0))</f>
        <v>8</v>
      </c>
      <c r="AQ49" s="15">
        <f>IF(ISNA(VLOOKUP(A49,'Données projet'!$A$61:$I$81,4,0)),0,VLOOKUP(A49,'Données projet'!$A$61:$I$81,4,0))</f>
        <v>36</v>
      </c>
      <c r="AR49" s="16">
        <f>IF(ISNA(VLOOKUP(A49,'Données projet'!$A$61:$I$81,5,0)),0%,VLOOKUP(A49,'Données projet'!$A$61:$I$81,5,0)*VLOOKUP('Données projet'!$B$10,Paramètres!$A$1:$I$89,7,0))</f>
        <v>0.13500000000000001</v>
      </c>
      <c r="AS49" s="16">
        <f>IF(ISNA(VLOOKUP(A49,'Données projet'!$A$61:$I$81,6,0)),0%,VLOOKUP(A49,'Données projet'!$A$61:$I$81,6,0)*VLOOKUP('Données projet'!$B$10,Paramètres!$A$1:$I$89,7,0))</f>
        <v>0.18000000000000002</v>
      </c>
      <c r="AT49" s="16">
        <f>IF(ISNA(VLOOKUP(A49,'Données projet'!$A$61:$I$81,7,0)),0%,VLOOKUP(A49,'Données projet'!$A$61:$I$81,7,0))</f>
        <v>0.3</v>
      </c>
      <c r="AU49" s="21">
        <f>EXP(-LN(2)/35)*AU48+(1-EXP(-LN(2)/35))/(LN(2)/35)*AQ49*AR49*VLOOKUP('Données projet'!$B$10,Paramètres!$A$1:$I$89,3,0)*0.475*44/12</f>
        <v>8.333114554580213</v>
      </c>
      <c r="AV49" s="21">
        <f>EXP(-LN(2)/25)*AV48+(1-EXP(-LN(2)/25))/(LN(2)/25)*Calculateur!AQ49*Calculateur!AS49*VLOOKUP('Données projet'!$B$10,Paramètres!$A$1:$I$89,3,0)*0.475*44/12</f>
        <v>29.99771667235153</v>
      </c>
      <c r="AW49" s="21">
        <f>EXP(-LN(2)/2)*AW48+(1-EXP(-LN(2)/2))/(LN(2)/2)*AQ49*AT49*VLOOKUP('Données projet'!$B$10,Paramètres!$A$1:$I$89,3,0)*0.475*44/12</f>
        <v>8.7253049824080264</v>
      </c>
      <c r="AX49" s="21">
        <f t="shared" si="6"/>
        <v>47.056136209339769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17.399999999999999</v>
      </c>
      <c r="BD49" s="12">
        <f>IF('Données projet'!$A$88&gt;35,BD48+BC49-BL48,IF(A49&lt;'Données projet'!$A$88,$BA$205^A49,IF(A49='Données projet'!$A$88,'Données projet'!$B$88,BD48+BC49-BL48)))</f>
        <v>344.40000000000015</v>
      </c>
      <c r="BE49" s="13">
        <f>BD49*VLOOKUP('Données projet'!$B$11,Paramètres!$A$1:$I$89,3,0)*VLOOKUP('Données projet'!$B$11,Paramètres!$A$1:$I$89,5,0)</f>
        <v>205.95120000000009</v>
      </c>
      <c r="BF49" s="13">
        <f t="shared" si="37"/>
        <v>51.049821044529857</v>
      </c>
      <c r="BG49" s="20">
        <f t="shared" si="7"/>
        <v>447.61011165255627</v>
      </c>
      <c r="BH49" s="59">
        <f t="shared" si="8"/>
        <v>740.94344498588953</v>
      </c>
      <c r="BI49" s="59">
        <f ca="1">AVERAGE(OFFSET($BH$3,0,0,'Données projet'!$E$11+1,1))-AVERAGE(OFFSET($H$3,0,0,'Données projet'!$E$11+1,1))</f>
        <v>279.69031306919914</v>
      </c>
      <c r="BJ49" s="59">
        <f t="shared" si="38"/>
        <v>297.01680128882509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3.9897533542514401</v>
      </c>
      <c r="BQ49" s="21">
        <f>EXP(-LN(2)/25)*BQ48+(1-EXP(-LN(2)/25))/(LN(2)/25)*Calculateur!BL49*Calculateur!BN49*VLOOKUP('Données projet'!$B$11,Paramètres!$A$1:$I$89,3,0)*0.475*44/12</f>
        <v>39.406071192182026</v>
      </c>
      <c r="BR49" s="21">
        <f>EXP(-LN(2)/2)*BR48+(1-EXP(-LN(2)/2))/(LN(2)/2)*BL49*BO49*VLOOKUP('Données projet'!$B$11,Paramètres!$A$1:$I$89,3,0)*0.475*44/12</f>
        <v>12.91653381236868</v>
      </c>
      <c r="BS49" s="22">
        <f t="shared" si="9"/>
        <v>56.312358358802143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>
        <f>VLOOKUP(A49,'Données projet'!$A$113:$I$133,2,0)</f>
        <v>154</v>
      </c>
      <c r="BW49" s="12">
        <f>VLOOKUP(A49,'Données projet'!$A$113:$I$133,9,0)</f>
        <v>6.5</v>
      </c>
      <c r="BX49" s="12">
        <f t="array" ref="BX49">INDEX(BW:BW,MIN(IF(ISNUMBER(BW49:BW245),ROW(BW49:BW245),"")))</f>
        <v>6.5</v>
      </c>
      <c r="BY49" s="12">
        <f>IF('Données projet'!$A$114&gt;35,BY48+BX49-CG48,IF(A49&lt;'Données projet'!$A$114,$BV$205^A49,IF(A49='Données projet'!$A$114,'Données projet'!$B$114,BY48+BX49-CG48)))</f>
        <v>154</v>
      </c>
      <c r="BZ49" s="13">
        <f>BY49*VLOOKUP('Données projet'!$B$12,Paramètres!$A$1:$I$89,3,0)*VLOOKUP('Données projet'!$B$12,Paramètres!$A$1:$I$89,5,0)</f>
        <v>92.092000000000013</v>
      </c>
      <c r="CA49" s="13">
        <f t="shared" si="39"/>
        <v>25.069088296004463</v>
      </c>
      <c r="CB49" s="20">
        <f t="shared" si="10"/>
        <v>204.05556211554111</v>
      </c>
      <c r="CC49" s="59">
        <f t="shared" si="11"/>
        <v>497.38889544887445</v>
      </c>
      <c r="CD49" s="59">
        <f ca="1">AVERAGE(OFFSET($CC$3,0,0,'Données projet'!$E$12+1,1))-AVERAGE(OFFSET($H$3,0,0,'Données projet'!$E$12+1,1))</f>
        <v>81.299024916151723</v>
      </c>
      <c r="CE49" s="59">
        <f t="shared" si="40"/>
        <v>88.106373324240167</v>
      </c>
      <c r="CF49" s="15">
        <f>IF(ISNA(VLOOKUP(A49,'Données projet'!$A$113:$I$133,3,0)),0,VLOOKUP(A49,'Données projet'!$A$113:$I$133,3,0))</f>
        <v>8</v>
      </c>
      <c r="CG49" s="15">
        <f>IF(ISNA(VLOOKUP(A49,'Données projet'!$A$113:$I$133,4,0)),0,VLOOKUP(A49,'Données projet'!$A$113:$I$133,4,0))</f>
        <v>19</v>
      </c>
      <c r="CH49" s="16">
        <f>IF(ISNA(VLOOKUP(A49,'Données projet'!$A$113:$I$133,5,0)),0%,VLOOKUP(A49,'Données projet'!$A$113:$I$133,5,0)*VLOOKUP('Données projet'!$B$12,Paramètres!$A$1:$I$89,7,0))</f>
        <v>0.13500000000000001</v>
      </c>
      <c r="CI49" s="16">
        <f>IF(ISNA(VLOOKUP(A49,'Données projet'!$A$113:$I$133,6,0)),0%,VLOOKUP(A49,'Données projet'!$A$113:$I$133,6,0)*VLOOKUP('Données projet'!$B$12,Paramètres!$A$1:$I$89,7,0))</f>
        <v>0.18000000000000002</v>
      </c>
      <c r="CJ49" s="16">
        <f>IF(ISNA(VLOOKUP(A49,'Données projet'!$A$113:$I$133,7,0)),0%,VLOOKUP(A49,'Données projet'!$A$113:$I$133,7,0))</f>
        <v>0.3</v>
      </c>
      <c r="CK49" s="21">
        <f>EXP(-LN(2)/35)*CK48+(1-EXP(-LN(2)/35))/(LN(2)/35)*CG49*CH49*VLOOKUP('Données projet'!$B$12,Paramètres!$A$1:$I$89,3,0)*0.475*44/12</f>
        <v>4.9002512677691472</v>
      </c>
      <c r="CL49" s="21">
        <f>EXP(-LN(2)/25)*CL48+(1-EXP(-LN(2)/25))/(LN(2)/25)*Calculateur!CG49*Calculateur!CI49*VLOOKUP('Données projet'!$B$12,Paramètres!$A$1:$I$89,3,0)*0.475*44/12</f>
        <v>11.986748271922213</v>
      </c>
      <c r="CM49" s="21">
        <f>EXP(-LN(2)/2)*CM48+(1-EXP(-LN(2)/2))/(LN(2)/2)*CG49*CJ49*VLOOKUP('Données projet'!$B$12,Paramètres!$A$1:$I$89,3,0)*0.475*44/12</f>
        <v>4.7524179138729901</v>
      </c>
      <c r="CN49" s="22">
        <f t="shared" si="12"/>
        <v>21.639417453564349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20.399999999999999</v>
      </c>
      <c r="CT49" s="12">
        <f>IF('Données projet'!$A$140&gt;35,CT48+CS49-DB48,IF(A49&lt;'Données projet'!$A$140,$CQ$205^A49,IF(A49='Données projet'!$A$140,'Données projet'!$B$140,CT48+CS49-DB48)))</f>
        <v>642.39999999999964</v>
      </c>
      <c r="CU49" s="17">
        <f>CT49*VLOOKUP('Données projet'!$B$13,Paramètres!$A$1:$I$89,3,0)*VLOOKUP('Données projet'!$B$13,Paramètres!$A$1:$I$89,5,0)</f>
        <v>359.10159999999985</v>
      </c>
      <c r="CV49" s="13">
        <f t="shared" si="41"/>
        <v>83.433815871723468</v>
      </c>
      <c r="CW49" s="20">
        <f t="shared" si="13"/>
        <v>770.74918264325152</v>
      </c>
      <c r="CX49" s="59">
        <f t="shared" si="14"/>
        <v>1064.0825159765848</v>
      </c>
      <c r="CY49" s="59">
        <f ca="1">AVERAGE(OFFSET($CX$3,0,0,'Données projet'!$E$13+1,1))-AVERAGE(OFFSET($H$3,0,0,'Données projet'!$E$13+1,1))</f>
        <v>475.42482703895411</v>
      </c>
      <c r="CZ49" s="59">
        <f t="shared" si="42"/>
        <v>593.51433014569966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44.091943787706242</v>
      </c>
      <c r="DG49" s="21">
        <f>EXP(-LN(2)/25)*DG48+(1-EXP(-LN(2)/25))/(LN(2)/25)*Calculateur!DB49*Calculateur!DD49*VLOOKUP('Données projet'!$B$13,Paramètres!$A$1:$I$89,3,0)*0.475*44/12</f>
        <v>42.124495185460049</v>
      </c>
      <c r="DH49" s="21">
        <f>EXP(-LN(2)/2)*DH48+(1-EXP(-LN(2)/2))/(LN(2)/2)*DB49*DE49*VLOOKUP('Données projet'!$B$13,Paramètres!$A$1:$I$89,3,0)*0.475*44/12</f>
        <v>7.3497973817872158</v>
      </c>
      <c r="DI49" s="22">
        <f t="shared" si="15"/>
        <v>93.566236354953503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11.25</v>
      </c>
      <c r="DO49" s="12">
        <f>IF('Données projet'!$A$166&gt;35,DO48+DN49-DW48,IF(A49&lt;'Données projet'!$A$166,$DL$205^A49,IF(A49='Données projet'!$A$166,'Données projet'!$B$166,DO48+DN49-DW48)))</f>
        <v>164.5</v>
      </c>
      <c r="DP49" s="17">
        <f>DO49*VLOOKUP('Données projet'!$B$14,Paramètres!$A$1:$I$89,3,0)*VLOOKUP('Données projet'!$B$14,Paramètres!$A$1:$I$89,5,0)</f>
        <v>148.83959999999999</v>
      </c>
      <c r="DQ49" s="13">
        <f t="shared" si="43"/>
        <v>38.314761484407484</v>
      </c>
      <c r="DR49" s="20">
        <f t="shared" si="16"/>
        <v>325.96051291867633</v>
      </c>
      <c r="DS49" s="59">
        <f t="shared" si="17"/>
        <v>619.29384625200964</v>
      </c>
      <c r="DT49" s="59">
        <f ca="1">AVERAGE(OFFSET($DS$3,0,0,'Données projet'!$E$14+1,1))-AVERAGE(OFFSET($H$3,0,0,'Données projet'!$E$14+1,1))</f>
        <v>401.17301323870578</v>
      </c>
      <c r="DU49" s="59">
        <f t="shared" si="44"/>
        <v>201.57993789149754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9.3218097712886898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9.3218097712886898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5.7</v>
      </c>
      <c r="EJ49" s="12">
        <f>IF('Données projet'!$A$192&gt;35,EJ48+EI49-ER48,IF(A49&lt;'Données projet'!$A$192,$EG$205^A49,IF(A49='Données projet'!$A$192,'Données projet'!$B$192,EJ48+EI49-ER48)))</f>
        <v>208.20000000000005</v>
      </c>
      <c r="EK49" s="17">
        <f>EJ49*VLOOKUP('Données projet'!$B$15,Paramètres!$A$1:$I$89,3,0)*VLOOKUP('Données projet'!$B$15,Paramètres!$A$1:$I$89,5,0)</f>
        <v>181.88352000000006</v>
      </c>
      <c r="EL49" s="13">
        <f t="shared" si="45"/>
        <v>45.74098045051349</v>
      </c>
      <c r="EM49" s="20">
        <f t="shared" si="19"/>
        <v>396.44600495131112</v>
      </c>
      <c r="EN49" s="59">
        <f t="shared" si="20"/>
        <v>689.77933828464438</v>
      </c>
      <c r="EO49" s="59">
        <f ca="1">AVERAGE(OFFSET($EN$3,0,0,'Données projet'!$E$15+1,1))-AVERAGE(OFFSET($H$3,0,0,'Données projet'!$E$15+1,1))</f>
        <v>237.8483058552178</v>
      </c>
      <c r="EP49" s="59">
        <f t="shared" si="46"/>
        <v>313.36201272119723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2.8761905293044294</v>
      </c>
      <c r="EW49" s="21">
        <f>EXP(-LN(2)/25)*EW48+(1-EXP(-LN(2)/25))/(LN(2)/25)*Calculateur!ER49*Calculateur!ET49*VLOOKUP('Données projet'!$B$15,Paramètres!$A$1:$I$89,3,0)*0.475*44/12</f>
        <v>4.0978258332608997</v>
      </c>
      <c r="EX49" s="21">
        <f>EXP(-LN(2)/2)*EX48+(1-EXP(-LN(2)/2))/(LN(2)/2)*ER49*EU49*VLOOKUP('Données projet'!$B$15,Paramètres!$A$1:$I$89,3,0)*0.475*44/12</f>
        <v>1.205487727176429</v>
      </c>
      <c r="EY49" s="22">
        <f t="shared" si="21"/>
        <v>8.1795040897417586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9.8000000000000007</v>
      </c>
      <c r="FE49" s="12">
        <f>IF('Données projet'!$A$218&gt;35,FE48+FD49-FM48,IF(A49&lt;'Données projet'!$A$218,$FB$205^A49,IF(A49='Données projet'!$A$218,'Données projet'!$B$218,FE48+FD49-FM48)))</f>
        <v>263.7999999999999</v>
      </c>
      <c r="FF49" s="17">
        <f>FE49*VLOOKUP('Données projet'!$B$16,Paramètres!$A$1:$I$89,3,0)*VLOOKUP('Données projet'!$B$16,Paramètres!$A$1:$I$89,5,0)</f>
        <v>205.76399999999992</v>
      </c>
      <c r="FG49" s="13">
        <f t="shared" si="47"/>
        <v>51.008818158066333</v>
      </c>
      <c r="FH49" s="20">
        <f t="shared" si="22"/>
        <v>447.2126582919654</v>
      </c>
      <c r="FI49" s="59">
        <f t="shared" si="23"/>
        <v>740.54599162529871</v>
      </c>
      <c r="FJ49" s="59">
        <f ca="1">AVERAGE(OFFSET($FI$3,0,0,'Données projet'!$E$16+1,1))-AVERAGE(OFFSET($H$3,0,0,'Données projet'!$E$16+1,1))</f>
        <v>318.52984981739411</v>
      </c>
      <c r="FK49" s="59">
        <f t="shared" si="48"/>
        <v>311.56398336941714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4.1522690222681717</v>
      </c>
      <c r="FR49" s="21">
        <f>EXP(-LN(2)/25)*FR48+(1-EXP(-LN(2)/25))/(LN(2)/25)*Calculateur!FM49*Calculateur!FO49*VLOOKUP('Données projet'!$B$16,Paramètres!$A$1:$I$89,3,0)*0.475*44/12</f>
        <v>10.301531537030941</v>
      </c>
      <c r="FS49" s="21">
        <f>EXP(-LN(2)/2)*FS48+(1-EXP(-LN(2)/2))/(LN(2)/2)*FM49*FP49*VLOOKUP('Données projet'!$B$16,Paramètres!$A$1:$I$89,3,0)*0.475*44/12</f>
        <v>5.4362226743429209</v>
      </c>
      <c r="FT49" s="22">
        <f t="shared" si="24"/>
        <v>19.890023233642033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9.8000000000000007</v>
      </c>
      <c r="FZ49" s="12">
        <f>IF('Données projet'!$A$244&gt;35,FZ48+FY49-GH48,IF(A49&lt;'Données projet'!$A$244,$FW$205^A49,IF(A49='Données projet'!$A$244,'Données projet'!$B$244,FZ48+FY49-GH48)))</f>
        <v>263.7999999999999</v>
      </c>
      <c r="GA49" s="17">
        <f>FZ49*VLOOKUP('Données projet'!$B$17,Paramètres!$A$1:$I$89,3,0)*VLOOKUP('Données projet'!$B$17,Paramètres!$A$1:$I$89,5,0)</f>
        <v>209.87927999999994</v>
      </c>
      <c r="GB49" s="13">
        <f t="shared" si="49"/>
        <v>51.909204458241767</v>
      </c>
      <c r="GC49" s="20">
        <f t="shared" si="25"/>
        <v>455.94827709810426</v>
      </c>
      <c r="GD49" s="59">
        <f t="shared" si="26"/>
        <v>749.28161043143757</v>
      </c>
      <c r="GE49" s="59">
        <f ca="1">AVERAGE(OFFSET($GD$3,0,0,'Données projet'!$E$17+1,1))-AVERAGE(OFFSET($H$3,0,0,'Données projet'!$E$17+1,1))</f>
        <v>325.72928944930294</v>
      </c>
      <c r="GF49" s="59">
        <f t="shared" si="50"/>
        <v>318.38876834819752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5.2202712405538927</v>
      </c>
      <c r="GM49" s="21">
        <f>EXP(-LN(2)/25)*GM48+(1-EXP(-LN(2)/25))/(LN(2)/25)*Calculateur!GH49*Calculateur!GJ49*VLOOKUP('Données projet'!$B$17,Paramètres!$A$1:$I$89,3,0)*0.475*44/12</f>
        <v>12.951181276555642</v>
      </c>
      <c r="GN49" s="21">
        <f>EXP(-LN(2)/2)*GN48+(1-EXP(-LN(2)/2))/(LN(2)/2)*GH49*GK49*VLOOKUP('Données projet'!$B$17,Paramètres!$A$1:$I$89,3,0)*0.475*44/12</f>
        <v>5.5449471278297802</v>
      </c>
      <c r="GO49" s="21">
        <f t="shared" si="27"/>
        <v>23.716399644939315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9.8000000000000007</v>
      </c>
      <c r="GU49" s="12">
        <f>IF('Données projet'!$A$270&gt;35,GU48+GT49-HC48,IF(A49&lt;'Données projet'!$A$270,$GR$205^A49,IF(A49='Données projet'!$A$270,'Données projet'!$B$270,GU48+GT49-HC48)))</f>
        <v>263.7999999999999</v>
      </c>
      <c r="GV49" s="17">
        <f>GU49*VLOOKUP('Données projet'!$B$18,Paramètres!$A$1:$I$89,3,0)*VLOOKUP('Données projet'!$B$18,Paramètres!$A$1:$I$89,5,0)</f>
        <v>176.95703999999995</v>
      </c>
      <c r="GW49" s="13">
        <f t="shared" si="51"/>
        <v>44.64451330516016</v>
      </c>
      <c r="GX49" s="20">
        <f t="shared" si="28"/>
        <v>385.95603867315384</v>
      </c>
      <c r="GY49" s="59">
        <f t="shared" si="29"/>
        <v>679.28937200648716</v>
      </c>
      <c r="GZ49" s="59">
        <f ca="1">AVERAGE(OFFSET($GY$3,0,0,'Données projet'!$E$18+1,1))-AVERAGE(OFFSET($H$3,0,0,'Données projet'!$E$18+1,1))</f>
        <v>268.04554291387961</v>
      </c>
      <c r="HA49" s="59">
        <f t="shared" si="52"/>
        <v>263.70463099437148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4.4014051636042621</v>
      </c>
      <c r="HH49" s="21">
        <f>EXP(-LN(2)/25)*HH48+(1-EXP(-LN(2)/25))/(LN(2)/25)*Calculateur!HC49*Calculateur!HE49*VLOOKUP('Données projet'!$B$18,Paramètres!$A$1:$I$89,3,0)*0.475*44/12</f>
        <v>10.919623429252798</v>
      </c>
      <c r="HI49" s="21">
        <f>EXP(-LN(2)/2)*HI48+(1-EXP(-LN(2)/2))/(LN(2)/2)*HC49*HF49*VLOOKUP('Données projet'!$B$18,Paramètres!$A$1:$I$89,3,0)*0.475*44/12</f>
        <v>4.6751514999349117</v>
      </c>
      <c r="HJ49" s="22">
        <f t="shared" si="30"/>
        <v>19.996180092791974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6</v>
      </c>
      <c r="N50" s="13">
        <f>IF('Données projet'!$A$36&gt;35,N49+M50-V49,IF(A50&lt;'Données projet'!$A$36,$K$205^A50,IF(A50='Données projet'!$A$36,'Données projet'!$B$36,N49+M50-V49)))</f>
        <v>153</v>
      </c>
      <c r="O50" s="13">
        <f>N50*VLOOKUP('Données projet'!$B$9,Paramètres!$A$1:$I$89,3,0)*VLOOKUP('Données projet'!$B$9,Paramètres!$A$1:$I$89,5,0)</f>
        <v>67.626000000000005</v>
      </c>
      <c r="P50" s="13">
        <f t="shared" si="33"/>
        <v>19.082731089464875</v>
      </c>
      <c r="Q50" s="20">
        <f t="shared" si="53"/>
        <v>151.01770664748466</v>
      </c>
      <c r="R50" s="59">
        <f t="shared" si="0"/>
        <v>444.35103998081797</v>
      </c>
      <c r="S50" s="59">
        <f ca="1">AVERAGE(OFFSET($R$3,0,0,'Données projet'!$E$9+1,1))-AVERAGE(OFFSET($H$3,0,0,'Données projet'!$E$9+1,1))</f>
        <v>46.095319339746538</v>
      </c>
      <c r="T50" s="59">
        <f t="shared" si="34"/>
        <v>48.158174304064403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5.8135786596920678</v>
      </c>
      <c r="AB50" s="21">
        <f>EXP(-LN(2)/2)*AB49+(1-EXP(-LN(2)/2))/(LN(2)/2)*V50*Y50*VLOOKUP('Données projet'!$B$9,Paramètres!$A$1:$I$89,3,0)*0.475*44/12</f>
        <v>0.4168045370776734</v>
      </c>
      <c r="AC50" s="22">
        <f t="shared" si="3"/>
        <v>6.2303831967697416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11.75</v>
      </c>
      <c r="AI50" s="13">
        <f>IF('Données projet'!$A$62&gt;35,AI49+AH50-AQ49,IF(A50&lt;'Données projet'!$A$62,$AF$205^A50,IF(A50='Données projet'!$A$62,'Données projet'!$B$62,AI49+AH50-AQ49)))</f>
        <v>578.74999999999989</v>
      </c>
      <c r="AJ50" s="13">
        <f>AI50*VLOOKUP('Données projet'!$B$10,Paramètres!$A$1:$I$89,3,0)*VLOOKUP('Données projet'!$B$10,Paramètres!$A$1:$I$89,5,0)</f>
        <v>346.09249999999997</v>
      </c>
      <c r="AK50" s="13">
        <f t="shared" si="35"/>
        <v>80.75739142704704</v>
      </c>
      <c r="AL50" s="20">
        <f t="shared" si="4"/>
        <v>743.4302275687736</v>
      </c>
      <c r="AM50" s="59">
        <f t="shared" si="5"/>
        <v>1036.763560902107</v>
      </c>
      <c r="AN50" s="59">
        <f ca="1">AVERAGE(OFFSET($AM$3,0,0,'Données projet'!$E$10+1,1))-AVERAGE(OFFSET($H$3,0,0,'Données projet'!$E$10+1,1))</f>
        <v>408.84545509668794</v>
      </c>
      <c r="AO50" s="59">
        <f t="shared" si="36"/>
        <v>409.9253979841132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8.1697072608628982</v>
      </c>
      <c r="AV50" s="21">
        <f>EXP(-LN(2)/25)*AV49+(1-EXP(-LN(2)/25))/(LN(2)/25)*Calculateur!AQ50*Calculateur!AS50*VLOOKUP('Données projet'!$B$10,Paramètres!$A$1:$I$89,3,0)*0.475*44/12</f>
        <v>29.177427532434717</v>
      </c>
      <c r="AW50" s="21">
        <f>EXP(-LN(2)/2)*AW49+(1-EXP(-LN(2)/2))/(LN(2)/2)*AQ50*AT50*VLOOKUP('Données projet'!$B$10,Paramètres!$A$1:$I$89,3,0)*0.475*44/12</f>
        <v>6.169722320981486</v>
      </c>
      <c r="AX50" s="21">
        <f t="shared" si="6"/>
        <v>43.516857114279098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17.399999999999999</v>
      </c>
      <c r="BD50" s="12">
        <f>IF('Données projet'!$A$88&gt;35,BD49+BC50-BL49,IF(A50&lt;'Données projet'!$A$88,$BA$205^A50,IF(A50='Données projet'!$A$88,'Données projet'!$B$88,BD49+BC50-BL49)))</f>
        <v>361.80000000000013</v>
      </c>
      <c r="BE50" s="13">
        <f>BD50*VLOOKUP('Données projet'!$B$11,Paramètres!$A$1:$I$89,3,0)*VLOOKUP('Données projet'!$B$11,Paramètres!$A$1:$I$89,5,0)</f>
        <v>216.35640000000006</v>
      </c>
      <c r="BF50" s="13">
        <f t="shared" si="37"/>
        <v>53.322199188237285</v>
      </c>
      <c r="BG50" s="20">
        <f t="shared" si="7"/>
        <v>469.69022691951341</v>
      </c>
      <c r="BH50" s="59">
        <f t="shared" si="8"/>
        <v>763.02356025284666</v>
      </c>
      <c r="BI50" s="59">
        <f ca="1">AVERAGE(OFFSET($BH$3,0,0,'Données projet'!$E$11+1,1))-AVERAGE(OFFSET($H$3,0,0,'Données projet'!$E$11+1,1))</f>
        <v>279.69031306919914</v>
      </c>
      <c r="BJ50" s="59">
        <f t="shared" si="38"/>
        <v>297.01680128882509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3.9115167244838265</v>
      </c>
      <c r="BQ50" s="21">
        <f>EXP(-LN(2)/25)*BQ49+(1-EXP(-LN(2)/25))/(LN(2)/25)*Calculateur!BL50*Calculateur!BN50*VLOOKUP('Données projet'!$B$11,Paramètres!$A$1:$I$89,3,0)*0.475*44/12</f>
        <v>38.328510103156589</v>
      </c>
      <c r="BR50" s="21">
        <f>EXP(-LN(2)/2)*BR49+(1-EXP(-LN(2)/2))/(LN(2)/2)*BL50*BO50*VLOOKUP('Données projet'!$B$11,Paramètres!$A$1:$I$89,3,0)*0.475*44/12</f>
        <v>9.1333686481512242</v>
      </c>
      <c r="BS50" s="22">
        <f t="shared" si="9"/>
        <v>51.373395475791639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4.125</v>
      </c>
      <c r="BY50" s="12">
        <f>IF('Données projet'!$A$114&gt;35,BY49+BX50-CG49,IF(A50&lt;'Données projet'!$A$114,$BV$205^A50,IF(A50='Données projet'!$A$114,'Données projet'!$B$114,BY49+BX50-CG49)))</f>
        <v>139.125</v>
      </c>
      <c r="BZ50" s="13">
        <f>BY50*VLOOKUP('Données projet'!$B$12,Paramètres!$A$1:$I$89,3,0)*VLOOKUP('Données projet'!$B$12,Paramètres!$A$1:$I$89,5,0)</f>
        <v>83.196750000000009</v>
      </c>
      <c r="CA50" s="13">
        <f t="shared" si="39"/>
        <v>22.917014827615418</v>
      </c>
      <c r="CB50" s="20">
        <f t="shared" si="10"/>
        <v>184.81480707476351</v>
      </c>
      <c r="CC50" s="59">
        <f t="shared" si="11"/>
        <v>478.14814040809682</v>
      </c>
      <c r="CD50" s="59">
        <f ca="1">AVERAGE(OFFSET($CC$3,0,0,'Données projet'!$E$12+1,1))-AVERAGE(OFFSET($H$3,0,0,'Données projet'!$E$12+1,1))</f>
        <v>81.299024916151723</v>
      </c>
      <c r="CE50" s="59">
        <f t="shared" si="40"/>
        <v>88.106373324240167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4.8041603292663426</v>
      </c>
      <c r="CL50" s="21">
        <f>EXP(-LN(2)/25)*CL49+(1-EXP(-LN(2)/25))/(LN(2)/25)*Calculateur!CG50*Calculateur!CI50*VLOOKUP('Données projet'!$B$12,Paramètres!$A$1:$I$89,3,0)*0.475*44/12</f>
        <v>11.658970010070805</v>
      </c>
      <c r="CM50" s="21">
        <f>EXP(-LN(2)/2)*CM49+(1-EXP(-LN(2)/2))/(LN(2)/2)*CG50*CJ50*VLOOKUP('Données projet'!$B$12,Paramètres!$A$1:$I$89,3,0)*0.475*44/12</f>
        <v>3.3604669339320172</v>
      </c>
      <c r="CN50" s="22">
        <f t="shared" si="12"/>
        <v>19.823597273269165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20.399999999999999</v>
      </c>
      <c r="CT50" s="12">
        <f>IF('Données projet'!$A$140&gt;35,CT49+CS50-DB49,IF(A50&lt;'Données projet'!$A$140,$CQ$205^A50,IF(A50='Données projet'!$A$140,'Données projet'!$B$140,CT49+CS50-DB49)))</f>
        <v>662.79999999999961</v>
      </c>
      <c r="CU50" s="17">
        <f>CT50*VLOOKUP('Données projet'!$B$13,Paramètres!$A$1:$I$89,3,0)*VLOOKUP('Données projet'!$B$13,Paramètres!$A$1:$I$89,5,0)</f>
        <v>370.50519999999983</v>
      </c>
      <c r="CV50" s="13">
        <f t="shared" si="41"/>
        <v>85.770652719303072</v>
      </c>
      <c r="CW50" s="20">
        <f t="shared" si="13"/>
        <v>794.6804434861192</v>
      </c>
      <c r="CX50" s="59">
        <f t="shared" si="14"/>
        <v>1088.0137768194525</v>
      </c>
      <c r="CY50" s="59">
        <f ca="1">AVERAGE(OFFSET($CX$3,0,0,'Données projet'!$E$13+1,1))-AVERAGE(OFFSET($H$3,0,0,'Données projet'!$E$13+1,1))</f>
        <v>475.42482703895411</v>
      </c>
      <c r="CZ50" s="59">
        <f t="shared" si="42"/>
        <v>593.51433014569966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43.227327663459526</v>
      </c>
      <c r="DG50" s="21">
        <f>EXP(-LN(2)/25)*DG49+(1-EXP(-LN(2)/25))/(LN(2)/25)*Calculateur!DB50*Calculateur!DD50*VLOOKUP('Données projet'!$B$13,Paramètres!$A$1:$I$89,3,0)*0.475*44/12</f>
        <v>40.972598649382718</v>
      </c>
      <c r="DH50" s="21">
        <f>EXP(-LN(2)/2)*DH49+(1-EXP(-LN(2)/2))/(LN(2)/2)*DB50*DE50*VLOOKUP('Données projet'!$B$13,Paramètres!$A$1:$I$89,3,0)*0.475*44/12</f>
        <v>5.1970915690088733</v>
      </c>
      <c r="DI50" s="22">
        <f t="shared" si="15"/>
        <v>89.397017881851127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11.25</v>
      </c>
      <c r="DO50" s="12">
        <f>IF('Données projet'!$A$166&gt;35,DO49+DN50-DW49,IF(A50&lt;'Données projet'!$A$166,$DL$205^A50,IF(A50='Données projet'!$A$166,'Données projet'!$B$166,DO49+DN50-DW49)))</f>
        <v>175.75</v>
      </c>
      <c r="DP50" s="17">
        <f>DO50*VLOOKUP('Données projet'!$B$14,Paramètres!$A$1:$I$89,3,0)*VLOOKUP('Données projet'!$B$14,Paramètres!$A$1:$I$89,5,0)</f>
        <v>159.01859999999999</v>
      </c>
      <c r="DQ50" s="13">
        <f t="shared" si="43"/>
        <v>40.62107869517753</v>
      </c>
      <c r="DR50" s="20">
        <f t="shared" si="16"/>
        <v>347.70577372743418</v>
      </c>
      <c r="DS50" s="59">
        <f t="shared" si="17"/>
        <v>641.03910706076749</v>
      </c>
      <c r="DT50" s="59">
        <f ca="1">AVERAGE(OFFSET($DS$3,0,0,'Données projet'!$E$14+1,1))-AVERAGE(OFFSET($H$3,0,0,'Données projet'!$E$14+1,1))</f>
        <v>401.17301323870578</v>
      </c>
      <c r="DU50" s="59">
        <f t="shared" si="44"/>
        <v>201.57993789149754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9.0669043928801294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9.0669043928801294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5.7</v>
      </c>
      <c r="EJ50" s="12">
        <f>IF('Données projet'!$A$192&gt;35,EJ49+EI50-ER49,IF(A50&lt;'Données projet'!$A$192,$EG$205^A50,IF(A50='Données projet'!$A$192,'Données projet'!$B$192,EJ49+EI50-ER49)))</f>
        <v>213.90000000000003</v>
      </c>
      <c r="EK50" s="17">
        <f>EJ50*VLOOKUP('Données projet'!$B$15,Paramètres!$A$1:$I$89,3,0)*VLOOKUP('Données projet'!$B$15,Paramètres!$A$1:$I$89,5,0)</f>
        <v>186.86304000000007</v>
      </c>
      <c r="EL50" s="13">
        <f t="shared" si="45"/>
        <v>46.845744983534509</v>
      </c>
      <c r="EM50" s="20">
        <f t="shared" si="19"/>
        <v>407.04280051298934</v>
      </c>
      <c r="EN50" s="59">
        <f t="shared" si="20"/>
        <v>700.37613384632266</v>
      </c>
      <c r="EO50" s="59">
        <f ca="1">AVERAGE(OFFSET($EN$3,0,0,'Données projet'!$E$15+1,1))-AVERAGE(OFFSET($H$3,0,0,'Données projet'!$E$15+1,1))</f>
        <v>237.8483058552178</v>
      </c>
      <c r="EP50" s="59">
        <f t="shared" si="46"/>
        <v>313.36201272119723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2.8197901873277695</v>
      </c>
      <c r="EW50" s="21">
        <f>EXP(-LN(2)/25)*EW49+(1-EXP(-LN(2)/25))/(LN(2)/25)*Calculateur!ER50*Calculateur!ET50*VLOOKUP('Données projet'!$B$15,Paramètres!$A$1:$I$89,3,0)*0.475*44/12</f>
        <v>3.9857705703550854</v>
      </c>
      <c r="EX50" s="21">
        <f>EXP(-LN(2)/2)*EX49+(1-EXP(-LN(2)/2))/(LN(2)/2)*ER50*EU50*VLOOKUP('Données projet'!$B$15,Paramètres!$A$1:$I$89,3,0)*0.475*44/12</f>
        <v>0.85240854652361175</v>
      </c>
      <c r="EY50" s="22">
        <f t="shared" si="21"/>
        <v>7.6579693042064667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9.8000000000000007</v>
      </c>
      <c r="FE50" s="12">
        <f>IF('Données projet'!$A$218&gt;35,FE49+FD50-FM49,IF(A50&lt;'Données projet'!$A$218,$FB$205^A50,IF(A50='Données projet'!$A$218,'Données projet'!$B$218,FE49+FD50-FM49)))</f>
        <v>273.59999999999991</v>
      </c>
      <c r="FF50" s="17">
        <f>FE50*VLOOKUP('Données projet'!$B$16,Paramètres!$A$1:$I$89,3,0)*VLOOKUP('Données projet'!$B$16,Paramètres!$A$1:$I$89,5,0)</f>
        <v>213.40799999999993</v>
      </c>
      <c r="FG50" s="13">
        <f t="shared" si="47"/>
        <v>52.679620251058957</v>
      </c>
      <c r="FH50" s="20">
        <f t="shared" si="22"/>
        <v>463.43593860392747</v>
      </c>
      <c r="FI50" s="59">
        <f t="shared" si="23"/>
        <v>756.76927193726078</v>
      </c>
      <c r="FJ50" s="59">
        <f ca="1">AVERAGE(OFFSET($FI$3,0,0,'Données projet'!$E$16+1,1))-AVERAGE(OFFSET($H$3,0,0,'Données projet'!$E$16+1,1))</f>
        <v>318.52984981739411</v>
      </c>
      <c r="FK50" s="59">
        <f t="shared" si="48"/>
        <v>311.56398336941714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4.0708455593755195</v>
      </c>
      <c r="FR50" s="21">
        <f>EXP(-LN(2)/25)*FR49+(1-EXP(-LN(2)/25))/(LN(2)/25)*Calculateur!FM50*Calculateur!FO50*VLOOKUP('Données projet'!$B$16,Paramètres!$A$1:$I$89,3,0)*0.475*44/12</f>
        <v>10.019835615416831</v>
      </c>
      <c r="FS50" s="21">
        <f>EXP(-LN(2)/2)*FS49+(1-EXP(-LN(2)/2))/(LN(2)/2)*FM50*FP50*VLOOKUP('Données projet'!$B$16,Paramètres!$A$1:$I$89,3,0)*0.475*44/12</f>
        <v>3.8439899170679483</v>
      </c>
      <c r="FT50" s="22">
        <f t="shared" si="24"/>
        <v>17.934671091860299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9.8000000000000007</v>
      </c>
      <c r="FZ50" s="12">
        <f>IF('Données projet'!$A$244&gt;35,FZ49+FY50-GH49,IF(A50&lt;'Données projet'!$A$244,$FW$205^A50,IF(A50='Données projet'!$A$244,'Données projet'!$B$244,FZ49+FY50-GH49)))</f>
        <v>273.59999999999991</v>
      </c>
      <c r="GA50" s="17">
        <f>FZ50*VLOOKUP('Données projet'!$B$17,Paramètres!$A$1:$I$89,3,0)*VLOOKUP('Données projet'!$B$17,Paramètres!$A$1:$I$89,5,0)</f>
        <v>217.67615999999992</v>
      </c>
      <c r="GB50" s="13">
        <f t="shared" si="49"/>
        <v>53.609498850196708</v>
      </c>
      <c r="GC50" s="20">
        <f t="shared" si="25"/>
        <v>472.48918916409235</v>
      </c>
      <c r="GD50" s="59">
        <f t="shared" si="26"/>
        <v>765.82252249742567</v>
      </c>
      <c r="GE50" s="59">
        <f ca="1">AVERAGE(OFFSET($GD$3,0,0,'Données projet'!$E$17+1,1))-AVERAGE(OFFSET($H$3,0,0,'Données projet'!$E$17+1,1))</f>
        <v>325.72928944930294</v>
      </c>
      <c r="GF50" s="59">
        <f t="shared" si="50"/>
        <v>318.38876834819752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5.1179049055776886</v>
      </c>
      <c r="GM50" s="21">
        <f>EXP(-LN(2)/25)*GM49+(1-EXP(-LN(2)/25))/(LN(2)/25)*Calculateur!GH50*Calculateur!GJ50*VLOOKUP('Données projet'!$B$17,Paramètres!$A$1:$I$89,3,0)*0.475*44/12</f>
        <v>12.597030543475205</v>
      </c>
      <c r="GN50" s="21">
        <f>EXP(-LN(2)/2)*GN49+(1-EXP(-LN(2)/2))/(LN(2)/2)*GH50*GK50*VLOOKUP('Données projet'!$B$17,Paramètres!$A$1:$I$89,3,0)*0.475*44/12</f>
        <v>3.920869715409308</v>
      </c>
      <c r="GO50" s="21">
        <f t="shared" si="27"/>
        <v>21.635805164462202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9.8000000000000007</v>
      </c>
      <c r="GU50" s="12">
        <f>IF('Données projet'!$A$270&gt;35,GU49+GT50-HC49,IF(A50&lt;'Données projet'!$A$270,$GR$205^A50,IF(A50='Données projet'!$A$270,'Données projet'!$B$270,GU49+GT50-HC49)))</f>
        <v>273.59999999999991</v>
      </c>
      <c r="GV50" s="17">
        <f>GU50*VLOOKUP('Données projet'!$B$18,Paramètres!$A$1:$I$89,3,0)*VLOOKUP('Données projet'!$B$18,Paramètres!$A$1:$I$89,5,0)</f>
        <v>183.53087999999994</v>
      </c>
      <c r="GW50" s="13">
        <f t="shared" si="51"/>
        <v>46.106851562826662</v>
      </c>
      <c r="GX50" s="20">
        <f t="shared" si="28"/>
        <v>399.95238247192304</v>
      </c>
      <c r="GY50" s="59">
        <f t="shared" si="29"/>
        <v>693.28571580525636</v>
      </c>
      <c r="GZ50" s="59">
        <f ca="1">AVERAGE(OFFSET($GY$3,0,0,'Données projet'!$E$18+1,1))-AVERAGE(OFFSET($H$3,0,0,'Données projet'!$E$18+1,1))</f>
        <v>268.04554291387961</v>
      </c>
      <c r="HA50" s="59">
        <f t="shared" si="52"/>
        <v>263.70463099437148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4.3150962929380512</v>
      </c>
      <c r="HH50" s="21">
        <f>EXP(-LN(2)/25)*HH49+(1-EXP(-LN(2)/25))/(LN(2)/25)*Calculateur!HC50*Calculateur!HE50*VLOOKUP('Données projet'!$B$18,Paramètres!$A$1:$I$89,3,0)*0.475*44/12</f>
        <v>10.621025752341842</v>
      </c>
      <c r="HI50" s="21">
        <f>EXP(-LN(2)/2)*HI49+(1-EXP(-LN(2)/2))/(LN(2)/2)*HC50*HF50*VLOOKUP('Données projet'!$B$18,Paramètres!$A$1:$I$89,3,0)*0.475*44/12</f>
        <v>3.3058313286784351</v>
      </c>
      <c r="HJ50" s="22">
        <f t="shared" si="30"/>
        <v>18.241953373958328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6</v>
      </c>
      <c r="N51" s="13">
        <f>IF('Données projet'!$A$36&gt;35,N50+M51-V50,IF(A51&lt;'Données projet'!$A$36,$K$205^A51,IF(A51='Données projet'!$A$36,'Données projet'!$B$36,N50+M51-V50)))</f>
        <v>159</v>
      </c>
      <c r="O51" s="13">
        <f>N51*VLOOKUP('Données projet'!$B$9,Paramètres!$A$1:$I$89,3,0)*VLOOKUP('Données projet'!$B$9,Paramètres!$A$1:$I$89,5,0)</f>
        <v>70.278000000000006</v>
      </c>
      <c r="P51" s="13">
        <f t="shared" si="33"/>
        <v>19.74247883580329</v>
      </c>
      <c r="Q51" s="20">
        <f t="shared" si="53"/>
        <v>156.78566730569074</v>
      </c>
      <c r="R51" s="59">
        <f t="shared" si="0"/>
        <v>450.11900063902408</v>
      </c>
      <c r="S51" s="59">
        <f ca="1">AVERAGE(OFFSET($R$3,0,0,'Données projet'!$E$9+1,1))-AVERAGE(OFFSET($H$3,0,0,'Données projet'!$E$9+1,1))</f>
        <v>46.095319339746538</v>
      </c>
      <c r="T51" s="59">
        <f t="shared" si="34"/>
        <v>48.158174304064403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5.6546060455199738</v>
      </c>
      <c r="AB51" s="21">
        <f>EXP(-LN(2)/2)*AB50+(1-EXP(-LN(2)/2))/(LN(2)/2)*V51*Y51*VLOOKUP('Données projet'!$B$9,Paramètres!$A$1:$I$89,3,0)*0.475*44/12</f>
        <v>0.29472531459694268</v>
      </c>
      <c r="AC51" s="22">
        <f t="shared" si="3"/>
        <v>5.9493313601169167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11.75</v>
      </c>
      <c r="AI51" s="13">
        <f>IF('Données projet'!$A$62&gt;35,AI50+AH51-AQ50,IF(A51&lt;'Données projet'!$A$62,$AF$205^A51,IF(A51='Données projet'!$A$62,'Données projet'!$B$62,AI50+AH51-AQ50)))</f>
        <v>590.49999999999989</v>
      </c>
      <c r="AJ51" s="13">
        <f>AI51*VLOOKUP('Données projet'!$B$10,Paramètres!$A$1:$I$89,3,0)*VLOOKUP('Données projet'!$B$10,Paramètres!$A$1:$I$89,5,0)</f>
        <v>353.11899999999991</v>
      </c>
      <c r="AK51" s="13">
        <f t="shared" si="35"/>
        <v>82.204413738106098</v>
      </c>
      <c r="AL51" s="20">
        <f t="shared" si="4"/>
        <v>758.18827892720128</v>
      </c>
      <c r="AM51" s="59">
        <f t="shared" si="5"/>
        <v>1051.5216122605345</v>
      </c>
      <c r="AN51" s="59">
        <f ca="1">AVERAGE(OFFSET($AM$3,0,0,'Données projet'!$E$10+1,1))-AVERAGE(OFFSET($H$3,0,0,'Données projet'!$E$10+1,1))</f>
        <v>408.84545509668794</v>
      </c>
      <c r="AO51" s="59">
        <f t="shared" si="36"/>
        <v>409.9253979841132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8.0095042845067734</v>
      </c>
      <c r="AV51" s="21">
        <f>EXP(-LN(2)/25)*AV50+(1-EXP(-LN(2)/25))/(LN(2)/25)*Calculateur!AQ51*Calculateur!AS51*VLOOKUP('Données projet'!$B$10,Paramètres!$A$1:$I$89,3,0)*0.475*44/12</f>
        <v>28.379569242186061</v>
      </c>
      <c r="AW51" s="21">
        <f>EXP(-LN(2)/2)*AW50+(1-EXP(-LN(2)/2))/(LN(2)/2)*AQ51*AT51*VLOOKUP('Données projet'!$B$10,Paramètres!$A$1:$I$89,3,0)*0.475*44/12</f>
        <v>4.3626524912040141</v>
      </c>
      <c r="AX51" s="21">
        <f t="shared" si="6"/>
        <v>40.75172601789685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17.399999999999999</v>
      </c>
      <c r="BD51" s="12">
        <f>IF('Données projet'!$A$88&gt;35,BD50+BC51-BL50,IF(A51&lt;'Données projet'!$A$88,$BA$205^A51,IF(A51='Données projet'!$A$88,'Données projet'!$B$88,BD50+BC51-BL50)))</f>
        <v>379.2000000000001</v>
      </c>
      <c r="BE51" s="13">
        <f>BD51*VLOOKUP('Données projet'!$B$11,Paramètres!$A$1:$I$89,3,0)*VLOOKUP('Données projet'!$B$11,Paramètres!$A$1:$I$89,5,0)</f>
        <v>226.76160000000007</v>
      </c>
      <c r="BF51" s="13">
        <f t="shared" si="37"/>
        <v>55.581886910575967</v>
      </c>
      <c r="BG51" s="20">
        <f t="shared" si="7"/>
        <v>491.74823970258649</v>
      </c>
      <c r="BH51" s="59">
        <f t="shared" si="8"/>
        <v>785.08157303591975</v>
      </c>
      <c r="BI51" s="59">
        <f ca="1">AVERAGE(OFFSET($BH$3,0,0,'Données projet'!$E$11+1,1))-AVERAGE(OFFSET($H$3,0,0,'Données projet'!$E$11+1,1))</f>
        <v>279.69031306919914</v>
      </c>
      <c r="BJ51" s="59">
        <f t="shared" si="38"/>
        <v>297.01680128882509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3.8348142673063235</v>
      </c>
      <c r="BQ51" s="21">
        <f>EXP(-LN(2)/25)*BQ50+(1-EXP(-LN(2)/25))/(LN(2)/25)*Calculateur!BL51*Calculateur!BN51*VLOOKUP('Données projet'!$B$11,Paramètres!$A$1:$I$89,3,0)*0.475*44/12</f>
        <v>37.280414978777024</v>
      </c>
      <c r="BR51" s="21">
        <f>EXP(-LN(2)/2)*BR50+(1-EXP(-LN(2)/2))/(LN(2)/2)*BL51*BO51*VLOOKUP('Données projet'!$B$11,Paramètres!$A$1:$I$89,3,0)*0.475*44/12</f>
        <v>6.4582669061843418</v>
      </c>
      <c r="BS51" s="22">
        <f t="shared" si="9"/>
        <v>47.573496152267687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4.125</v>
      </c>
      <c r="BY51" s="12">
        <f>IF('Données projet'!$A$114&gt;35,BY50+BX51-CG50,IF(A51&lt;'Données projet'!$A$114,$BV$205^A51,IF(A51='Données projet'!$A$114,'Données projet'!$B$114,BY50+BX51-CG50)))</f>
        <v>143.25</v>
      </c>
      <c r="BZ51" s="13">
        <f>BY51*VLOOKUP('Données projet'!$B$12,Paramètres!$A$1:$I$89,3,0)*VLOOKUP('Données projet'!$B$12,Paramètres!$A$1:$I$89,5,0)</f>
        <v>85.663499999999999</v>
      </c>
      <c r="CA51" s="13">
        <f t="shared" si="39"/>
        <v>23.516378773986975</v>
      </c>
      <c r="CB51" s="20">
        <f t="shared" si="10"/>
        <v>190.15495553136066</v>
      </c>
      <c r="CC51" s="59">
        <f t="shared" si="11"/>
        <v>483.48828886469397</v>
      </c>
      <c r="CD51" s="59">
        <f ca="1">AVERAGE(OFFSET($CC$3,0,0,'Données projet'!$E$12+1,1))-AVERAGE(OFFSET($H$3,0,0,'Données projet'!$E$12+1,1))</f>
        <v>81.299024916151723</v>
      </c>
      <c r="CE51" s="59">
        <f t="shared" si="40"/>
        <v>88.106373324240167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4.7099536754578928</v>
      </c>
      <c r="CL51" s="21">
        <f>EXP(-LN(2)/25)*CL50+(1-EXP(-LN(2)/25))/(LN(2)/25)*Calculateur!CG51*Calculateur!CI51*VLOOKUP('Données projet'!$B$12,Paramètres!$A$1:$I$89,3,0)*0.475*44/12</f>
        <v>11.340154862026832</v>
      </c>
      <c r="CM51" s="21">
        <f>EXP(-LN(2)/2)*CM50+(1-EXP(-LN(2)/2))/(LN(2)/2)*CG51*CJ51*VLOOKUP('Données projet'!$B$12,Paramètres!$A$1:$I$89,3,0)*0.475*44/12</f>
        <v>2.3762089569364955</v>
      </c>
      <c r="CN51" s="22">
        <f t="shared" si="12"/>
        <v>18.42631749442122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20.399999999999999</v>
      </c>
      <c r="CT51" s="12">
        <f>IF('Données projet'!$A$140&gt;35,CT50+CS51-DB50,IF(A51&lt;'Données projet'!$A$140,$CQ$205^A51,IF(A51='Données projet'!$A$140,'Données projet'!$B$140,CT50+CS51-DB50)))</f>
        <v>683.19999999999959</v>
      </c>
      <c r="CU51" s="17">
        <f>CT51*VLOOKUP('Données projet'!$B$13,Paramètres!$A$1:$I$89,3,0)*VLOOKUP('Données projet'!$B$13,Paramètres!$A$1:$I$89,5,0)</f>
        <v>381.90879999999981</v>
      </c>
      <c r="CV51" s="13">
        <f t="shared" si="41"/>
        <v>88.099131154986978</v>
      </c>
      <c r="CW51" s="20">
        <f t="shared" si="13"/>
        <v>818.59714676160195</v>
      </c>
      <c r="CX51" s="59">
        <f t="shared" si="14"/>
        <v>1111.9304800949353</v>
      </c>
      <c r="CY51" s="59">
        <f ca="1">AVERAGE(OFFSET($CX$3,0,0,'Données projet'!$E$13+1,1))-AVERAGE(OFFSET($H$3,0,0,'Données projet'!$E$13+1,1))</f>
        <v>475.42482703895411</v>
      </c>
      <c r="CZ51" s="59">
        <f t="shared" si="42"/>
        <v>593.51433014569966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42.379666134045529</v>
      </c>
      <c r="DG51" s="21">
        <f>EXP(-LN(2)/25)*DG50+(1-EXP(-LN(2)/25))/(LN(2)/25)*Calculateur!DB51*Calculateur!DD51*VLOOKUP('Données projet'!$B$13,Paramètres!$A$1:$I$89,3,0)*0.475*44/12</f>
        <v>39.852200784660027</v>
      </c>
      <c r="DH51" s="21">
        <f>EXP(-LN(2)/2)*DH50+(1-EXP(-LN(2)/2))/(LN(2)/2)*DB51*DE51*VLOOKUP('Données projet'!$B$13,Paramètres!$A$1:$I$89,3,0)*0.475*44/12</f>
        <v>3.6748986908936088</v>
      </c>
      <c r="DI51" s="22">
        <f t="shared" si="15"/>
        <v>85.906765609599162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11.25</v>
      </c>
      <c r="DO51" s="12">
        <f>IF('Données projet'!$A$166&gt;35,DO50+DN51-DW50,IF(A51&lt;'Données projet'!$A$166,$DL$205^A51,IF(A51='Données projet'!$A$166,'Données projet'!$B$166,DO50+DN51-DW50)))</f>
        <v>187</v>
      </c>
      <c r="DP51" s="17">
        <f>DO51*VLOOKUP('Données projet'!$B$14,Paramètres!$A$1:$I$89,3,0)*VLOOKUP('Données projet'!$B$14,Paramètres!$A$1:$I$89,5,0)</f>
        <v>169.19759999999999</v>
      </c>
      <c r="DQ51" s="13">
        <f t="shared" si="43"/>
        <v>42.910263223432885</v>
      </c>
      <c r="DR51" s="20">
        <f t="shared" si="16"/>
        <v>369.42119511414558</v>
      </c>
      <c r="DS51" s="59">
        <f t="shared" si="17"/>
        <v>662.75452844747883</v>
      </c>
      <c r="DT51" s="59">
        <f ca="1">AVERAGE(OFFSET($DS$3,0,0,'Données projet'!$E$14+1,1))-AVERAGE(OFFSET($H$3,0,0,'Données projet'!$E$14+1,1))</f>
        <v>401.17301323870578</v>
      </c>
      <c r="DU51" s="59">
        <f t="shared" si="44"/>
        <v>201.57993789149754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8.8189694154490432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8.8189694154490432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5.7</v>
      </c>
      <c r="EJ51" s="12">
        <f>IF('Données projet'!$A$192&gt;35,EJ50+EI51-ER50,IF(A51&lt;'Données projet'!$A$192,$EG$205^A51,IF(A51='Données projet'!$A$192,'Données projet'!$B$192,EJ50+EI51-ER50)))</f>
        <v>219.60000000000002</v>
      </c>
      <c r="EK51" s="17">
        <f>EJ51*VLOOKUP('Données projet'!$B$15,Paramètres!$A$1:$I$89,3,0)*VLOOKUP('Données projet'!$B$15,Paramètres!$A$1:$I$89,5,0)</f>
        <v>191.84256000000005</v>
      </c>
      <c r="EL51" s="13">
        <f t="shared" si="45"/>
        <v>47.947087613384845</v>
      </c>
      <c r="EM51" s="20">
        <f t="shared" si="19"/>
        <v>417.63363625997869</v>
      </c>
      <c r="EN51" s="59">
        <f t="shared" si="20"/>
        <v>710.966969593312</v>
      </c>
      <c r="EO51" s="59">
        <f ca="1">AVERAGE(OFFSET($EN$3,0,0,'Données projet'!$E$15+1,1))-AVERAGE(OFFSET($H$3,0,0,'Données projet'!$E$15+1,1))</f>
        <v>237.8483058552178</v>
      </c>
      <c r="EP51" s="59">
        <f t="shared" si="46"/>
        <v>313.36201272119723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2.7644958216564599</v>
      </c>
      <c r="EW51" s="21">
        <f>EXP(-LN(2)/25)*EW50+(1-EXP(-LN(2)/25))/(LN(2)/25)*Calculateur!ER51*Calculateur!ET51*VLOOKUP('Données projet'!$B$15,Paramètres!$A$1:$I$89,3,0)*0.475*44/12</f>
        <v>3.8767794645061611</v>
      </c>
      <c r="EX51" s="21">
        <f>EXP(-LN(2)/2)*EX50+(1-EXP(-LN(2)/2))/(LN(2)/2)*ER51*EU51*VLOOKUP('Données projet'!$B$15,Paramètres!$A$1:$I$89,3,0)*0.475*44/12</f>
        <v>0.60274386358821463</v>
      </c>
      <c r="EY51" s="22">
        <f t="shared" si="21"/>
        <v>7.2440191497508355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9.8000000000000007</v>
      </c>
      <c r="FE51" s="12">
        <f>IF('Données projet'!$A$218&gt;35,FE50+FD51-FM50,IF(A51&lt;'Données projet'!$A$218,$FB$205^A51,IF(A51='Données projet'!$A$218,'Données projet'!$B$218,FE50+FD51-FM50)))</f>
        <v>283.39999999999992</v>
      </c>
      <c r="FF51" s="17">
        <f>FE51*VLOOKUP('Données projet'!$B$16,Paramètres!$A$1:$I$89,3,0)*VLOOKUP('Données projet'!$B$16,Paramètres!$A$1:$I$89,5,0)</f>
        <v>221.05199999999994</v>
      </c>
      <c r="FG51" s="13">
        <f t="shared" si="47"/>
        <v>54.343469202939204</v>
      </c>
      <c r="FH51" s="20">
        <f t="shared" si="22"/>
        <v>479.64710886178568</v>
      </c>
      <c r="FI51" s="59">
        <f t="shared" si="23"/>
        <v>772.98044219511894</v>
      </c>
      <c r="FJ51" s="59">
        <f ca="1">AVERAGE(OFFSET($FI$3,0,0,'Données projet'!$E$16+1,1))-AVERAGE(OFFSET($H$3,0,0,'Données projet'!$E$16+1,1))</f>
        <v>318.52984981739411</v>
      </c>
      <c r="FK51" s="59">
        <f t="shared" si="48"/>
        <v>311.56398336941714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3.9910187609267838</v>
      </c>
      <c r="FR51" s="21">
        <f>EXP(-LN(2)/25)*FR50+(1-EXP(-LN(2)/25))/(LN(2)/25)*Calculateur!FM51*Calculateur!FO51*VLOOKUP('Données projet'!$B$16,Paramètres!$A$1:$I$89,3,0)*0.475*44/12</f>
        <v>9.7458426835930041</v>
      </c>
      <c r="FS51" s="21">
        <f>EXP(-LN(2)/2)*FS50+(1-EXP(-LN(2)/2))/(LN(2)/2)*FM51*FP51*VLOOKUP('Données projet'!$B$16,Paramètres!$A$1:$I$89,3,0)*0.475*44/12</f>
        <v>2.7181113371714609</v>
      </c>
      <c r="FT51" s="22">
        <f t="shared" si="24"/>
        <v>16.454972781691247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9.8000000000000007</v>
      </c>
      <c r="FZ51" s="12">
        <f>IF('Données projet'!$A$244&gt;35,FZ50+FY51-GH50,IF(A51&lt;'Données projet'!$A$244,$FW$205^A51,IF(A51='Données projet'!$A$244,'Données projet'!$B$244,FZ50+FY51-GH50)))</f>
        <v>283.39999999999992</v>
      </c>
      <c r="GA51" s="17">
        <f>FZ51*VLOOKUP('Données projet'!$B$17,Paramètres!$A$1:$I$89,3,0)*VLOOKUP('Données projet'!$B$17,Paramètres!$A$1:$I$89,5,0)</f>
        <v>225.47303999999994</v>
      </c>
      <c r="GB51" s="13">
        <f t="shared" si="49"/>
        <v>55.302717367103824</v>
      </c>
      <c r="GC51" s="20">
        <f t="shared" si="25"/>
        <v>489.0177774143724</v>
      </c>
      <c r="GD51" s="59">
        <f t="shared" si="26"/>
        <v>782.35111074770566</v>
      </c>
      <c r="GE51" s="59">
        <f ca="1">AVERAGE(OFFSET($GD$3,0,0,'Données projet'!$E$17+1,1))-AVERAGE(OFFSET($H$3,0,0,'Données projet'!$E$17+1,1))</f>
        <v>325.72928944930294</v>
      </c>
      <c r="GF51" s="59">
        <f t="shared" si="50"/>
        <v>318.38876834819752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5.0175459119930688</v>
      </c>
      <c r="GM51" s="21">
        <f>EXP(-LN(2)/25)*GM50+(1-EXP(-LN(2)/25))/(LN(2)/25)*Calculateur!GH51*Calculateur!GJ51*VLOOKUP('Données projet'!$B$17,Paramètres!$A$1:$I$89,3,0)*0.475*44/12</f>
        <v>12.25256408081483</v>
      </c>
      <c r="GN51" s="21">
        <f>EXP(-LN(2)/2)*GN50+(1-EXP(-LN(2)/2))/(LN(2)/2)*GH51*GK51*VLOOKUP('Données projet'!$B$17,Paramètres!$A$1:$I$89,3,0)*0.475*44/12</f>
        <v>2.7724735639148905</v>
      </c>
      <c r="GO51" s="21">
        <f t="shared" si="27"/>
        <v>20.042583556722789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9.8000000000000007</v>
      </c>
      <c r="GU51" s="12">
        <f>IF('Données projet'!$A$270&gt;35,GU50+GT51-HC50,IF(A51&lt;'Données projet'!$A$270,$GR$205^A51,IF(A51='Données projet'!$A$270,'Données projet'!$B$270,GU50+GT51-HC50)))</f>
        <v>283.39999999999992</v>
      </c>
      <c r="GV51" s="17">
        <f>GU51*VLOOKUP('Données projet'!$B$18,Paramètres!$A$1:$I$89,3,0)*VLOOKUP('Données projet'!$B$18,Paramètres!$A$1:$I$89,5,0)</f>
        <v>190.10471999999996</v>
      </c>
      <c r="GW51" s="13">
        <f t="shared" si="51"/>
        <v>47.563104213884252</v>
      </c>
      <c r="GX51" s="20">
        <f t="shared" si="28"/>
        <v>413.93812717251495</v>
      </c>
      <c r="GY51" s="59">
        <f t="shared" si="29"/>
        <v>707.27146050584827</v>
      </c>
      <c r="GZ51" s="59">
        <f ca="1">AVERAGE(OFFSET($GY$3,0,0,'Données projet'!$E$18+1,1))-AVERAGE(OFFSET($H$3,0,0,'Données projet'!$E$18+1,1))</f>
        <v>268.04554291387961</v>
      </c>
      <c r="HA51" s="59">
        <f t="shared" si="52"/>
        <v>263.70463099437148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4.2304798865823914</v>
      </c>
      <c r="HH51" s="21">
        <f>EXP(-LN(2)/25)*HH50+(1-EXP(-LN(2)/25))/(LN(2)/25)*Calculateur!HC51*Calculateur!HE51*VLOOKUP('Données projet'!$B$18,Paramètres!$A$1:$I$89,3,0)*0.475*44/12</f>
        <v>10.330593244608584</v>
      </c>
      <c r="HI51" s="21">
        <f>EXP(-LN(2)/2)*HI50+(1-EXP(-LN(2)/2))/(LN(2)/2)*HC51*HF51*VLOOKUP('Données projet'!$B$18,Paramètres!$A$1:$I$89,3,0)*0.475*44/12</f>
        <v>2.3375757499674559</v>
      </c>
      <c r="HJ51" s="22">
        <f t="shared" si="30"/>
        <v>16.898648881158433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6</v>
      </c>
      <c r="N52" s="13">
        <f>IF('Données projet'!$A$36&gt;35,N51+M52-V51,IF(A52&lt;'Données projet'!$A$36,$K$205^A52,IF(A52='Données projet'!$A$36,'Données projet'!$B$36,N51+M52-V51)))</f>
        <v>165</v>
      </c>
      <c r="O52" s="13">
        <f>N52*VLOOKUP('Données projet'!$B$9,Paramètres!$A$1:$I$89,3,0)*VLOOKUP('Données projet'!$B$9,Paramètres!$A$1:$I$89,5,0)</f>
        <v>72.930000000000007</v>
      </c>
      <c r="P52" s="13">
        <f t="shared" si="33"/>
        <v>20.39933430140773</v>
      </c>
      <c r="Q52" s="20">
        <f t="shared" si="53"/>
        <v>162.54859057495182</v>
      </c>
      <c r="R52" s="59">
        <f t="shared" si="0"/>
        <v>455.8819239082851</v>
      </c>
      <c r="S52" s="59">
        <f ca="1">AVERAGE(OFFSET($R$3,0,0,'Données projet'!$E$9+1,1))-AVERAGE(OFFSET($H$3,0,0,'Données projet'!$E$9+1,1))</f>
        <v>46.095319339746538</v>
      </c>
      <c r="T52" s="59">
        <f t="shared" si="34"/>
        <v>48.158174304064403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5.4999805458424218</v>
      </c>
      <c r="AB52" s="21">
        <f>EXP(-LN(2)/2)*AB51+(1-EXP(-LN(2)/2))/(LN(2)/2)*V52*Y52*VLOOKUP('Données projet'!$B$9,Paramètres!$A$1:$I$89,3,0)*0.475*44/12</f>
        <v>0.20840226853883675</v>
      </c>
      <c r="AC52" s="22">
        <f t="shared" si="3"/>
        <v>5.7083828143812587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11.75</v>
      </c>
      <c r="AI52" s="13">
        <f>IF('Données projet'!$A$62&gt;35,AI51+AH52-AQ51,IF(A52&lt;'Données projet'!$A$62,$AF$205^A52,IF(A52='Données projet'!$A$62,'Données projet'!$B$62,AI51+AH52-AQ51)))</f>
        <v>602.24999999999989</v>
      </c>
      <c r="AJ52" s="13">
        <f>AI52*VLOOKUP('Données projet'!$B$10,Paramètres!$A$1:$I$89,3,0)*VLOOKUP('Données projet'!$B$10,Paramètres!$A$1:$I$89,5,0)</f>
        <v>360.14549999999997</v>
      </c>
      <c r="AK52" s="13">
        <f t="shared" si="35"/>
        <v>83.648088140393284</v>
      </c>
      <c r="AL52" s="20">
        <f t="shared" si="4"/>
        <v>772.94049934451823</v>
      </c>
      <c r="AM52" s="59">
        <f t="shared" si="5"/>
        <v>1066.2738326778515</v>
      </c>
      <c r="AN52" s="59">
        <f ca="1">AVERAGE(OFFSET($AM$3,0,0,'Données projet'!$E$10+1,1))-AVERAGE(OFFSET($H$3,0,0,'Données projet'!$E$10+1,1))</f>
        <v>408.84545509668794</v>
      </c>
      <c r="AO52" s="59">
        <f t="shared" si="36"/>
        <v>409.9253979841132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7.852442790802824</v>
      </c>
      <c r="AV52" s="21">
        <f>EXP(-LN(2)/25)*AV51+(1-EXP(-LN(2)/25))/(LN(2)/25)*Calculateur!AQ52*Calculateur!AS52*VLOOKUP('Données projet'!$B$10,Paramètres!$A$1:$I$89,3,0)*0.475*44/12</f>
        <v>27.603528428841798</v>
      </c>
      <c r="AW52" s="21">
        <f>EXP(-LN(2)/2)*AW51+(1-EXP(-LN(2)/2))/(LN(2)/2)*AQ52*AT52*VLOOKUP('Données projet'!$B$10,Paramètres!$A$1:$I$89,3,0)*0.475*44/12</f>
        <v>3.0848611604907434</v>
      </c>
      <c r="AX52" s="21">
        <f t="shared" si="6"/>
        <v>38.54083238013537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17.399999999999999</v>
      </c>
      <c r="BD52" s="12">
        <f>IF('Données projet'!$A$88&gt;35,BD51+BC52-BL51,IF(A52&lt;'Données projet'!$A$88,$BA$205^A52,IF(A52='Données projet'!$A$88,'Données projet'!$B$88,BD51+BC52-BL51)))</f>
        <v>396.60000000000008</v>
      </c>
      <c r="BE52" s="13">
        <f>BD52*VLOOKUP('Données projet'!$B$11,Paramètres!$A$1:$I$89,3,0)*VLOOKUP('Données projet'!$B$11,Paramètres!$A$1:$I$89,5,0)</f>
        <v>237.16680000000005</v>
      </c>
      <c r="BF52" s="13">
        <f t="shared" si="37"/>
        <v>57.829533038824259</v>
      </c>
      <c r="BG52" s="20">
        <f t="shared" si="7"/>
        <v>513.78528004261909</v>
      </c>
      <c r="BH52" s="59">
        <f t="shared" si="8"/>
        <v>807.11861337595246</v>
      </c>
      <c r="BI52" s="59">
        <f ca="1">AVERAGE(OFFSET($BH$3,0,0,'Données projet'!$E$11+1,1))-AVERAGE(OFFSET($H$3,0,0,'Données projet'!$E$11+1,1))</f>
        <v>279.69031306919914</v>
      </c>
      <c r="BJ52" s="59">
        <f t="shared" si="38"/>
        <v>297.01680128882509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3.7596158985301917</v>
      </c>
      <c r="BQ52" s="21">
        <f>EXP(-LN(2)/25)*BQ51+(1-EXP(-LN(2)/25))/(LN(2)/25)*Calculateur!BL52*Calculateur!BN52*VLOOKUP('Données projet'!$B$11,Paramètres!$A$1:$I$89,3,0)*0.475*44/12</f>
        <v>36.26098007069055</v>
      </c>
      <c r="BR52" s="21">
        <f>EXP(-LN(2)/2)*BR51+(1-EXP(-LN(2)/2))/(LN(2)/2)*BL52*BO52*VLOOKUP('Données projet'!$B$11,Paramètres!$A$1:$I$89,3,0)*0.475*44/12</f>
        <v>4.566684324075613</v>
      </c>
      <c r="BS52" s="22">
        <f t="shared" si="9"/>
        <v>44.587280293296359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4.125</v>
      </c>
      <c r="BY52" s="12">
        <f>IF('Données projet'!$A$114&gt;35,BY51+BX52-CG51,IF(A52&lt;'Données projet'!$A$114,$BV$205^A52,IF(A52='Données projet'!$A$114,'Données projet'!$B$114,BY51+BX52-CG51)))</f>
        <v>147.375</v>
      </c>
      <c r="BZ52" s="13">
        <f>BY52*VLOOKUP('Données projet'!$B$12,Paramètres!$A$1:$I$89,3,0)*VLOOKUP('Données projet'!$B$12,Paramètres!$A$1:$I$89,5,0)</f>
        <v>88.130250000000004</v>
      </c>
      <c r="CA52" s="13">
        <f t="shared" si="39"/>
        <v>24.113736823013987</v>
      </c>
      <c r="CB52" s="20">
        <f t="shared" si="10"/>
        <v>195.49161038341603</v>
      </c>
      <c r="CC52" s="59">
        <f t="shared" si="11"/>
        <v>488.82494371674932</v>
      </c>
      <c r="CD52" s="59">
        <f ca="1">AVERAGE(OFFSET($CC$3,0,0,'Données projet'!$E$12+1,1))-AVERAGE(OFFSET($H$3,0,0,'Données projet'!$E$12+1,1))</f>
        <v>81.299024916151723</v>
      </c>
      <c r="CE52" s="59">
        <f t="shared" si="40"/>
        <v>88.106373324240167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4.6175943566702413</v>
      </c>
      <c r="CL52" s="21">
        <f>EXP(-LN(2)/25)*CL51+(1-EXP(-LN(2)/25))/(LN(2)/25)*Calculateur!CG52*Calculateur!CI52*VLOOKUP('Données projet'!$B$12,Paramètres!$A$1:$I$89,3,0)*0.475*44/12</f>
        <v>11.030057730971883</v>
      </c>
      <c r="CM52" s="21">
        <f>EXP(-LN(2)/2)*CM51+(1-EXP(-LN(2)/2))/(LN(2)/2)*CG52*CJ52*VLOOKUP('Données projet'!$B$12,Paramètres!$A$1:$I$89,3,0)*0.475*44/12</f>
        <v>1.6802334669660091</v>
      </c>
      <c r="CN52" s="22">
        <f t="shared" si="12"/>
        <v>17.327885554608134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20.399999999999999</v>
      </c>
      <c r="CT52" s="12">
        <f>IF('Données projet'!$A$140&gt;35,CT51+CS52-DB51,IF(A52&lt;'Données projet'!$A$140,$CQ$205^A52,IF(A52='Données projet'!$A$140,'Données projet'!$B$140,CT51+CS52-DB51)))</f>
        <v>703.59999999999957</v>
      </c>
      <c r="CU52" s="17">
        <f>CT52*VLOOKUP('Données projet'!$B$13,Paramètres!$A$1:$I$89,3,0)*VLOOKUP('Données projet'!$B$13,Paramètres!$A$1:$I$89,5,0)</f>
        <v>393.3123999999998</v>
      </c>
      <c r="CV52" s="13">
        <f t="shared" si="41"/>
        <v>90.419529407700907</v>
      </c>
      <c r="CW52" s="20">
        <f t="shared" si="13"/>
        <v>842.49977705174535</v>
      </c>
      <c r="CX52" s="59">
        <f t="shared" si="14"/>
        <v>1135.8331103850787</v>
      </c>
      <c r="CY52" s="59">
        <f ca="1">AVERAGE(OFFSET($CX$3,0,0,'Données projet'!$E$13+1,1))-AVERAGE(OFFSET($H$3,0,0,'Données projet'!$E$13+1,1))</f>
        <v>475.42482703895411</v>
      </c>
      <c r="CZ52" s="59">
        <f t="shared" si="42"/>
        <v>593.51433014569966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41.548626730200859</v>
      </c>
      <c r="DG52" s="21">
        <f>EXP(-LN(2)/25)*DG51+(1-EXP(-LN(2)/25))/(LN(2)/25)*Calculateur!DB52*Calculateur!DD52*VLOOKUP('Données projet'!$B$13,Paramètres!$A$1:$I$89,3,0)*0.475*44/12</f>
        <v>38.762440258467343</v>
      </c>
      <c r="DH52" s="21">
        <f>EXP(-LN(2)/2)*DH51+(1-EXP(-LN(2)/2))/(LN(2)/2)*DB52*DE52*VLOOKUP('Données projet'!$B$13,Paramètres!$A$1:$I$89,3,0)*0.475*44/12</f>
        <v>2.5985457845044371</v>
      </c>
      <c r="DI52" s="22">
        <f t="shared" si="15"/>
        <v>82.90961277317264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11.25</v>
      </c>
      <c r="DO52" s="12">
        <f>IF('Données projet'!$A$166&gt;35,DO51+DN52-DW51,IF(A52&lt;'Données projet'!$A$166,$DL$205^A52,IF(A52='Données projet'!$A$166,'Données projet'!$B$166,DO51+DN52-DW51)))</f>
        <v>198.25</v>
      </c>
      <c r="DP52" s="17">
        <f>DO52*VLOOKUP('Données projet'!$B$14,Paramètres!$A$1:$I$89,3,0)*VLOOKUP('Données projet'!$B$14,Paramètres!$A$1:$I$89,5,0)</f>
        <v>179.3766</v>
      </c>
      <c r="DQ52" s="13">
        <f t="shared" si="43"/>
        <v>45.18346315973151</v>
      </c>
      <c r="DR52" s="20">
        <f t="shared" si="16"/>
        <v>391.10877666986568</v>
      </c>
      <c r="DS52" s="59">
        <f t="shared" si="17"/>
        <v>684.44211000319899</v>
      </c>
      <c r="DT52" s="59">
        <f ca="1">AVERAGE(OFFSET($DS$3,0,0,'Données projet'!$E$14+1,1))-AVERAGE(OFFSET($H$3,0,0,'Données projet'!$E$14+1,1))</f>
        <v>401.17301323870578</v>
      </c>
      <c r="DU52" s="59">
        <f t="shared" si="44"/>
        <v>201.57993789149754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8.5778142330141431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8.5778142330141431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5.7</v>
      </c>
      <c r="EJ52" s="12">
        <f>IF('Données projet'!$A$192&gt;35,EJ51+EI52-ER51,IF(A52&lt;'Données projet'!$A$192,$EG$205^A52,IF(A52='Données projet'!$A$192,'Données projet'!$B$192,EJ51+EI52-ER51)))</f>
        <v>225.3</v>
      </c>
      <c r="EK52" s="17">
        <f>EJ52*VLOOKUP('Données projet'!$B$15,Paramètres!$A$1:$I$89,3,0)*VLOOKUP('Données projet'!$B$15,Paramètres!$A$1:$I$89,5,0)</f>
        <v>196.82208000000003</v>
      </c>
      <c r="EL52" s="13">
        <f t="shared" si="45"/>
        <v>49.045107371453518</v>
      </c>
      <c r="EM52" s="20">
        <f t="shared" si="19"/>
        <v>428.21868467194827</v>
      </c>
      <c r="EN52" s="59">
        <f t="shared" si="20"/>
        <v>721.55201800528152</v>
      </c>
      <c r="EO52" s="59">
        <f ca="1">AVERAGE(OFFSET($EN$3,0,0,'Données projet'!$E$15+1,1))-AVERAGE(OFFSET($H$3,0,0,'Données projet'!$E$15+1,1))</f>
        <v>237.8483058552178</v>
      </c>
      <c r="EP52" s="59">
        <f t="shared" si="46"/>
        <v>313.36201272119723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2.7102857447697319</v>
      </c>
      <c r="EW52" s="21">
        <f>EXP(-LN(2)/25)*EW51+(1-EXP(-LN(2)/25))/(LN(2)/25)*Calculateur!ER52*Calculateur!ET52*VLOOKUP('Données projet'!$B$15,Paramètres!$A$1:$I$89,3,0)*0.475*44/12</f>
        <v>3.7707687261782685</v>
      </c>
      <c r="EX52" s="21">
        <f>EXP(-LN(2)/2)*EX51+(1-EXP(-LN(2)/2))/(LN(2)/2)*ER52*EU52*VLOOKUP('Données projet'!$B$15,Paramètres!$A$1:$I$89,3,0)*0.475*44/12</f>
        <v>0.42620427326180599</v>
      </c>
      <c r="EY52" s="22">
        <f t="shared" si="21"/>
        <v>6.9072587442098072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9.8000000000000007</v>
      </c>
      <c r="FE52" s="12">
        <f>IF('Données projet'!$A$218&gt;35,FE51+FD52-FM51,IF(A52&lt;'Données projet'!$A$218,$FB$205^A52,IF(A52='Données projet'!$A$218,'Données projet'!$B$218,FE51+FD52-FM51)))</f>
        <v>293.19999999999993</v>
      </c>
      <c r="FF52" s="17">
        <f>FE52*VLOOKUP('Données projet'!$B$16,Paramètres!$A$1:$I$89,3,0)*VLOOKUP('Données projet'!$B$16,Paramètres!$A$1:$I$89,5,0)</f>
        <v>228.69599999999994</v>
      </c>
      <c r="FG52" s="13">
        <f t="shared" si="47"/>
        <v>56.000633010315035</v>
      </c>
      <c r="FH52" s="20">
        <f t="shared" si="22"/>
        <v>495.84663582629855</v>
      </c>
      <c r="FI52" s="59">
        <f t="shared" si="23"/>
        <v>789.17996915963181</v>
      </c>
      <c r="FJ52" s="59">
        <f ca="1">AVERAGE(OFFSET($FI$3,0,0,'Données projet'!$E$16+1,1))-AVERAGE(OFFSET($H$3,0,0,'Données projet'!$E$16+1,1))</f>
        <v>318.52984981739411</v>
      </c>
      <c r="FK52" s="59">
        <f t="shared" si="48"/>
        <v>311.56398336941714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3.9127573173060886</v>
      </c>
      <c r="FR52" s="21">
        <f>EXP(-LN(2)/25)*FR51+(1-EXP(-LN(2)/25))/(LN(2)/25)*Calculateur!FM52*Calculateur!FO52*VLOOKUP('Données projet'!$B$16,Paramètres!$A$1:$I$89,3,0)*0.475*44/12</f>
        <v>9.4793421028985616</v>
      </c>
      <c r="FS52" s="21">
        <f>EXP(-LN(2)/2)*FS51+(1-EXP(-LN(2)/2))/(LN(2)/2)*FM52*FP52*VLOOKUP('Données projet'!$B$16,Paramètres!$A$1:$I$89,3,0)*0.475*44/12</f>
        <v>1.9219949585339744</v>
      </c>
      <c r="FT52" s="22">
        <f t="shared" si="24"/>
        <v>15.314094378738623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9.8000000000000007</v>
      </c>
      <c r="FZ52" s="12">
        <f>IF('Données projet'!$A$244&gt;35,FZ51+FY52-GH51,IF(A52&lt;'Données projet'!$A$244,$FW$205^A52,IF(A52='Données projet'!$A$244,'Données projet'!$B$244,FZ51+FY52-GH51)))</f>
        <v>293.19999999999993</v>
      </c>
      <c r="GA52" s="17">
        <f>FZ52*VLOOKUP('Données projet'!$B$17,Paramètres!$A$1:$I$89,3,0)*VLOOKUP('Données projet'!$B$17,Paramètres!$A$1:$I$89,5,0)</f>
        <v>233.26991999999993</v>
      </c>
      <c r="GB52" s="13">
        <f t="shared" si="49"/>
        <v>56.989132736134763</v>
      </c>
      <c r="GC52" s="20">
        <f t="shared" si="25"/>
        <v>505.53451684876785</v>
      </c>
      <c r="GD52" s="59">
        <f t="shared" si="26"/>
        <v>798.86785018210117</v>
      </c>
      <c r="GE52" s="59">
        <f ca="1">AVERAGE(OFFSET($GD$3,0,0,'Données projet'!$E$17+1,1))-AVERAGE(OFFSET($H$3,0,0,'Données projet'!$E$17+1,1))</f>
        <v>325.72928944930294</v>
      </c>
      <c r="GF52" s="59">
        <f t="shared" si="50"/>
        <v>318.38876834819752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4.9191548970597019</v>
      </c>
      <c r="GM52" s="21">
        <f>EXP(-LN(2)/25)*GM51+(1-EXP(-LN(2)/25))/(LN(2)/25)*Calculateur!GH52*Calculateur!GJ52*VLOOKUP('Données projet'!$B$17,Paramètres!$A$1:$I$89,3,0)*0.475*44/12</f>
        <v>11.917517071690607</v>
      </c>
      <c r="GN52" s="21">
        <f>EXP(-LN(2)/2)*GN51+(1-EXP(-LN(2)/2))/(LN(2)/2)*GH52*GK52*VLOOKUP('Données projet'!$B$17,Paramètres!$A$1:$I$89,3,0)*0.475*44/12</f>
        <v>1.9604348577046542</v>
      </c>
      <c r="GO52" s="21">
        <f t="shared" si="27"/>
        <v>18.797106826454964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9.8000000000000007</v>
      </c>
      <c r="GU52" s="12">
        <f>IF('Données projet'!$A$270&gt;35,GU51+GT52-HC51,IF(A52&lt;'Données projet'!$A$270,$GR$205^A52,IF(A52='Données projet'!$A$270,'Données projet'!$B$270,GU51+GT52-HC51)))</f>
        <v>293.19999999999993</v>
      </c>
      <c r="GV52" s="17">
        <f>GU52*VLOOKUP('Données projet'!$B$18,Paramètres!$A$1:$I$89,3,0)*VLOOKUP('Données projet'!$B$18,Paramètres!$A$1:$I$89,5,0)</f>
        <v>196.67855999999995</v>
      </c>
      <c r="GW52" s="13">
        <f t="shared" si="51"/>
        <v>49.013505817347365</v>
      </c>
      <c r="GX52" s="20">
        <f t="shared" si="28"/>
        <v>427.91368129854658</v>
      </c>
      <c r="GY52" s="59">
        <f t="shared" si="29"/>
        <v>721.24701463187989</v>
      </c>
      <c r="GZ52" s="59">
        <f ca="1">AVERAGE(OFFSET($GY$3,0,0,'Données projet'!$E$18+1,1))-AVERAGE(OFFSET($H$3,0,0,'Données projet'!$E$18+1,1))</f>
        <v>268.04554291387961</v>
      </c>
      <c r="HA52" s="59">
        <f t="shared" si="52"/>
        <v>263.70463099437148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4.1475227563444541</v>
      </c>
      <c r="HH52" s="21">
        <f>EXP(-LN(2)/25)*HH51+(1-EXP(-LN(2)/25))/(LN(2)/25)*Calculateur!HC52*Calculateur!HE52*VLOOKUP('Données projet'!$B$18,Paramètres!$A$1:$I$89,3,0)*0.475*44/12</f>
        <v>10.048102629072474</v>
      </c>
      <c r="HI52" s="21">
        <f>EXP(-LN(2)/2)*HI51+(1-EXP(-LN(2)/2))/(LN(2)/2)*HC52*HF52*VLOOKUP('Données projet'!$B$18,Paramètres!$A$1:$I$89,3,0)*0.475*44/12</f>
        <v>1.6529156643392175</v>
      </c>
      <c r="HJ52" s="22">
        <f t="shared" si="30"/>
        <v>15.848541049756147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171</v>
      </c>
      <c r="L53" s="12">
        <f>VLOOKUP(A53,'Données projet'!$A$35:$I$55,9,0)</f>
        <v>6</v>
      </c>
      <c r="M53" s="12">
        <f t="array" ref="M53">INDEX(L:L,MIN(IF(ISNUMBER(L53:L249),ROW(L53:L249),"")))</f>
        <v>6</v>
      </c>
      <c r="N53" s="13">
        <f>IF('Données projet'!$A$36&gt;35,N52+M53-V52,IF(A53&lt;'Données projet'!$A$36,$K$205^A53,IF(A53='Données projet'!$A$36,'Données projet'!$B$36,N52+M53-V52)))</f>
        <v>171</v>
      </c>
      <c r="O53" s="13">
        <f>N53*VLOOKUP('Données projet'!$B$9,Paramètres!$A$1:$I$89,3,0)*VLOOKUP('Données projet'!$B$9,Paramètres!$A$1:$I$89,5,0)</f>
        <v>75.582000000000008</v>
      </c>
      <c r="P53" s="13">
        <f t="shared" si="33"/>
        <v>21.053414706764137</v>
      </c>
      <c r="Q53" s="20">
        <f t="shared" si="53"/>
        <v>168.30668061428091</v>
      </c>
      <c r="R53" s="59">
        <f t="shared" si="0"/>
        <v>461.64001394761419</v>
      </c>
      <c r="S53" s="59">
        <f ca="1">AVERAGE(OFFSET($R$3,0,0,'Données projet'!$E$9+1,1))-AVERAGE(OFFSET($H$3,0,0,'Données projet'!$E$9+1,1))</f>
        <v>46.095319339746538</v>
      </c>
      <c r="T53" s="59">
        <f t="shared" si="34"/>
        <v>48.158174304064403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53</v>
      </c>
      <c r="W53" s="16">
        <f>IF(ISNA(VLOOKUP(A53,'Données projet'!$A$35:$I$55,5,0)),0%,VLOOKUP(A53,'Données projet'!$A$35:$I$55,5,0)*VLOOKUP('Données projet'!$B$9,Paramètres!$A$1:$I$89,7,0))</f>
        <v>9.0000000000000011E-2</v>
      </c>
      <c r="X53" s="16">
        <f>IF(ISNA(VLOOKUP(A53,'Données projet'!$A$35:$I$55,6,0)),0%,VLOOKUP(A53,'Données projet'!$A$35:$I$55,6,0)*VLOOKUP('Données projet'!$B$9,Paramètres!$A$1:$I$89,7,0))</f>
        <v>0.18000000000000002</v>
      </c>
      <c r="Y53" s="16">
        <f>IF(ISNA(VLOOKUP(A53,'Données projet'!$A$35:$I$55,7,0)),0%,VLOOKUP(A53,'Données projet'!$A$35:$I$55,7,0))</f>
        <v>0.4</v>
      </c>
      <c r="Z53" s="21">
        <f>EXP(-LN(2)/35)*Z52+(1-EXP(-LN(2)/35))/(LN(2)/35)*V53*W53*VLOOKUP('Données projet'!$B$9,Paramètres!$A$1:$I$89,3,0)*0.475*44/12</f>
        <v>2.7968489039814011</v>
      </c>
      <c r="AA53" s="21">
        <f>EXP(-LN(2)/25)*AA52+(1-EXP(-LN(2)/25))/(LN(2)/25)*Calculateur!V53*Calculateur!X53*VLOOKUP('Données projet'!$B$9,Paramètres!$A$1:$I$89,3,0)*0.475*44/12</f>
        <v>10.921256576911844</v>
      </c>
      <c r="AB53" s="21">
        <f>EXP(-LN(2)/2)*AB52+(1-EXP(-LN(2)/2))/(LN(2)/2)*V53*Y53*VLOOKUP('Données projet'!$B$9,Paramètres!$A$1:$I$89,3,0)*0.475*44/12</f>
        <v>10.756832178040469</v>
      </c>
      <c r="AC53" s="22">
        <f t="shared" si="3"/>
        <v>24.474937658933712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11.75</v>
      </c>
      <c r="AI53" s="13">
        <f>IF('Données projet'!$A$62&gt;35,AI52+AH53-AQ52,IF(A53&lt;'Données projet'!$A$62,$AF$205^A53,IF(A53='Données projet'!$A$62,'Données projet'!$B$62,AI52+AH53-AQ52)))</f>
        <v>613.99999999999989</v>
      </c>
      <c r="AJ53" s="13">
        <f>AI53*VLOOKUP('Données projet'!$B$10,Paramètres!$A$1:$I$89,3,0)*VLOOKUP('Données projet'!$B$10,Paramètres!$A$1:$I$89,5,0)</f>
        <v>367.17199999999991</v>
      </c>
      <c r="AK53" s="13">
        <f t="shared" si="35"/>
        <v>85.088487481811313</v>
      </c>
      <c r="AL53" s="20">
        <f t="shared" si="4"/>
        <v>787.68701569748782</v>
      </c>
      <c r="AM53" s="59">
        <f t="shared" si="5"/>
        <v>1081.0203490308211</v>
      </c>
      <c r="AN53" s="59">
        <f ca="1">AVERAGE(OFFSET($AM$3,0,0,'Données projet'!$E$10+1,1))-AVERAGE(OFFSET($H$3,0,0,'Données projet'!$E$10+1,1))</f>
        <v>408.84545509668794</v>
      </c>
      <c r="AO53" s="59">
        <f t="shared" si="36"/>
        <v>409.9253979841132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7.6984611771923577</v>
      </c>
      <c r="AV53" s="21">
        <f>EXP(-LN(2)/25)*AV52+(1-EXP(-LN(2)/25))/(LN(2)/25)*Calculateur!AQ53*Calculateur!AS53*VLOOKUP('Données projet'!$B$10,Paramètres!$A$1:$I$89,3,0)*0.475*44/12</f>
        <v>26.848708492348649</v>
      </c>
      <c r="AW53" s="21">
        <f>EXP(-LN(2)/2)*AW52+(1-EXP(-LN(2)/2))/(LN(2)/2)*AQ53*AT53*VLOOKUP('Données projet'!$B$10,Paramètres!$A$1:$I$89,3,0)*0.475*44/12</f>
        <v>2.1813262456020075</v>
      </c>
      <c r="AX53" s="21">
        <f t="shared" si="6"/>
        <v>36.728495915143014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414</v>
      </c>
      <c r="BB53" s="12">
        <f>VLOOKUP(A53,'Données projet'!$A$87:$I$107,9,0)</f>
        <v>17.399999999999999</v>
      </c>
      <c r="BC53" s="12">
        <f t="array" ref="BC53">INDEX(BB:BB,MIN(IF(ISNUMBER(BB53:BB249),ROW(BB53:BB249),"")))</f>
        <v>17.399999999999999</v>
      </c>
      <c r="BD53" s="12">
        <f>IF('Données projet'!$A$88&gt;35,BD52+BC53-BL52,IF(A53&lt;'Données projet'!$A$88,$BA$205^A53,IF(A53='Données projet'!$A$88,'Données projet'!$B$88,BD52+BC53-BL52)))</f>
        <v>414.00000000000006</v>
      </c>
      <c r="BE53" s="13">
        <f>BD53*VLOOKUP('Données projet'!$B$11,Paramètres!$A$1:$I$89,3,0)*VLOOKUP('Données projet'!$B$11,Paramètres!$A$1:$I$89,5,0)</f>
        <v>247.57200000000003</v>
      </c>
      <c r="BF53" s="13">
        <f t="shared" si="37"/>
        <v>60.065726249156576</v>
      </c>
      <c r="BG53" s="20">
        <f t="shared" si="7"/>
        <v>535.80237321728112</v>
      </c>
      <c r="BH53" s="59">
        <f t="shared" si="8"/>
        <v>829.13570655061449</v>
      </c>
      <c r="BI53" s="59">
        <f ca="1">AVERAGE(OFFSET($BH$3,0,0,'Données projet'!$E$11+1,1))-AVERAGE(OFFSET($H$3,0,0,'Données projet'!$E$11+1,1))</f>
        <v>279.69031306919914</v>
      </c>
      <c r="BJ53" s="59">
        <f t="shared" si="38"/>
        <v>297.01680128882509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47</v>
      </c>
      <c r="BM53" s="16">
        <f>IF(ISNA(VLOOKUP(A53,'Données projet'!$A$87:$I$107,5,0)),0%,VLOOKUP(A53,'Données projet'!$A$87:$I$107,5,0)*VLOOKUP('Données projet'!$B$11,Paramètres!$A$1:$I$89,7,0))</f>
        <v>0.13500000000000001</v>
      </c>
      <c r="BN53" s="16">
        <f>IF(ISNA(VLOOKUP(A53,'Données projet'!$A$87:$I$107,6,0)),0%,VLOOKUP(A53,'Données projet'!$A$87:$I$107,6,0)*VLOOKUP('Données projet'!$B$11,Paramètres!$A$1:$I$89,7,0))</f>
        <v>0.18000000000000002</v>
      </c>
      <c r="BO53" s="16">
        <f>IF(ISNA(VLOOKUP(A53,'Données projet'!$A$87:$I$107,7,0)),0%,VLOOKUP(A53,'Données projet'!$A$87:$I$107,7,0))</f>
        <v>0.3</v>
      </c>
      <c r="BP53" s="21">
        <f>EXP(-LN(2)/35)*BP52+(1-EXP(-LN(2)/35))/(LN(2)/35)*BL53*BM53*VLOOKUP('Données projet'!$B$11,Paramètres!$A$1:$I$89,3,0)*0.475*44/12</f>
        <v>8.7192889028180858</v>
      </c>
      <c r="BQ53" s="21">
        <f>EXP(-LN(2)/25)*BQ52+(1-EXP(-LN(2)/25))/(LN(2)/25)*Calculateur!BL53*Calculateur!BN53*VLOOKUP('Données projet'!$B$11,Paramètres!$A$1:$I$89,3,0)*0.475*44/12</f>
        <v>41.954192834343011</v>
      </c>
      <c r="BR53" s="21">
        <f>EXP(-LN(2)/2)*BR52+(1-EXP(-LN(2)/2))/(LN(2)/2)*BL53*BO53*VLOOKUP('Données projet'!$B$11,Paramètres!$A$1:$I$89,3,0)*0.475*44/12</f>
        <v>12.775889739375826</v>
      </c>
      <c r="BS53" s="22">
        <f t="shared" si="9"/>
        <v>63.449371476536925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4.125</v>
      </c>
      <c r="BY53" s="12">
        <f>IF('Données projet'!$A$114&gt;35,BY52+BX53-CG52,IF(A53&lt;'Données projet'!$A$114,$BV$205^A53,IF(A53='Données projet'!$A$114,'Données projet'!$B$114,BY52+BX53-CG52)))</f>
        <v>151.5</v>
      </c>
      <c r="BZ53" s="13">
        <f>BY53*VLOOKUP('Données projet'!$B$12,Paramètres!$A$1:$I$89,3,0)*VLOOKUP('Données projet'!$B$12,Paramètres!$A$1:$I$89,5,0)</f>
        <v>90.596999999999994</v>
      </c>
      <c r="CA53" s="13">
        <f t="shared" si="39"/>
        <v>24.70915156921264</v>
      </c>
      <c r="CB53" s="20">
        <f t="shared" si="10"/>
        <v>200.82488064971199</v>
      </c>
      <c r="CC53" s="59">
        <f t="shared" si="11"/>
        <v>494.1582139830453</v>
      </c>
      <c r="CD53" s="59">
        <f ca="1">AVERAGE(OFFSET($CC$3,0,0,'Données projet'!$E$12+1,1))-AVERAGE(OFFSET($H$3,0,0,'Données projet'!$E$12+1,1))</f>
        <v>81.299024916151723</v>
      </c>
      <c r="CE53" s="59">
        <f t="shared" si="40"/>
        <v>88.106373324240167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4.5270461477903936</v>
      </c>
      <c r="CL53" s="21">
        <f>EXP(-LN(2)/25)*CL52+(1-EXP(-LN(2)/25))/(LN(2)/25)*Calculateur!CG53*Calculateur!CI53*VLOOKUP('Données projet'!$B$12,Paramètres!$A$1:$I$89,3,0)*0.475*44/12</f>
        <v>10.72844022227293</v>
      </c>
      <c r="CM53" s="21">
        <f>EXP(-LN(2)/2)*CM52+(1-EXP(-LN(2)/2))/(LN(2)/2)*CG53*CJ53*VLOOKUP('Données projet'!$B$12,Paramètres!$A$1:$I$89,3,0)*0.475*44/12</f>
        <v>1.188104478468248</v>
      </c>
      <c r="CN53" s="22">
        <f t="shared" si="12"/>
        <v>16.443590848531571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724</v>
      </c>
      <c r="CR53" s="12">
        <f>VLOOKUP(A53,'Données projet'!$A$139:$I$159,9,0)</f>
        <v>20.399999999999999</v>
      </c>
      <c r="CS53" s="12">
        <f t="array" ref="CS53">INDEX(CR:CR,MIN(IF(ISNUMBER(CR53:CR249),ROW(CR53:CR249),"")))</f>
        <v>20.399999999999999</v>
      </c>
      <c r="CT53" s="12">
        <f>IF('Données projet'!$A$140&gt;35,CT52+CS53-DB52,IF(A53&lt;'Données projet'!$A$140,$CQ$205^A53,IF(A53='Données projet'!$A$140,'Données projet'!$B$140,CT52+CS53-DB52)))</f>
        <v>723.99999999999955</v>
      </c>
      <c r="CU53" s="17">
        <f>CT53*VLOOKUP('Données projet'!$B$13,Paramètres!$A$1:$I$89,3,0)*VLOOKUP('Données projet'!$B$13,Paramètres!$A$1:$I$89,5,0)</f>
        <v>404.71599999999978</v>
      </c>
      <c r="CV53" s="13">
        <f t="shared" si="41"/>
        <v>92.732108655131142</v>
      </c>
      <c r="CW53" s="20">
        <f t="shared" si="13"/>
        <v>866.38878924101971</v>
      </c>
      <c r="CX53" s="59">
        <f t="shared" si="14"/>
        <v>1159.7221225743531</v>
      </c>
      <c r="CY53" s="59">
        <f ca="1">AVERAGE(OFFSET($CX$3,0,0,'Données projet'!$E$13+1,1))-AVERAGE(OFFSET($H$3,0,0,'Données projet'!$E$13+1,1))</f>
        <v>475.42482703895411</v>
      </c>
      <c r="CZ53" s="59">
        <f t="shared" si="42"/>
        <v>593.51433014569966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62</v>
      </c>
      <c r="DC53" s="16">
        <f>IF(ISNA(VLOOKUP(A53,'Données projet'!$A$139:$I$159,5,0)),0%,VLOOKUP(A53,'Données projet'!$A$139:$I$159,5,0)*VLOOKUP('Données projet'!$B$13,Paramètres!$A$1:$I$89,7,0))</f>
        <v>0.33</v>
      </c>
      <c r="DD53" s="16">
        <f>IF(ISNA(VLOOKUP(A53,'Données projet'!$A$139:$I$159,6,0)),0%,VLOOKUP(A53,'Données projet'!$A$139:$I$159,6,0)*VLOOKUP('Données projet'!$B$13,Paramètres!$A$1:$I$89,7,0))</f>
        <v>0.11000000000000001</v>
      </c>
      <c r="DE53" s="16">
        <f>IF(ISNA(VLOOKUP(A53,'Données projet'!$A$139:$I$159,7,0)),0%,VLOOKUP(A53,'Données projet'!$A$139:$I$159,7,0))</f>
        <v>0.2</v>
      </c>
      <c r="DF53" s="21">
        <f>EXP(-LN(2)/35)*DF52+(1-EXP(-LN(2)/35))/(LN(2)/35)*DB53*DC53*VLOOKUP('Données projet'!$B$13,Paramètres!$A$1:$I$89,3,0)*0.475*44/12</f>
        <v>55.905986898067383</v>
      </c>
      <c r="DG53" s="21">
        <f>EXP(-LN(2)/25)*DG52+(1-EXP(-LN(2)/25))/(LN(2)/25)*Calculateur!DB53*Calculateur!DD53*VLOOKUP('Données projet'!$B$13,Paramètres!$A$1:$I$89,3,0)*0.475*44/12</f>
        <v>42.7399343057686</v>
      </c>
      <c r="DH53" s="21">
        <f>EXP(-LN(2)/2)*DH52+(1-EXP(-LN(2)/2))/(LN(2)/2)*DB53*DE53*VLOOKUP('Données projet'!$B$13,Paramètres!$A$1:$I$89,3,0)*0.475*44/12</f>
        <v>9.6856307389812546</v>
      </c>
      <c r="DI53" s="22">
        <f t="shared" si="15"/>
        <v>108.33155194281724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11.25</v>
      </c>
      <c r="DO53" s="12">
        <f>IF('Données projet'!$A$166&gt;35,DO52+DN53-DW52,IF(A53&lt;'Données projet'!$A$166,$DL$205^A53,IF(A53='Données projet'!$A$166,'Données projet'!$B$166,DO52+DN53-DW52)))</f>
        <v>209.5</v>
      </c>
      <c r="DP53" s="17">
        <f>DO53*VLOOKUP('Données projet'!$B$14,Paramètres!$A$1:$I$89,3,0)*VLOOKUP('Données projet'!$B$14,Paramètres!$A$1:$I$89,5,0)</f>
        <v>189.5556</v>
      </c>
      <c r="DQ53" s="13">
        <f t="shared" si="43"/>
        <v>47.441688934734636</v>
      </c>
      <c r="DR53" s="20">
        <f t="shared" si="16"/>
        <v>412.77027822799613</v>
      </c>
      <c r="DS53" s="59">
        <f t="shared" si="17"/>
        <v>706.10361156132944</v>
      </c>
      <c r="DT53" s="59">
        <f ca="1">AVERAGE(OFFSET($DS$3,0,0,'Données projet'!$E$14+1,1))-AVERAGE(OFFSET($H$3,0,0,'Données projet'!$E$14+1,1))</f>
        <v>401.17301323870578</v>
      </c>
      <c r="DU53" s="59">
        <f t="shared" si="44"/>
        <v>201.57993789149754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8.3432534517247259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8.3432534517247259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231</v>
      </c>
      <c r="EH53" s="12">
        <f>VLOOKUP(A53,'Données projet'!$A$191:$I$211,9,0)</f>
        <v>5.7</v>
      </c>
      <c r="EI53" s="12">
        <f t="array" ref="EI53">INDEX(EH:EH,MIN(IF(ISNUMBER(EH53:EH249),ROW(EH53:EH249),"")))</f>
        <v>5.7</v>
      </c>
      <c r="EJ53" s="12">
        <f>IF('Données projet'!$A$192&gt;35,EJ52+EI53-ER52,IF(A53&lt;'Données projet'!$A$192,$EG$205^A53,IF(A53='Données projet'!$A$192,'Données projet'!$B$192,EJ52+EI53-ER52)))</f>
        <v>231</v>
      </c>
      <c r="EK53" s="17">
        <f>EJ53*VLOOKUP('Données projet'!$B$15,Paramètres!$A$1:$I$89,3,0)*VLOOKUP('Données projet'!$B$15,Paramètres!$A$1:$I$89,5,0)</f>
        <v>201.80160000000004</v>
      </c>
      <c r="EL53" s="13">
        <f t="shared" si="45"/>
        <v>50.139897992681668</v>
      </c>
      <c r="EM53" s="20">
        <f t="shared" si="19"/>
        <v>438.79810900392067</v>
      </c>
      <c r="EN53" s="59">
        <f t="shared" si="20"/>
        <v>732.13144233725393</v>
      </c>
      <c r="EO53" s="59">
        <f ca="1">AVERAGE(OFFSET($EN$3,0,0,'Données projet'!$E$15+1,1))-AVERAGE(OFFSET($H$3,0,0,'Données projet'!$E$15+1,1))</f>
        <v>237.8483058552178</v>
      </c>
      <c r="EP53" s="59">
        <f t="shared" si="46"/>
        <v>313.36201272119723</v>
      </c>
      <c r="EQ53" s="15">
        <f>IF(ISNA(VLOOKUP(A53,'Données projet'!$A$191:$I$211,3,0)),0,VLOOKUP(A53,'Données projet'!$A$191:$I$211,3,0))</f>
        <v>4</v>
      </c>
      <c r="ER53" s="15">
        <f>IF(ISNA(VLOOKUP(A53,'Données projet'!$A$191:$I$211,4,0)),0,VLOOKUP(A53,'Données projet'!$A$191:$I$211,4,0))</f>
        <v>33</v>
      </c>
      <c r="ES53" s="16">
        <f>IF(ISNA(VLOOKUP(A53,'Données projet'!$A$191:$I$211,5,0)),0%,VLOOKUP(A53,'Données projet'!$A$191:$I$211,5,0)*VLOOKUP('Données projet'!$B$15,Paramètres!$A$1:$I$89,7,0))</f>
        <v>0.129</v>
      </c>
      <c r="ET53" s="16">
        <f>IF(ISNA(VLOOKUP(A53,'Données projet'!$A$191:$I$211,6,0)),0%,VLOOKUP(A53,'Données projet'!$A$191:$I$211,6,0)*VLOOKUP('Données projet'!$B$15,Paramètres!$A$1:$I$89,7,0))</f>
        <v>8.6000000000000007E-2</v>
      </c>
      <c r="EU53" s="16">
        <f>IF(ISNA(VLOOKUP(A53,'Données projet'!$A$191:$I$211,7,0)),0%,VLOOKUP(A53,'Données projet'!$A$191:$I$211,7,0))</f>
        <v>0.3</v>
      </c>
      <c r="EV53" s="21">
        <f>EXP(-LN(2)/35)*EV52+(1-EXP(-LN(2)/35))/(LN(2)/35)*ER53*ES53*VLOOKUP('Données projet'!$B$15,Paramètres!$A$1:$I$89,3,0)*0.475*44/12</f>
        <v>6.7682892920207287</v>
      </c>
      <c r="EW53" s="21">
        <f>EXP(-LN(2)/25)*EW52+(1-EXP(-LN(2)/25))/(LN(2)/25)*Calculateur!ER53*Calculateur!ET53*VLOOKUP('Données projet'!$B$15,Paramètres!$A$1:$I$89,3,0)*0.475*44/12</f>
        <v>6.3976324778787745</v>
      </c>
      <c r="EX53" s="21">
        <f>EXP(-LN(2)/2)*EX52+(1-EXP(-LN(2)/2))/(LN(2)/2)*ER53*EU53*VLOOKUP('Données projet'!$B$15,Paramètres!$A$1:$I$89,3,0)*0.475*44/12</f>
        <v>8.4615965465268541</v>
      </c>
      <c r="EY53" s="22">
        <f t="shared" si="21"/>
        <v>21.627518316426357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303</v>
      </c>
      <c r="FC53" s="12">
        <f>VLOOKUP(A53,'Données projet'!$A$217:$I$237,9,0)</f>
        <v>9.8000000000000007</v>
      </c>
      <c r="FD53" s="12">
        <f t="array" ref="FD53">INDEX(FC:FC,MIN(IF(ISNUMBER(FC53:FC249),ROW(FC53:FC249),"")))</f>
        <v>9.8000000000000007</v>
      </c>
      <c r="FE53" s="12">
        <f>IF('Données projet'!$A$218&gt;35,FE52+FD53-FM52,IF(A53&lt;'Données projet'!$A$218,$FB$205^A53,IF(A53='Données projet'!$A$218,'Données projet'!$B$218,FE52+FD53-FM52)))</f>
        <v>302.99999999999994</v>
      </c>
      <c r="FF53" s="17">
        <f>FE53*VLOOKUP('Données projet'!$B$16,Paramètres!$A$1:$I$89,3,0)*VLOOKUP('Données projet'!$B$16,Paramètres!$A$1:$I$89,5,0)</f>
        <v>236.33999999999997</v>
      </c>
      <c r="FG53" s="13">
        <f t="shared" si="47"/>
        <v>57.651360738051551</v>
      </c>
      <c r="FH53" s="20">
        <f t="shared" si="22"/>
        <v>512.03495328543977</v>
      </c>
      <c r="FI53" s="59">
        <f t="shared" si="23"/>
        <v>805.36828661877303</v>
      </c>
      <c r="FJ53" s="59">
        <f ca="1">AVERAGE(OFFSET($FI$3,0,0,'Données projet'!$E$16+1,1))-AVERAGE(OFFSET($H$3,0,0,'Données projet'!$E$16+1,1))</f>
        <v>318.52984981739411</v>
      </c>
      <c r="FK53" s="59">
        <f t="shared" si="48"/>
        <v>311.56398336941714</v>
      </c>
      <c r="FL53" s="15">
        <f>IF(ISNA(VLOOKUP(A53,'Données projet'!$A$217:$I$237,3,0)),0,VLOOKUP(A53,'Données projet'!$A$217:$I$237,3,0))</f>
        <v>9</v>
      </c>
      <c r="FM53" s="15">
        <f>IF(ISNA(VLOOKUP(A53,'Données projet'!$A$217:$I$237,4,0)),0,VLOOKUP(A53,'Données projet'!$A$217:$I$237,4,0))</f>
        <v>21</v>
      </c>
      <c r="FN53" s="16">
        <f>IF(ISNA(VLOOKUP(A53,'Données projet'!$A$217:$I$237,5,0)),0%,VLOOKUP(A53,'Données projet'!$A$217:$I$237,5,0)*VLOOKUP('Données projet'!$B$16,Paramètres!$A$1:$I$89,7,0))</f>
        <v>0.215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0.3</v>
      </c>
      <c r="FQ53" s="21">
        <f>EXP(-LN(2)/35)*FQ52+(1-EXP(-LN(2)/35))/(LN(2)/35)*FM53*FN53*VLOOKUP('Données projet'!$B$16,Paramètres!$A$1:$I$89,3,0)*0.475*44/12</f>
        <v>7.7291655684612177</v>
      </c>
      <c r="FR53" s="21">
        <f>EXP(-LN(2)/25)*FR52+(1-EXP(-LN(2)/25))/(LN(2)/25)*Calculateur!FM53*Calculateur!FO53*VLOOKUP('Données projet'!$B$16,Paramètres!$A$1:$I$89,3,0)*0.475*44/12</f>
        <v>9.2201289945978644</v>
      </c>
      <c r="FS53" s="21">
        <f>EXP(-LN(2)/2)*FS52+(1-EXP(-LN(2)/2))/(LN(2)/2)*FM53*FP53*VLOOKUP('Données projet'!$B$16,Paramètres!$A$1:$I$89,3,0)*0.475*44/12</f>
        <v>5.9955469269566075</v>
      </c>
      <c r="FT53" s="22">
        <f t="shared" si="24"/>
        <v>22.944841490015691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303</v>
      </c>
      <c r="FX53" s="12">
        <f>VLOOKUP(A53,'Données projet'!$A$243:$I$263,9,0)</f>
        <v>9.8000000000000007</v>
      </c>
      <c r="FY53" s="12">
        <f t="array" ref="FY53">INDEX(FX:FX,MIN(IF(ISNUMBER(FX53:FX249),ROW(FX53:FX249),"")))</f>
        <v>9.8000000000000007</v>
      </c>
      <c r="FZ53" s="12">
        <f>IF('Données projet'!$A$244&gt;35,FZ52+FY53-GH52,IF(A53&lt;'Données projet'!$A$244,$FW$205^A53,IF(A53='Données projet'!$A$244,'Données projet'!$B$244,FZ52+FY53-GH52)))</f>
        <v>302.99999999999994</v>
      </c>
      <c r="GA53" s="17">
        <f>FZ53*VLOOKUP('Données projet'!$B$17,Paramètres!$A$1:$I$89,3,0)*VLOOKUP('Données projet'!$B$17,Paramètres!$A$1:$I$89,5,0)</f>
        <v>241.06679999999997</v>
      </c>
      <c r="GB53" s="13">
        <f t="shared" si="49"/>
        <v>58.668998418543559</v>
      </c>
      <c r="GC53" s="20">
        <f t="shared" si="25"/>
        <v>522.03984891229663</v>
      </c>
      <c r="GD53" s="59">
        <f t="shared" si="26"/>
        <v>815.37318224563001</v>
      </c>
      <c r="GE53" s="59">
        <f ca="1">AVERAGE(OFFSET($GD$3,0,0,'Données projet'!$E$17+1,1))-AVERAGE(OFFSET($H$3,0,0,'Données projet'!$E$17+1,1))</f>
        <v>325.72928944930294</v>
      </c>
      <c r="GF53" s="59">
        <f t="shared" si="50"/>
        <v>318.38876834819752</v>
      </c>
      <c r="GG53" s="15">
        <f>IF(ISNA(VLOOKUP(A53,'Données projet'!$A$243:$I$263,3,0)),0,VLOOKUP(A53,'Données projet'!$A$243:$I$263,3,0))</f>
        <v>9</v>
      </c>
      <c r="GH53" s="15">
        <f>IF(ISNA(VLOOKUP(A53,'Données projet'!$A$243:$I$263,4,0)),0,VLOOKUP(A53,'Données projet'!$A$243:$I$263,4,0))</f>
        <v>21</v>
      </c>
      <c r="GI53" s="16">
        <f>IF(ISNA(VLOOKUP(A53,'Données projet'!$A$243:$I$263,5,0)),0%,VLOOKUP(A53,'Données projet'!$A$243:$I$263,5,0)*VLOOKUP('Données projet'!$B$17,Paramètres!$A$1:$I$89,7,0))</f>
        <v>0.26500000000000001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0.3</v>
      </c>
      <c r="GL53" s="21">
        <f>EXP(-LN(2)/35)*GL52+(1-EXP(-LN(2)/35))/(LN(2)/35)*GH53*GI53*VLOOKUP('Données projet'!$B$17,Paramètres!$A$1:$I$89,3,0)*0.475*44/12</f>
        <v>9.7171788518840359</v>
      </c>
      <c r="GM53" s="21">
        <f>EXP(-LN(2)/25)*GM52+(1-EXP(-LN(2)/25))/(LN(2)/25)*Calculateur!GH53*Calculateur!GJ53*VLOOKUP('Données projet'!$B$17,Paramètres!$A$1:$I$89,3,0)*0.475*44/12</f>
        <v>11.591631940650243</v>
      </c>
      <c r="GN53" s="21">
        <f>EXP(-LN(2)/2)*GN52+(1-EXP(-LN(2)/2))/(LN(2)/2)*GH53*GK53*VLOOKUP('Données projet'!$B$17,Paramètres!$A$1:$I$89,3,0)*0.475*44/12</f>
        <v>6.115457865495741</v>
      </c>
      <c r="GO53" s="21">
        <f t="shared" si="27"/>
        <v>27.424268658030023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303</v>
      </c>
      <c r="GS53" s="12">
        <f>VLOOKUP(A53,'Données projet'!$A$269:$I$289,9,0)</f>
        <v>9.8000000000000007</v>
      </c>
      <c r="GT53" s="12">
        <f t="array" ref="GT53">INDEX(GS:GS,MIN(IF(ISNUMBER(GS53:GS249),ROW(GS53:GS249),"")))</f>
        <v>9.8000000000000007</v>
      </c>
      <c r="GU53" s="12">
        <f>IF('Données projet'!$A$270&gt;35,GU52+GT53-HC52,IF(A53&lt;'Données projet'!$A$270,$GR$205^A53,IF(A53='Données projet'!$A$270,'Données projet'!$B$270,GU52+GT53-HC52)))</f>
        <v>302.99999999999994</v>
      </c>
      <c r="GV53" s="17">
        <f>GU53*VLOOKUP('Données projet'!$B$18,Paramètres!$A$1:$I$89,3,0)*VLOOKUP('Données projet'!$B$18,Paramètres!$A$1:$I$89,5,0)</f>
        <v>203.25239999999994</v>
      </c>
      <c r="GW53" s="13">
        <f t="shared" si="51"/>
        <v>50.458274362577384</v>
      </c>
      <c r="GX53" s="20">
        <f t="shared" si="28"/>
        <v>441.87942451482218</v>
      </c>
      <c r="GY53" s="59">
        <f t="shared" si="29"/>
        <v>735.21275784815543</v>
      </c>
      <c r="GZ53" s="59">
        <f ca="1">AVERAGE(OFFSET($GY$3,0,0,'Données projet'!$E$18+1,1))-AVERAGE(OFFSET($H$3,0,0,'Données projet'!$E$18+1,1))</f>
        <v>268.04554291387961</v>
      </c>
      <c r="HA53" s="59">
        <f t="shared" si="52"/>
        <v>263.70463099437148</v>
      </c>
      <c r="HB53" s="15">
        <f>IF(ISNA(VLOOKUP(A53,'Données projet'!$A$269:$I$289,3,0)),0,VLOOKUP(A53,'Données projet'!$A$269:$I$289,3,0))</f>
        <v>9</v>
      </c>
      <c r="HC53" s="15">
        <f>IF(ISNA(VLOOKUP(A53,'Données projet'!$A$269:$I$289,4,0)),0,VLOOKUP(A53,'Données projet'!$A$269:$I$289,4,0))</f>
        <v>21</v>
      </c>
      <c r="HD53" s="16">
        <f>IF(ISNA(VLOOKUP(A53,'Données projet'!$A$269:$I$289,5,0)),0%,VLOOKUP(A53,'Données projet'!$A$269:$I$289,5,0)*VLOOKUP('Données projet'!$B$18,Paramètres!$A$1:$I$89,7,0))</f>
        <v>0.26500000000000001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0.3</v>
      </c>
      <c r="HG53" s="21">
        <f>EXP(-LN(2)/35)*HG52+(1-EXP(-LN(2)/35))/(LN(2)/35)*HC53*HD53*VLOOKUP('Données projet'!$B$18,Paramètres!$A$1:$I$89,3,0)*0.475*44/12</f>
        <v>8.1929155025688924</v>
      </c>
      <c r="HH53" s="21">
        <f>EXP(-LN(2)/25)*HH52+(1-EXP(-LN(2)/25))/(LN(2)/25)*Calculateur!HC53*Calculateur!HE53*VLOOKUP('Données projet'!$B$18,Paramètres!$A$1:$I$89,3,0)*0.475*44/12</f>
        <v>9.7733367342737356</v>
      </c>
      <c r="HI53" s="21">
        <f>EXP(-LN(2)/2)*HI52+(1-EXP(-LN(2)/2))/(LN(2)/2)*HC53*HF53*VLOOKUP('Données projet'!$B$18,Paramètres!$A$1:$I$89,3,0)*0.475*44/12</f>
        <v>5.156170357182682</v>
      </c>
      <c r="HJ53" s="22">
        <f t="shared" si="30"/>
        <v>23.122422594025309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</v>
      </c>
      <c r="N54" s="13">
        <f>IF('Données projet'!$A$36&gt;35,N53+M54-V53,IF(A54&lt;'Données projet'!$A$36,$K$205^A54,IF(A54='Données projet'!$A$36,'Données projet'!$B$36,N53+M54-V53)))</f>
        <v>128</v>
      </c>
      <c r="O54" s="13">
        <f>N54*VLOOKUP('Données projet'!$B$9,Paramètres!$A$1:$I$89,3,0)*VLOOKUP('Données projet'!$B$9,Paramètres!$A$1:$I$89,5,0)</f>
        <v>56.576000000000008</v>
      </c>
      <c r="P54" s="13">
        <f t="shared" si="33"/>
        <v>16.299636199174788</v>
      </c>
      <c r="Q54" s="20">
        <f t="shared" si="53"/>
        <v>126.92506638022944</v>
      </c>
      <c r="R54" s="59">
        <f t="shared" si="0"/>
        <v>420.25839971356277</v>
      </c>
      <c r="S54" s="59">
        <f ca="1">AVERAGE(OFFSET($R$3,0,0,'Données projet'!$E$9+1,1))-AVERAGE(OFFSET($H$3,0,0,'Données projet'!$E$9+1,1))</f>
        <v>46.095319339746538</v>
      </c>
      <c r="T54" s="59">
        <f t="shared" si="34"/>
        <v>48.158174304064403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2.7420044028837127</v>
      </c>
      <c r="AA54" s="21">
        <f>EXP(-LN(2)/25)*AA53+(1-EXP(-LN(2)/25))/(LN(2)/25)*Calculateur!V54*Calculateur!X54*VLOOKUP('Données projet'!$B$9,Paramètres!$A$1:$I$89,3,0)*0.475*44/12</f>
        <v>10.622614241492267</v>
      </c>
      <c r="AB54" s="21">
        <f>EXP(-LN(2)/2)*AB53+(1-EXP(-LN(2)/2))/(LN(2)/2)*V54*Y54*VLOOKUP('Données projet'!$B$9,Paramètres!$A$1:$I$89,3,0)*0.475*44/12</f>
        <v>7.606228977178076</v>
      </c>
      <c r="AC54" s="22">
        <f t="shared" si="3"/>
        <v>20.970847621554057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11.75</v>
      </c>
      <c r="AI54" s="13">
        <f>IF('Données projet'!$A$62&gt;35,AI53+AH54-AQ53,IF(A54&lt;'Données projet'!$A$62,$AF$205^A54,IF(A54='Données projet'!$A$62,'Données projet'!$B$62,AI53+AH54-AQ53)))</f>
        <v>625.74999999999989</v>
      </c>
      <c r="AJ54" s="13">
        <f>AI54*VLOOKUP('Données projet'!$B$10,Paramètres!$A$1:$I$89,3,0)*VLOOKUP('Données projet'!$B$10,Paramètres!$A$1:$I$89,5,0)</f>
        <v>374.19849999999997</v>
      </c>
      <c r="AK54" s="13">
        <f t="shared" si="35"/>
        <v>86.52568166258466</v>
      </c>
      <c r="AL54" s="20">
        <f t="shared" si="4"/>
        <v>802.4279497290014</v>
      </c>
      <c r="AM54" s="59">
        <f t="shared" si="5"/>
        <v>1095.7612830623348</v>
      </c>
      <c r="AN54" s="59">
        <f ca="1">AVERAGE(OFFSET($AM$3,0,0,'Données projet'!$E$10+1,1))-AVERAGE(OFFSET($H$3,0,0,'Données projet'!$E$10+1,1))</f>
        <v>408.84545509668794</v>
      </c>
      <c r="AO54" s="59">
        <f t="shared" si="36"/>
        <v>409.9253979841132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7.5474990491052818</v>
      </c>
      <c r="AV54" s="21">
        <f>EXP(-LN(2)/25)*AV53+(1-EXP(-LN(2)/25))/(LN(2)/25)*Calculateur!AQ54*Calculateur!AS54*VLOOKUP('Données projet'!$B$10,Paramètres!$A$1:$I$89,3,0)*0.475*44/12</f>
        <v>26.11452914671316</v>
      </c>
      <c r="AW54" s="21">
        <f>EXP(-LN(2)/2)*AW53+(1-EXP(-LN(2)/2))/(LN(2)/2)*AQ54*AT54*VLOOKUP('Données projet'!$B$10,Paramètres!$A$1:$I$89,3,0)*0.475*44/12</f>
        <v>1.5424305802453719</v>
      </c>
      <c r="AX54" s="21">
        <f t="shared" si="6"/>
        <v>35.204458776063817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19.2</v>
      </c>
      <c r="BD54" s="12">
        <f>IF('Données projet'!$A$88&gt;35,BD53+BC54-BL53,IF(A54&lt;'Données projet'!$A$88,$BA$205^A54,IF(A54='Données projet'!$A$88,'Données projet'!$B$88,BD53+BC54-BL53)))</f>
        <v>386.20000000000005</v>
      </c>
      <c r="BE54" s="13">
        <f>BD54*VLOOKUP('Données projet'!$B$11,Paramètres!$A$1:$I$89,3,0)*VLOOKUP('Données projet'!$B$11,Paramètres!$A$1:$I$89,5,0)</f>
        <v>230.94760000000002</v>
      </c>
      <c r="BF54" s="13">
        <f t="shared" si="37"/>
        <v>56.487525751065782</v>
      </c>
      <c r="BG54" s="20">
        <f t="shared" si="7"/>
        <v>500.61617734977295</v>
      </c>
      <c r="BH54" s="59">
        <f t="shared" si="8"/>
        <v>793.94951068310627</v>
      </c>
      <c r="BI54" s="59">
        <f ca="1">AVERAGE(OFFSET($BH$3,0,0,'Données projet'!$E$11+1,1))-AVERAGE(OFFSET($H$3,0,0,'Données projet'!$E$11+1,1))</f>
        <v>279.69031306919914</v>
      </c>
      <c r="BJ54" s="59">
        <f t="shared" si="38"/>
        <v>297.01680128882509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8.5483089656749218</v>
      </c>
      <c r="BQ54" s="21">
        <f>EXP(-LN(2)/25)*BQ53+(1-EXP(-LN(2)/25))/(LN(2)/25)*Calculateur!BL54*Calculateur!BN54*VLOOKUP('Données projet'!$B$11,Paramètres!$A$1:$I$89,3,0)*0.475*44/12</f>
        <v>40.806953225012791</v>
      </c>
      <c r="BR54" s="21">
        <f>EXP(-LN(2)/2)*BR53+(1-EXP(-LN(2)/2))/(LN(2)/2)*BL54*BO54*VLOOKUP('Données projet'!$B$11,Paramètres!$A$1:$I$89,3,0)*0.475*44/12</f>
        <v>9.0339182704042802</v>
      </c>
      <c r="BS54" s="22">
        <f t="shared" si="9"/>
        <v>58.389180461091989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4.125</v>
      </c>
      <c r="BY54" s="12">
        <f>IF('Données projet'!$A$114&gt;35,BY53+BX54-CG53,IF(A54&lt;'Données projet'!$A$114,$BV$205^A54,IF(A54='Données projet'!$A$114,'Données projet'!$B$114,BY53+BX54-CG53)))</f>
        <v>155.625</v>
      </c>
      <c r="BZ54" s="13">
        <f>BY54*VLOOKUP('Données projet'!$B$12,Paramètres!$A$1:$I$89,3,0)*VLOOKUP('Données projet'!$B$12,Paramètres!$A$1:$I$89,5,0)</f>
        <v>93.063750000000013</v>
      </c>
      <c r="CA54" s="13">
        <f t="shared" si="39"/>
        <v>25.302682004470324</v>
      </c>
      <c r="CB54" s="20">
        <f t="shared" si="10"/>
        <v>206.15486907445248</v>
      </c>
      <c r="CC54" s="59">
        <f t="shared" si="11"/>
        <v>499.48820240778582</v>
      </c>
      <c r="CD54" s="59">
        <f ca="1">AVERAGE(OFFSET($CC$3,0,0,'Données projet'!$E$12+1,1))-AVERAGE(OFFSET($H$3,0,0,'Données projet'!$E$12+1,1))</f>
        <v>81.299024916151723</v>
      </c>
      <c r="CE54" s="59">
        <f t="shared" si="40"/>
        <v>88.106373324240167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4.4382735340577257</v>
      </c>
      <c r="CL54" s="21">
        <f>EXP(-LN(2)/25)*CL53+(1-EXP(-LN(2)/25))/(LN(2)/25)*Calculateur!CG54*Calculateur!CI54*VLOOKUP('Données projet'!$B$12,Paramètres!$A$1:$I$89,3,0)*0.475*44/12</f>
        <v>10.435070460210726</v>
      </c>
      <c r="CM54" s="21">
        <f>EXP(-LN(2)/2)*CM53+(1-EXP(-LN(2)/2))/(LN(2)/2)*CG54*CJ54*VLOOKUP('Données projet'!$B$12,Paramètres!$A$1:$I$89,3,0)*0.475*44/12</f>
        <v>0.84011673348300464</v>
      </c>
      <c r="CN54" s="22">
        <f t="shared" si="12"/>
        <v>15.713460727751457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15.4</v>
      </c>
      <c r="CT54" s="12">
        <f>IF('Données projet'!$A$140&gt;35,CT53+CS54-DB53,IF(A54&lt;'Données projet'!$A$140,$CQ$205^A54,IF(A54='Données projet'!$A$140,'Données projet'!$B$140,CT53+CS54-DB53)))</f>
        <v>677.39999999999952</v>
      </c>
      <c r="CU54" s="17">
        <f>CT54*VLOOKUP('Données projet'!$B$13,Paramètres!$A$1:$I$89,3,0)*VLOOKUP('Données projet'!$B$13,Paramètres!$A$1:$I$89,5,0)</f>
        <v>378.66659999999979</v>
      </c>
      <c r="CV54" s="13">
        <f t="shared" si="41"/>
        <v>87.437946637883755</v>
      </c>
      <c r="CW54" s="20">
        <f t="shared" si="13"/>
        <v>811.79875206098052</v>
      </c>
      <c r="CX54" s="59">
        <f t="shared" si="14"/>
        <v>1105.1320853943139</v>
      </c>
      <c r="CY54" s="59">
        <f ca="1">AVERAGE(OFFSET($CX$3,0,0,'Données projet'!$E$13+1,1))-AVERAGE(OFFSET($H$3,0,0,'Données projet'!$E$13+1,1))</f>
        <v>475.42482703895411</v>
      </c>
      <c r="CZ54" s="59">
        <f t="shared" si="42"/>
        <v>593.51433014569966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54.809704594281264</v>
      </c>
      <c r="DG54" s="21">
        <f>EXP(-LN(2)/25)*DG53+(1-EXP(-LN(2)/25))/(LN(2)/25)*Calculateur!DB54*Calculateur!DD54*VLOOKUP('Données projet'!$B$13,Paramètres!$A$1:$I$89,3,0)*0.475*44/12</f>
        <v>41.571208554581894</v>
      </c>
      <c r="DH54" s="21">
        <f>EXP(-LN(2)/2)*DH53+(1-EXP(-LN(2)/2))/(LN(2)/2)*DB54*DE54*VLOOKUP('Données projet'!$B$13,Paramètres!$A$1:$I$89,3,0)*0.475*44/12</f>
        <v>6.8487751756025173</v>
      </c>
      <c r="DI54" s="22">
        <f t="shared" si="15"/>
        <v>103.22968832446567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11.25</v>
      </c>
      <c r="DO54" s="12">
        <f>IF('Données projet'!$A$166&gt;35,DO53+DN54-DW53,IF(A54&lt;'Données projet'!$A$166,$DL$205^A54,IF(A54='Données projet'!$A$166,'Données projet'!$B$166,DO53+DN54-DW53)))</f>
        <v>220.75</v>
      </c>
      <c r="DP54" s="17">
        <f>DO54*VLOOKUP('Données projet'!$B$14,Paramètres!$A$1:$I$89,3,0)*VLOOKUP('Données projet'!$B$14,Paramètres!$A$1:$I$89,5,0)</f>
        <v>199.7346</v>
      </c>
      <c r="DQ54" s="13">
        <f t="shared" si="43"/>
        <v>49.685836331348902</v>
      </c>
      <c r="DR54" s="20">
        <f t="shared" si="16"/>
        <v>434.40725994376595</v>
      </c>
      <c r="DS54" s="59">
        <f t="shared" si="17"/>
        <v>727.74059327709926</v>
      </c>
      <c r="DT54" s="59">
        <f ca="1">AVERAGE(OFFSET($DS$3,0,0,'Données projet'!$E$14+1,1))-AVERAGE(OFFSET($H$3,0,0,'Données projet'!$E$14+1,1))</f>
        <v>401.17301323870578</v>
      </c>
      <c r="DU54" s="59">
        <f t="shared" si="44"/>
        <v>201.57993789149754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8.1151067473346838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8.1151067473346838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4.4000000000000004</v>
      </c>
      <c r="EJ54" s="12">
        <f>IF('Données projet'!$A$192&gt;35,EJ53+EI54-ER53,IF(A54&lt;'Données projet'!$A$192,$EG$205^A54,IF(A54='Données projet'!$A$192,'Données projet'!$B$192,EJ53+EI54-ER53)))</f>
        <v>202.4</v>
      </c>
      <c r="EK54" s="17">
        <f>EJ54*VLOOKUP('Données projet'!$B$15,Paramètres!$A$1:$I$89,3,0)*VLOOKUP('Données projet'!$B$15,Paramètres!$A$1:$I$89,5,0)</f>
        <v>176.81664000000001</v>
      </c>
      <c r="EL54" s="13">
        <f t="shared" si="45"/>
        <v>44.613213392736419</v>
      </c>
      <c r="EM54" s="20">
        <f t="shared" si="19"/>
        <v>385.65699465901594</v>
      </c>
      <c r="EN54" s="59">
        <f t="shared" si="20"/>
        <v>678.99032799234919</v>
      </c>
      <c r="EO54" s="59">
        <f ca="1">AVERAGE(OFFSET($EN$3,0,0,'Données projet'!$E$15+1,1))-AVERAGE(OFFSET($H$3,0,0,'Données projet'!$E$15+1,1))</f>
        <v>237.8483058552178</v>
      </c>
      <c r="EP54" s="59">
        <f t="shared" si="46"/>
        <v>313.36201272119723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6.6355672672530392</v>
      </c>
      <c r="EW54" s="21">
        <f>EXP(-LN(2)/25)*EW53+(1-EXP(-LN(2)/25))/(LN(2)/25)*Calculateur!ER54*Calculateur!ET54*VLOOKUP('Données projet'!$B$15,Paramètres!$A$1:$I$89,3,0)*0.475*44/12</f>
        <v>6.2226888813343093</v>
      </c>
      <c r="EX54" s="21">
        <f>EXP(-LN(2)/2)*EX53+(1-EXP(-LN(2)/2))/(LN(2)/2)*ER54*EU54*VLOOKUP('Données projet'!$B$15,Paramètres!$A$1:$I$89,3,0)*0.475*44/12</f>
        <v>5.9832522977138112</v>
      </c>
      <c r="EY54" s="22">
        <f t="shared" si="21"/>
        <v>18.841508446301159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8.4</v>
      </c>
      <c r="FE54" s="12">
        <f>IF('Données projet'!$A$218&gt;35,FE53+FD54-FM53,IF(A54&lt;'Données projet'!$A$218,$FB$205^A54,IF(A54='Données projet'!$A$218,'Données projet'!$B$218,FE53+FD54-FM53)))</f>
        <v>290.39999999999992</v>
      </c>
      <c r="FF54" s="17">
        <f>FE54*VLOOKUP('Données projet'!$B$16,Paramètres!$A$1:$I$89,3,0)*VLOOKUP('Données projet'!$B$16,Paramètres!$A$1:$I$89,5,0)</f>
        <v>226.51199999999994</v>
      </c>
      <c r="FG54" s="13">
        <f t="shared" si="47"/>
        <v>55.527824937247544</v>
      </c>
      <c r="FH54" s="20">
        <f t="shared" si="22"/>
        <v>491.21936176570603</v>
      </c>
      <c r="FI54" s="59">
        <f t="shared" si="23"/>
        <v>784.55269509903928</v>
      </c>
      <c r="FJ54" s="59">
        <f ca="1">AVERAGE(OFFSET($FI$3,0,0,'Données projet'!$E$16+1,1))-AVERAGE(OFFSET($H$3,0,0,'Données projet'!$E$16+1,1))</f>
        <v>318.52984981739411</v>
      </c>
      <c r="FK54" s="59">
        <f t="shared" si="48"/>
        <v>311.56398336941714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7.5776013459891889</v>
      </c>
      <c r="FR54" s="21">
        <f>EXP(-LN(2)/25)*FR53+(1-EXP(-LN(2)/25))/(LN(2)/25)*Calculateur!FM54*Calculateur!FO54*VLOOKUP('Données projet'!$B$16,Paramètres!$A$1:$I$89,3,0)*0.475*44/12</f>
        <v>8.9680040823750744</v>
      </c>
      <c r="FS54" s="21">
        <f>EXP(-LN(2)/2)*FS53+(1-EXP(-LN(2)/2))/(LN(2)/2)*FM54*FP54*VLOOKUP('Données projet'!$B$16,Paramètres!$A$1:$I$89,3,0)*0.475*44/12</f>
        <v>4.2394918889731832</v>
      </c>
      <c r="FT54" s="22">
        <f t="shared" si="24"/>
        <v>20.785097317337446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8.4</v>
      </c>
      <c r="FZ54" s="12">
        <f>IF('Données projet'!$A$244&gt;35,FZ53+FY54-GH53,IF(A54&lt;'Données projet'!$A$244,$FW$205^A54,IF(A54='Données projet'!$A$244,'Données projet'!$B$244,FZ53+FY54-GH53)))</f>
        <v>290.39999999999992</v>
      </c>
      <c r="GA54" s="17">
        <f>FZ54*VLOOKUP('Données projet'!$B$17,Paramètres!$A$1:$I$89,3,0)*VLOOKUP('Données projet'!$B$17,Paramètres!$A$1:$I$89,5,0)</f>
        <v>231.04223999999994</v>
      </c>
      <c r="GB54" s="13">
        <f t="shared" si="49"/>
        <v>56.507978852931409</v>
      </c>
      <c r="GC54" s="20">
        <f t="shared" si="25"/>
        <v>500.81663116885539</v>
      </c>
      <c r="GD54" s="59">
        <f t="shared" si="26"/>
        <v>794.14996450218871</v>
      </c>
      <c r="GE54" s="59">
        <f ca="1">AVERAGE(OFFSET($GD$3,0,0,'Données projet'!$E$17+1,1))-AVERAGE(OFFSET($H$3,0,0,'Données projet'!$E$17+1,1))</f>
        <v>325.72928944930294</v>
      </c>
      <c r="GF54" s="59">
        <f t="shared" si="50"/>
        <v>318.38876834819752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9.5266309014924566</v>
      </c>
      <c r="GM54" s="21">
        <f>EXP(-LN(2)/25)*GM53+(1-EXP(-LN(2)/25))/(LN(2)/25)*Calculateur!GH54*Calculateur!GJ54*VLOOKUP('Données projet'!$B$17,Paramètres!$A$1:$I$89,3,0)*0.475*44/12</f>
        <v>11.274658155655732</v>
      </c>
      <c r="GN54" s="21">
        <f>EXP(-LN(2)/2)*GN53+(1-EXP(-LN(2)/2))/(LN(2)/2)*GH54*GK54*VLOOKUP('Données projet'!$B$17,Paramètres!$A$1:$I$89,3,0)*0.475*44/12</f>
        <v>4.3242817267526483</v>
      </c>
      <c r="GO54" s="21">
        <f t="shared" si="27"/>
        <v>25.125570783900837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8.4</v>
      </c>
      <c r="GU54" s="12">
        <f>IF('Données projet'!$A$270&gt;35,GU53+GT54-HC53,IF(A54&lt;'Données projet'!$A$270,$GR$205^A54,IF(A54='Données projet'!$A$270,'Données projet'!$B$270,GU53+GT54-HC53)))</f>
        <v>290.39999999999992</v>
      </c>
      <c r="GV54" s="17">
        <f>GU54*VLOOKUP('Données projet'!$B$18,Paramètres!$A$1:$I$89,3,0)*VLOOKUP('Données projet'!$B$18,Paramètres!$A$1:$I$89,5,0)</f>
        <v>194.80031999999994</v>
      </c>
      <c r="GW54" s="13">
        <f t="shared" si="51"/>
        <v>48.599689401459429</v>
      </c>
      <c r="GX54" s="20">
        <f t="shared" si="28"/>
        <v>423.92168304087505</v>
      </c>
      <c r="GY54" s="59">
        <f t="shared" si="29"/>
        <v>717.25501637420837</v>
      </c>
      <c r="GZ54" s="59">
        <f ca="1">AVERAGE(OFFSET($GY$3,0,0,'Données projet'!$E$18+1,1))-AVERAGE(OFFSET($H$3,0,0,'Données projet'!$E$18+1,1))</f>
        <v>268.04554291387961</v>
      </c>
      <c r="HA54" s="59">
        <f t="shared" si="52"/>
        <v>263.70463099437148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8.0322574267485418</v>
      </c>
      <c r="HH54" s="21">
        <f>EXP(-LN(2)/25)*HH53+(1-EXP(-LN(2)/25))/(LN(2)/25)*Calculateur!HC54*Calculateur!HE54*VLOOKUP('Données projet'!$B$18,Paramètres!$A$1:$I$89,3,0)*0.475*44/12</f>
        <v>9.5060843273175788</v>
      </c>
      <c r="HI54" s="21">
        <f>EXP(-LN(2)/2)*HI53+(1-EXP(-LN(2)/2))/(LN(2)/2)*HC54*HF54*VLOOKUP('Données projet'!$B$18,Paramètres!$A$1:$I$89,3,0)*0.475*44/12</f>
        <v>3.6459630245169374</v>
      </c>
      <c r="HJ54" s="22">
        <f t="shared" si="30"/>
        <v>21.184304778583058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</v>
      </c>
      <c r="N55" s="13">
        <f>IF('Données projet'!$A$36&gt;35,N54+M55-V54,IF(A55&lt;'Données projet'!$A$36,$K$205^A55,IF(A55='Données projet'!$A$36,'Données projet'!$B$36,N54+M55-V54)))</f>
        <v>138</v>
      </c>
      <c r="O55" s="13">
        <f>N55*VLOOKUP('Données projet'!$B$9,Paramètres!$A$1:$I$89,3,0)*VLOOKUP('Données projet'!$B$9,Paramètres!$A$1:$I$89,5,0)</f>
        <v>60.996000000000002</v>
      </c>
      <c r="P55" s="13">
        <f t="shared" si="33"/>
        <v>17.419847263429808</v>
      </c>
      <c r="Q55" s="20">
        <f t="shared" si="53"/>
        <v>136.57426731714023</v>
      </c>
      <c r="R55" s="59">
        <f t="shared" si="0"/>
        <v>429.90760065047357</v>
      </c>
      <c r="S55" s="59">
        <f ca="1">AVERAGE(OFFSET($R$3,0,0,'Données projet'!$E$9+1,1))-AVERAGE(OFFSET($H$3,0,0,'Données projet'!$E$9+1,1))</f>
        <v>46.095319339746538</v>
      </c>
      <c r="T55" s="59">
        <f t="shared" si="34"/>
        <v>48.158174304064403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2.6882353690007075</v>
      </c>
      <c r="AA55" s="21">
        <f>EXP(-LN(2)/25)*AA54+(1-EXP(-LN(2)/25))/(LN(2)/25)*Calculateur!V55*Calculateur!X55*VLOOKUP('Données projet'!$B$9,Paramètres!$A$1:$I$89,3,0)*0.475*44/12</f>
        <v>10.332138296439656</v>
      </c>
      <c r="AB55" s="21">
        <f>EXP(-LN(2)/2)*AB54+(1-EXP(-LN(2)/2))/(LN(2)/2)*V55*Y55*VLOOKUP('Données projet'!$B$9,Paramètres!$A$1:$I$89,3,0)*0.475*44/12</f>
        <v>5.3784160890202353</v>
      </c>
      <c r="AC55" s="22">
        <f t="shared" si="3"/>
        <v>18.398789754460598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11.75</v>
      </c>
      <c r="AI55" s="13">
        <f>IF('Données projet'!$A$62&gt;35,AI54+AH55-AQ54,IF(A55&lt;'Données projet'!$A$62,$AF$205^A55,IF(A55='Données projet'!$A$62,'Données projet'!$B$62,AI54+AH55-AQ54)))</f>
        <v>637.49999999999989</v>
      </c>
      <c r="AJ55" s="13">
        <f>AI55*VLOOKUP('Données projet'!$B$10,Paramètres!$A$1:$I$89,3,0)*VLOOKUP('Données projet'!$B$10,Paramètres!$A$1:$I$89,5,0)</f>
        <v>381.22499999999997</v>
      </c>
      <c r="AK55" s="13">
        <f t="shared" si="35"/>
        <v>87.959737807603432</v>
      </c>
      <c r="AL55" s="20">
        <f t="shared" si="4"/>
        <v>817.16341834824254</v>
      </c>
      <c r="AM55" s="59">
        <f t="shared" si="5"/>
        <v>1110.4967516815759</v>
      </c>
      <c r="AN55" s="59">
        <f ca="1">AVERAGE(OFFSET($AM$3,0,0,'Données projet'!$E$10+1,1))-AVERAGE(OFFSET($H$3,0,0,'Données projet'!$E$10+1,1))</f>
        <v>408.84545509668794</v>
      </c>
      <c r="AO55" s="59">
        <f t="shared" si="36"/>
        <v>409.9253979841132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7.3994971962721872</v>
      </c>
      <c r="AV55" s="21">
        <f>EXP(-LN(2)/25)*AV54+(1-EXP(-LN(2)/25))/(LN(2)/25)*Calculateur!AQ55*Calculateur!AS55*VLOOKUP('Données projet'!$B$10,Paramètres!$A$1:$I$89,3,0)*0.475*44/12</f>
        <v>25.400425973892887</v>
      </c>
      <c r="AW55" s="21">
        <f>EXP(-LN(2)/2)*AW54+(1-EXP(-LN(2)/2))/(LN(2)/2)*AQ55*AT55*VLOOKUP('Données projet'!$B$10,Paramètres!$A$1:$I$89,3,0)*0.475*44/12</f>
        <v>1.0906631228010037</v>
      </c>
      <c r="AX55" s="21">
        <f t="shared" si="6"/>
        <v>33.890586292966077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19.2</v>
      </c>
      <c r="BD55" s="12">
        <f>IF('Données projet'!$A$88&gt;35,BD54+BC55-BL54,IF(A55&lt;'Données projet'!$A$88,$BA$205^A55,IF(A55='Données projet'!$A$88,'Données projet'!$B$88,BD54+BC55-BL54)))</f>
        <v>405.40000000000003</v>
      </c>
      <c r="BE55" s="13">
        <f>BD55*VLOOKUP('Données projet'!$B$11,Paramètres!$A$1:$I$89,3,0)*VLOOKUP('Données projet'!$B$11,Paramètres!$A$1:$I$89,5,0)</f>
        <v>242.42920000000007</v>
      </c>
      <c r="BF55" s="13">
        <f t="shared" si="37"/>
        <v>58.961877963646693</v>
      </c>
      <c r="BG55" s="20">
        <f t="shared" si="7"/>
        <v>524.92279412001812</v>
      </c>
      <c r="BH55" s="59">
        <f t="shared" si="8"/>
        <v>818.25612745335138</v>
      </c>
      <c r="BI55" s="59">
        <f ca="1">AVERAGE(OFFSET($BH$3,0,0,'Données projet'!$E$11+1,1))-AVERAGE(OFFSET($H$3,0,0,'Données projet'!$E$11+1,1))</f>
        <v>279.69031306919914</v>
      </c>
      <c r="BJ55" s="59">
        <f t="shared" si="38"/>
        <v>297.01680128882509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8.3806818408116701</v>
      </c>
      <c r="BQ55" s="21">
        <f>EXP(-LN(2)/25)*BQ54+(1-EXP(-LN(2)/25))/(LN(2)/25)*Calculateur!BL55*Calculateur!BN55*VLOOKUP('Données projet'!$B$11,Paramètres!$A$1:$I$89,3,0)*0.475*44/12</f>
        <v>39.691084943130413</v>
      </c>
      <c r="BR55" s="21">
        <f>EXP(-LN(2)/2)*BR54+(1-EXP(-LN(2)/2))/(LN(2)/2)*BL55*BO55*VLOOKUP('Données projet'!$B$11,Paramètres!$A$1:$I$89,3,0)*0.475*44/12</f>
        <v>6.3879448696879138</v>
      </c>
      <c r="BS55" s="22">
        <f t="shared" si="9"/>
        <v>54.459711653629995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4.125</v>
      </c>
      <c r="BY55" s="12">
        <f>IF('Données projet'!$A$114&gt;35,BY54+BX55-CG54,IF(A55&lt;'Données projet'!$A$114,$BV$205^A55,IF(A55='Données projet'!$A$114,'Données projet'!$B$114,BY54+BX55-CG54)))</f>
        <v>159.75</v>
      </c>
      <c r="BZ55" s="13">
        <f>BY55*VLOOKUP('Données projet'!$B$12,Paramètres!$A$1:$I$89,3,0)*VLOOKUP('Données projet'!$B$12,Paramètres!$A$1:$I$89,5,0)</f>
        <v>95.530500000000004</v>
      </c>
      <c r="CA55" s="13">
        <f t="shared" si="39"/>
        <v>25.894383815317227</v>
      </c>
      <c r="CB55" s="20">
        <f t="shared" si="10"/>
        <v>211.48167264501083</v>
      </c>
      <c r="CC55" s="59">
        <f t="shared" si="11"/>
        <v>504.81500597834417</v>
      </c>
      <c r="CD55" s="59">
        <f ca="1">AVERAGE(OFFSET($CC$3,0,0,'Données projet'!$E$12+1,1))-AVERAGE(OFFSET($H$3,0,0,'Données projet'!$E$12+1,1))</f>
        <v>81.299024916151723</v>
      </c>
      <c r="CE55" s="59">
        <f t="shared" si="40"/>
        <v>88.106373324240167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4.3512416971344079</v>
      </c>
      <c r="CL55" s="21">
        <f>EXP(-LN(2)/25)*CL54+(1-EXP(-LN(2)/25))/(LN(2)/25)*Calculateur!CG55*Calculateur!CI55*VLOOKUP('Données projet'!$B$12,Paramètres!$A$1:$I$89,3,0)*0.475*44/12</f>
        <v>10.149722909719758</v>
      </c>
      <c r="CM55" s="21">
        <f>EXP(-LN(2)/2)*CM54+(1-EXP(-LN(2)/2))/(LN(2)/2)*CG55*CJ55*VLOOKUP('Données projet'!$B$12,Paramètres!$A$1:$I$89,3,0)*0.475*44/12</f>
        <v>0.59405223923412409</v>
      </c>
      <c r="CN55" s="22">
        <f t="shared" si="12"/>
        <v>15.095016846088289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15.4</v>
      </c>
      <c r="CT55" s="12">
        <f>IF('Données projet'!$A$140&gt;35,CT54+CS55-DB54,IF(A55&lt;'Données projet'!$A$140,$CQ$205^A55,IF(A55='Données projet'!$A$140,'Données projet'!$B$140,CT54+CS55-DB54)))</f>
        <v>692.7999999999995</v>
      </c>
      <c r="CU55" s="17">
        <f>CT55*VLOOKUP('Données projet'!$B$13,Paramètres!$A$1:$I$89,3,0)*VLOOKUP('Données projet'!$B$13,Paramètres!$A$1:$I$89,5,0)</f>
        <v>387.2751999999997</v>
      </c>
      <c r="CV55" s="13">
        <f t="shared" si="41"/>
        <v>89.192073473767834</v>
      </c>
      <c r="CW55" s="20">
        <f t="shared" si="13"/>
        <v>829.84716796681175</v>
      </c>
      <c r="CX55" s="59">
        <f t="shared" si="14"/>
        <v>1123.1805013001451</v>
      </c>
      <c r="CY55" s="59">
        <f ca="1">AVERAGE(OFFSET($CX$3,0,0,'Données projet'!$E$13+1,1))-AVERAGE(OFFSET($H$3,0,0,'Données projet'!$E$13+1,1))</f>
        <v>475.42482703895411</v>
      </c>
      <c r="CZ55" s="59">
        <f t="shared" si="42"/>
        <v>593.51433014569966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53.734919717806214</v>
      </c>
      <c r="DG55" s="21">
        <f>EXP(-LN(2)/25)*DG54+(1-EXP(-LN(2)/25))/(LN(2)/25)*Calculateur!DB55*Calculateur!DD55*VLOOKUP('Données projet'!$B$13,Paramètres!$A$1:$I$89,3,0)*0.475*44/12</f>
        <v>40.434441670522006</v>
      </c>
      <c r="DH55" s="21">
        <f>EXP(-LN(2)/2)*DH54+(1-EXP(-LN(2)/2))/(LN(2)/2)*DB55*DE55*VLOOKUP('Données projet'!$B$13,Paramètres!$A$1:$I$89,3,0)*0.475*44/12</f>
        <v>4.8428153694906282</v>
      </c>
      <c r="DI55" s="22">
        <f t="shared" si="15"/>
        <v>99.012176757818835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>
        <f>VLOOKUP(A55,'Données projet'!$A$165:$I$185,2,0)</f>
        <v>232</v>
      </c>
      <c r="DM55" s="12">
        <f>VLOOKUP(A55,'Données projet'!$A$165:$I$185,9,0)</f>
        <v>11.25</v>
      </c>
      <c r="DN55" s="12">
        <f t="array" ref="DN55">INDEX(DM:DM,MIN(IF(ISNUMBER(DM55:DM251),ROW(DM55:DM251),"")))</f>
        <v>11.25</v>
      </c>
      <c r="DO55" s="12">
        <f>IF('Données projet'!$A$166&gt;35,DO54+DN55-DW54,IF(A55&lt;'Données projet'!$A$166,$DL$205^A55,IF(A55='Données projet'!$A$166,'Données projet'!$B$166,DO54+DN55-DW54)))</f>
        <v>232</v>
      </c>
      <c r="DP55" s="17">
        <f>DO55*VLOOKUP('Données projet'!$B$14,Paramètres!$A$1:$I$89,3,0)*VLOOKUP('Données projet'!$B$14,Paramètres!$A$1:$I$89,5,0)</f>
        <v>209.9136</v>
      </c>
      <c r="DQ55" s="13">
        <f t="shared" si="43"/>
        <v>51.916704672341318</v>
      </c>
      <c r="DR55" s="20">
        <f t="shared" si="16"/>
        <v>456.02111397099435</v>
      </c>
      <c r="DS55" s="59">
        <f t="shared" si="17"/>
        <v>749.35444730432766</v>
      </c>
      <c r="DT55" s="59">
        <f ca="1">AVERAGE(OFFSET($DS$3,0,0,'Données projet'!$E$14+1,1))-AVERAGE(OFFSET($H$3,0,0,'Données projet'!$E$14+1,1))</f>
        <v>401.17301323870578</v>
      </c>
      <c r="DU55" s="59">
        <f t="shared" si="44"/>
        <v>201.57993789149754</v>
      </c>
      <c r="DV55" s="15">
        <f>IF(ISNA(VLOOKUP(A55,'Données projet'!$A$165:$I$185,3,0)),0,VLOOKUP(A55,'Données projet'!$A$165:$I$185,3,0))</f>
        <v>3</v>
      </c>
      <c r="DW55" s="15">
        <f>IF(ISNA(VLOOKUP(A55,'Données projet'!$A$165:$I$185,4,0)),0,VLOOKUP(A55,'Données projet'!$A$165:$I$185,4,0))</f>
        <v>63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0.215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21.387964579461087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21.387964579461087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4.4000000000000004</v>
      </c>
      <c r="EJ55" s="12">
        <f>IF('Données projet'!$A$192&gt;35,EJ54+EI55-ER54,IF(A55&lt;'Données projet'!$A$192,$EG$205^A55,IF(A55='Données projet'!$A$192,'Données projet'!$B$192,EJ54+EI55-ER54)))</f>
        <v>206.8</v>
      </c>
      <c r="EK55" s="17">
        <f>EJ55*VLOOKUP('Données projet'!$B$15,Paramètres!$A$1:$I$89,3,0)*VLOOKUP('Données projet'!$B$15,Paramètres!$A$1:$I$89,5,0)</f>
        <v>180.66048000000004</v>
      </c>
      <c r="EL55" s="13">
        <f t="shared" si="45"/>
        <v>45.469099459918802</v>
      </c>
      <c r="EM55" s="20">
        <f t="shared" si="19"/>
        <v>393.84235089269191</v>
      </c>
      <c r="EN55" s="59">
        <f t="shared" si="20"/>
        <v>687.17568422602517</v>
      </c>
      <c r="EO55" s="59">
        <f ca="1">AVERAGE(OFFSET($EN$3,0,0,'Données projet'!$E$15+1,1))-AVERAGE(OFFSET($H$3,0,0,'Données projet'!$E$15+1,1))</f>
        <v>237.8483058552178</v>
      </c>
      <c r="EP55" s="59">
        <f t="shared" si="46"/>
        <v>313.36201272119723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6.5054478404386025</v>
      </c>
      <c r="EW55" s="21">
        <f>EXP(-LN(2)/25)*EW54+(1-EXP(-LN(2)/25))/(LN(2)/25)*Calculateur!ER55*Calculateur!ET55*VLOOKUP('Données projet'!$B$15,Paramètres!$A$1:$I$89,3,0)*0.475*44/12</f>
        <v>6.0525291266372365</v>
      </c>
      <c r="EX55" s="21">
        <f>EXP(-LN(2)/2)*EX54+(1-EXP(-LN(2)/2))/(LN(2)/2)*ER55*EU55*VLOOKUP('Données projet'!$B$15,Paramètres!$A$1:$I$89,3,0)*0.475*44/12</f>
        <v>4.2307982732634279</v>
      </c>
      <c r="EY55" s="22">
        <f t="shared" si="21"/>
        <v>16.788775240339266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8.4</v>
      </c>
      <c r="FE55" s="12">
        <f>IF('Données projet'!$A$218&gt;35,FE54+FD55-FM54,IF(A55&lt;'Données projet'!$A$218,$FB$205^A55,IF(A55='Données projet'!$A$218,'Données projet'!$B$218,FE54+FD55-FM54)))</f>
        <v>298.7999999999999</v>
      </c>
      <c r="FF55" s="17">
        <f>FE55*VLOOKUP('Données projet'!$B$16,Paramètres!$A$1:$I$89,3,0)*VLOOKUP('Données projet'!$B$16,Paramètres!$A$1:$I$89,5,0)</f>
        <v>233.06399999999994</v>
      </c>
      <c r="FG55" s="13">
        <f t="shared" si="47"/>
        <v>56.944678836622806</v>
      </c>
      <c r="FH55" s="20">
        <f t="shared" si="22"/>
        <v>505.09844897378457</v>
      </c>
      <c r="FI55" s="59">
        <f t="shared" si="23"/>
        <v>798.43178230711783</v>
      </c>
      <c r="FJ55" s="59">
        <f ca="1">AVERAGE(OFFSET($FI$3,0,0,'Données projet'!$E$16+1,1))-AVERAGE(OFFSET($H$3,0,0,'Données projet'!$E$16+1,1))</f>
        <v>318.52984981739411</v>
      </c>
      <c r="FK55" s="59">
        <f t="shared" si="48"/>
        <v>311.56398336941714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7.4290092054747889</v>
      </c>
      <c r="FR55" s="21">
        <f>EXP(-LN(2)/25)*FR54+(1-EXP(-LN(2)/25))/(LN(2)/25)*Calculateur!FM55*Calculateur!FO55*VLOOKUP('Données projet'!$B$16,Paramètres!$A$1:$I$89,3,0)*0.475*44/12</f>
        <v>8.7227735391356891</v>
      </c>
      <c r="FS55" s="21">
        <f>EXP(-LN(2)/2)*FS54+(1-EXP(-LN(2)/2))/(LN(2)/2)*FM55*FP55*VLOOKUP('Données projet'!$B$16,Paramètres!$A$1:$I$89,3,0)*0.475*44/12</f>
        <v>2.9977734634783038</v>
      </c>
      <c r="FT55" s="22">
        <f t="shared" si="24"/>
        <v>19.149556208088782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8.4</v>
      </c>
      <c r="FZ55" s="12">
        <f>IF('Données projet'!$A$244&gt;35,FZ54+FY55-GH54,IF(A55&lt;'Données projet'!$A$244,$FW$205^A55,IF(A55='Données projet'!$A$244,'Données projet'!$B$244,FZ54+FY55-GH54)))</f>
        <v>298.7999999999999</v>
      </c>
      <c r="GA55" s="17">
        <f>FZ55*VLOOKUP('Données projet'!$B$17,Paramètres!$A$1:$I$89,3,0)*VLOOKUP('Données projet'!$B$17,Paramètres!$A$1:$I$89,5,0)</f>
        <v>237.72527999999994</v>
      </c>
      <c r="GB55" s="13">
        <f t="shared" si="49"/>
        <v>57.949842464086196</v>
      </c>
      <c r="GC55" s="20">
        <f t="shared" si="25"/>
        <v>514.96750495828326</v>
      </c>
      <c r="GD55" s="59">
        <f t="shared" si="26"/>
        <v>808.30083829161663</v>
      </c>
      <c r="GE55" s="59">
        <f ca="1">AVERAGE(OFFSET($GD$3,0,0,'Données projet'!$E$17+1,1))-AVERAGE(OFFSET($H$3,0,0,'Données projet'!$E$17+1,1))</f>
        <v>325.72928944930294</v>
      </c>
      <c r="GF55" s="59">
        <f t="shared" si="50"/>
        <v>318.38876834819752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9.3398194801852839</v>
      </c>
      <c r="GM55" s="21">
        <f>EXP(-LN(2)/25)*GM54+(1-EXP(-LN(2)/25))/(LN(2)/25)*Calculateur!GH55*Calculateur!GJ55*VLOOKUP('Données projet'!$B$17,Paramètres!$A$1:$I$89,3,0)*0.475*44/12</f>
        <v>10.966352035480822</v>
      </c>
      <c r="GN55" s="21">
        <f>EXP(-LN(2)/2)*GN54+(1-EXP(-LN(2)/2))/(LN(2)/2)*GH55*GK55*VLOOKUP('Données projet'!$B$17,Paramètres!$A$1:$I$89,3,0)*0.475*44/12</f>
        <v>3.0577289327478709</v>
      </c>
      <c r="GO55" s="21">
        <f t="shared" si="27"/>
        <v>23.363900448413979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8.4</v>
      </c>
      <c r="GU55" s="12">
        <f>IF('Données projet'!$A$270&gt;35,GU54+GT55-HC54,IF(A55&lt;'Données projet'!$A$270,$GR$205^A55,IF(A55='Données projet'!$A$270,'Données projet'!$B$270,GU54+GT55-HC54)))</f>
        <v>298.7999999999999</v>
      </c>
      <c r="GV55" s="17">
        <f>GU55*VLOOKUP('Données projet'!$B$18,Paramètres!$A$1:$I$89,3,0)*VLOOKUP('Données projet'!$B$18,Paramètres!$A$1:$I$89,5,0)</f>
        <v>200.43503999999993</v>
      </c>
      <c r="GW55" s="13">
        <f t="shared" si="51"/>
        <v>49.839764256087797</v>
      </c>
      <c r="GX55" s="20">
        <f t="shared" si="28"/>
        <v>435.89528407935273</v>
      </c>
      <c r="GY55" s="59">
        <f t="shared" si="29"/>
        <v>729.22861741268605</v>
      </c>
      <c r="GZ55" s="59">
        <f ca="1">AVERAGE(OFFSET($GY$3,0,0,'Données projet'!$E$18+1,1))-AVERAGE(OFFSET($H$3,0,0,'Données projet'!$E$18+1,1))</f>
        <v>268.04554291387961</v>
      </c>
      <c r="HA55" s="59">
        <f t="shared" si="52"/>
        <v>263.70463099437148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7.8747497578032783</v>
      </c>
      <c r="HH55" s="21">
        <f>EXP(-LN(2)/25)*HH54+(1-EXP(-LN(2)/25))/(LN(2)/25)*Calculateur!HC55*Calculateur!HE55*VLOOKUP('Données projet'!$B$18,Paramètres!$A$1:$I$89,3,0)*0.475*44/12</f>
        <v>9.2461399514838316</v>
      </c>
      <c r="HI55" s="21">
        <f>EXP(-LN(2)/2)*HI54+(1-EXP(-LN(2)/2))/(LN(2)/2)*HC55*HF55*VLOOKUP('Données projet'!$B$18,Paramètres!$A$1:$I$89,3,0)*0.475*44/12</f>
        <v>2.5780851785913415</v>
      </c>
      <c r="HJ55" s="22">
        <f t="shared" si="30"/>
        <v>19.69897488787845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</v>
      </c>
      <c r="N56" s="13">
        <f>IF('Données projet'!$A$36&gt;35,N55+M56-V55,IF(A56&lt;'Données projet'!$A$36,$K$205^A56,IF(A56='Données projet'!$A$36,'Données projet'!$B$36,N55+M56-V55)))</f>
        <v>148</v>
      </c>
      <c r="O56" s="13">
        <f>N56*VLOOKUP('Données projet'!$B$9,Paramètres!$A$1:$I$89,3,0)*VLOOKUP('Données projet'!$B$9,Paramètres!$A$1:$I$89,5,0)</f>
        <v>65.415999999999997</v>
      </c>
      <c r="P56" s="13">
        <f t="shared" si="33"/>
        <v>18.530640632011718</v>
      </c>
      <c r="Q56" s="20">
        <f t="shared" si="53"/>
        <v>146.20706576742037</v>
      </c>
      <c r="R56" s="59">
        <f t="shared" si="0"/>
        <v>439.54039910075369</v>
      </c>
      <c r="S56" s="59">
        <f ca="1">AVERAGE(OFFSET($R$3,0,0,'Données projet'!$E$9+1,1))-AVERAGE(OFFSET($H$3,0,0,'Données projet'!$E$9+1,1))</f>
        <v>46.095319339746538</v>
      </c>
      <c r="T56" s="59">
        <f t="shared" si="34"/>
        <v>48.158174304064403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2.6355207130762754</v>
      </c>
      <c r="AA56" s="21">
        <f>EXP(-LN(2)/25)*AA55+(1-EXP(-LN(2)/25))/(LN(2)/25)*Calculateur!V56*Calculateur!X56*VLOOKUP('Données projet'!$B$9,Paramètres!$A$1:$I$89,3,0)*0.475*44/12</f>
        <v>10.049605431379975</v>
      </c>
      <c r="AB56" s="21">
        <f>EXP(-LN(2)/2)*AB55+(1-EXP(-LN(2)/2))/(LN(2)/2)*V56*Y56*VLOOKUP('Données projet'!$B$9,Paramètres!$A$1:$I$89,3,0)*0.475*44/12</f>
        <v>3.8031144885890384</v>
      </c>
      <c r="AC56" s="22">
        <f t="shared" si="3"/>
        <v>16.488240633045287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11.75</v>
      </c>
      <c r="AI56" s="13">
        <f>IF('Données projet'!$A$62&gt;35,AI55+AH56-AQ55,IF(A56&lt;'Données projet'!$A$62,$AF$205^A56,IF(A56='Données projet'!$A$62,'Données projet'!$B$62,AI55+AH56-AQ55)))</f>
        <v>649.24999999999989</v>
      </c>
      <c r="AJ56" s="13">
        <f>AI56*VLOOKUP('Données projet'!$B$10,Paramètres!$A$1:$I$89,3,0)*VLOOKUP('Données projet'!$B$10,Paramètres!$A$1:$I$89,5,0)</f>
        <v>388.25149999999996</v>
      </c>
      <c r="AK56" s="13">
        <f t="shared" si="35"/>
        <v>89.390720425702895</v>
      </c>
      <c r="AL56" s="20">
        <f t="shared" si="4"/>
        <v>831.89353390809913</v>
      </c>
      <c r="AM56" s="59">
        <f t="shared" si="5"/>
        <v>1125.2268672414325</v>
      </c>
      <c r="AN56" s="59">
        <f ca="1">AVERAGE(OFFSET($AM$3,0,0,'Données projet'!$E$10+1,1))-AVERAGE(OFFSET($H$3,0,0,'Données projet'!$E$10+1,1))</f>
        <v>408.84545509668794</v>
      </c>
      <c r="AO56" s="59">
        <f t="shared" si="36"/>
        <v>409.9253979841132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7.2543975695009335</v>
      </c>
      <c r="AV56" s="21">
        <f>EXP(-LN(2)/25)*AV55+(1-EXP(-LN(2)/25))/(LN(2)/25)*Calculateur!AQ56*Calculateur!AS56*VLOOKUP('Données projet'!$B$10,Paramètres!$A$1:$I$89,3,0)*0.475*44/12</f>
        <v>24.705849989886438</v>
      </c>
      <c r="AW56" s="21">
        <f>EXP(-LN(2)/2)*AW55+(1-EXP(-LN(2)/2))/(LN(2)/2)*AQ56*AT56*VLOOKUP('Données projet'!$B$10,Paramètres!$A$1:$I$89,3,0)*0.475*44/12</f>
        <v>0.77121529012268597</v>
      </c>
      <c r="AX56" s="21">
        <f t="shared" si="6"/>
        <v>32.731462849510059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19.2</v>
      </c>
      <c r="BD56" s="12">
        <f>IF('Données projet'!$A$88&gt;35,BD55+BC56-BL55,IF(A56&lt;'Données projet'!$A$88,$BA$205^A56,IF(A56='Données projet'!$A$88,'Données projet'!$B$88,BD55+BC56-BL55)))</f>
        <v>424.6</v>
      </c>
      <c r="BE56" s="13">
        <f>BD56*VLOOKUP('Données projet'!$B$11,Paramètres!$A$1:$I$89,3,0)*VLOOKUP('Données projet'!$B$11,Paramètres!$A$1:$I$89,5,0)</f>
        <v>253.91080000000005</v>
      </c>
      <c r="BF56" s="13">
        <f t="shared" si="37"/>
        <v>61.422621781167194</v>
      </c>
      <c r="BG56" s="20">
        <f t="shared" si="7"/>
        <v>549.20570960219959</v>
      </c>
      <c r="BH56" s="59">
        <f t="shared" si="8"/>
        <v>842.53904293553296</v>
      </c>
      <c r="BI56" s="59">
        <f ca="1">AVERAGE(OFFSET($BH$3,0,0,'Données projet'!$E$11+1,1))-AVERAGE(OFFSET($H$3,0,0,'Données projet'!$E$11+1,1))</f>
        <v>279.69031306919914</v>
      </c>
      <c r="BJ56" s="59">
        <f t="shared" si="38"/>
        <v>297.01680128882509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8.2163417816245374</v>
      </c>
      <c r="BQ56" s="21">
        <f>EXP(-LN(2)/25)*BQ55+(1-EXP(-LN(2)/25))/(LN(2)/25)*Calculateur!BL56*Calculateur!BN56*VLOOKUP('Données projet'!$B$11,Paramètres!$A$1:$I$89,3,0)*0.475*44/12</f>
        <v>38.605730138097073</v>
      </c>
      <c r="BR56" s="21">
        <f>EXP(-LN(2)/2)*BR55+(1-EXP(-LN(2)/2))/(LN(2)/2)*BL56*BO56*VLOOKUP('Données projet'!$B$11,Paramètres!$A$1:$I$89,3,0)*0.475*44/12</f>
        <v>4.516959135202141</v>
      </c>
      <c r="BS56" s="22">
        <f t="shared" si="9"/>
        <v>51.339031054923751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4.125</v>
      </c>
      <c r="BY56" s="12">
        <f>IF('Données projet'!$A$114&gt;35,BY55+BX56-CG55,IF(A56&lt;'Données projet'!$A$114,$BV$205^A56,IF(A56='Données projet'!$A$114,'Données projet'!$B$114,BY55+BX56-CG55)))</f>
        <v>163.875</v>
      </c>
      <c r="BZ56" s="13">
        <f>BY56*VLOOKUP('Données projet'!$B$12,Paramètres!$A$1:$I$89,3,0)*VLOOKUP('Données projet'!$B$12,Paramètres!$A$1:$I$89,5,0)</f>
        <v>97.997250000000008</v>
      </c>
      <c r="CA56" s="13">
        <f t="shared" si="39"/>
        <v>26.484309648629555</v>
      </c>
      <c r="CB56" s="20">
        <f t="shared" si="10"/>
        <v>216.80538305469648</v>
      </c>
      <c r="CC56" s="59">
        <f t="shared" si="11"/>
        <v>510.13871638802982</v>
      </c>
      <c r="CD56" s="59">
        <f ca="1">AVERAGE(OFFSET($CC$3,0,0,'Données projet'!$E$12+1,1))-AVERAGE(OFFSET($H$3,0,0,'Données projet'!$E$12+1,1))</f>
        <v>81.299024916151723</v>
      </c>
      <c r="CE56" s="59">
        <f t="shared" si="40"/>
        <v>88.106373324240167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4.2659165014489773</v>
      </c>
      <c r="CL56" s="21">
        <f>EXP(-LN(2)/25)*CL55+(1-EXP(-LN(2)/25))/(LN(2)/25)*Calculateur!CG56*Calculateur!CI56*VLOOKUP('Données projet'!$B$12,Paramètres!$A$1:$I$89,3,0)*0.475*44/12</f>
        <v>9.8721782030027416</v>
      </c>
      <c r="CM56" s="21">
        <f>EXP(-LN(2)/2)*CM55+(1-EXP(-LN(2)/2))/(LN(2)/2)*CG56*CJ56*VLOOKUP('Données projet'!$B$12,Paramètres!$A$1:$I$89,3,0)*0.475*44/12</f>
        <v>0.42005836674150238</v>
      </c>
      <c r="CN56" s="22">
        <f t="shared" si="12"/>
        <v>14.558153071193221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15.4</v>
      </c>
      <c r="CT56" s="12">
        <f>IF('Données projet'!$A$140&gt;35,CT55+CS56-DB55,IF(A56&lt;'Données projet'!$A$140,$CQ$205^A56,IF(A56='Données projet'!$A$140,'Données projet'!$B$140,CT55+CS56-DB55)))</f>
        <v>708.19999999999948</v>
      </c>
      <c r="CU56" s="17">
        <f>CT56*VLOOKUP('Données projet'!$B$13,Paramètres!$A$1:$I$89,3,0)*VLOOKUP('Données projet'!$B$13,Paramètres!$A$1:$I$89,5,0)</f>
        <v>395.88379999999972</v>
      </c>
      <c r="CV56" s="13">
        <f t="shared" si="41"/>
        <v>90.941667130422957</v>
      </c>
      <c r="CW56" s="20">
        <f t="shared" si="13"/>
        <v>847.8876885854861</v>
      </c>
      <c r="CX56" s="59">
        <f t="shared" si="14"/>
        <v>1141.2210219188194</v>
      </c>
      <c r="CY56" s="59">
        <f ca="1">AVERAGE(OFFSET($CX$3,0,0,'Données projet'!$E$13+1,1))-AVERAGE(OFFSET($H$3,0,0,'Données projet'!$E$13+1,1))</f>
        <v>475.42482703895411</v>
      </c>
      <c r="CZ56" s="59">
        <f t="shared" si="42"/>
        <v>593.51433014569966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52.681210717204792</v>
      </c>
      <c r="DG56" s="21">
        <f>EXP(-LN(2)/25)*DG55+(1-EXP(-LN(2)/25))/(LN(2)/25)*Calculateur!DB56*Calculateur!DD56*VLOOKUP('Données projet'!$B$13,Paramètres!$A$1:$I$89,3,0)*0.475*44/12</f>
        <v>39.328759736686706</v>
      </c>
      <c r="DH56" s="21">
        <f>EXP(-LN(2)/2)*DH55+(1-EXP(-LN(2)/2))/(LN(2)/2)*DB56*DE56*VLOOKUP('Données projet'!$B$13,Paramètres!$A$1:$I$89,3,0)*0.475*44/12</f>
        <v>3.4243875878012591</v>
      </c>
      <c r="DI56" s="22">
        <f t="shared" si="15"/>
        <v>95.434358041692761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10.125</v>
      </c>
      <c r="DO56" s="12">
        <f>IF('Données projet'!$A$166&gt;35,DO55+DN56-DW55,IF(A56&lt;'Données projet'!$A$166,$DL$205^A56,IF(A56='Données projet'!$A$166,'Données projet'!$B$166,DO55+DN56-DW55)))</f>
        <v>179.125</v>
      </c>
      <c r="DP56" s="17">
        <f>DO56*VLOOKUP('Données projet'!$B$14,Paramètres!$A$1:$I$89,3,0)*VLOOKUP('Données projet'!$B$14,Paramètres!$A$1:$I$89,5,0)</f>
        <v>162.07230000000001</v>
      </c>
      <c r="DQ56" s="13">
        <f t="shared" si="43"/>
        <v>41.309577807279609</v>
      </c>
      <c r="DR56" s="20">
        <f t="shared" si="16"/>
        <v>354.223437181012</v>
      </c>
      <c r="DS56" s="59">
        <f t="shared" si="17"/>
        <v>647.55677051434532</v>
      </c>
      <c r="DT56" s="59">
        <f ca="1">AVERAGE(OFFSET($DS$3,0,0,'Données projet'!$E$14+1,1))-AVERAGE(OFFSET($H$3,0,0,'Données projet'!$E$14+1,1))</f>
        <v>401.17301323870578</v>
      </c>
      <c r="DU56" s="59">
        <f t="shared" si="44"/>
        <v>201.57993789149754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20.803109563291549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20.803109563291549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4.4000000000000004</v>
      </c>
      <c r="EJ56" s="12">
        <f>IF('Données projet'!$A$192&gt;35,EJ55+EI56-ER55,IF(A56&lt;'Données projet'!$A$192,$EG$205^A56,IF(A56='Données projet'!$A$192,'Données projet'!$B$192,EJ55+EI56-ER55)))</f>
        <v>211.20000000000002</v>
      </c>
      <c r="EK56" s="17">
        <f>EJ56*VLOOKUP('Données projet'!$B$15,Paramètres!$A$1:$I$89,3,0)*VLOOKUP('Données projet'!$B$15,Paramètres!$A$1:$I$89,5,0)</f>
        <v>184.50432000000004</v>
      </c>
      <c r="EL56" s="13">
        <f t="shared" si="45"/>
        <v>46.322868297094622</v>
      </c>
      <c r="EM56" s="20">
        <f t="shared" si="19"/>
        <v>402.02401961743982</v>
      </c>
      <c r="EN56" s="59">
        <f t="shared" si="20"/>
        <v>695.35735295077313</v>
      </c>
      <c r="EO56" s="59">
        <f ca="1">AVERAGE(OFFSET($EN$3,0,0,'Données projet'!$E$15+1,1))-AVERAGE(OFFSET($H$3,0,0,'Données projet'!$E$15+1,1))</f>
        <v>237.8483058552178</v>
      </c>
      <c r="EP56" s="59">
        <f t="shared" si="46"/>
        <v>313.36201272119723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6.3778799762189831</v>
      </c>
      <c r="EW56" s="21">
        <f>EXP(-LN(2)/25)*EW55+(1-EXP(-LN(2)/25))/(LN(2)/25)*Calculateur!ER56*Calculateur!ET56*VLOOKUP('Données projet'!$B$15,Paramètres!$A$1:$I$89,3,0)*0.475*44/12</f>
        <v>5.8870223993806681</v>
      </c>
      <c r="EX56" s="21">
        <f>EXP(-LN(2)/2)*EX55+(1-EXP(-LN(2)/2))/(LN(2)/2)*ER56*EU56*VLOOKUP('Données projet'!$B$15,Paramètres!$A$1:$I$89,3,0)*0.475*44/12</f>
        <v>2.991626148856906</v>
      </c>
      <c r="EY56" s="22">
        <f t="shared" si="21"/>
        <v>15.256528524456556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8.4</v>
      </c>
      <c r="FE56" s="12">
        <f>IF('Données projet'!$A$218&gt;35,FE55+FD56-FM55,IF(A56&lt;'Données projet'!$A$218,$FB$205^A56,IF(A56='Données projet'!$A$218,'Données projet'!$B$218,FE55+FD56-FM55)))</f>
        <v>307.19999999999987</v>
      </c>
      <c r="FF56" s="17">
        <f>FE56*VLOOKUP('Données projet'!$B$16,Paramètres!$A$1:$I$89,3,0)*VLOOKUP('Données projet'!$B$16,Paramètres!$A$1:$I$89,5,0)</f>
        <v>239.6159999999999</v>
      </c>
      <c r="FG56" s="13">
        <f t="shared" si="47"/>
        <v>58.356903313490157</v>
      </c>
      <c r="FH56" s="20">
        <f t="shared" si="22"/>
        <v>518.96947327099519</v>
      </c>
      <c r="FI56" s="59">
        <f t="shared" si="23"/>
        <v>812.30280660432845</v>
      </c>
      <c r="FJ56" s="59">
        <f ca="1">AVERAGE(OFFSET($FI$3,0,0,'Données projet'!$E$16+1,1))-AVERAGE(OFFSET($H$3,0,0,'Données projet'!$E$16+1,1))</f>
        <v>318.52984981739411</v>
      </c>
      <c r="FK56" s="59">
        <f t="shared" si="48"/>
        <v>311.56398336941714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7.2833308662036202</v>
      </c>
      <c r="FR56" s="21">
        <f>EXP(-LN(2)/25)*FR55+(1-EXP(-LN(2)/25))/(LN(2)/25)*Calculateur!FM56*Calculateur!FO56*VLOOKUP('Données projet'!$B$16,Paramètres!$A$1:$I$89,3,0)*0.475*44/12</f>
        <v>8.4842488379972991</v>
      </c>
      <c r="FS56" s="21">
        <f>EXP(-LN(2)/2)*FS55+(1-EXP(-LN(2)/2))/(LN(2)/2)*FM56*FP56*VLOOKUP('Données projet'!$B$16,Paramètres!$A$1:$I$89,3,0)*0.475*44/12</f>
        <v>2.1197459444865916</v>
      </c>
      <c r="FT56" s="22">
        <f t="shared" si="24"/>
        <v>17.887325648687511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8.4</v>
      </c>
      <c r="FZ56" s="12">
        <f>IF('Données projet'!$A$244&gt;35,FZ55+FY56-GH55,IF(A56&lt;'Données projet'!$A$244,$FW$205^A56,IF(A56='Données projet'!$A$244,'Données projet'!$B$244,FZ55+FY56-GH55)))</f>
        <v>307.19999999999987</v>
      </c>
      <c r="GA56" s="17">
        <f>FZ56*VLOOKUP('Données projet'!$B$17,Paramètres!$A$1:$I$89,3,0)*VLOOKUP('Données projet'!$B$17,Paramètres!$A$1:$I$89,5,0)</f>
        <v>244.40831999999992</v>
      </c>
      <c r="GB56" s="13">
        <f t="shared" si="49"/>
        <v>59.38699493610541</v>
      </c>
      <c r="GC56" s="20">
        <f t="shared" si="25"/>
        <v>529.11017351371675</v>
      </c>
      <c r="GD56" s="59">
        <f t="shared" si="26"/>
        <v>822.44350684705</v>
      </c>
      <c r="GE56" s="59">
        <f ca="1">AVERAGE(OFFSET($GD$3,0,0,'Données projet'!$E$17+1,1))-AVERAGE(OFFSET($H$3,0,0,'Données projet'!$E$17+1,1))</f>
        <v>325.72928944930294</v>
      </c>
      <c r="GF56" s="59">
        <f t="shared" si="50"/>
        <v>318.38876834819752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9.1566713169062286</v>
      </c>
      <c r="GM56" s="21">
        <f>EXP(-LN(2)/25)*GM55+(1-EXP(-LN(2)/25))/(LN(2)/25)*Calculateur!GH56*Calculateur!GJ56*VLOOKUP('Données projet'!$B$17,Paramètres!$A$1:$I$89,3,0)*0.475*44/12</f>
        <v>10.666476562375209</v>
      </c>
      <c r="GN56" s="21">
        <f>EXP(-LN(2)/2)*GN55+(1-EXP(-LN(2)/2))/(LN(2)/2)*GH56*GK56*VLOOKUP('Données projet'!$B$17,Paramètres!$A$1:$I$89,3,0)*0.475*44/12</f>
        <v>2.1621408633763246</v>
      </c>
      <c r="GO56" s="21">
        <f t="shared" si="27"/>
        <v>21.985288742657762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8.4</v>
      </c>
      <c r="GU56" s="12">
        <f>IF('Données projet'!$A$270&gt;35,GU55+GT56-HC55,IF(A56&lt;'Données projet'!$A$270,$GR$205^A56,IF(A56='Données projet'!$A$270,'Données projet'!$B$270,GU55+GT56-HC55)))</f>
        <v>307.19999999999987</v>
      </c>
      <c r="GV56" s="17">
        <f>GU56*VLOOKUP('Données projet'!$B$18,Paramètres!$A$1:$I$89,3,0)*VLOOKUP('Données projet'!$B$18,Paramètres!$A$1:$I$89,5,0)</f>
        <v>206.06975999999992</v>
      </c>
      <c r="GW56" s="13">
        <f t="shared" si="51"/>
        <v>51.075787295320026</v>
      </c>
      <c r="GX56" s="20">
        <f t="shared" si="28"/>
        <v>447.86182820601556</v>
      </c>
      <c r="GY56" s="59">
        <f t="shared" si="29"/>
        <v>741.19516153934887</v>
      </c>
      <c r="GZ56" s="59">
        <f ca="1">AVERAGE(OFFSET($GY$3,0,0,'Données projet'!$E$18+1,1))-AVERAGE(OFFSET($H$3,0,0,'Données projet'!$E$18+1,1))</f>
        <v>268.04554291387961</v>
      </c>
      <c r="HA56" s="59">
        <f t="shared" si="52"/>
        <v>263.70463099437148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7.7203307181758394</v>
      </c>
      <c r="HH56" s="21">
        <f>EXP(-LN(2)/25)*HH55+(1-EXP(-LN(2)/25))/(LN(2)/25)*Calculateur!HC56*Calculateur!HE56*VLOOKUP('Données projet'!$B$18,Paramètres!$A$1:$I$89,3,0)*0.475*44/12</f>
        <v>8.9933037682771388</v>
      </c>
      <c r="HI56" s="21">
        <f>EXP(-LN(2)/2)*HI55+(1-EXP(-LN(2)/2))/(LN(2)/2)*HC56*HF56*VLOOKUP('Données projet'!$B$18,Paramètres!$A$1:$I$89,3,0)*0.475*44/12</f>
        <v>1.8229815122584692</v>
      </c>
      <c r="HJ56" s="22">
        <f t="shared" si="30"/>
        <v>18.536615998711447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</v>
      </c>
      <c r="N57" s="13">
        <f>IF('Données projet'!$A$36&gt;35,N56+M57-V56,IF(A57&lt;'Données projet'!$A$36,$K$205^A57,IF(A57='Données projet'!$A$36,'Données projet'!$B$36,N56+M57-V56)))</f>
        <v>158</v>
      </c>
      <c r="O57" s="13">
        <f>N57*VLOOKUP('Données projet'!$B$9,Paramètres!$A$1:$I$89,3,0)*VLOOKUP('Données projet'!$B$9,Paramètres!$A$1:$I$89,5,0)</f>
        <v>69.836000000000013</v>
      </c>
      <c r="P57" s="13">
        <f t="shared" si="33"/>
        <v>19.632725033146617</v>
      </c>
      <c r="Q57" s="20">
        <f t="shared" si="53"/>
        <v>155.82469609939704</v>
      </c>
      <c r="R57" s="59">
        <f t="shared" si="0"/>
        <v>449.15802943273036</v>
      </c>
      <c r="S57" s="59">
        <f ca="1">AVERAGE(OFFSET($R$3,0,0,'Données projet'!$E$9+1,1))-AVERAGE(OFFSET($H$3,0,0,'Données projet'!$E$9+1,1))</f>
        <v>46.095319339746538</v>
      </c>
      <c r="T57" s="59">
        <f t="shared" si="34"/>
        <v>48.158174304064403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2.5838397594017564</v>
      </c>
      <c r="AA57" s="21">
        <f>EXP(-LN(2)/25)*AA56+(1-EXP(-LN(2)/25))/(LN(2)/25)*Calculateur!V57*Calculateur!X57*VLOOKUP('Données projet'!$B$9,Paramètres!$A$1:$I$89,3,0)*0.475*44/12</f>
        <v>9.7747984423731094</v>
      </c>
      <c r="AB57" s="21">
        <f>EXP(-LN(2)/2)*AB56+(1-EXP(-LN(2)/2))/(LN(2)/2)*V57*Y57*VLOOKUP('Données projet'!$B$9,Paramètres!$A$1:$I$89,3,0)*0.475*44/12</f>
        <v>2.6892080445101181</v>
      </c>
      <c r="AC57" s="22">
        <f t="shared" si="3"/>
        <v>15.047846246284983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661</v>
      </c>
      <c r="AG57" s="12">
        <f>VLOOKUP(A57,'Données projet'!$A$61:$I$81,9,0)</f>
        <v>11.75</v>
      </c>
      <c r="AH57" s="12">
        <f t="array" ref="AH57">INDEX(AG:AG,MIN(IF(ISNUMBER(AG57:AG253),ROW(AG57:AG253),"")))</f>
        <v>11.75</v>
      </c>
      <c r="AI57" s="13">
        <f>IF('Données projet'!$A$62&gt;35,AI56+AH57-AQ56,IF(A57&lt;'Données projet'!$A$62,$AF$205^A57,IF(A57='Données projet'!$A$62,'Données projet'!$B$62,AI56+AH57-AQ56)))</f>
        <v>660.99999999999989</v>
      </c>
      <c r="AJ57" s="13">
        <f>AI57*VLOOKUP('Données projet'!$B$10,Paramètres!$A$1:$I$89,3,0)*VLOOKUP('Données projet'!$B$10,Paramètres!$A$1:$I$89,5,0)</f>
        <v>395.27799999999996</v>
      </c>
      <c r="AK57" s="13">
        <f t="shared" si="35"/>
        <v>90.818691557085472</v>
      </c>
      <c r="AL57" s="20">
        <f t="shared" si="4"/>
        <v>846.61840446192366</v>
      </c>
      <c r="AM57" s="59">
        <f t="shared" si="5"/>
        <v>1139.951737795257</v>
      </c>
      <c r="AN57" s="59">
        <f ca="1">AVERAGE(OFFSET($AM$3,0,0,'Données projet'!$E$10+1,1))-AVERAGE(OFFSET($H$3,0,0,'Données projet'!$E$10+1,1))</f>
        <v>408.84545509668794</v>
      </c>
      <c r="AO57" s="59">
        <f t="shared" si="36"/>
        <v>409.9253979841132</v>
      </c>
      <c r="AP57" s="15">
        <f>IF(ISNA(VLOOKUP(A57,'Données projet'!$A$61:$I$81,3,0)),0,VLOOKUP(A57,'Données projet'!$A$61:$I$81,3,0))</f>
        <v>9</v>
      </c>
      <c r="AQ57" s="15">
        <f>IF(ISNA(VLOOKUP(A57,'Données projet'!$A$61:$I$81,4,0)),0,VLOOKUP(A57,'Données projet'!$A$61:$I$81,4,0))</f>
        <v>36</v>
      </c>
      <c r="AR57" s="16">
        <f>IF(ISNA(VLOOKUP(A57,'Données projet'!$A$61:$I$81,5,0)),0%,VLOOKUP(A57,'Données projet'!$A$61:$I$81,5,0)*VLOOKUP('Données projet'!$B$10,Paramètres!$A$1:$I$89,7,0))</f>
        <v>0.13500000000000001</v>
      </c>
      <c r="AS57" s="16">
        <f>IF(ISNA(VLOOKUP(A57,'Données projet'!$A$61:$I$81,6,0)),0%,VLOOKUP(A57,'Données projet'!$A$61:$I$81,6,0)*VLOOKUP('Données projet'!$B$10,Paramètres!$A$1:$I$89,7,0))</f>
        <v>0.18000000000000002</v>
      </c>
      <c r="AT57" s="16">
        <f>IF(ISNA(VLOOKUP(A57,'Données projet'!$A$61:$I$81,7,0)),0%,VLOOKUP(A57,'Données projet'!$A$61:$I$81,7,0))</f>
        <v>0.3</v>
      </c>
      <c r="AU57" s="21">
        <f>EXP(-LN(2)/35)*AU56+(1-EXP(-LN(2)/35))/(LN(2)/35)*AQ57*AR57*VLOOKUP('Données projet'!$B$10,Paramètres!$A$1:$I$89,3,0)*0.475*44/12</f>
        <v>10.967511003463457</v>
      </c>
      <c r="AV57" s="21">
        <f>EXP(-LN(2)/25)*AV56+(1-EXP(-LN(2)/25))/(LN(2)/25)*Calculateur!AQ57*Calculateur!AS57*VLOOKUP('Données projet'!$B$10,Paramètres!$A$1:$I$89,3,0)*0.475*44/12</f>
        <v>29.150517480995877</v>
      </c>
      <c r="AW57" s="21">
        <f>EXP(-LN(2)/2)*AW56+(1-EXP(-LN(2)/2))/(LN(2)/2)*AQ57*AT57*VLOOKUP('Données projet'!$B$10,Paramètres!$A$1:$I$89,3,0)*0.475*44/12</f>
        <v>7.857740631745429</v>
      </c>
      <c r="AX57" s="21">
        <f t="shared" si="6"/>
        <v>47.975769116204759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19.2</v>
      </c>
      <c r="BD57" s="12">
        <f>IF('Données projet'!$A$88&gt;35,BD56+BC57-BL56,IF(A57&lt;'Données projet'!$A$88,$BA$205^A57,IF(A57='Données projet'!$A$88,'Données projet'!$B$88,BD56+BC57-BL56)))</f>
        <v>443.8</v>
      </c>
      <c r="BE57" s="13">
        <f>BD57*VLOOKUP('Données projet'!$B$11,Paramètres!$A$1:$I$89,3,0)*VLOOKUP('Données projet'!$B$11,Paramètres!$A$1:$I$89,5,0)</f>
        <v>265.39240000000007</v>
      </c>
      <c r="BF57" s="13">
        <f t="shared" si="37"/>
        <v>63.870442862391819</v>
      </c>
      <c r="BG57" s="20">
        <f t="shared" si="7"/>
        <v>573.46611798533252</v>
      </c>
      <c r="BH57" s="59">
        <f t="shared" si="8"/>
        <v>866.79945131866589</v>
      </c>
      <c r="BI57" s="59">
        <f ca="1">AVERAGE(OFFSET($BH$3,0,0,'Données projet'!$E$11+1,1))-AVERAGE(OFFSET($H$3,0,0,'Données projet'!$E$11+1,1))</f>
        <v>279.69031306919914</v>
      </c>
      <c r="BJ57" s="59">
        <f t="shared" si="38"/>
        <v>297.01680128882509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8.0552243307605256</v>
      </c>
      <c r="BQ57" s="21">
        <f>EXP(-LN(2)/25)*BQ56+(1-EXP(-LN(2)/25))/(LN(2)/25)*Calculateur!BL57*Calculateur!BN57*VLOOKUP('Données projet'!$B$11,Paramètres!$A$1:$I$89,3,0)*0.475*44/12</f>
        <v>37.550054417283697</v>
      </c>
      <c r="BR57" s="21">
        <f>EXP(-LN(2)/2)*BR56+(1-EXP(-LN(2)/2))/(LN(2)/2)*BL57*BO57*VLOOKUP('Données projet'!$B$11,Paramètres!$A$1:$I$89,3,0)*0.475*44/12</f>
        <v>3.1939724348439573</v>
      </c>
      <c r="BS57" s="22">
        <f t="shared" si="9"/>
        <v>48.799251182888177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>
        <f>VLOOKUP(A57,'Données projet'!$A$113:$I$133,2,0)</f>
        <v>168</v>
      </c>
      <c r="BW57" s="12">
        <f>VLOOKUP(A57,'Données projet'!$A$113:$I$133,9,0)</f>
        <v>4.125</v>
      </c>
      <c r="BX57" s="12">
        <f t="array" ref="BX57">INDEX(BW:BW,MIN(IF(ISNUMBER(BW57:BW253),ROW(BW57:BW253),"")))</f>
        <v>4.125</v>
      </c>
      <c r="BY57" s="12">
        <f>IF('Données projet'!$A$114&gt;35,BY56+BX57-CG56,IF(A57&lt;'Données projet'!$A$114,$BV$205^A57,IF(A57='Données projet'!$A$114,'Données projet'!$B$114,BY56+BX57-CG56)))</f>
        <v>168</v>
      </c>
      <c r="BZ57" s="13">
        <f>BY57*VLOOKUP('Données projet'!$B$12,Paramètres!$A$1:$I$89,3,0)*VLOOKUP('Données projet'!$B$12,Paramètres!$A$1:$I$89,5,0)</f>
        <v>100.464</v>
      </c>
      <c r="CA57" s="13">
        <f t="shared" si="39"/>
        <v>27.072509349827456</v>
      </c>
      <c r="CB57" s="20">
        <f t="shared" si="10"/>
        <v>222.12608711761615</v>
      </c>
      <c r="CC57" s="59">
        <f t="shared" si="11"/>
        <v>515.45942045094944</v>
      </c>
      <c r="CD57" s="59">
        <f ca="1">AVERAGE(OFFSET($CC$3,0,0,'Données projet'!$E$12+1,1))-AVERAGE(OFFSET($H$3,0,0,'Données projet'!$E$12+1,1))</f>
        <v>81.299024916151723</v>
      </c>
      <c r="CE57" s="59">
        <f t="shared" si="40"/>
        <v>88.106373324240167</v>
      </c>
      <c r="CF57" s="15">
        <f>IF(ISNA(VLOOKUP(A57,'Données projet'!$A$113:$I$133,3,0)),0,VLOOKUP(A57,'Données projet'!$A$113:$I$133,3,0))</f>
        <v>9</v>
      </c>
      <c r="CG57" s="15">
        <f>IF(ISNA(VLOOKUP(A57,'Données projet'!$A$113:$I$133,4,0)),0,VLOOKUP(A57,'Données projet'!$A$113:$I$133,4,0))</f>
        <v>16</v>
      </c>
      <c r="CH57" s="16">
        <f>IF(ISNA(VLOOKUP(A57,'Données projet'!$A$113:$I$133,5,0)),0%,VLOOKUP(A57,'Données projet'!$A$113:$I$133,5,0)*VLOOKUP('Données projet'!$B$12,Paramètres!$A$1:$I$89,7,0))</f>
        <v>0.13500000000000001</v>
      </c>
      <c r="CI57" s="16">
        <f>IF(ISNA(VLOOKUP(A57,'Données projet'!$A$113:$I$133,6,0)),0%,VLOOKUP(A57,'Données projet'!$A$113:$I$133,6,0)*VLOOKUP('Données projet'!$B$12,Paramètres!$A$1:$I$89,7,0))</f>
        <v>0.18000000000000002</v>
      </c>
      <c r="CJ57" s="16">
        <f>IF(ISNA(VLOOKUP(A57,'Données projet'!$A$113:$I$133,7,0)),0%,VLOOKUP(A57,'Données projet'!$A$113:$I$133,7,0))</f>
        <v>0.3</v>
      </c>
      <c r="CK57" s="21">
        <f>EXP(-LN(2)/35)*CK56+(1-EXP(-LN(2)/35))/(LN(2)/35)*CG57*CH57*VLOOKUP('Données projet'!$B$12,Paramètres!$A$1:$I$89,3,0)*0.475*44/12</f>
        <v>5.8957612566098527</v>
      </c>
      <c r="CL57" s="21">
        <f>EXP(-LN(2)/25)*CL56+(1-EXP(-LN(2)/25))/(LN(2)/25)*Calculateur!CG57*Calculateur!CI57*VLOOKUP('Données projet'!$B$12,Paramètres!$A$1:$I$89,3,0)*0.475*44/12</f>
        <v>11.87788975235615</v>
      </c>
      <c r="CM57" s="21">
        <f>EXP(-LN(2)/2)*CM56+(1-EXP(-LN(2)/2))/(LN(2)/2)*CG57*CJ57*VLOOKUP('Données projet'!$B$12,Paramètres!$A$1:$I$89,3,0)*0.475*44/12</f>
        <v>3.5469857064370292</v>
      </c>
      <c r="CN57" s="22">
        <f t="shared" si="12"/>
        <v>21.320636715403033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15.4</v>
      </c>
      <c r="CT57" s="12">
        <f>IF('Données projet'!$A$140&gt;35,CT56+CS57-DB56,IF(A57&lt;'Données projet'!$A$140,$CQ$205^A57,IF(A57='Données projet'!$A$140,'Données projet'!$B$140,CT56+CS57-DB56)))</f>
        <v>723.59999999999945</v>
      </c>
      <c r="CU57" s="17">
        <f>CT57*VLOOKUP('Données projet'!$B$13,Paramètres!$A$1:$I$89,3,0)*VLOOKUP('Données projet'!$B$13,Paramètres!$A$1:$I$89,5,0)</f>
        <v>404.49239999999969</v>
      </c>
      <c r="CV57" s="13">
        <f t="shared" si="41"/>
        <v>92.686837535548761</v>
      </c>
      <c r="CW57" s="20">
        <f t="shared" si="13"/>
        <v>865.92050537441344</v>
      </c>
      <c r="CX57" s="59">
        <f t="shared" si="14"/>
        <v>1159.2538387077468</v>
      </c>
      <c r="CY57" s="59">
        <f ca="1">AVERAGE(OFFSET($CX$3,0,0,'Données projet'!$E$13+1,1))-AVERAGE(OFFSET($H$3,0,0,'Données projet'!$E$13+1,1))</f>
        <v>475.42482703895411</v>
      </c>
      <c r="CZ57" s="59">
        <f t="shared" si="42"/>
        <v>593.51433014569966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51.648164307406134</v>
      </c>
      <c r="DG57" s="21">
        <f>EXP(-LN(2)/25)*DG56+(1-EXP(-LN(2)/25))/(LN(2)/25)*Calculateur!DB57*Calculateur!DD57*VLOOKUP('Données projet'!$B$13,Paramètres!$A$1:$I$89,3,0)*0.475*44/12</f>
        <v>38.253312733477422</v>
      </c>
      <c r="DH57" s="21">
        <f>EXP(-LN(2)/2)*DH56+(1-EXP(-LN(2)/2))/(LN(2)/2)*DB57*DE57*VLOOKUP('Données projet'!$B$13,Paramètres!$A$1:$I$89,3,0)*0.475*44/12</f>
        <v>2.4214076847453145</v>
      </c>
      <c r="DI57" s="22">
        <f t="shared" si="15"/>
        <v>92.322884725628867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10.125</v>
      </c>
      <c r="DO57" s="12">
        <f>IF('Données projet'!$A$166&gt;35,DO56+DN57-DW56,IF(A57&lt;'Données projet'!$A$166,$DL$205^A57,IF(A57='Données projet'!$A$166,'Données projet'!$B$166,DO56+DN57-DW56)))</f>
        <v>189.25</v>
      </c>
      <c r="DP57" s="17">
        <f>DO57*VLOOKUP('Données projet'!$B$14,Paramètres!$A$1:$I$89,3,0)*VLOOKUP('Données projet'!$B$14,Paramètres!$A$1:$I$89,5,0)</f>
        <v>171.23339999999999</v>
      </c>
      <c r="DQ57" s="13">
        <f t="shared" si="43"/>
        <v>43.366147824369882</v>
      </c>
      <c r="DR57" s="20">
        <f t="shared" si="16"/>
        <v>373.76087912744418</v>
      </c>
      <c r="DS57" s="59">
        <f t="shared" si="17"/>
        <v>667.0942124607775</v>
      </c>
      <c r="DT57" s="59">
        <f ca="1">AVERAGE(OFFSET($DS$3,0,0,'Données projet'!$E$14+1,1))-AVERAGE(OFFSET($H$3,0,0,'Données projet'!$E$14+1,1))</f>
        <v>401.17301323870578</v>
      </c>
      <c r="DU57" s="59">
        <f t="shared" si="44"/>
        <v>201.57993789149754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20.234247438295355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20.234247438295355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4.4000000000000004</v>
      </c>
      <c r="EJ57" s="12">
        <f>IF('Données projet'!$A$192&gt;35,EJ56+EI57-ER56,IF(A57&lt;'Données projet'!$A$192,$EG$205^A57,IF(A57='Données projet'!$A$192,'Données projet'!$B$192,EJ56+EI57-ER56)))</f>
        <v>215.60000000000002</v>
      </c>
      <c r="EK57" s="17">
        <f>EJ57*VLOOKUP('Données projet'!$B$15,Paramètres!$A$1:$I$89,3,0)*VLOOKUP('Données projet'!$B$15,Paramètres!$A$1:$I$89,5,0)</f>
        <v>188.34816000000004</v>
      </c>
      <c r="EL57" s="13">
        <f t="shared" si="45"/>
        <v>47.174569095030364</v>
      </c>
      <c r="EM57" s="20">
        <f t="shared" si="19"/>
        <v>410.20208650717791</v>
      </c>
      <c r="EN57" s="59">
        <f t="shared" si="20"/>
        <v>703.53541984051117</v>
      </c>
      <c r="EO57" s="59">
        <f ca="1">AVERAGE(OFFSET($EN$3,0,0,'Données projet'!$E$15+1,1))-AVERAGE(OFFSET($H$3,0,0,'Données projet'!$E$15+1,1))</f>
        <v>237.8483058552178</v>
      </c>
      <c r="EP57" s="59">
        <f t="shared" si="46"/>
        <v>313.36201272119723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6.2528136400079966</v>
      </c>
      <c r="EW57" s="21">
        <f>EXP(-LN(2)/25)*EW56+(1-EXP(-LN(2)/25))/(LN(2)/25)*Calculateur!ER57*Calculateur!ET57*VLOOKUP('Données projet'!$B$15,Paramètres!$A$1:$I$89,3,0)*0.475*44/12</f>
        <v>5.7260414622845506</v>
      </c>
      <c r="EX57" s="21">
        <f>EXP(-LN(2)/2)*EX56+(1-EXP(-LN(2)/2))/(LN(2)/2)*ER57*EU57*VLOOKUP('Données projet'!$B$15,Paramètres!$A$1:$I$89,3,0)*0.475*44/12</f>
        <v>2.1153991366317144</v>
      </c>
      <c r="EY57" s="22">
        <f t="shared" si="21"/>
        <v>14.094254238924261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8.4</v>
      </c>
      <c r="FE57" s="12">
        <f>IF('Données projet'!$A$218&gt;35,FE56+FD57-FM56,IF(A57&lt;'Données projet'!$A$218,$FB$205^A57,IF(A57='Données projet'!$A$218,'Données projet'!$B$218,FE56+FD57-FM56)))</f>
        <v>315.59999999999985</v>
      </c>
      <c r="FF57" s="17">
        <f>FE57*VLOOKUP('Données projet'!$B$16,Paramètres!$A$1:$I$89,3,0)*VLOOKUP('Données projet'!$B$16,Paramètres!$A$1:$I$89,5,0)</f>
        <v>246.16799999999989</v>
      </c>
      <c r="FG57" s="13">
        <f t="shared" si="47"/>
        <v>59.764639499163827</v>
      </c>
      <c r="FH57" s="20">
        <f t="shared" si="22"/>
        <v>532.83268046104342</v>
      </c>
      <c r="FI57" s="59">
        <f t="shared" si="23"/>
        <v>826.16601379437679</v>
      </c>
      <c r="FJ57" s="59">
        <f ca="1">AVERAGE(OFFSET($FI$3,0,0,'Données projet'!$E$16+1,1))-AVERAGE(OFFSET($H$3,0,0,'Données projet'!$E$16+1,1))</f>
        <v>318.52984981739411</v>
      </c>
      <c r="FK57" s="59">
        <f t="shared" si="48"/>
        <v>311.56398336941714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7.1405091903105458</v>
      </c>
      <c r="FR57" s="21">
        <f>EXP(-LN(2)/25)*FR56+(1-EXP(-LN(2)/25))/(LN(2)/25)*Calculateur!FM57*Calculateur!FO57*VLOOKUP('Données projet'!$B$16,Paramètres!$A$1:$I$89,3,0)*0.475*44/12</f>
        <v>8.2522466073550085</v>
      </c>
      <c r="FS57" s="21">
        <f>EXP(-LN(2)/2)*FS56+(1-EXP(-LN(2)/2))/(LN(2)/2)*FM57*FP57*VLOOKUP('Données projet'!$B$16,Paramètres!$A$1:$I$89,3,0)*0.475*44/12</f>
        <v>1.4988867317391519</v>
      </c>
      <c r="FT57" s="22">
        <f t="shared" si="24"/>
        <v>16.891642529404706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8.4</v>
      </c>
      <c r="FZ57" s="12">
        <f>IF('Données projet'!$A$244&gt;35,FZ56+FY57-GH56,IF(A57&lt;'Données projet'!$A$244,$FW$205^A57,IF(A57='Données projet'!$A$244,'Données projet'!$B$244,FZ56+FY57-GH56)))</f>
        <v>315.59999999999985</v>
      </c>
      <c r="GA57" s="17">
        <f>FZ57*VLOOKUP('Données projet'!$B$17,Paramètres!$A$1:$I$89,3,0)*VLOOKUP('Données projet'!$B$17,Paramètres!$A$1:$I$89,5,0)</f>
        <v>251.0913599999999</v>
      </c>
      <c r="GB57" s="13">
        <f t="shared" si="49"/>
        <v>60.81957989149403</v>
      </c>
      <c r="GC57" s="20">
        <f t="shared" si="25"/>
        <v>543.24488697768527</v>
      </c>
      <c r="GD57" s="59">
        <f t="shared" si="26"/>
        <v>836.57822031101864</v>
      </c>
      <c r="GE57" s="59">
        <f ca="1">AVERAGE(OFFSET($GD$3,0,0,'Données projet'!$E$17+1,1))-AVERAGE(OFFSET($H$3,0,0,'Données projet'!$E$17+1,1))</f>
        <v>325.72928944930294</v>
      </c>
      <c r="GF57" s="59">
        <f t="shared" si="50"/>
        <v>318.38876834819752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8.9771145773997265</v>
      </c>
      <c r="GM57" s="21">
        <f>EXP(-LN(2)/25)*GM56+(1-EXP(-LN(2)/25))/(LN(2)/25)*Calculateur!GH57*Calculateur!GJ57*VLOOKUP('Données projet'!$B$17,Paramètres!$A$1:$I$89,3,0)*0.475*44/12</f>
        <v>10.374801199851435</v>
      </c>
      <c r="GN57" s="21">
        <f>EXP(-LN(2)/2)*GN56+(1-EXP(-LN(2)/2))/(LN(2)/2)*GH57*GK57*VLOOKUP('Données projet'!$B$17,Paramètres!$A$1:$I$89,3,0)*0.475*44/12</f>
        <v>1.5288644663739359</v>
      </c>
      <c r="GO57" s="21">
        <f t="shared" si="27"/>
        <v>20.880780243625097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8.4</v>
      </c>
      <c r="GU57" s="12">
        <f>IF('Données projet'!$A$270&gt;35,GU56+GT57-HC56,IF(A57&lt;'Données projet'!$A$270,$GR$205^A57,IF(A57='Données projet'!$A$270,'Données projet'!$B$270,GU56+GT57-HC56)))</f>
        <v>315.59999999999985</v>
      </c>
      <c r="GV57" s="17">
        <f>GU57*VLOOKUP('Données projet'!$B$18,Paramètres!$A$1:$I$89,3,0)*VLOOKUP('Données projet'!$B$18,Paramètres!$A$1:$I$89,5,0)</f>
        <v>211.7044799999999</v>
      </c>
      <c r="GW57" s="13">
        <f t="shared" si="51"/>
        <v>52.307882041697226</v>
      </c>
      <c r="GX57" s="20">
        <f t="shared" si="28"/>
        <v>459.82153055595586</v>
      </c>
      <c r="GY57" s="59">
        <f t="shared" si="29"/>
        <v>753.15486388928912</v>
      </c>
      <c r="GZ57" s="59">
        <f ca="1">AVERAGE(OFFSET($GY$3,0,0,'Données projet'!$E$18+1,1))-AVERAGE(OFFSET($H$3,0,0,'Données projet'!$E$18+1,1))</f>
        <v>268.04554291387961</v>
      </c>
      <c r="HA57" s="59">
        <f t="shared" si="52"/>
        <v>263.70463099437148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7.5689397417291806</v>
      </c>
      <c r="HH57" s="21">
        <f>EXP(-LN(2)/25)*HH56+(1-EXP(-LN(2)/25))/(LN(2)/25)*Calculateur!HC57*Calculateur!HE57*VLOOKUP('Données projet'!$B$18,Paramètres!$A$1:$I$89,3,0)*0.475*44/12</f>
        <v>8.7473814037963091</v>
      </c>
      <c r="HI57" s="21">
        <f>EXP(-LN(2)/2)*HI56+(1-EXP(-LN(2)/2))/(LN(2)/2)*HC57*HF57*VLOOKUP('Données projet'!$B$18,Paramètres!$A$1:$I$89,3,0)*0.475*44/12</f>
        <v>1.2890425892956709</v>
      </c>
      <c r="HJ57" s="22">
        <f t="shared" si="30"/>
        <v>17.605363734821161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</v>
      </c>
      <c r="N58" s="13">
        <f>IF('Données projet'!$A$36&gt;35,N57+M58-V57,IF(A58&lt;'Données projet'!$A$36,$K$205^A58,IF(A58='Données projet'!$A$36,'Données projet'!$B$36,N57+M58-V57)))</f>
        <v>168</v>
      </c>
      <c r="O58" s="13">
        <f>N58*VLOOKUP('Données projet'!$B$9,Paramètres!$A$1:$I$89,3,0)*VLOOKUP('Données projet'!$B$9,Paramètres!$A$1:$I$89,5,0)</f>
        <v>74.256000000000014</v>
      </c>
      <c r="P58" s="13">
        <f t="shared" si="33"/>
        <v>20.726714411291823</v>
      </c>
      <c r="Q58" s="20">
        <f t="shared" si="53"/>
        <v>165.4282275996666</v>
      </c>
      <c r="R58" s="59">
        <f t="shared" si="0"/>
        <v>458.76156093299994</v>
      </c>
      <c r="S58" s="59">
        <f ca="1">AVERAGE(OFFSET($R$3,0,0,'Données projet'!$E$9+1,1))-AVERAGE(OFFSET($H$3,0,0,'Données projet'!$E$9+1,1))</f>
        <v>46.095319339746538</v>
      </c>
      <c r="T58" s="59">
        <f t="shared" si="34"/>
        <v>48.158174304064403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2.5331722377065256</v>
      </c>
      <c r="AA58" s="21">
        <f>EXP(-LN(2)/25)*AA57+(1-EXP(-LN(2)/25))/(LN(2)/25)*Calculateur!V58*Calculateur!X58*VLOOKUP('Données projet'!$B$9,Paramètres!$A$1:$I$89,3,0)*0.475*44/12</f>
        <v>9.507506064932107</v>
      </c>
      <c r="AB58" s="21">
        <f>EXP(-LN(2)/2)*AB57+(1-EXP(-LN(2)/2))/(LN(2)/2)*V58*Y58*VLOOKUP('Données projet'!$B$9,Paramètres!$A$1:$I$89,3,0)*0.475*44/12</f>
        <v>1.9015572442945194</v>
      </c>
      <c r="AC58" s="22">
        <f t="shared" si="3"/>
        <v>13.942235546933151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7.625</v>
      </c>
      <c r="AI58" s="13">
        <f>IF('Données projet'!$A$62&gt;35,AI57+AH58-AQ57,IF(A58&lt;'Données projet'!$A$62,$AF$205^A58,IF(A58='Données projet'!$A$62,'Données projet'!$B$62,AI57+AH58-AQ57)))</f>
        <v>632.62499999999989</v>
      </c>
      <c r="AJ58" s="13">
        <f>AI58*VLOOKUP('Données projet'!$B$10,Paramètres!$A$1:$I$89,3,0)*VLOOKUP('Données projet'!$B$10,Paramètres!$A$1:$I$89,5,0)</f>
        <v>378.30974999999995</v>
      </c>
      <c r="AK58" s="13">
        <f t="shared" si="35"/>
        <v>87.365133761824737</v>
      </c>
      <c r="AL58" s="20">
        <f t="shared" si="4"/>
        <v>811.05042255184469</v>
      </c>
      <c r="AM58" s="59">
        <f t="shared" si="5"/>
        <v>1104.3837558851781</v>
      </c>
      <c r="AN58" s="59">
        <f ca="1">AVERAGE(OFFSET($AM$3,0,0,'Données projet'!$E$10+1,1))-AVERAGE(OFFSET($H$3,0,0,'Données projet'!$E$10+1,1))</f>
        <v>408.84545509668794</v>
      </c>
      <c r="AO58" s="59">
        <f t="shared" si="36"/>
        <v>409.9253979841132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10.752444802206716</v>
      </c>
      <c r="AV58" s="21">
        <f>EXP(-LN(2)/25)*AV57+(1-EXP(-LN(2)/25))/(LN(2)/25)*Calculateur!AQ58*Calculateur!AS58*VLOOKUP('Données projet'!$B$10,Paramètres!$A$1:$I$89,3,0)*0.475*44/12</f>
        <v>28.353395047518955</v>
      </c>
      <c r="AW58" s="21">
        <f>EXP(-LN(2)/2)*AW57+(1-EXP(-LN(2)/2))/(LN(2)/2)*AQ58*AT58*VLOOKUP('Données projet'!$B$10,Paramètres!$A$1:$I$89,3,0)*0.475*44/12</f>
        <v>5.5562616855122595</v>
      </c>
      <c r="AX58" s="21">
        <f t="shared" si="6"/>
        <v>44.66210153523793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463</v>
      </c>
      <c r="BB58" s="12">
        <f>VLOOKUP(A58,'Données projet'!$A$87:$I$107,9,0)</f>
        <v>19.2</v>
      </c>
      <c r="BC58" s="12">
        <f t="array" ref="BC58">INDEX(BB:BB,MIN(IF(ISNUMBER(BB58:BB254),ROW(BB58:BB254),"")))</f>
        <v>19.2</v>
      </c>
      <c r="BD58" s="12">
        <f>IF('Données projet'!$A$88&gt;35,BD57+BC58-BL57,IF(A58&lt;'Données projet'!$A$88,$BA$205^A58,IF(A58='Données projet'!$A$88,'Données projet'!$B$88,BD57+BC58-BL57)))</f>
        <v>463</v>
      </c>
      <c r="BE58" s="13">
        <f>BD58*VLOOKUP('Données projet'!$B$11,Paramètres!$A$1:$I$89,3,0)*VLOOKUP('Données projet'!$B$11,Paramètres!$A$1:$I$89,5,0)</f>
        <v>276.87400000000002</v>
      </c>
      <c r="BF58" s="13">
        <f t="shared" si="37"/>
        <v>66.305964184031993</v>
      </c>
      <c r="BG58" s="20">
        <f t="shared" si="7"/>
        <v>597.7051042871891</v>
      </c>
      <c r="BH58" s="59">
        <f t="shared" si="8"/>
        <v>891.03843762052247</v>
      </c>
      <c r="BI58" s="59">
        <f ca="1">AVERAGE(OFFSET($BH$3,0,0,'Données projet'!$E$11+1,1))-AVERAGE(OFFSET($H$3,0,0,'Données projet'!$E$11+1,1))</f>
        <v>279.69031306919914</v>
      </c>
      <c r="BJ58" s="59">
        <f t="shared" si="38"/>
        <v>297.01680128882509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48</v>
      </c>
      <c r="BM58" s="16">
        <f>IF(ISNA(VLOOKUP(A58,'Données projet'!$A$87:$I$107,5,0)),0%,VLOOKUP(A58,'Données projet'!$A$87:$I$107,5,0)*VLOOKUP('Données projet'!$B$11,Paramètres!$A$1:$I$89,7,0))</f>
        <v>0.13500000000000001</v>
      </c>
      <c r="BN58" s="16">
        <f>IF(ISNA(VLOOKUP(A58,'Données projet'!$A$87:$I$107,6,0)),0%,VLOOKUP(A58,'Données projet'!$A$87:$I$107,6,0)*VLOOKUP('Données projet'!$B$11,Paramètres!$A$1:$I$89,7,0))</f>
        <v>0.18000000000000002</v>
      </c>
      <c r="BO58" s="16">
        <f>IF(ISNA(VLOOKUP(A58,'Données projet'!$A$87:$I$107,7,0)),0%,VLOOKUP(A58,'Données projet'!$A$87:$I$107,7,0))</f>
        <v>0.3</v>
      </c>
      <c r="BP58" s="21">
        <f>EXP(-LN(2)/35)*BP57+(1-EXP(-LN(2)/35))/(LN(2)/35)*BL58*BM58*VLOOKUP('Données projet'!$B$11,Paramètres!$A$1:$I$89,3,0)*0.475*44/12</f>
        <v>13.037756622242451</v>
      </c>
      <c r="BQ58" s="21">
        <f>EXP(-LN(2)/25)*BQ57+(1-EXP(-LN(2)/25))/(LN(2)/25)*Calculateur!BL58*Calculateur!BN58*VLOOKUP('Données projet'!$B$11,Paramètres!$A$1:$I$89,3,0)*0.475*44/12</f>
        <v>43.350246548980955</v>
      </c>
      <c r="BR58" s="21">
        <f>EXP(-LN(2)/2)*BR57+(1-EXP(-LN(2)/2))/(LN(2)/2)*BL58*BO58*VLOOKUP('Données projet'!$B$11,Paramètres!$A$1:$I$89,3,0)*0.475*44/12</f>
        <v>12.008358328060972</v>
      </c>
      <c r="BS58" s="22">
        <f t="shared" si="9"/>
        <v>68.396361499284382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2.75</v>
      </c>
      <c r="BY58" s="12">
        <f>IF('Données projet'!$A$114&gt;35,BY57+BX58-CG57,IF(A58&lt;'Données projet'!$A$114,$BV$205^A58,IF(A58='Données projet'!$A$114,'Données projet'!$B$114,BY57+BX58-CG57)))</f>
        <v>154.75</v>
      </c>
      <c r="BZ58" s="13">
        <f>BY58*VLOOKUP('Données projet'!$B$12,Paramètres!$A$1:$I$89,3,0)*VLOOKUP('Données projet'!$B$12,Paramètres!$A$1:$I$89,5,0)</f>
        <v>92.540500000000009</v>
      </c>
      <c r="CA58" s="13">
        <f t="shared" si="39"/>
        <v>25.176936246852556</v>
      </c>
      <c r="CB58" s="20">
        <f t="shared" si="10"/>
        <v>205.02453479660156</v>
      </c>
      <c r="CC58" s="59">
        <f t="shared" si="11"/>
        <v>498.3578681299349</v>
      </c>
      <c r="CD58" s="59">
        <f ca="1">AVERAGE(OFFSET($CC$3,0,0,'Données projet'!$E$12+1,1))-AVERAGE(OFFSET($H$3,0,0,'Données projet'!$E$12+1,1))</f>
        <v>81.299024916151723</v>
      </c>
      <c r="CE58" s="59">
        <f t="shared" si="40"/>
        <v>88.106373324240167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5.7801489744270187</v>
      </c>
      <c r="CL58" s="21">
        <f>EXP(-LN(2)/25)*CL57+(1-EXP(-LN(2)/25))/(LN(2)/25)*Calculateur!CG58*Calculateur!CI58*VLOOKUP('Données projet'!$B$12,Paramètres!$A$1:$I$89,3,0)*0.475*44/12</f>
        <v>11.553088232446896</v>
      </c>
      <c r="CM58" s="21">
        <f>EXP(-LN(2)/2)*CM57+(1-EXP(-LN(2)/2))/(LN(2)/2)*CG58*CJ58*VLOOKUP('Données projet'!$B$12,Paramètres!$A$1:$I$89,3,0)*0.475*44/12</f>
        <v>2.5080976457933803</v>
      </c>
      <c r="CN58" s="22">
        <f t="shared" si="12"/>
        <v>19.841334852667295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739</v>
      </c>
      <c r="CR58" s="12">
        <f>VLOOKUP(A58,'Données projet'!$A$139:$I$159,9,0)</f>
        <v>15.4</v>
      </c>
      <c r="CS58" s="12">
        <f t="array" ref="CS58">INDEX(CR:CR,MIN(IF(ISNUMBER(CR58:CR254),ROW(CR58:CR254),"")))</f>
        <v>15.4</v>
      </c>
      <c r="CT58" s="12">
        <f>IF('Données projet'!$A$140&gt;35,CT57+CS58-DB57,IF(A58&lt;'Données projet'!$A$140,$CQ$205^A58,IF(A58='Données projet'!$A$140,'Données projet'!$B$140,CT57+CS58-DB57)))</f>
        <v>738.99999999999943</v>
      </c>
      <c r="CU58" s="17">
        <f>CT58*VLOOKUP('Données projet'!$B$13,Paramètres!$A$1:$I$89,3,0)*VLOOKUP('Données projet'!$B$13,Paramètres!$A$1:$I$89,5,0)</f>
        <v>413.10099999999971</v>
      </c>
      <c r="CV58" s="13">
        <f t="shared" si="41"/>
        <v>94.427689670462271</v>
      </c>
      <c r="CW58" s="20">
        <f t="shared" si="13"/>
        <v>883.94580117605472</v>
      </c>
      <c r="CX58" s="59">
        <f t="shared" si="14"/>
        <v>1177.2791345093881</v>
      </c>
      <c r="CY58" s="59">
        <f ca="1">AVERAGE(OFFSET($CX$3,0,0,'Données projet'!$E$13+1,1))-AVERAGE(OFFSET($H$3,0,0,'Données projet'!$E$13+1,1))</f>
        <v>475.42482703895411</v>
      </c>
      <c r="CZ58" s="59">
        <f t="shared" si="42"/>
        <v>593.51433014569966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46</v>
      </c>
      <c r="DC58" s="16">
        <f>IF(ISNA(VLOOKUP(A58,'Données projet'!$A$139:$I$159,5,0)),0%,VLOOKUP(A58,'Données projet'!$A$139:$I$159,5,0)*VLOOKUP('Données projet'!$B$13,Paramètres!$A$1:$I$89,7,0))</f>
        <v>0.38500000000000001</v>
      </c>
      <c r="DD58" s="16">
        <f>IF(ISNA(VLOOKUP(A58,'Données projet'!$A$139:$I$159,6,0)),0%,VLOOKUP(A58,'Données projet'!$A$139:$I$159,6,0)*VLOOKUP('Données projet'!$B$13,Paramètres!$A$1:$I$89,7,0))</f>
        <v>0.11000000000000001</v>
      </c>
      <c r="DE58" s="16">
        <f>IF(ISNA(VLOOKUP(A58,'Données projet'!$A$139:$I$159,7,0)),0%,VLOOKUP(A58,'Données projet'!$A$139:$I$159,7,0))</f>
        <v>0.1</v>
      </c>
      <c r="DF58" s="21">
        <f>EXP(-LN(2)/35)*DF57+(1-EXP(-LN(2)/35))/(LN(2)/35)*DB58*DC58*VLOOKUP('Données projet'!$B$13,Paramètres!$A$1:$I$89,3,0)*0.475*44/12</f>
        <v>63.768217494368891</v>
      </c>
      <c r="DG58" s="21">
        <f>EXP(-LN(2)/25)*DG57+(1-EXP(-LN(2)/25))/(LN(2)/25)*Calculateur!DB58*Calculateur!DD58*VLOOKUP('Données projet'!$B$13,Paramètres!$A$1:$I$89,3,0)*0.475*44/12</f>
        <v>40.944740508859589</v>
      </c>
      <c r="DH58" s="21">
        <f>EXP(-LN(2)/2)*DH57+(1-EXP(-LN(2)/2))/(LN(2)/2)*DB58*DE58*VLOOKUP('Données projet'!$B$13,Paramètres!$A$1:$I$89,3,0)*0.475*44/12</f>
        <v>4.6236159237601848</v>
      </c>
      <c r="DI58" s="22">
        <f t="shared" si="15"/>
        <v>109.33657392698866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10.125</v>
      </c>
      <c r="DO58" s="12">
        <f>IF('Données projet'!$A$166&gt;35,DO57+DN58-DW57,IF(A58&lt;'Données projet'!$A$166,$DL$205^A58,IF(A58='Données projet'!$A$166,'Données projet'!$B$166,DO57+DN58-DW57)))</f>
        <v>199.375</v>
      </c>
      <c r="DP58" s="17">
        <f>DO58*VLOOKUP('Données projet'!$B$14,Paramètres!$A$1:$I$89,3,0)*VLOOKUP('Données projet'!$B$14,Paramètres!$A$1:$I$89,5,0)</f>
        <v>180.39449999999999</v>
      </c>
      <c r="DQ58" s="13">
        <f t="shared" si="43"/>
        <v>45.409943962080618</v>
      </c>
      <c r="DR58" s="20">
        <f t="shared" si="16"/>
        <v>393.27607323395705</v>
      </c>
      <c r="DS58" s="59">
        <f t="shared" si="17"/>
        <v>686.60940656729031</v>
      </c>
      <c r="DT58" s="59">
        <f ca="1">AVERAGE(OFFSET($DS$3,0,0,'Données projet'!$E$14+1,1))-AVERAGE(OFFSET($H$3,0,0,'Données projet'!$E$14+1,1))</f>
        <v>401.17301323870578</v>
      </c>
      <c r="DU58" s="59">
        <f t="shared" si="44"/>
        <v>201.57993789149754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19.680940878022341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19.680940878022341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4.4000000000000004</v>
      </c>
      <c r="EJ58" s="12">
        <f>IF('Données projet'!$A$192&gt;35,EJ57+EI58-ER57,IF(A58&lt;'Données projet'!$A$192,$EG$205^A58,IF(A58='Données projet'!$A$192,'Données projet'!$B$192,EJ57+EI58-ER57)))</f>
        <v>220.00000000000003</v>
      </c>
      <c r="EK58" s="17">
        <f>EJ58*VLOOKUP('Données projet'!$B$15,Paramètres!$A$1:$I$89,3,0)*VLOOKUP('Données projet'!$B$15,Paramètres!$A$1:$I$89,5,0)</f>
        <v>192.19200000000006</v>
      </c>
      <c r="EL58" s="13">
        <f t="shared" si="45"/>
        <v>48.02424892193244</v>
      </c>
      <c r="EM58" s="20">
        <f t="shared" si="19"/>
        <v>418.37663353903241</v>
      </c>
      <c r="EN58" s="59">
        <f t="shared" si="20"/>
        <v>711.70996687236573</v>
      </c>
      <c r="EO58" s="59">
        <f ca="1">AVERAGE(OFFSET($EN$3,0,0,'Données projet'!$E$15+1,1))-AVERAGE(OFFSET($H$3,0,0,'Données projet'!$E$15+1,1))</f>
        <v>237.8483058552178</v>
      </c>
      <c r="EP58" s="59">
        <f t="shared" si="46"/>
        <v>313.36201272119723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6.1301997783671744</v>
      </c>
      <c r="EW58" s="21">
        <f>EXP(-LN(2)/25)*EW57+(1-EXP(-LN(2)/25))/(LN(2)/25)*Calculateur!ER58*Calculateur!ET58*VLOOKUP('Données projet'!$B$15,Paramètres!$A$1:$I$89,3,0)*0.475*44/12</f>
        <v>5.5694625573789462</v>
      </c>
      <c r="EX58" s="21">
        <f>EXP(-LN(2)/2)*EX57+(1-EXP(-LN(2)/2))/(LN(2)/2)*ER58*EU58*VLOOKUP('Données projet'!$B$15,Paramètres!$A$1:$I$89,3,0)*0.475*44/12</f>
        <v>1.4958130744284532</v>
      </c>
      <c r="EY58" s="22">
        <f t="shared" si="21"/>
        <v>13.195475410174573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324</v>
      </c>
      <c r="FC58" s="12">
        <f>VLOOKUP(A58,'Données projet'!$A$217:$I$237,9,0)</f>
        <v>8.4</v>
      </c>
      <c r="FD58" s="12">
        <f t="array" ref="FD58">INDEX(FC:FC,MIN(IF(ISNUMBER(FC58:FC254),ROW(FC58:FC254),"")))</f>
        <v>8.4</v>
      </c>
      <c r="FE58" s="12">
        <f>IF('Données projet'!$A$218&gt;35,FE57+FD58-FM57,IF(A58&lt;'Données projet'!$A$218,$FB$205^A58,IF(A58='Données projet'!$A$218,'Données projet'!$B$218,FE57+FD58-FM57)))</f>
        <v>323.99999999999983</v>
      </c>
      <c r="FF58" s="17">
        <f>FE58*VLOOKUP('Données projet'!$B$16,Paramètres!$A$1:$I$89,3,0)*VLOOKUP('Données projet'!$B$16,Paramètres!$A$1:$I$89,5,0)</f>
        <v>252.71999999999989</v>
      </c>
      <c r="FG58" s="13">
        <f t="shared" si="47"/>
        <v>61.168020584496766</v>
      </c>
      <c r="FH58" s="20">
        <f t="shared" si="22"/>
        <v>546.6883025179983</v>
      </c>
      <c r="FI58" s="59">
        <f t="shared" si="23"/>
        <v>840.02163585133167</v>
      </c>
      <c r="FJ58" s="59">
        <f ca="1">AVERAGE(OFFSET($FI$3,0,0,'Données projet'!$E$16+1,1))-AVERAGE(OFFSET($H$3,0,0,'Données projet'!$E$16+1,1))</f>
        <v>318.52984981739411</v>
      </c>
      <c r="FK58" s="59">
        <f t="shared" si="48"/>
        <v>311.56398336941714</v>
      </c>
      <c r="FL58" s="15">
        <f>IF(ISNA(VLOOKUP(A58,'Données projet'!$A$217:$I$237,3,0)),0,VLOOKUP(A58,'Données projet'!$A$217:$I$237,3,0))</f>
        <v>10</v>
      </c>
      <c r="FM58" s="15">
        <f>IF(ISNA(VLOOKUP(A58,'Données projet'!$A$217:$I$237,4,0)),0,VLOOKUP(A58,'Données projet'!$A$217:$I$237,4,0))</f>
        <v>18</v>
      </c>
      <c r="FN58" s="16">
        <f>IF(ISNA(VLOOKUP(A58,'Données projet'!$A$217:$I$237,5,0)),0%,VLOOKUP(A58,'Données projet'!$A$217:$I$237,5,0)*VLOOKUP('Données projet'!$B$16,Paramètres!$A$1:$I$89,7,0))</f>
        <v>0.30099999999999999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0.2</v>
      </c>
      <c r="FQ58" s="21">
        <f>EXP(-LN(2)/35)*FQ57+(1-EXP(-LN(2)/35))/(LN(2)/35)*FM58*FN58*VLOOKUP('Données projet'!$B$16,Paramètres!$A$1:$I$89,3,0)*0.475*44/12</f>
        <v>11.672250203090542</v>
      </c>
      <c r="FR58" s="21">
        <f>EXP(-LN(2)/25)*FR57+(1-EXP(-LN(2)/25))/(LN(2)/25)*Calculateur!FM58*Calculateur!FO58*VLOOKUP('Données projet'!$B$16,Paramètres!$A$1:$I$89,3,0)*0.475*44/12</f>
        <v>8.0265884899100968</v>
      </c>
      <c r="FS58" s="21">
        <f>EXP(-LN(2)/2)*FS57+(1-EXP(-LN(2)/2))/(LN(2)/2)*FM58*FP58*VLOOKUP('Données projet'!$B$16,Paramètres!$A$1:$I$89,3,0)*0.475*44/12</f>
        <v>3.7092965484552254</v>
      </c>
      <c r="FT58" s="22">
        <f t="shared" si="24"/>
        <v>23.408135241455863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324</v>
      </c>
      <c r="FX58" s="12">
        <f>VLOOKUP(A58,'Données projet'!$A$243:$I$263,9,0)</f>
        <v>8.4</v>
      </c>
      <c r="FY58" s="12">
        <f t="array" ref="FY58">INDEX(FX:FX,MIN(IF(ISNUMBER(FX58:FX254),ROW(FX58:FX254),"")))</f>
        <v>8.4</v>
      </c>
      <c r="FZ58" s="12">
        <f>IF('Données projet'!$A$244&gt;35,FZ57+FY58-GH57,IF(A58&lt;'Données projet'!$A$244,$FW$205^A58,IF(A58='Données projet'!$A$244,'Données projet'!$B$244,FZ57+FY58-GH57)))</f>
        <v>323.99999999999983</v>
      </c>
      <c r="GA58" s="17">
        <f>FZ58*VLOOKUP('Données projet'!$B$17,Paramètres!$A$1:$I$89,3,0)*VLOOKUP('Données projet'!$B$17,Paramètres!$A$1:$I$89,5,0)</f>
        <v>257.7743999999999</v>
      </c>
      <c r="GB58" s="13">
        <f t="shared" si="49"/>
        <v>62.247732872134243</v>
      </c>
      <c r="GC58" s="20">
        <f t="shared" si="25"/>
        <v>557.37188141896695</v>
      </c>
      <c r="GD58" s="59">
        <f t="shared" si="26"/>
        <v>850.70521475230021</v>
      </c>
      <c r="GE58" s="59">
        <f ca="1">AVERAGE(OFFSET($GD$3,0,0,'Données projet'!$E$17+1,1))-AVERAGE(OFFSET($H$3,0,0,'Données projet'!$E$17+1,1))</f>
        <v>325.72928944930294</v>
      </c>
      <c r="GF58" s="59">
        <f t="shared" si="50"/>
        <v>318.38876834819752</v>
      </c>
      <c r="GG58" s="15">
        <f>IF(ISNA(VLOOKUP(A58,'Données projet'!$A$243:$I$263,3,0)),0,VLOOKUP(A58,'Données projet'!$A$243:$I$263,3,0))</f>
        <v>10</v>
      </c>
      <c r="GH58" s="15">
        <f>IF(ISNA(VLOOKUP(A58,'Données projet'!$A$243:$I$263,4,0)),0,VLOOKUP(A58,'Données projet'!$A$243:$I$263,4,0))</f>
        <v>18</v>
      </c>
      <c r="GI58" s="16">
        <f>IF(ISNA(VLOOKUP(A58,'Données projet'!$A$243:$I$263,5,0)),0%,VLOOKUP(A58,'Données projet'!$A$243:$I$263,5,0)*VLOOKUP('Données projet'!$B$17,Paramètres!$A$1:$I$89,7,0))</f>
        <v>0.371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0.2</v>
      </c>
      <c r="GL58" s="21">
        <f>EXP(-LN(2)/35)*GL57+(1-EXP(-LN(2)/35))/(LN(2)/35)*GH58*GI58*VLOOKUP('Données projet'!$B$17,Paramètres!$A$1:$I$89,3,0)*0.475*44/12</f>
        <v>14.674461534397089</v>
      </c>
      <c r="GM58" s="21">
        <f>EXP(-LN(2)/25)*GM57+(1-EXP(-LN(2)/25))/(LN(2)/25)*Calculateur!GH58*Calculateur!GJ58*VLOOKUP('Données projet'!$B$17,Paramètres!$A$1:$I$89,3,0)*0.475*44/12</f>
        <v>10.091101715454414</v>
      </c>
      <c r="GN58" s="21">
        <f>EXP(-LN(2)/2)*GN57+(1-EXP(-LN(2)/2))/(LN(2)/2)*GH58*GK58*VLOOKUP('Données projet'!$B$17,Paramètres!$A$1:$I$89,3,0)*0.475*44/12</f>
        <v>3.7834824794243316</v>
      </c>
      <c r="GO58" s="21">
        <f t="shared" si="27"/>
        <v>28.549045729275836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>
        <f>VLOOKUP(A58,'Données projet'!$A$269:$I$289,2,0)</f>
        <v>324</v>
      </c>
      <c r="GS58" s="12">
        <f>VLOOKUP(A58,'Données projet'!$A$269:$I$289,9,0)</f>
        <v>8.4</v>
      </c>
      <c r="GT58" s="12">
        <f t="array" ref="GT58">INDEX(GS:GS,MIN(IF(ISNUMBER(GS58:GS254),ROW(GS58:GS254),"")))</f>
        <v>8.4</v>
      </c>
      <c r="GU58" s="12">
        <f>IF('Données projet'!$A$270&gt;35,GU57+GT58-HC57,IF(A58&lt;'Données projet'!$A$270,$GR$205^A58,IF(A58='Données projet'!$A$270,'Données projet'!$B$270,GU57+GT58-HC57)))</f>
        <v>323.99999999999983</v>
      </c>
      <c r="GV58" s="17">
        <f>GU58*VLOOKUP('Données projet'!$B$18,Paramètres!$A$1:$I$89,3,0)*VLOOKUP('Données projet'!$B$18,Paramètres!$A$1:$I$89,5,0)</f>
        <v>217.33919999999992</v>
      </c>
      <c r="GW58" s="13">
        <f t="shared" si="51"/>
        <v>53.536165068020416</v>
      </c>
      <c r="GX58" s="20">
        <f t="shared" si="28"/>
        <v>471.77459416013545</v>
      </c>
      <c r="GY58" s="59">
        <f t="shared" si="29"/>
        <v>765.10792749346876</v>
      </c>
      <c r="GZ58" s="59">
        <f ca="1">AVERAGE(OFFSET($GY$3,0,0,'Données projet'!$E$18+1,1))-AVERAGE(OFFSET($H$3,0,0,'Données projet'!$E$18+1,1))</f>
        <v>268.04554291387961</v>
      </c>
      <c r="HA58" s="59">
        <f t="shared" si="52"/>
        <v>263.70463099437148</v>
      </c>
      <c r="HB58" s="15">
        <f>IF(ISNA(VLOOKUP(A58,'Données projet'!$A$269:$I$289,3,0)),0,VLOOKUP(A58,'Données projet'!$A$269:$I$289,3,0))</f>
        <v>10</v>
      </c>
      <c r="HC58" s="15">
        <f>IF(ISNA(VLOOKUP(A58,'Données projet'!$A$269:$I$289,4,0)),0,VLOOKUP(A58,'Données projet'!$A$269:$I$289,4,0))</f>
        <v>18</v>
      </c>
      <c r="HD58" s="16">
        <f>IF(ISNA(VLOOKUP(A58,'Données projet'!$A$269:$I$289,5,0)),0%,VLOOKUP(A58,'Données projet'!$A$269:$I$289,5,0)*VLOOKUP('Données projet'!$B$18,Paramètres!$A$1:$I$89,7,0))</f>
        <v>0.371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0.2</v>
      </c>
      <c r="HG58" s="21">
        <f>EXP(-LN(2)/35)*HG57+(1-EXP(-LN(2)/35))/(LN(2)/35)*HC58*HD58*VLOOKUP('Données projet'!$B$18,Paramètres!$A$1:$I$89,3,0)*0.475*44/12</f>
        <v>12.372585215275976</v>
      </c>
      <c r="HH58" s="21">
        <f>EXP(-LN(2)/25)*HH57+(1-EXP(-LN(2)/25))/(LN(2)/25)*Calculateur!HC58*Calculateur!HE58*VLOOKUP('Données projet'!$B$18,Paramètres!$A$1:$I$89,3,0)*0.475*44/12</f>
        <v>8.5081837993047031</v>
      </c>
      <c r="HI58" s="21">
        <f>EXP(-LN(2)/2)*HI57+(1-EXP(-LN(2)/2))/(LN(2)/2)*HC58*HF58*VLOOKUP('Données projet'!$B$18,Paramètres!$A$1:$I$89,3,0)*0.475*44/12</f>
        <v>3.1899950316714945</v>
      </c>
      <c r="HJ58" s="22">
        <f t="shared" si="30"/>
        <v>24.070764046252172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</v>
      </c>
      <c r="N59" s="13">
        <f>IF('Données projet'!$A$36&gt;35,N58+M59-V58,IF(A59&lt;'Données projet'!$A$36,$K$205^A59,IF(A59='Données projet'!$A$36,'Données projet'!$B$36,N58+M59-V58)))</f>
        <v>178</v>
      </c>
      <c r="O59" s="13">
        <f>N59*VLOOKUP('Données projet'!$B$9,Paramètres!$A$1:$I$89,3,0)*VLOOKUP('Données projet'!$B$9,Paramètres!$A$1:$I$89,5,0)</f>
        <v>78.676000000000002</v>
      </c>
      <c r="P59" s="13">
        <f t="shared" si="33"/>
        <v>21.813145493136208</v>
      </c>
      <c r="Q59" s="20">
        <f t="shared" si="53"/>
        <v>175.01859506721223</v>
      </c>
      <c r="R59" s="59">
        <f t="shared" si="0"/>
        <v>468.35192840054555</v>
      </c>
      <c r="S59" s="59">
        <f ca="1">AVERAGE(OFFSET($R$3,0,0,'Données projet'!$E$9+1,1))-AVERAGE(OFFSET($H$3,0,0,'Données projet'!$E$9+1,1))</f>
        <v>46.095319339746538</v>
      </c>
      <c r="T59" s="59">
        <f t="shared" si="34"/>
        <v>48.158174304064403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2.4834982752076016</v>
      </c>
      <c r="AA59" s="21">
        <f>EXP(-LN(2)/25)*AA58+(1-EXP(-LN(2)/25))/(LN(2)/25)*Calculateur!V59*Calculateur!X59*VLOOKUP('Données projet'!$B$9,Paramètres!$A$1:$I$89,3,0)*0.475*44/12</f>
        <v>9.2475228116085244</v>
      </c>
      <c r="AB59" s="21">
        <f>EXP(-LN(2)/2)*AB58+(1-EXP(-LN(2)/2))/(LN(2)/2)*V59*Y59*VLOOKUP('Données projet'!$B$9,Paramètres!$A$1:$I$89,3,0)*0.475*44/12</f>
        <v>1.344604022255059</v>
      </c>
      <c r="AC59" s="22">
        <f t="shared" si="3"/>
        <v>13.075625109071185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7.625</v>
      </c>
      <c r="AI59" s="13">
        <f>IF('Données projet'!$A$62&gt;35,AI58+AH59-AQ58,IF(A59&lt;'Données projet'!$A$62,$AF$205^A59,IF(A59='Données projet'!$A$62,'Données projet'!$B$62,AI58+AH59-AQ58)))</f>
        <v>640.24999999999989</v>
      </c>
      <c r="AJ59" s="13">
        <f>AI59*VLOOKUP('Données projet'!$B$10,Paramètres!$A$1:$I$89,3,0)*VLOOKUP('Données projet'!$B$10,Paramètres!$A$1:$I$89,5,0)</f>
        <v>382.86950000000002</v>
      </c>
      <c r="AK59" s="13">
        <f t="shared" si="35"/>
        <v>88.294921796927056</v>
      </c>
      <c r="AL59" s="20">
        <f t="shared" si="4"/>
        <v>820.61136796298126</v>
      </c>
      <c r="AM59" s="59">
        <f t="shared" si="5"/>
        <v>1113.9447012963146</v>
      </c>
      <c r="AN59" s="59">
        <f ca="1">AVERAGE(OFFSET($AM$3,0,0,'Données projet'!$E$10+1,1))-AVERAGE(OFFSET($H$3,0,0,'Données projet'!$E$10+1,1))</f>
        <v>408.84545509668794</v>
      </c>
      <c r="AO59" s="59">
        <f t="shared" si="36"/>
        <v>409.9253979841132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10.541595917979189</v>
      </c>
      <c r="AV59" s="21">
        <f>EXP(-LN(2)/25)*AV58+(1-EXP(-LN(2)/25))/(LN(2)/25)*Calculateur!AQ59*Calculateur!AS59*VLOOKUP('Données projet'!$B$10,Paramètres!$A$1:$I$89,3,0)*0.475*44/12</f>
        <v>27.578069968904305</v>
      </c>
      <c r="AW59" s="21">
        <f>EXP(-LN(2)/2)*AW58+(1-EXP(-LN(2)/2))/(LN(2)/2)*AQ59*AT59*VLOOKUP('Données projet'!$B$10,Paramètres!$A$1:$I$89,3,0)*0.475*44/12</f>
        <v>3.9288703158727154</v>
      </c>
      <c r="AX59" s="21">
        <f t="shared" si="6"/>
        <v>42.04853620275621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17</v>
      </c>
      <c r="BD59" s="12">
        <f>IF('Données projet'!$A$88&gt;35,BD58+BC59-BL58,IF(A59&lt;'Données projet'!$A$88,$BA$205^A59,IF(A59='Données projet'!$A$88,'Données projet'!$B$88,BD58+BC59-BL58)))</f>
        <v>432</v>
      </c>
      <c r="BE59" s="13">
        <f>BD59*VLOOKUP('Données projet'!$B$11,Paramètres!$A$1:$I$89,3,0)*VLOOKUP('Données projet'!$B$11,Paramètres!$A$1:$I$89,5,0)</f>
        <v>258.33600000000001</v>
      </c>
      <c r="BF59" s="13">
        <f t="shared" si="37"/>
        <v>62.367547966451262</v>
      </c>
      <c r="BG59" s="20">
        <f t="shared" si="7"/>
        <v>558.55867937490257</v>
      </c>
      <c r="BH59" s="59">
        <f t="shared" si="8"/>
        <v>851.89201270823582</v>
      </c>
      <c r="BI59" s="59">
        <f ca="1">AVERAGE(OFFSET($BH$3,0,0,'Données projet'!$E$11+1,1))-AVERAGE(OFFSET($H$3,0,0,'Données projet'!$E$11+1,1))</f>
        <v>279.69031306919914</v>
      </c>
      <c r="BJ59" s="59">
        <f t="shared" si="38"/>
        <v>297.01680128882509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12.782094167126598</v>
      </c>
      <c r="BQ59" s="21">
        <f>EXP(-LN(2)/25)*BQ58+(1-EXP(-LN(2)/25))/(LN(2)/25)*Calculateur!BL59*Calculateur!BN59*VLOOKUP('Données projet'!$B$11,Paramètres!$A$1:$I$89,3,0)*0.475*44/12</f>
        <v>42.164831777408686</v>
      </c>
      <c r="BR59" s="21">
        <f>EXP(-LN(2)/2)*BR58+(1-EXP(-LN(2)/2))/(LN(2)/2)*BL59*BO59*VLOOKUP('Données projet'!$B$11,Paramètres!$A$1:$I$89,3,0)*0.475*44/12</f>
        <v>8.491191604689865</v>
      </c>
      <c r="BS59" s="22">
        <f t="shared" si="9"/>
        <v>63.438117549225147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2.75</v>
      </c>
      <c r="BY59" s="12">
        <f>IF('Données projet'!$A$114&gt;35,BY58+BX59-CG58,IF(A59&lt;'Données projet'!$A$114,$BV$205^A59,IF(A59='Données projet'!$A$114,'Données projet'!$B$114,BY58+BX59-CG58)))</f>
        <v>157.5</v>
      </c>
      <c r="BZ59" s="13">
        <f>BY59*VLOOKUP('Données projet'!$B$12,Paramètres!$A$1:$I$89,3,0)*VLOOKUP('Données projet'!$B$12,Paramètres!$A$1:$I$89,5,0)</f>
        <v>94.185000000000002</v>
      </c>
      <c r="CA59" s="13">
        <f t="shared" si="39"/>
        <v>25.571860829914897</v>
      </c>
      <c r="CB59" s="20">
        <f t="shared" si="10"/>
        <v>208.57653261210177</v>
      </c>
      <c r="CC59" s="59">
        <f t="shared" si="11"/>
        <v>501.90986594543506</v>
      </c>
      <c r="CD59" s="59">
        <f ca="1">AVERAGE(OFFSET($CC$3,0,0,'Données projet'!$E$12+1,1))-AVERAGE(OFFSET($H$3,0,0,'Données projet'!$E$12+1,1))</f>
        <v>81.299024916151723</v>
      </c>
      <c r="CE59" s="59">
        <f t="shared" si="40"/>
        <v>88.106373324240167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5.6668037785812606</v>
      </c>
      <c r="CL59" s="21">
        <f>EXP(-LN(2)/25)*CL58+(1-EXP(-LN(2)/25))/(LN(2)/25)*Calculateur!CG59*Calculateur!CI59*VLOOKUP('Données projet'!$B$12,Paramètres!$A$1:$I$89,3,0)*0.475*44/12</f>
        <v>11.23716842718013</v>
      </c>
      <c r="CM59" s="21">
        <f>EXP(-LN(2)/2)*CM58+(1-EXP(-LN(2)/2))/(LN(2)/2)*CG59*CJ59*VLOOKUP('Données projet'!$B$12,Paramètres!$A$1:$I$89,3,0)*0.475*44/12</f>
        <v>1.7734928532185148</v>
      </c>
      <c r="CN59" s="22">
        <f t="shared" si="12"/>
        <v>18.677465058979905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12.2</v>
      </c>
      <c r="CT59" s="12">
        <f>IF('Données projet'!$A$140&gt;35,CT58+CS59-DB58,IF(A59&lt;'Données projet'!$A$140,$CQ$205^A59,IF(A59='Données projet'!$A$140,'Données projet'!$B$140,CT58+CS59-DB58)))</f>
        <v>705.19999999999948</v>
      </c>
      <c r="CU59" s="17">
        <f>CT59*VLOOKUP('Données projet'!$B$13,Paramètres!$A$1:$I$89,3,0)*VLOOKUP('Données projet'!$B$13,Paramètres!$A$1:$I$89,5,0)</f>
        <v>394.2067999999997</v>
      </c>
      <c r="CV59" s="13">
        <f t="shared" si="41"/>
        <v>90.601187466199292</v>
      </c>
      <c r="CW59" s="20">
        <f t="shared" si="13"/>
        <v>844.37391150362998</v>
      </c>
      <c r="CX59" s="59">
        <f t="shared" si="14"/>
        <v>1137.7072448369634</v>
      </c>
      <c r="CY59" s="59">
        <f ca="1">AVERAGE(OFFSET($CX$3,0,0,'Données projet'!$E$13+1,1))-AVERAGE(OFFSET($H$3,0,0,'Données projet'!$E$13+1,1))</f>
        <v>475.42482703895411</v>
      </c>
      <c r="CZ59" s="59">
        <f t="shared" si="42"/>
        <v>593.51433014569966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62.517761644076451</v>
      </c>
      <c r="DG59" s="21">
        <f>EXP(-LN(2)/25)*DG58+(1-EXP(-LN(2)/25))/(LN(2)/25)*Calculateur!DB59*Calculateur!DD59*VLOOKUP('Données projet'!$B$13,Paramètres!$A$1:$I$89,3,0)*0.475*44/12</f>
        <v>39.825104426454502</v>
      </c>
      <c r="DH59" s="21">
        <f>EXP(-LN(2)/2)*DH58+(1-EXP(-LN(2)/2))/(LN(2)/2)*DB59*DE59*VLOOKUP('Données projet'!$B$13,Paramètres!$A$1:$I$89,3,0)*0.475*44/12</f>
        <v>3.2693901732929302</v>
      </c>
      <c r="DI59" s="22">
        <f t="shared" si="15"/>
        <v>105.61225624382389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10.125</v>
      </c>
      <c r="DO59" s="12">
        <f>IF('Données projet'!$A$166&gt;35,DO58+DN59-DW58,IF(A59&lt;'Données projet'!$A$166,$DL$205^A59,IF(A59='Données projet'!$A$166,'Données projet'!$B$166,DO58+DN59-DW58)))</f>
        <v>209.5</v>
      </c>
      <c r="DP59" s="17">
        <f>DO59*VLOOKUP('Données projet'!$B$14,Paramètres!$A$1:$I$89,3,0)*VLOOKUP('Données projet'!$B$14,Paramètres!$A$1:$I$89,5,0)</f>
        <v>189.5556</v>
      </c>
      <c r="DQ59" s="13">
        <f t="shared" si="43"/>
        <v>47.441688934734636</v>
      </c>
      <c r="DR59" s="20">
        <f t="shared" si="16"/>
        <v>412.77027822799613</v>
      </c>
      <c r="DS59" s="59">
        <f t="shared" si="17"/>
        <v>706.10361156132944</v>
      </c>
      <c r="DT59" s="59">
        <f ca="1">AVERAGE(OFFSET($DS$3,0,0,'Données projet'!$E$14+1,1))-AVERAGE(OFFSET($H$3,0,0,'Données projet'!$E$14+1,1))</f>
        <v>401.17301323870578</v>
      </c>
      <c r="DU59" s="59">
        <f t="shared" si="44"/>
        <v>201.57993789149754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19.14276451473712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19.14276451473712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4.4000000000000004</v>
      </c>
      <c r="EJ59" s="12">
        <f>IF('Données projet'!$A$192&gt;35,EJ58+EI59-ER58,IF(A59&lt;'Données projet'!$A$192,$EG$205^A59,IF(A59='Données projet'!$A$192,'Données projet'!$B$192,EJ58+EI59-ER58)))</f>
        <v>224.40000000000003</v>
      </c>
      <c r="EK59" s="17">
        <f>EJ59*VLOOKUP('Données projet'!$B$15,Paramètres!$A$1:$I$89,3,0)*VLOOKUP('Données projet'!$B$15,Paramètres!$A$1:$I$89,5,0)</f>
        <v>196.03584000000006</v>
      </c>
      <c r="EL59" s="13">
        <f t="shared" si="45"/>
        <v>48.871952855623455</v>
      </c>
      <c r="EM59" s="20">
        <f t="shared" si="19"/>
        <v>426.54773922354428</v>
      </c>
      <c r="EN59" s="59">
        <f t="shared" si="20"/>
        <v>719.8810725568776</v>
      </c>
      <c r="EO59" s="59">
        <f ca="1">AVERAGE(OFFSET($EN$3,0,0,'Données projet'!$E$15+1,1))-AVERAGE(OFFSET($H$3,0,0,'Données projet'!$E$15+1,1))</f>
        <v>237.8483058552178</v>
      </c>
      <c r="EP59" s="59">
        <f t="shared" si="46"/>
        <v>313.36201272119723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6.0099902997660584</v>
      </c>
      <c r="EW59" s="21">
        <f>EXP(-LN(2)/25)*EW58+(1-EXP(-LN(2)/25))/(LN(2)/25)*Calculateur!ER59*Calculateur!ET59*VLOOKUP('Données projet'!$B$15,Paramètres!$A$1:$I$89,3,0)*0.475*44/12</f>
        <v>5.4171653108621118</v>
      </c>
      <c r="EX59" s="21">
        <f>EXP(-LN(2)/2)*EX58+(1-EXP(-LN(2)/2))/(LN(2)/2)*ER59*EU59*VLOOKUP('Données projet'!$B$15,Paramètres!$A$1:$I$89,3,0)*0.475*44/12</f>
        <v>1.0576995683158572</v>
      </c>
      <c r="EY59" s="22">
        <f t="shared" si="21"/>
        <v>12.484855178944027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7.4</v>
      </c>
      <c r="FE59" s="12">
        <f>IF('Données projet'!$A$218&gt;35,FE58+FD59-FM58,IF(A59&lt;'Données projet'!$A$218,$FB$205^A59,IF(A59='Données projet'!$A$218,'Données projet'!$B$218,FE58+FD59-FM58)))</f>
        <v>313.39999999999981</v>
      </c>
      <c r="FF59" s="17">
        <f>FE59*VLOOKUP('Données projet'!$B$16,Paramètres!$A$1:$I$89,3,0)*VLOOKUP('Données projet'!$B$16,Paramètres!$A$1:$I$89,5,0)</f>
        <v>244.45199999999986</v>
      </c>
      <c r="FG59" s="13">
        <f t="shared" si="47"/>
        <v>59.396372913553932</v>
      </c>
      <c r="FH59" s="20">
        <f t="shared" si="22"/>
        <v>529.20258282443945</v>
      </c>
      <c r="FI59" s="59">
        <f t="shared" si="23"/>
        <v>822.53591615777282</v>
      </c>
      <c r="FJ59" s="59">
        <f ca="1">AVERAGE(OFFSET($FI$3,0,0,'Données projet'!$E$16+1,1))-AVERAGE(OFFSET($H$3,0,0,'Données projet'!$E$16+1,1))</f>
        <v>318.52984981739411</v>
      </c>
      <c r="FK59" s="59">
        <f t="shared" si="48"/>
        <v>311.56398336941714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11.443364495977582</v>
      </c>
      <c r="FR59" s="21">
        <f>EXP(-LN(2)/25)*FR58+(1-EXP(-LN(2)/25))/(LN(2)/25)*Calculateur!FM59*Calculateur!FO59*VLOOKUP('Données projet'!$B$16,Paramètres!$A$1:$I$89,3,0)*0.475*44/12</f>
        <v>7.8071010055535615</v>
      </c>
      <c r="FS59" s="21">
        <f>EXP(-LN(2)/2)*FS58+(1-EXP(-LN(2)/2))/(LN(2)/2)*FM59*FP59*VLOOKUP('Données projet'!$B$16,Paramètres!$A$1:$I$89,3,0)*0.475*44/12</f>
        <v>2.6228687428445454</v>
      </c>
      <c r="FT59" s="22">
        <f t="shared" si="24"/>
        <v>21.873334244375688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7.4</v>
      </c>
      <c r="FZ59" s="12">
        <f>IF('Données projet'!$A$244&gt;35,FZ58+FY59-GH58,IF(A59&lt;'Données projet'!$A$244,$FW$205^A59,IF(A59='Données projet'!$A$244,'Données projet'!$B$244,FZ58+FY59-GH58)))</f>
        <v>313.39999999999981</v>
      </c>
      <c r="GA59" s="17">
        <f>FZ59*VLOOKUP('Données projet'!$B$17,Paramètres!$A$1:$I$89,3,0)*VLOOKUP('Données projet'!$B$17,Paramètres!$A$1:$I$89,5,0)</f>
        <v>249.34103999999988</v>
      </c>
      <c r="GB59" s="13">
        <f t="shared" si="49"/>
        <v>60.444812818312201</v>
      </c>
      <c r="GC59" s="20">
        <f t="shared" si="25"/>
        <v>539.54369365856019</v>
      </c>
      <c r="GD59" s="59">
        <f t="shared" si="26"/>
        <v>832.87702699189344</v>
      </c>
      <c r="GE59" s="59">
        <f ca="1">AVERAGE(OFFSET($GD$3,0,0,'Données projet'!$E$17+1,1))-AVERAGE(OFFSET($H$3,0,0,'Données projet'!$E$17+1,1))</f>
        <v>325.72928944930294</v>
      </c>
      <c r="GF59" s="59">
        <f t="shared" si="50"/>
        <v>318.38876834819752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14.386704294245305</v>
      </c>
      <c r="GM59" s="21">
        <f>EXP(-LN(2)/25)*GM58+(1-EXP(-LN(2)/25))/(LN(2)/25)*Calculateur!GH59*Calculateur!GJ59*VLOOKUP('Données projet'!$B$17,Paramètres!$A$1:$I$89,3,0)*0.475*44/12</f>
        <v>9.8151600083773367</v>
      </c>
      <c r="GN59" s="21">
        <f>EXP(-LN(2)/2)*GN58+(1-EXP(-LN(2)/2))/(LN(2)/2)*GH59*GK59*VLOOKUP('Données projet'!$B$17,Paramètres!$A$1:$I$89,3,0)*0.475*44/12</f>
        <v>2.6753261177014371</v>
      </c>
      <c r="GO59" s="21">
        <f t="shared" si="27"/>
        <v>26.87719042032408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7.4</v>
      </c>
      <c r="GU59" s="12">
        <f>IF('Données projet'!$A$270&gt;35,GU58+GT59-HC58,IF(A59&lt;'Données projet'!$A$270,$GR$205^A59,IF(A59='Données projet'!$A$270,'Données projet'!$B$270,GU58+GT59-HC58)))</f>
        <v>313.39999999999981</v>
      </c>
      <c r="GV59" s="17">
        <f>GU59*VLOOKUP('Données projet'!$B$18,Paramètres!$A$1:$I$89,3,0)*VLOOKUP('Données projet'!$B$18,Paramètres!$A$1:$I$89,5,0)</f>
        <v>210.22871999999987</v>
      </c>
      <c r="GW59" s="13">
        <f t="shared" si="51"/>
        <v>51.985563605889581</v>
      </c>
      <c r="GX59" s="20">
        <f t="shared" si="28"/>
        <v>456.68987728025746</v>
      </c>
      <c r="GY59" s="59">
        <f t="shared" si="29"/>
        <v>750.02321061359078</v>
      </c>
      <c r="GZ59" s="59">
        <f ca="1">AVERAGE(OFFSET($GY$3,0,0,'Données projet'!$E$18+1,1))-AVERAGE(OFFSET($H$3,0,0,'Données projet'!$E$18+1,1))</f>
        <v>268.04554291387961</v>
      </c>
      <c r="HA59" s="59">
        <f t="shared" si="52"/>
        <v>263.70463099437148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12.129966365736237</v>
      </c>
      <c r="HH59" s="21">
        <f>EXP(-LN(2)/25)*HH58+(1-EXP(-LN(2)/25))/(LN(2)/25)*Calculateur!HC59*Calculateur!HE59*VLOOKUP('Données projet'!$B$18,Paramètres!$A$1:$I$89,3,0)*0.475*44/12</f>
        <v>8.2755270658867754</v>
      </c>
      <c r="HI59" s="21">
        <f>EXP(-LN(2)/2)*HI58+(1-EXP(-LN(2)/2))/(LN(2)/2)*HC59*HF59*VLOOKUP('Données projet'!$B$18,Paramètres!$A$1:$I$89,3,0)*0.475*44/12</f>
        <v>2.2556671188463091</v>
      </c>
      <c r="HJ59" s="22">
        <f t="shared" si="30"/>
        <v>22.661160550469322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</v>
      </c>
      <c r="N60" s="13">
        <f>IF('Données projet'!$A$36&gt;35,N59+M60-V59,IF(A60&lt;'Données projet'!$A$36,$K$205^A60,IF(A60='Données projet'!$A$36,'Données projet'!$B$36,N59+M60-V59)))</f>
        <v>188</v>
      </c>
      <c r="O60" s="13">
        <f>N60*VLOOKUP('Données projet'!$B$9,Paramètres!$A$1:$I$89,3,0)*VLOOKUP('Données projet'!$B$9,Paramètres!$A$1:$I$89,5,0)</f>
        <v>83.096000000000004</v>
      </c>
      <c r="P60" s="13">
        <f t="shared" si="33"/>
        <v>22.892491292885769</v>
      </c>
      <c r="Q60" s="20">
        <f t="shared" si="53"/>
        <v>184.59662233510937</v>
      </c>
      <c r="R60" s="59">
        <f t="shared" si="0"/>
        <v>477.92995566844269</v>
      </c>
      <c r="S60" s="59">
        <f ca="1">AVERAGE(OFFSET($R$3,0,0,'Données projet'!$E$9+1,1))-AVERAGE(OFFSET($H$3,0,0,'Données projet'!$E$9+1,1))</f>
        <v>46.095319339746538</v>
      </c>
      <c r="T60" s="59">
        <f t="shared" si="34"/>
        <v>48.158174304064403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2.4347983888151559</v>
      </c>
      <c r="AA60" s="21">
        <f>EXP(-LN(2)/25)*AA59+(1-EXP(-LN(2)/25))/(LN(2)/25)*Calculateur!V60*Calculateur!X60*VLOOKUP('Données projet'!$B$9,Paramètres!$A$1:$I$89,3,0)*0.475*44/12</f>
        <v>8.9946488140189995</v>
      </c>
      <c r="AB60" s="21">
        <f>EXP(-LN(2)/2)*AB59+(1-EXP(-LN(2)/2))/(LN(2)/2)*V60*Y60*VLOOKUP('Données projet'!$B$9,Paramètres!$A$1:$I$89,3,0)*0.475*44/12</f>
        <v>0.95077862214725972</v>
      </c>
      <c r="AC60" s="22">
        <f t="shared" si="3"/>
        <v>12.380225824981414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7.625</v>
      </c>
      <c r="AI60" s="13">
        <f>IF('Données projet'!$A$62&gt;35,AI59+AH60-AQ59,IF(A60&lt;'Données projet'!$A$62,$AF$205^A60,IF(A60='Données projet'!$A$62,'Données projet'!$B$62,AI59+AH60-AQ59)))</f>
        <v>647.87499999999989</v>
      </c>
      <c r="AJ60" s="13">
        <f>AI60*VLOOKUP('Données projet'!$B$10,Paramètres!$A$1:$I$89,3,0)*VLOOKUP('Données projet'!$B$10,Paramètres!$A$1:$I$89,5,0)</f>
        <v>387.42924999999997</v>
      </c>
      <c r="AK60" s="13">
        <f t="shared" si="35"/>
        <v>89.22342176915032</v>
      </c>
      <c r="AL60" s="20">
        <f t="shared" si="4"/>
        <v>830.17006999793659</v>
      </c>
      <c r="AM60" s="59">
        <f t="shared" si="5"/>
        <v>1123.50340333127</v>
      </c>
      <c r="AN60" s="59">
        <f ca="1">AVERAGE(OFFSET($AM$3,0,0,'Données projet'!$E$10+1,1))-AVERAGE(OFFSET($H$3,0,0,'Données projet'!$E$10+1,1))</f>
        <v>408.84545509668794</v>
      </c>
      <c r="AO60" s="59">
        <f t="shared" si="36"/>
        <v>409.9253979841132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10.334881651766242</v>
      </c>
      <c r="AV60" s="21">
        <f>EXP(-LN(2)/25)*AV59+(1-EXP(-LN(2)/25))/(LN(2)/25)*Calculateur!AQ60*Calculateur!AS60*VLOOKUP('Données projet'!$B$10,Paramètres!$A$1:$I$89,3,0)*0.475*44/12</f>
        <v>26.823946195336948</v>
      </c>
      <c r="AW60" s="21">
        <f>EXP(-LN(2)/2)*AW59+(1-EXP(-LN(2)/2))/(LN(2)/2)*AQ60*AT60*VLOOKUP('Données projet'!$B$10,Paramètres!$A$1:$I$89,3,0)*0.475*44/12</f>
        <v>2.7781308427561302</v>
      </c>
      <c r="AX60" s="21">
        <f t="shared" si="6"/>
        <v>39.936958689859317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17</v>
      </c>
      <c r="BD60" s="12">
        <f>IF('Données projet'!$A$88&gt;35,BD59+BC60-BL59,IF(A60&lt;'Données projet'!$A$88,$BA$205^A60,IF(A60='Données projet'!$A$88,'Données projet'!$B$88,BD59+BC60-BL59)))</f>
        <v>449</v>
      </c>
      <c r="BE60" s="13">
        <f>BD60*VLOOKUP('Données projet'!$B$11,Paramètres!$A$1:$I$89,3,0)*VLOOKUP('Données projet'!$B$11,Paramètres!$A$1:$I$89,5,0)</f>
        <v>268.50200000000001</v>
      </c>
      <c r="BF60" s="13">
        <f t="shared" si="37"/>
        <v>64.531253013339168</v>
      </c>
      <c r="BG60" s="20">
        <f t="shared" si="7"/>
        <v>580.03291566489895</v>
      </c>
      <c r="BH60" s="59">
        <f t="shared" si="8"/>
        <v>873.36624899823232</v>
      </c>
      <c r="BI60" s="59">
        <f ca="1">AVERAGE(OFFSET($BH$3,0,0,'Données projet'!$E$11+1,1))-AVERAGE(OFFSET($H$3,0,0,'Données projet'!$E$11+1,1))</f>
        <v>279.69031306919914</v>
      </c>
      <c r="BJ60" s="59">
        <f t="shared" si="38"/>
        <v>297.01680128882509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12.531445096816865</v>
      </c>
      <c r="BQ60" s="21">
        <f>EXP(-LN(2)/25)*BQ59+(1-EXP(-LN(2)/25))/(LN(2)/25)*Calculateur!BL60*Calculateur!BN60*VLOOKUP('Données projet'!$B$11,Paramètres!$A$1:$I$89,3,0)*0.475*44/12</f>
        <v>41.011832235103313</v>
      </c>
      <c r="BR60" s="21">
        <f>EXP(-LN(2)/2)*BR59+(1-EXP(-LN(2)/2))/(LN(2)/2)*BL60*BO60*VLOOKUP('Données projet'!$B$11,Paramètres!$A$1:$I$89,3,0)*0.475*44/12</f>
        <v>6.0041791640304858</v>
      </c>
      <c r="BS60" s="22">
        <f t="shared" si="9"/>
        <v>59.547456495950669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2.75</v>
      </c>
      <c r="BY60" s="12">
        <f>IF('Données projet'!$A$114&gt;35,BY59+BX60-CG59,IF(A60&lt;'Données projet'!$A$114,$BV$205^A60,IF(A60='Données projet'!$A$114,'Données projet'!$B$114,BY59+BX60-CG59)))</f>
        <v>160.25</v>
      </c>
      <c r="BZ60" s="13">
        <f>BY60*VLOOKUP('Données projet'!$B$12,Paramètres!$A$1:$I$89,3,0)*VLOOKUP('Données projet'!$B$12,Paramètres!$A$1:$I$89,5,0)</f>
        <v>95.82950000000001</v>
      </c>
      <c r="CA60" s="13">
        <f t="shared" si="39"/>
        <v>25.965983547783239</v>
      </c>
      <c r="CB60" s="20">
        <f t="shared" si="10"/>
        <v>212.12713384572248</v>
      </c>
      <c r="CC60" s="59">
        <f t="shared" si="11"/>
        <v>505.4604671790558</v>
      </c>
      <c r="CD60" s="59">
        <f ca="1">AVERAGE(OFFSET($CC$3,0,0,'Données projet'!$E$12+1,1))-AVERAGE(OFFSET($H$3,0,0,'Données projet'!$E$12+1,1))</f>
        <v>81.299024916151723</v>
      </c>
      <c r="CE60" s="59">
        <f t="shared" si="40"/>
        <v>88.106373324240167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5.5556812128922948</v>
      </c>
      <c r="CL60" s="21">
        <f>EXP(-LN(2)/25)*CL59+(1-EXP(-LN(2)/25))/(LN(2)/25)*Calculateur!CG60*Calculateur!CI60*VLOOKUP('Données projet'!$B$12,Paramètres!$A$1:$I$89,3,0)*0.475*44/12</f>
        <v>10.929887465601885</v>
      </c>
      <c r="CM60" s="21">
        <f>EXP(-LN(2)/2)*CM59+(1-EXP(-LN(2)/2))/(LN(2)/2)*CG60*CJ60*VLOOKUP('Données projet'!$B$12,Paramètres!$A$1:$I$89,3,0)*0.475*44/12</f>
        <v>1.2540488228966902</v>
      </c>
      <c r="CN60" s="22">
        <f t="shared" si="12"/>
        <v>17.739617501390867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12.2</v>
      </c>
      <c r="CT60" s="12">
        <f>IF('Données projet'!$A$140&gt;35,CT59+CS60-DB59,IF(A60&lt;'Données projet'!$A$140,$CQ$205^A60,IF(A60='Données projet'!$A$140,'Données projet'!$B$140,CT59+CS60-DB59)))</f>
        <v>717.39999999999952</v>
      </c>
      <c r="CU60" s="17">
        <f>CT60*VLOOKUP('Données projet'!$B$13,Paramètres!$A$1:$I$89,3,0)*VLOOKUP('Données projet'!$B$13,Paramètres!$A$1:$I$89,5,0)</f>
        <v>401.02659999999975</v>
      </c>
      <c r="CV60" s="13">
        <f t="shared" si="41"/>
        <v>91.984761558101539</v>
      </c>
      <c r="CW60" s="20">
        <f t="shared" si="13"/>
        <v>858.66145471369293</v>
      </c>
      <c r="CX60" s="59">
        <f t="shared" si="14"/>
        <v>1151.9947880470263</v>
      </c>
      <c r="CY60" s="59">
        <f ca="1">AVERAGE(OFFSET($CX$3,0,0,'Données projet'!$E$13+1,1))-AVERAGE(OFFSET($H$3,0,0,'Données projet'!$E$13+1,1))</f>
        <v>475.42482703895411</v>
      </c>
      <c r="CZ60" s="59">
        <f t="shared" si="42"/>
        <v>593.51433014569966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61.291826470305487</v>
      </c>
      <c r="DG60" s="21">
        <f>EXP(-LN(2)/25)*DG59+(1-EXP(-LN(2)/25))/(LN(2)/25)*Calculateur!DB60*Calculateur!DD60*VLOOKUP('Données projet'!$B$13,Paramètres!$A$1:$I$89,3,0)*0.475*44/12</f>
        <v>38.736084851601881</v>
      </c>
      <c r="DH60" s="21">
        <f>EXP(-LN(2)/2)*DH59+(1-EXP(-LN(2)/2))/(LN(2)/2)*DB60*DE60*VLOOKUP('Données projet'!$B$13,Paramètres!$A$1:$I$89,3,0)*0.475*44/12</f>
        <v>2.3118079618800929</v>
      </c>
      <c r="DI60" s="22">
        <f t="shared" si="15"/>
        <v>102.33971928378746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10.125</v>
      </c>
      <c r="DO60" s="12">
        <f>IF('Données projet'!$A$166&gt;35,DO59+DN60-DW59,IF(A60&lt;'Données projet'!$A$166,$DL$205^A60,IF(A60='Données projet'!$A$166,'Données projet'!$B$166,DO59+DN60-DW59)))</f>
        <v>219.625</v>
      </c>
      <c r="DP60" s="17">
        <f>DO60*VLOOKUP('Données projet'!$B$14,Paramètres!$A$1:$I$89,3,0)*VLOOKUP('Données projet'!$B$14,Paramètres!$A$1:$I$89,5,0)</f>
        <v>198.7167</v>
      </c>
      <c r="DQ60" s="13">
        <f t="shared" si="43"/>
        <v>49.462031653113236</v>
      </c>
      <c r="DR60" s="20">
        <f t="shared" si="16"/>
        <v>432.24462429583883</v>
      </c>
      <c r="DS60" s="59">
        <f t="shared" si="17"/>
        <v>725.57795762917215</v>
      </c>
      <c r="DT60" s="59">
        <f ca="1">AVERAGE(OFFSET($DS$3,0,0,'Données projet'!$E$14+1,1))-AVERAGE(OFFSET($H$3,0,0,'Données projet'!$E$14+1,1))</f>
        <v>401.17301323870578</v>
      </c>
      <c r="DU60" s="59">
        <f t="shared" si="44"/>
        <v>201.57993789149754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18.619304612407401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18.619304612407401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4.4000000000000004</v>
      </c>
      <c r="EJ60" s="12">
        <f>IF('Données projet'!$A$192&gt;35,EJ59+EI60-ER59,IF(A60&lt;'Données projet'!$A$192,$EG$205^A60,IF(A60='Données projet'!$A$192,'Données projet'!$B$192,EJ59+EI60-ER59)))</f>
        <v>228.80000000000004</v>
      </c>
      <c r="EK60" s="17">
        <f>EJ60*VLOOKUP('Données projet'!$B$15,Paramètres!$A$1:$I$89,3,0)*VLOOKUP('Données projet'!$B$15,Paramètres!$A$1:$I$89,5,0)</f>
        <v>199.87968000000006</v>
      </c>
      <c r="EL60" s="13">
        <f t="shared" si="45"/>
        <v>49.717724105058785</v>
      </c>
      <c r="EM60" s="20">
        <f t="shared" si="19"/>
        <v>434.71547881631085</v>
      </c>
      <c r="EN60" s="59">
        <f t="shared" si="20"/>
        <v>728.04881214964416</v>
      </c>
      <c r="EO60" s="59">
        <f ca="1">AVERAGE(OFFSET($EN$3,0,0,'Données projet'!$E$15+1,1))-AVERAGE(OFFSET($H$3,0,0,'Données projet'!$E$15+1,1))</f>
        <v>237.8483058552178</v>
      </c>
      <c r="EP60" s="59">
        <f t="shared" si="46"/>
        <v>313.36201272119723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5.8921380557197676</v>
      </c>
      <c r="EW60" s="21">
        <f>EXP(-LN(2)/25)*EW59+(1-EXP(-LN(2)/25))/(LN(2)/25)*Calculateur!ER60*Calculateur!ET60*VLOOKUP('Données projet'!$B$15,Paramètres!$A$1:$I$89,3,0)*0.475*44/12</f>
        <v>5.269032640560245</v>
      </c>
      <c r="EX60" s="21">
        <f>EXP(-LN(2)/2)*EX59+(1-EXP(-LN(2)/2))/(LN(2)/2)*ER60*EU60*VLOOKUP('Données projet'!$B$15,Paramètres!$A$1:$I$89,3,0)*0.475*44/12</f>
        <v>0.74790653721422662</v>
      </c>
      <c r="EY60" s="22">
        <f t="shared" si="21"/>
        <v>11.909077233494241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7.4</v>
      </c>
      <c r="FE60" s="12">
        <f>IF('Données projet'!$A$218&gt;35,FE59+FD60-FM59,IF(A60&lt;'Données projet'!$A$218,$FB$205^A60,IF(A60='Données projet'!$A$218,'Données projet'!$B$218,FE59+FD60-FM59)))</f>
        <v>320.79999999999978</v>
      </c>
      <c r="FF60" s="17">
        <f>FE60*VLOOKUP('Données projet'!$B$16,Paramètres!$A$1:$I$89,3,0)*VLOOKUP('Données projet'!$B$16,Paramètres!$A$1:$I$89,5,0)</f>
        <v>250.22399999999985</v>
      </c>
      <c r="FG60" s="13">
        <f t="shared" si="47"/>
        <v>60.633904580527918</v>
      </c>
      <c r="FH60" s="20">
        <f t="shared" si="22"/>
        <v>541.41085047775255</v>
      </c>
      <c r="FI60" s="59">
        <f t="shared" si="23"/>
        <v>834.7441838110858</v>
      </c>
      <c r="FJ60" s="59">
        <f ca="1">AVERAGE(OFFSET($FI$3,0,0,'Données projet'!$E$16+1,1))-AVERAGE(OFFSET($H$3,0,0,'Données projet'!$E$16+1,1))</f>
        <v>318.52984981739411</v>
      </c>
      <c r="FK60" s="59">
        <f t="shared" si="48"/>
        <v>311.56398336941714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11.218967097974609</v>
      </c>
      <c r="FR60" s="21">
        <f>EXP(-LN(2)/25)*FR59+(1-EXP(-LN(2)/25))/(LN(2)/25)*Calculateur!FM60*Calculateur!FO60*VLOOKUP('Données projet'!$B$16,Paramètres!$A$1:$I$89,3,0)*0.475*44/12</f>
        <v>7.5936154179991009</v>
      </c>
      <c r="FS60" s="21">
        <f>EXP(-LN(2)/2)*FS59+(1-EXP(-LN(2)/2))/(LN(2)/2)*FM60*FP60*VLOOKUP('Données projet'!$B$16,Paramètres!$A$1:$I$89,3,0)*0.475*44/12</f>
        <v>1.8546482742276131</v>
      </c>
      <c r="FT60" s="22">
        <f t="shared" si="24"/>
        <v>20.667230790201323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7.4</v>
      </c>
      <c r="FZ60" s="12">
        <f>IF('Données projet'!$A$244&gt;35,FZ59+FY60-GH59,IF(A60&lt;'Données projet'!$A$244,$FW$205^A60,IF(A60='Données projet'!$A$244,'Données projet'!$B$244,FZ59+FY60-GH59)))</f>
        <v>320.79999999999978</v>
      </c>
      <c r="GA60" s="17">
        <f>FZ60*VLOOKUP('Données projet'!$B$17,Paramètres!$A$1:$I$89,3,0)*VLOOKUP('Données projet'!$B$17,Paramètres!$A$1:$I$89,5,0)</f>
        <v>255.22847999999985</v>
      </c>
      <c r="GB60" s="13">
        <f t="shared" si="49"/>
        <v>61.704188876103551</v>
      </c>
      <c r="GC60" s="20">
        <f t="shared" si="25"/>
        <v>551.99106495921342</v>
      </c>
      <c r="GD60" s="59">
        <f t="shared" si="26"/>
        <v>845.32439829254668</v>
      </c>
      <c r="GE60" s="59">
        <f ca="1">AVERAGE(OFFSET($GD$3,0,0,'Données projet'!$E$17+1,1))-AVERAGE(OFFSET($H$3,0,0,'Données projet'!$E$17+1,1))</f>
        <v>325.72928944930294</v>
      </c>
      <c r="GF60" s="59">
        <f t="shared" si="50"/>
        <v>318.38876834819752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14.104589798058313</v>
      </c>
      <c r="GM60" s="21">
        <f>EXP(-LN(2)/25)*GM59+(1-EXP(-LN(2)/25))/(LN(2)/25)*Calculateur!GH60*Calculateur!GJ60*VLOOKUP('Données projet'!$B$17,Paramètres!$A$1:$I$89,3,0)*0.475*44/12</f>
        <v>9.5467639417914256</v>
      </c>
      <c r="GN60" s="21">
        <f>EXP(-LN(2)/2)*GN59+(1-EXP(-LN(2)/2))/(LN(2)/2)*GH60*GK60*VLOOKUP('Données projet'!$B$17,Paramètres!$A$1:$I$89,3,0)*0.475*44/12</f>
        <v>1.891741239712166</v>
      </c>
      <c r="GO60" s="21">
        <f t="shared" si="27"/>
        <v>25.543094979561904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7.4</v>
      </c>
      <c r="GU60" s="12">
        <f>IF('Données projet'!$A$270&gt;35,GU59+GT60-HC59,IF(A60&lt;'Données projet'!$A$270,$GR$205^A60,IF(A60='Données projet'!$A$270,'Données projet'!$B$270,GU59+GT60-HC59)))</f>
        <v>320.79999999999978</v>
      </c>
      <c r="GV60" s="17">
        <f>GU60*VLOOKUP('Données projet'!$B$18,Paramètres!$A$1:$I$89,3,0)*VLOOKUP('Données projet'!$B$18,Paramètres!$A$1:$I$89,5,0)</f>
        <v>215.19263999999987</v>
      </c>
      <c r="GW60" s="13">
        <f t="shared" si="51"/>
        <v>53.068690033178463</v>
      </c>
      <c r="GX60" s="20">
        <f t="shared" si="28"/>
        <v>467.22181647445228</v>
      </c>
      <c r="GY60" s="59">
        <f t="shared" si="29"/>
        <v>760.5551498077856</v>
      </c>
      <c r="GZ60" s="59">
        <f ca="1">AVERAGE(OFFSET($GY$3,0,0,'Données projet'!$E$18+1,1))-AVERAGE(OFFSET($H$3,0,0,'Données projet'!$E$18+1,1))</f>
        <v>268.04554291387961</v>
      </c>
      <c r="HA60" s="59">
        <f t="shared" si="52"/>
        <v>263.70463099437148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11.892105123853087</v>
      </c>
      <c r="HH60" s="21">
        <f>EXP(-LN(2)/25)*HH59+(1-EXP(-LN(2)/25))/(LN(2)/25)*Calculateur!HC60*Calculateur!HE60*VLOOKUP('Données projet'!$B$18,Paramètres!$A$1:$I$89,3,0)*0.475*44/12</f>
        <v>8.0492323430790478</v>
      </c>
      <c r="HI60" s="21">
        <f>EXP(-LN(2)/2)*HI59+(1-EXP(-LN(2)/2))/(LN(2)/2)*HC60*HF60*VLOOKUP('Données projet'!$B$18,Paramètres!$A$1:$I$89,3,0)*0.475*44/12</f>
        <v>1.5949975158357472</v>
      </c>
      <c r="HJ60" s="22">
        <f t="shared" si="30"/>
        <v>21.53633498276788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</v>
      </c>
      <c r="N61" s="13">
        <f>IF('Données projet'!$A$36&gt;35,N60+M61-V60,IF(A61&lt;'Données projet'!$A$36,$K$205^A61,IF(A61='Données projet'!$A$36,'Données projet'!$B$36,N60+M61-V60)))</f>
        <v>198</v>
      </c>
      <c r="O61" s="13">
        <f>N61*VLOOKUP('Données projet'!$B$9,Paramètres!$A$1:$I$89,3,0)*VLOOKUP('Données projet'!$B$9,Paramètres!$A$1:$I$89,5,0)</f>
        <v>87.51600000000002</v>
      </c>
      <c r="P61" s="13">
        <f t="shared" si="33"/>
        <v>23.965171662037644</v>
      </c>
      <c r="Q61" s="20">
        <f t="shared" si="53"/>
        <v>194.16304064471558</v>
      </c>
      <c r="R61" s="59">
        <f t="shared" si="0"/>
        <v>487.49637397804889</v>
      </c>
      <c r="S61" s="59">
        <f ca="1">AVERAGE(OFFSET($R$3,0,0,'Données projet'!$E$9+1,1))-AVERAGE(OFFSET($H$3,0,0,'Données projet'!$E$9+1,1))</f>
        <v>46.095319339746538</v>
      </c>
      <c r="T61" s="59">
        <f t="shared" si="34"/>
        <v>48.158174304064403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2.3870534774908685</v>
      </c>
      <c r="AA61" s="21">
        <f>EXP(-LN(2)/25)*AA60+(1-EXP(-LN(2)/25))/(LN(2)/25)*Calculateur!V61*Calculateur!X61*VLOOKUP('Données projet'!$B$9,Paramètres!$A$1:$I$89,3,0)*0.475*44/12</f>
        <v>8.7486896691916272</v>
      </c>
      <c r="AB61" s="21">
        <f>EXP(-LN(2)/2)*AB60+(1-EXP(-LN(2)/2))/(LN(2)/2)*V61*Y61*VLOOKUP('Données projet'!$B$9,Paramètres!$A$1:$I$89,3,0)*0.475*44/12</f>
        <v>0.67230201112752952</v>
      </c>
      <c r="AC61" s="22">
        <f t="shared" si="3"/>
        <v>11.808045157810025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7.625</v>
      </c>
      <c r="AI61" s="13">
        <f>IF('Données projet'!$A$62&gt;35,AI60+AH61-AQ60,IF(A61&lt;'Données projet'!$A$62,$AF$205^A61,IF(A61='Données projet'!$A$62,'Données projet'!$B$62,AI60+AH61-AQ60)))</f>
        <v>655.49999999999989</v>
      </c>
      <c r="AJ61" s="13">
        <f>AI61*VLOOKUP('Données projet'!$B$10,Paramètres!$A$1:$I$89,3,0)*VLOOKUP('Données projet'!$B$10,Paramètres!$A$1:$I$89,5,0)</f>
        <v>391.98899999999998</v>
      </c>
      <c r="AK61" s="13">
        <f t="shared" si="35"/>
        <v>90.150650591789685</v>
      </c>
      <c r="AL61" s="20">
        <f t="shared" si="4"/>
        <v>839.72655811403354</v>
      </c>
      <c r="AM61" s="59">
        <f t="shared" si="5"/>
        <v>1133.0598914473669</v>
      </c>
      <c r="AN61" s="59">
        <f ca="1">AVERAGE(OFFSET($AM$3,0,0,'Données projet'!$E$10+1,1))-AVERAGE(OFFSET($H$3,0,0,'Données projet'!$E$10+1,1))</f>
        <v>408.84545509668794</v>
      </c>
      <c r="AO61" s="59">
        <f t="shared" si="36"/>
        <v>409.9253979841132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10.132220926230479</v>
      </c>
      <c r="AV61" s="21">
        <f>EXP(-LN(2)/25)*AV60+(1-EXP(-LN(2)/25))/(LN(2)/25)*Calculateur!AQ61*Calculateur!AS61*VLOOKUP('Données projet'!$B$10,Paramètres!$A$1:$I$89,3,0)*0.475*44/12</f>
        <v>26.090443976015436</v>
      </c>
      <c r="AW61" s="21">
        <f>EXP(-LN(2)/2)*AW60+(1-EXP(-LN(2)/2))/(LN(2)/2)*AQ61*AT61*VLOOKUP('Données projet'!$B$10,Paramètres!$A$1:$I$89,3,0)*0.475*44/12</f>
        <v>1.9644351579363579</v>
      </c>
      <c r="AX61" s="21">
        <f t="shared" si="6"/>
        <v>38.187100060182274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17</v>
      </c>
      <c r="BD61" s="12">
        <f>IF('Données projet'!$A$88&gt;35,BD60+BC61-BL60,IF(A61&lt;'Données projet'!$A$88,$BA$205^A61,IF(A61='Données projet'!$A$88,'Données projet'!$B$88,BD60+BC61-BL60)))</f>
        <v>466</v>
      </c>
      <c r="BE61" s="13">
        <f>BD61*VLOOKUP('Données projet'!$B$11,Paramètres!$A$1:$I$89,3,0)*VLOOKUP('Données projet'!$B$11,Paramètres!$A$1:$I$89,5,0)</f>
        <v>278.66800000000001</v>
      </c>
      <c r="BF61" s="13">
        <f t="shared" si="37"/>
        <v>66.685440917424543</v>
      </c>
      <c r="BG61" s="20">
        <f t="shared" si="7"/>
        <v>601.49057626451452</v>
      </c>
      <c r="BH61" s="59">
        <f t="shared" si="8"/>
        <v>894.82390959784789</v>
      </c>
      <c r="BI61" s="59">
        <f ca="1">AVERAGE(OFFSET($BH$3,0,0,'Données projet'!$E$11+1,1))-AVERAGE(OFFSET($H$3,0,0,'Données projet'!$E$11+1,1))</f>
        <v>279.69031306919914</v>
      </c>
      <c r="BJ61" s="59">
        <f t="shared" si="38"/>
        <v>297.01680128882509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12.285711101895069</v>
      </c>
      <c r="BQ61" s="21">
        <f>EXP(-LN(2)/25)*BQ60+(1-EXP(-LN(2)/25))/(LN(2)/25)*Calculateur!BL61*Calculateur!BN61*VLOOKUP('Données projet'!$B$11,Paramètres!$A$1:$I$89,3,0)*0.475*44/12</f>
        <v>39.890361525915893</v>
      </c>
      <c r="BR61" s="21">
        <f>EXP(-LN(2)/2)*BR60+(1-EXP(-LN(2)/2))/(LN(2)/2)*BL61*BO61*VLOOKUP('Données projet'!$B$11,Paramètres!$A$1:$I$89,3,0)*0.475*44/12</f>
        <v>4.2455958023449325</v>
      </c>
      <c r="BS61" s="22">
        <f t="shared" si="9"/>
        <v>56.42166843015589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2.75</v>
      </c>
      <c r="BY61" s="12">
        <f>IF('Données projet'!$A$114&gt;35,BY60+BX61-CG60,IF(A61&lt;'Données projet'!$A$114,$BV$205^A61,IF(A61='Données projet'!$A$114,'Données projet'!$B$114,BY60+BX61-CG60)))</f>
        <v>163</v>
      </c>
      <c r="BZ61" s="13">
        <f>BY61*VLOOKUP('Données projet'!$B$12,Paramètres!$A$1:$I$89,3,0)*VLOOKUP('Données projet'!$B$12,Paramètres!$A$1:$I$89,5,0)</f>
        <v>97.474000000000004</v>
      </c>
      <c r="CA61" s="13">
        <f t="shared" si="39"/>
        <v>26.359319748929014</v>
      </c>
      <c r="CB61" s="20">
        <f t="shared" si="10"/>
        <v>215.67636522938469</v>
      </c>
      <c r="CC61" s="59">
        <f t="shared" si="11"/>
        <v>509.00969856271797</v>
      </c>
      <c r="CD61" s="59">
        <f ca="1">AVERAGE(OFFSET($CC$3,0,0,'Données projet'!$E$12+1,1))-AVERAGE(OFFSET($H$3,0,0,'Données projet'!$E$12+1,1))</f>
        <v>81.299024916151723</v>
      </c>
      <c r="CE61" s="59">
        <f t="shared" si="40"/>
        <v>88.106373324240167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5.4467376929384175</v>
      </c>
      <c r="CL61" s="21">
        <f>EXP(-LN(2)/25)*CL60+(1-EXP(-LN(2)/25))/(LN(2)/25)*Calculateur!CG61*Calculateur!CI61*VLOOKUP('Données projet'!$B$12,Paramètres!$A$1:$I$89,3,0)*0.475*44/12</f>
        <v>10.6310091180772</v>
      </c>
      <c r="CM61" s="21">
        <f>EXP(-LN(2)/2)*CM60+(1-EXP(-LN(2)/2))/(LN(2)/2)*CG61*CJ61*VLOOKUP('Données projet'!$B$12,Paramètres!$A$1:$I$89,3,0)*0.475*44/12</f>
        <v>0.8867464266092574</v>
      </c>
      <c r="CN61" s="22">
        <f t="shared" si="12"/>
        <v>16.964493237624875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12.2</v>
      </c>
      <c r="CT61" s="12">
        <f>IF('Données projet'!$A$140&gt;35,CT60+CS61-DB60,IF(A61&lt;'Données projet'!$A$140,$CQ$205^A61,IF(A61='Données projet'!$A$140,'Données projet'!$B$140,CT60+CS61-DB60)))</f>
        <v>729.59999999999957</v>
      </c>
      <c r="CU61" s="17">
        <f>CT61*VLOOKUP('Données projet'!$B$13,Paramètres!$A$1:$I$89,3,0)*VLOOKUP('Données projet'!$B$13,Paramètres!$A$1:$I$89,5,0)</f>
        <v>407.84639999999973</v>
      </c>
      <c r="CV61" s="13">
        <f t="shared" si="41"/>
        <v>93.365599460181741</v>
      </c>
      <c r="CW61" s="20">
        <f t="shared" si="13"/>
        <v>872.94423239314926</v>
      </c>
      <c r="CX61" s="59">
        <f t="shared" si="14"/>
        <v>1166.2775657264826</v>
      </c>
      <c r="CY61" s="59">
        <f ca="1">AVERAGE(OFFSET($CX$3,0,0,'Données projet'!$E$13+1,1))-AVERAGE(OFFSET($H$3,0,0,'Données projet'!$E$13+1,1))</f>
        <v>475.42482703895411</v>
      </c>
      <c r="CZ61" s="59">
        <f t="shared" si="42"/>
        <v>593.51433014569966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60.089931137545548</v>
      </c>
      <c r="DG61" s="21">
        <f>EXP(-LN(2)/25)*DG60+(1-EXP(-LN(2)/25))/(LN(2)/25)*Calculateur!DB61*Calculateur!DD61*VLOOKUP('Données projet'!$B$13,Paramètres!$A$1:$I$89,3,0)*0.475*44/12</f>
        <v>37.676844574292659</v>
      </c>
      <c r="DH61" s="21">
        <f>EXP(-LN(2)/2)*DH60+(1-EXP(-LN(2)/2))/(LN(2)/2)*DB61*DE61*VLOOKUP('Données projet'!$B$13,Paramètres!$A$1:$I$89,3,0)*0.475*44/12</f>
        <v>1.6346950866464653</v>
      </c>
      <c r="DI61" s="22">
        <f t="shared" si="15"/>
        <v>99.401470798484667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10.125</v>
      </c>
      <c r="DO61" s="12">
        <f>IF('Données projet'!$A$166&gt;35,DO60+DN61-DW60,IF(A61&lt;'Données projet'!$A$166,$DL$205^A61,IF(A61='Données projet'!$A$166,'Données projet'!$B$166,DO60+DN61-DW60)))</f>
        <v>229.75</v>
      </c>
      <c r="DP61" s="17">
        <f>DO61*VLOOKUP('Données projet'!$B$14,Paramètres!$A$1:$I$89,3,0)*VLOOKUP('Données projet'!$B$14,Paramètres!$A$1:$I$89,5,0)</f>
        <v>207.87780000000001</v>
      </c>
      <c r="DQ61" s="13">
        <f t="shared" si="43"/>
        <v>51.471557815090421</v>
      </c>
      <c r="DR61" s="20">
        <f t="shared" si="16"/>
        <v>451.70013152794922</v>
      </c>
      <c r="DS61" s="59">
        <f t="shared" si="17"/>
        <v>745.03346486128248</v>
      </c>
      <c r="DT61" s="59">
        <f ca="1">AVERAGE(OFFSET($DS$3,0,0,'Données projet'!$E$14+1,1))-AVERAGE(OFFSET($H$3,0,0,'Données projet'!$E$14+1,1))</f>
        <v>401.17301323870578</v>
      </c>
      <c r="DU61" s="59">
        <f t="shared" si="44"/>
        <v>201.57993789149754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18.110158748634447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18.110158748634447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4.4000000000000004</v>
      </c>
      <c r="EJ61" s="12">
        <f>IF('Données projet'!$A$192&gt;35,EJ60+EI61-ER60,IF(A61&lt;'Données projet'!$A$192,$EG$205^A61,IF(A61='Données projet'!$A$192,'Données projet'!$B$192,EJ60+EI61-ER60)))</f>
        <v>233.20000000000005</v>
      </c>
      <c r="EK61" s="17">
        <f>EJ61*VLOOKUP('Données projet'!$B$15,Paramètres!$A$1:$I$89,3,0)*VLOOKUP('Données projet'!$B$15,Paramètres!$A$1:$I$89,5,0)</f>
        <v>203.72352000000006</v>
      </c>
      <c r="EL61" s="13">
        <f t="shared" si="45"/>
        <v>50.561604122231515</v>
      </c>
      <c r="EM61" s="20">
        <f t="shared" si="19"/>
        <v>442.87992451288665</v>
      </c>
      <c r="EN61" s="59">
        <f t="shared" si="20"/>
        <v>736.2132578462199</v>
      </c>
      <c r="EO61" s="59">
        <f ca="1">AVERAGE(OFFSET($EN$3,0,0,'Données projet'!$E$15+1,1))-AVERAGE(OFFSET($H$3,0,0,'Données projet'!$E$15+1,1))</f>
        <v>237.8483058552178</v>
      </c>
      <c r="EP61" s="59">
        <f t="shared" si="46"/>
        <v>313.36201272119723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5.7765968222964537</v>
      </c>
      <c r="EW61" s="21">
        <f>EXP(-LN(2)/25)*EW60+(1-EXP(-LN(2)/25))/(LN(2)/25)*Calculateur!ER61*Calculateur!ET61*VLOOKUP('Données projet'!$B$15,Paramètres!$A$1:$I$89,3,0)*0.475*44/12</f>
        <v>5.1249506659177415</v>
      </c>
      <c r="EX61" s="21">
        <f>EXP(-LN(2)/2)*EX60+(1-EXP(-LN(2)/2))/(LN(2)/2)*ER61*EU61*VLOOKUP('Données projet'!$B$15,Paramètres!$A$1:$I$89,3,0)*0.475*44/12</f>
        <v>0.5288497841579286</v>
      </c>
      <c r="EY61" s="22">
        <f t="shared" si="21"/>
        <v>11.430397272372124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7.4</v>
      </c>
      <c r="FE61" s="12">
        <f>IF('Données projet'!$A$218&gt;35,FE60+FD61-FM60,IF(A61&lt;'Données projet'!$A$218,$FB$205^A61,IF(A61='Données projet'!$A$218,'Données projet'!$B$218,FE60+FD61-FM60)))</f>
        <v>328.19999999999976</v>
      </c>
      <c r="FF61" s="17">
        <f>FE61*VLOOKUP('Données projet'!$B$16,Paramètres!$A$1:$I$89,3,0)*VLOOKUP('Données projet'!$B$16,Paramètres!$A$1:$I$89,5,0)</f>
        <v>255.99599999999981</v>
      </c>
      <c r="FG61" s="13">
        <f t="shared" si="47"/>
        <v>61.868117574577695</v>
      </c>
      <c r="FH61" s="20">
        <f t="shared" si="22"/>
        <v>553.6133381090558</v>
      </c>
      <c r="FI61" s="59">
        <f t="shared" si="23"/>
        <v>846.94667144238906</v>
      </c>
      <c r="FJ61" s="59">
        <f ca="1">AVERAGE(OFFSET($FI$3,0,0,'Données projet'!$E$16+1,1))-AVERAGE(OFFSET($H$3,0,0,'Données projet'!$E$16+1,1))</f>
        <v>318.52984981739411</v>
      </c>
      <c r="FK61" s="59">
        <f t="shared" si="48"/>
        <v>311.56398336941714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10.998969996077577</v>
      </c>
      <c r="FR61" s="21">
        <f>EXP(-LN(2)/25)*FR60+(1-EXP(-LN(2)/25))/(LN(2)/25)*Calculateur!FM61*Calculateur!FO61*VLOOKUP('Données projet'!$B$16,Paramètres!$A$1:$I$89,3,0)*0.475*44/12</f>
        <v>7.3859676050630361</v>
      </c>
      <c r="FS61" s="21">
        <f>EXP(-LN(2)/2)*FS60+(1-EXP(-LN(2)/2))/(LN(2)/2)*FM61*FP61*VLOOKUP('Données projet'!$B$16,Paramètres!$A$1:$I$89,3,0)*0.475*44/12</f>
        <v>1.3114343714222729</v>
      </c>
      <c r="FT61" s="22">
        <f t="shared" si="24"/>
        <v>19.696371972562886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7.4</v>
      </c>
      <c r="FZ61" s="12">
        <f>IF('Données projet'!$A$244&gt;35,FZ60+FY61-GH60,IF(A61&lt;'Données projet'!$A$244,$FW$205^A61,IF(A61='Données projet'!$A$244,'Données projet'!$B$244,FZ60+FY61-GH60)))</f>
        <v>328.19999999999976</v>
      </c>
      <c r="GA61" s="17">
        <f>FZ61*VLOOKUP('Données projet'!$B$17,Paramètres!$A$1:$I$89,3,0)*VLOOKUP('Données projet'!$B$17,Paramètres!$A$1:$I$89,5,0)</f>
        <v>261.11591999999985</v>
      </c>
      <c r="GB61" s="13">
        <f t="shared" si="49"/>
        <v>62.960187681145797</v>
      </c>
      <c r="GC61" s="20">
        <f t="shared" si="25"/>
        <v>564.43255421132858</v>
      </c>
      <c r="GD61" s="59">
        <f t="shared" si="26"/>
        <v>857.76588754466184</v>
      </c>
      <c r="GE61" s="59">
        <f ca="1">AVERAGE(OFFSET($GD$3,0,0,'Données projet'!$E$17+1,1))-AVERAGE(OFFSET($H$3,0,0,'Données projet'!$E$17+1,1))</f>
        <v>325.72928944930294</v>
      </c>
      <c r="GF61" s="59">
        <f t="shared" si="50"/>
        <v>318.38876834819752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13.828007395068695</v>
      </c>
      <c r="GM61" s="21">
        <f>EXP(-LN(2)/25)*GM60+(1-EXP(-LN(2)/25))/(LN(2)/25)*Calculateur!GH61*Calculateur!GJ61*VLOOKUP('Données projet'!$B$17,Paramètres!$A$1:$I$89,3,0)*0.475*44/12</f>
        <v>9.2857071797606423</v>
      </c>
      <c r="GN61" s="21">
        <f>EXP(-LN(2)/2)*GN60+(1-EXP(-LN(2)/2))/(LN(2)/2)*GH61*GK61*VLOOKUP('Données projet'!$B$17,Paramètres!$A$1:$I$89,3,0)*0.475*44/12</f>
        <v>1.3376630588507188</v>
      </c>
      <c r="GO61" s="21">
        <f t="shared" si="27"/>
        <v>24.451377633680057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7.4</v>
      </c>
      <c r="GU61" s="12">
        <f>IF('Données projet'!$A$270&gt;35,GU60+GT61-HC60,IF(A61&lt;'Données projet'!$A$270,$GR$205^A61,IF(A61='Données projet'!$A$270,'Données projet'!$B$270,GU60+GT61-HC60)))</f>
        <v>328.19999999999976</v>
      </c>
      <c r="GV61" s="17">
        <f>GU61*VLOOKUP('Données projet'!$B$18,Paramètres!$A$1:$I$89,3,0)*VLOOKUP('Données projet'!$B$18,Paramètres!$A$1:$I$89,5,0)</f>
        <v>220.15655999999984</v>
      </c>
      <c r="GW61" s="13">
        <f t="shared" si="51"/>
        <v>54.148911854109755</v>
      </c>
      <c r="GX61" s="20">
        <f t="shared" si="28"/>
        <v>477.74869681257422</v>
      </c>
      <c r="GY61" s="59">
        <f t="shared" si="29"/>
        <v>771.08203014590754</v>
      </c>
      <c r="GZ61" s="59">
        <f ca="1">AVERAGE(OFFSET($GY$3,0,0,'Données projet'!$E$18+1,1))-AVERAGE(OFFSET($H$3,0,0,'Données projet'!$E$18+1,1))</f>
        <v>268.04554291387961</v>
      </c>
      <c r="HA61" s="59">
        <f t="shared" si="52"/>
        <v>263.70463099437148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11.658908195842233</v>
      </c>
      <c r="HH61" s="21">
        <f>EXP(-LN(2)/25)*HH60+(1-EXP(-LN(2)/25))/(LN(2)/25)*Calculateur!HC61*Calculateur!HE61*VLOOKUP('Données projet'!$B$18,Paramètres!$A$1:$I$89,3,0)*0.475*44/12</f>
        <v>7.8291256613668194</v>
      </c>
      <c r="HI61" s="21">
        <f>EXP(-LN(2)/2)*HI60+(1-EXP(-LN(2)/2))/(LN(2)/2)*HC61*HF61*VLOOKUP('Données projet'!$B$18,Paramètres!$A$1:$I$89,3,0)*0.475*44/12</f>
        <v>1.1278335594231546</v>
      </c>
      <c r="HJ61" s="22">
        <f t="shared" si="30"/>
        <v>20.615867416632209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</v>
      </c>
      <c r="N62" s="13">
        <f>IF('Données projet'!$A$36&gt;35,N61+M62-V61,IF(A62&lt;'Données projet'!$A$36,$K$205^A62,IF(A62='Données projet'!$A$36,'Données projet'!$B$36,N61+M62-V61)))</f>
        <v>208</v>
      </c>
      <c r="O62" s="13">
        <f>N62*VLOOKUP('Données projet'!$B$9,Paramètres!$A$1:$I$89,3,0)*VLOOKUP('Données projet'!$B$9,Paramètres!$A$1:$I$89,5,0)</f>
        <v>91.936000000000007</v>
      </c>
      <c r="P62" s="13">
        <f t="shared" si="33"/>
        <v>25.031561647277613</v>
      </c>
      <c r="Q62" s="20">
        <f t="shared" si="53"/>
        <v>203.71850320234185</v>
      </c>
      <c r="R62" s="59">
        <f t="shared" si="0"/>
        <v>497.05183653567519</v>
      </c>
      <c r="S62" s="59">
        <f ca="1">AVERAGE(OFFSET($R$3,0,0,'Données projet'!$E$9+1,1))-AVERAGE(OFFSET($H$3,0,0,'Données projet'!$E$9+1,1))</f>
        <v>46.095319339746538</v>
      </c>
      <c r="T62" s="59">
        <f t="shared" si="34"/>
        <v>48.158174304064403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2.3402448147561299</v>
      </c>
      <c r="AA62" s="21">
        <f>EXP(-LN(2)/25)*AA61+(1-EXP(-LN(2)/25))/(LN(2)/25)*Calculateur!V62*Calculateur!X62*VLOOKUP('Données projet'!$B$9,Paramètres!$A$1:$I$89,3,0)*0.475*44/12</f>
        <v>8.5094562901139881</v>
      </c>
      <c r="AB62" s="21">
        <f>EXP(-LN(2)/2)*AB61+(1-EXP(-LN(2)/2))/(LN(2)/2)*V62*Y62*VLOOKUP('Données projet'!$B$9,Paramètres!$A$1:$I$89,3,0)*0.475*44/12</f>
        <v>0.47538931107362986</v>
      </c>
      <c r="AC62" s="22">
        <f t="shared" si="3"/>
        <v>11.325090415943748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7.625</v>
      </c>
      <c r="AI62" s="13">
        <f>IF('Données projet'!$A$62&gt;35,AI61+AH62-AQ61,IF(A62&lt;'Données projet'!$A$62,$AF$205^A62,IF(A62='Données projet'!$A$62,'Données projet'!$B$62,AI61+AH62-AQ61)))</f>
        <v>663.12499999999989</v>
      </c>
      <c r="AJ62" s="13">
        <f>AI62*VLOOKUP('Données projet'!$B$10,Paramètres!$A$1:$I$89,3,0)*VLOOKUP('Données projet'!$B$10,Paramètres!$A$1:$I$89,5,0)</f>
        <v>396.54874999999998</v>
      </c>
      <c r="AK62" s="13">
        <f t="shared" si="35"/>
        <v>91.076624762011463</v>
      </c>
      <c r="AL62" s="20">
        <f t="shared" si="4"/>
        <v>849.28086104383658</v>
      </c>
      <c r="AM62" s="59">
        <f t="shared" si="5"/>
        <v>1142.61419437717</v>
      </c>
      <c r="AN62" s="59">
        <f ca="1">AVERAGE(OFFSET($AM$3,0,0,'Données projet'!$E$10+1,1))-AVERAGE(OFFSET($H$3,0,0,'Données projet'!$E$10+1,1))</f>
        <v>408.84545509668794</v>
      </c>
      <c r="AO62" s="59">
        <f t="shared" si="36"/>
        <v>409.9253979841132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9.9335342539116365</v>
      </c>
      <c r="AV62" s="21">
        <f>EXP(-LN(2)/25)*AV61+(1-EXP(-LN(2)/25))/(LN(2)/25)*Calculateur!AQ62*Calculateur!AS62*VLOOKUP('Données projet'!$B$10,Paramètres!$A$1:$I$89,3,0)*0.475*44/12</f>
        <v>25.376999413454477</v>
      </c>
      <c r="AW62" s="21">
        <f>EXP(-LN(2)/2)*AW61+(1-EXP(-LN(2)/2))/(LN(2)/2)*AQ62*AT62*VLOOKUP('Données projet'!$B$10,Paramètres!$A$1:$I$89,3,0)*0.475*44/12</f>
        <v>1.3890654213780653</v>
      </c>
      <c r="AX62" s="21">
        <f t="shared" si="6"/>
        <v>36.699599088744179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17</v>
      </c>
      <c r="BD62" s="12">
        <f>IF('Données projet'!$A$88&gt;35,BD61+BC62-BL61,IF(A62&lt;'Données projet'!$A$88,$BA$205^A62,IF(A62='Données projet'!$A$88,'Données projet'!$B$88,BD61+BC62-BL61)))</f>
        <v>483</v>
      </c>
      <c r="BE62" s="13">
        <f>BD62*VLOOKUP('Données projet'!$B$11,Paramètres!$A$1:$I$89,3,0)*VLOOKUP('Données projet'!$B$11,Paramètres!$A$1:$I$89,5,0)</f>
        <v>288.834</v>
      </c>
      <c r="BF62" s="13">
        <f t="shared" si="37"/>
        <v>68.830498636563377</v>
      </c>
      <c r="BG62" s="20">
        <f t="shared" si="7"/>
        <v>622.93233512534789</v>
      </c>
      <c r="BH62" s="59">
        <f t="shared" si="8"/>
        <v>916.26566845868115</v>
      </c>
      <c r="BI62" s="59">
        <f ca="1">AVERAGE(OFFSET($BH$3,0,0,'Données projet'!$E$11+1,1))-AVERAGE(OFFSET($H$3,0,0,'Données projet'!$E$11+1,1))</f>
        <v>279.69031306919914</v>
      </c>
      <c r="BJ62" s="59">
        <f t="shared" si="38"/>
        <v>297.01680128882509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12.044795800730753</v>
      </c>
      <c r="BQ62" s="21">
        <f>EXP(-LN(2)/25)*BQ61+(1-EXP(-LN(2)/25))/(LN(2)/25)*Calculateur!BL62*Calculateur!BN62*VLOOKUP('Données projet'!$B$11,Paramètres!$A$1:$I$89,3,0)*0.475*44/12</f>
        <v>38.799557492246784</v>
      </c>
      <c r="BR62" s="21">
        <f>EXP(-LN(2)/2)*BR61+(1-EXP(-LN(2)/2))/(LN(2)/2)*BL62*BO62*VLOOKUP('Données projet'!$B$11,Paramètres!$A$1:$I$89,3,0)*0.475*44/12</f>
        <v>3.0020895820152429</v>
      </c>
      <c r="BS62" s="22">
        <f t="shared" si="9"/>
        <v>53.846442874992782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2.75</v>
      </c>
      <c r="BY62" s="12">
        <f>IF('Données projet'!$A$114&gt;35,BY61+BX62-CG61,IF(A62&lt;'Données projet'!$A$114,$BV$205^A62,IF(A62='Données projet'!$A$114,'Données projet'!$B$114,BY61+BX62-CG61)))</f>
        <v>165.75</v>
      </c>
      <c r="BZ62" s="13">
        <f>BY62*VLOOKUP('Données projet'!$B$12,Paramètres!$A$1:$I$89,3,0)*VLOOKUP('Données projet'!$B$12,Paramètres!$A$1:$I$89,5,0)</f>
        <v>99.118500000000012</v>
      </c>
      <c r="CA62" s="13">
        <f t="shared" si="39"/>
        <v>26.751884234249314</v>
      </c>
      <c r="CB62" s="20">
        <f t="shared" si="10"/>
        <v>219.22425254131755</v>
      </c>
      <c r="CC62" s="59">
        <f t="shared" si="11"/>
        <v>512.55758587465084</v>
      </c>
      <c r="CD62" s="59">
        <f ca="1">AVERAGE(OFFSET($CC$3,0,0,'Données projet'!$E$12+1,1))-AVERAGE(OFFSET($H$3,0,0,'Données projet'!$E$12+1,1))</f>
        <v>81.299024916151723</v>
      </c>
      <c r="CE62" s="59">
        <f t="shared" si="40"/>
        <v>88.106373324240167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5.3399304889618495</v>
      </c>
      <c r="CL62" s="21">
        <f>EXP(-LN(2)/25)*CL61+(1-EXP(-LN(2)/25))/(LN(2)/25)*Calculateur!CG62*Calculateur!CI62*VLOOKUP('Données projet'!$B$12,Paramètres!$A$1:$I$89,3,0)*0.475*44/12</f>
        <v>10.340303614682908</v>
      </c>
      <c r="CM62" s="21">
        <f>EXP(-LN(2)/2)*CM61+(1-EXP(-LN(2)/2))/(LN(2)/2)*CG62*CJ62*VLOOKUP('Données projet'!$B$12,Paramètres!$A$1:$I$89,3,0)*0.475*44/12</f>
        <v>0.62702441144834509</v>
      </c>
      <c r="CN62" s="22">
        <f t="shared" si="12"/>
        <v>16.307258515093103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12.2</v>
      </c>
      <c r="CT62" s="12">
        <f>IF('Données projet'!$A$140&gt;35,CT61+CS62-DB61,IF(A62&lt;'Données projet'!$A$140,$CQ$205^A62,IF(A62='Données projet'!$A$140,'Données projet'!$B$140,CT61+CS62-DB61)))</f>
        <v>741.79999999999961</v>
      </c>
      <c r="CU62" s="17">
        <f>CT62*VLOOKUP('Données projet'!$B$13,Paramètres!$A$1:$I$89,3,0)*VLOOKUP('Données projet'!$B$13,Paramètres!$A$1:$I$89,5,0)</f>
        <v>414.66619999999978</v>
      </c>
      <c r="CV62" s="13">
        <f t="shared" si="41"/>
        <v>94.743752206399009</v>
      </c>
      <c r="CW62" s="20">
        <f t="shared" si="13"/>
        <v>887.22233342614447</v>
      </c>
      <c r="CX62" s="59">
        <f t="shared" si="14"/>
        <v>1180.5556667594778</v>
      </c>
      <c r="CY62" s="59">
        <f ca="1">AVERAGE(OFFSET($CX$3,0,0,'Données projet'!$E$13+1,1))-AVERAGE(OFFSET($H$3,0,0,'Données projet'!$E$13+1,1))</f>
        <v>475.42482703895411</v>
      </c>
      <c r="CZ62" s="59">
        <f t="shared" si="42"/>
        <v>593.51433014569966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58.911604239177265</v>
      </c>
      <c r="DG62" s="21">
        <f>EXP(-LN(2)/25)*DG61+(1-EXP(-LN(2)/25))/(LN(2)/25)*Calculateur!DB62*Calculateur!DD62*VLOOKUP('Données projet'!$B$13,Paramètres!$A$1:$I$89,3,0)*0.475*44/12</f>
        <v>36.646569278069478</v>
      </c>
      <c r="DH62" s="21">
        <f>EXP(-LN(2)/2)*DH61+(1-EXP(-LN(2)/2))/(LN(2)/2)*DB62*DE62*VLOOKUP('Données projet'!$B$13,Paramètres!$A$1:$I$89,3,0)*0.475*44/12</f>
        <v>1.1559039809400466</v>
      </c>
      <c r="DI62" s="22">
        <f t="shared" si="15"/>
        <v>96.714077498186796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10.125</v>
      </c>
      <c r="DO62" s="12">
        <f>IF('Données projet'!$A$166&gt;35,DO61+DN62-DW61,IF(A62&lt;'Données projet'!$A$166,$DL$205^A62,IF(A62='Données projet'!$A$166,'Données projet'!$B$166,DO61+DN62-DW61)))</f>
        <v>239.875</v>
      </c>
      <c r="DP62" s="17">
        <f>DO62*VLOOKUP('Données projet'!$B$14,Paramètres!$A$1:$I$89,3,0)*VLOOKUP('Données projet'!$B$14,Paramètres!$A$1:$I$89,5,0)</f>
        <v>217.03890000000001</v>
      </c>
      <c r="DQ62" s="13">
        <f t="shared" si="43"/>
        <v>53.470798576660421</v>
      </c>
      <c r="DR62" s="20">
        <f t="shared" si="16"/>
        <v>471.13772502101688</v>
      </c>
      <c r="DS62" s="59">
        <f t="shared" si="17"/>
        <v>764.47105835435013</v>
      </c>
      <c r="DT62" s="59">
        <f ca="1">AVERAGE(OFFSET($DS$3,0,0,'Données projet'!$E$14+1,1))-AVERAGE(OFFSET($H$3,0,0,'Données projet'!$E$14+1,1))</f>
        <v>401.17301323870578</v>
      </c>
      <c r="DU62" s="59">
        <f t="shared" si="44"/>
        <v>201.57993789149754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17.614935505281181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17.614935505281181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4.4000000000000004</v>
      </c>
      <c r="EJ62" s="12">
        <f>IF('Données projet'!$A$192&gt;35,EJ61+EI62-ER61,IF(A62&lt;'Données projet'!$A$192,$EG$205^A62,IF(A62='Données projet'!$A$192,'Données projet'!$B$192,EJ61+EI62-ER61)))</f>
        <v>237.60000000000005</v>
      </c>
      <c r="EK62" s="17">
        <f>EJ62*VLOOKUP('Données projet'!$B$15,Paramètres!$A$1:$I$89,3,0)*VLOOKUP('Données projet'!$B$15,Paramètres!$A$1:$I$89,5,0)</f>
        <v>207.56736000000006</v>
      </c>
      <c r="EL62" s="13">
        <f t="shared" si="45"/>
        <v>51.403632705393022</v>
      </c>
      <c r="EM62" s="20">
        <f t="shared" si="19"/>
        <v>451.0411456285596</v>
      </c>
      <c r="EN62" s="59">
        <f t="shared" si="20"/>
        <v>744.37447896189292</v>
      </c>
      <c r="EO62" s="59">
        <f ca="1">AVERAGE(OFFSET($EN$3,0,0,'Données projet'!$E$15+1,1))-AVERAGE(OFFSET($H$3,0,0,'Données projet'!$E$15+1,1))</f>
        <v>237.8483058552178</v>
      </c>
      <c r="EP62" s="59">
        <f t="shared" si="46"/>
        <v>313.36201272119723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5.6633212819873773</v>
      </c>
      <c r="EW62" s="21">
        <f>EXP(-LN(2)/25)*EW61+(1-EXP(-LN(2)/25))/(LN(2)/25)*Calculateur!ER62*Calculateur!ET62*VLOOKUP('Données projet'!$B$15,Paramètres!$A$1:$I$89,3,0)*0.475*44/12</f>
        <v>4.9848086204487787</v>
      </c>
      <c r="EX62" s="21">
        <f>EXP(-LN(2)/2)*EX61+(1-EXP(-LN(2)/2))/(LN(2)/2)*ER62*EU62*VLOOKUP('Données projet'!$B$15,Paramètres!$A$1:$I$89,3,0)*0.475*44/12</f>
        <v>0.37395326860711331</v>
      </c>
      <c r="EY62" s="22">
        <f t="shared" si="21"/>
        <v>11.022083171043271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7.4</v>
      </c>
      <c r="FE62" s="12">
        <f>IF('Données projet'!$A$218&gt;35,FE61+FD62-FM61,IF(A62&lt;'Données projet'!$A$218,$FB$205^A62,IF(A62='Données projet'!$A$218,'Données projet'!$B$218,FE61+FD62-FM61)))</f>
        <v>335.59999999999974</v>
      </c>
      <c r="FF62" s="17">
        <f>FE62*VLOOKUP('Données projet'!$B$16,Paramètres!$A$1:$I$89,3,0)*VLOOKUP('Données projet'!$B$16,Paramètres!$A$1:$I$89,5,0)</f>
        <v>261.7679999999998</v>
      </c>
      <c r="FG62" s="13">
        <f t="shared" si="47"/>
        <v>63.099095337185013</v>
      </c>
      <c r="FH62" s="20">
        <f t="shared" si="22"/>
        <v>565.81019104559675</v>
      </c>
      <c r="FI62" s="59">
        <f t="shared" si="23"/>
        <v>859.14352437893012</v>
      </c>
      <c r="FJ62" s="59">
        <f ca="1">AVERAGE(OFFSET($FI$3,0,0,'Données projet'!$E$16+1,1))-AVERAGE(OFFSET($H$3,0,0,'Données projet'!$E$16+1,1))</f>
        <v>318.52984981739411</v>
      </c>
      <c r="FK62" s="59">
        <f t="shared" si="48"/>
        <v>311.56398336941714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10.783286903163763</v>
      </c>
      <c r="FR62" s="21">
        <f>EXP(-LN(2)/25)*FR61+(1-EXP(-LN(2)/25))/(LN(2)/25)*Calculateur!FM62*Calculateur!FO62*VLOOKUP('Données projet'!$B$16,Paramètres!$A$1:$I$89,3,0)*0.475*44/12</f>
        <v>7.1839979324914323</v>
      </c>
      <c r="FS62" s="21">
        <f>EXP(-LN(2)/2)*FS61+(1-EXP(-LN(2)/2))/(LN(2)/2)*FM62*FP62*VLOOKUP('Données projet'!$B$16,Paramètres!$A$1:$I$89,3,0)*0.475*44/12</f>
        <v>0.92732413711380668</v>
      </c>
      <c r="FT62" s="22">
        <f t="shared" si="24"/>
        <v>18.894608972769003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7.4</v>
      </c>
      <c r="FZ62" s="12">
        <f>IF('Données projet'!$A$244&gt;35,FZ61+FY62-GH61,IF(A62&lt;'Données projet'!$A$244,$FW$205^A62,IF(A62='Données projet'!$A$244,'Données projet'!$B$244,FZ61+FY62-GH61)))</f>
        <v>335.59999999999974</v>
      </c>
      <c r="GA62" s="17">
        <f>FZ62*VLOOKUP('Données projet'!$B$17,Paramètres!$A$1:$I$89,3,0)*VLOOKUP('Données projet'!$B$17,Paramètres!$A$1:$I$89,5,0)</f>
        <v>267.00335999999982</v>
      </c>
      <c r="GB62" s="13">
        <f t="shared" si="49"/>
        <v>64.212894147794728</v>
      </c>
      <c r="GC62" s="20">
        <f t="shared" si="25"/>
        <v>576.86830930740882</v>
      </c>
      <c r="GD62" s="59">
        <f t="shared" si="26"/>
        <v>870.20164264074219</v>
      </c>
      <c r="GE62" s="59">
        <f ca="1">AVERAGE(OFFSET($GD$3,0,0,'Données projet'!$E$17+1,1))-AVERAGE(OFFSET($H$3,0,0,'Données projet'!$E$17+1,1))</f>
        <v>325.72928944930294</v>
      </c>
      <c r="GF62" s="59">
        <f t="shared" si="50"/>
        <v>318.38876834819752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13.556848604303097</v>
      </c>
      <c r="GM62" s="21">
        <f>EXP(-LN(2)/25)*GM61+(1-EXP(-LN(2)/25))/(LN(2)/25)*Calculateur!GH62*Calculateur!GJ62*VLOOKUP('Données projet'!$B$17,Paramètres!$A$1:$I$89,3,0)*0.475*44/12</f>
        <v>9.0317890286159699</v>
      </c>
      <c r="GN62" s="21">
        <f>EXP(-LN(2)/2)*GN61+(1-EXP(-LN(2)/2))/(LN(2)/2)*GH62*GK62*VLOOKUP('Données projet'!$B$17,Paramètres!$A$1:$I$89,3,0)*0.475*44/12</f>
        <v>0.94587061985608312</v>
      </c>
      <c r="GO62" s="21">
        <f t="shared" si="27"/>
        <v>23.534508252775151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7.4</v>
      </c>
      <c r="GU62" s="12">
        <f>IF('Données projet'!$A$270&gt;35,GU61+GT62-HC61,IF(A62&lt;'Données projet'!$A$270,$GR$205^A62,IF(A62='Données projet'!$A$270,'Données projet'!$B$270,GU61+GT62-HC61)))</f>
        <v>335.59999999999974</v>
      </c>
      <c r="GV62" s="17">
        <f>GU62*VLOOKUP('Données projet'!$B$18,Paramètres!$A$1:$I$89,3,0)*VLOOKUP('Données projet'!$B$18,Paramètres!$A$1:$I$89,5,0)</f>
        <v>225.12047999999982</v>
      </c>
      <c r="GW62" s="13">
        <f t="shared" si="51"/>
        <v>55.226302099278278</v>
      </c>
      <c r="GX62" s="20">
        <f t="shared" si="28"/>
        <v>488.27064548957588</v>
      </c>
      <c r="GY62" s="59">
        <f t="shared" si="29"/>
        <v>781.6039788229092</v>
      </c>
      <c r="GZ62" s="59">
        <f ca="1">AVERAGE(OFFSET($GY$3,0,0,'Données projet'!$E$18+1,1))-AVERAGE(OFFSET($H$3,0,0,'Données projet'!$E$18+1,1))</f>
        <v>268.04554291387961</v>
      </c>
      <c r="HA62" s="59">
        <f t="shared" si="52"/>
        <v>263.70463099437148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11.43028411735359</v>
      </c>
      <c r="HH62" s="21">
        <f>EXP(-LN(2)/25)*HH61+(1-EXP(-LN(2)/25))/(LN(2)/25)*Calculateur!HC62*Calculateur!HE62*VLOOKUP('Données projet'!$B$18,Paramètres!$A$1:$I$89,3,0)*0.475*44/12</f>
        <v>7.6150378084409187</v>
      </c>
      <c r="HI62" s="21">
        <f>EXP(-LN(2)/2)*HI61+(1-EXP(-LN(2)/2))/(LN(2)/2)*HC62*HF62*VLOOKUP('Données projet'!$B$18,Paramètres!$A$1:$I$89,3,0)*0.475*44/12</f>
        <v>0.79749875791787361</v>
      </c>
      <c r="HJ62" s="22">
        <f t="shared" si="30"/>
        <v>19.842820683712386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218</v>
      </c>
      <c r="L63" s="12">
        <f>VLOOKUP(A63,'Données projet'!$A$35:$I$55,9,0)</f>
        <v>10</v>
      </c>
      <c r="M63" s="12">
        <f t="array" ref="M63">INDEX(L:L,MIN(IF(ISNUMBER(L63:L259),ROW(L63:L259),"")))</f>
        <v>10</v>
      </c>
      <c r="N63" s="13">
        <f>IF('Données projet'!$A$36&gt;35,N62+M63-V62,IF(A63&lt;'Données projet'!$A$36,$K$205^A63,IF(A63='Données projet'!$A$36,'Données projet'!$B$36,N62+M63-V62)))</f>
        <v>218</v>
      </c>
      <c r="O63" s="13">
        <f>N63*VLOOKUP('Données projet'!$B$9,Paramètres!$A$1:$I$89,3,0)*VLOOKUP('Données projet'!$B$9,Paramètres!$A$1:$I$89,5,0)</f>
        <v>96.356000000000009</v>
      </c>
      <c r="P63" s="13">
        <f t="shared" si="33"/>
        <v>26.091998195525026</v>
      </c>
      <c r="Q63" s="20">
        <f t="shared" si="53"/>
        <v>213.26359685720607</v>
      </c>
      <c r="R63" s="59">
        <f t="shared" si="0"/>
        <v>506.59693019053941</v>
      </c>
      <c r="S63" s="59">
        <f ca="1">AVERAGE(OFFSET($R$3,0,0,'Données projet'!$E$9+1,1))-AVERAGE(OFFSET($H$3,0,0,'Données projet'!$E$9+1,1))</f>
        <v>46.095319339746538</v>
      </c>
      <c r="T63" s="59">
        <f t="shared" si="34"/>
        <v>48.158174304064403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54</v>
      </c>
      <c r="W63" s="16">
        <f>IF(ISNA(VLOOKUP(A63,'Données projet'!$A$35:$I$55,5,0)),0%,VLOOKUP(A63,'Données projet'!$A$35:$I$55,5,0)*VLOOKUP('Données projet'!$B$9,Paramètres!$A$1:$I$89,7,0))</f>
        <v>9.0000000000000011E-2</v>
      </c>
      <c r="X63" s="16">
        <f>IF(ISNA(VLOOKUP(A63,'Données projet'!$A$35:$I$55,6,0)),0%,VLOOKUP(A63,'Données projet'!$A$35:$I$55,6,0)*VLOOKUP('Données projet'!$B$9,Paramètres!$A$1:$I$89,7,0))</f>
        <v>0.18000000000000002</v>
      </c>
      <c r="Y63" s="16">
        <f>IF(ISNA(VLOOKUP(A63,'Données projet'!$A$35:$I$55,7,0)),0%,VLOOKUP(A63,'Données projet'!$A$35:$I$55,7,0))</f>
        <v>0.4</v>
      </c>
      <c r="Z63" s="21">
        <f>EXP(-LN(2)/35)*Z62+(1-EXP(-LN(2)/35))/(LN(2)/35)*V63*W63*VLOOKUP('Données projet'!$B$9,Paramètres!$A$1:$I$89,3,0)*0.475*44/12</f>
        <v>5.1439736793659403</v>
      </c>
      <c r="AA63" s="21">
        <f>EXP(-LN(2)/25)*AA62+(1-EXP(-LN(2)/25))/(LN(2)/25)*Calculateur!V63*Calculateur!X63*VLOOKUP('Données projet'!$B$9,Paramètres!$A$1:$I$89,3,0)*0.475*44/12</f>
        <v>13.953563959795364</v>
      </c>
      <c r="AB63" s="21">
        <f>EXP(-LN(2)/2)*AB62+(1-EXP(-LN(2)/2))/(LN(2)/2)*V63*Y63*VLOOKUP('Données projet'!$B$9,Paramètres!$A$1:$I$89,3,0)*0.475*44/12</f>
        <v>11.145799196508442</v>
      </c>
      <c r="AC63" s="22">
        <f t="shared" si="3"/>
        <v>30.243336835669744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7.625</v>
      </c>
      <c r="AI63" s="13">
        <f>IF('Données projet'!$A$62&gt;35,AI62+AH63-AQ62,IF(A63&lt;'Données projet'!$A$62,$AF$205^A63,IF(A63='Données projet'!$A$62,'Données projet'!$B$62,AI62+AH63-AQ62)))</f>
        <v>670.74999999999989</v>
      </c>
      <c r="AJ63" s="13">
        <f>AI63*VLOOKUP('Données projet'!$B$10,Paramètres!$A$1:$I$89,3,0)*VLOOKUP('Données projet'!$B$10,Paramètres!$A$1:$I$89,5,0)</f>
        <v>401.10849999999994</v>
      </c>
      <c r="AK63" s="13">
        <f t="shared" si="35"/>
        <v>92.001360375754999</v>
      </c>
      <c r="AL63" s="20">
        <f t="shared" si="4"/>
        <v>858.83300682110655</v>
      </c>
      <c r="AM63" s="59">
        <f t="shared" si="5"/>
        <v>1152.1663401544399</v>
      </c>
      <c r="AN63" s="59">
        <f ca="1">AVERAGE(OFFSET($AM$3,0,0,'Données projet'!$E$10+1,1))-AVERAGE(OFFSET($H$3,0,0,'Données projet'!$E$10+1,1))</f>
        <v>408.84545509668794</v>
      </c>
      <c r="AO63" s="59">
        <f t="shared" si="36"/>
        <v>409.9253979841132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9.7387437060500623</v>
      </c>
      <c r="AV63" s="21">
        <f>EXP(-LN(2)/25)*AV62+(1-EXP(-LN(2)/25))/(LN(2)/25)*Calculateur!AQ63*Calculateur!AS63*VLOOKUP('Données projet'!$B$10,Paramètres!$A$1:$I$89,3,0)*0.475*44/12</f>
        <v>24.683064029975167</v>
      </c>
      <c r="AW63" s="21">
        <f>EXP(-LN(2)/2)*AW62+(1-EXP(-LN(2)/2))/(LN(2)/2)*AQ63*AT63*VLOOKUP('Données projet'!$B$10,Paramètres!$A$1:$I$89,3,0)*0.475*44/12</f>
        <v>0.98221757896817918</v>
      </c>
      <c r="AX63" s="21">
        <f t="shared" si="6"/>
        <v>35.404025314993412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500</v>
      </c>
      <c r="BB63" s="12">
        <f>VLOOKUP(A63,'Données projet'!$A$87:$I$107,9,0)</f>
        <v>17</v>
      </c>
      <c r="BC63" s="12">
        <f t="array" ref="BC63">INDEX(BB:BB,MIN(IF(ISNUMBER(BB63:BB259),ROW(BB63:BB259),"")))</f>
        <v>17</v>
      </c>
      <c r="BD63" s="12">
        <f>IF('Données projet'!$A$88&gt;35,BD62+BC63-BL62,IF(A63&lt;'Données projet'!$A$88,$BA$205^A63,IF(A63='Données projet'!$A$88,'Données projet'!$B$88,BD62+BC63-BL62)))</f>
        <v>500</v>
      </c>
      <c r="BE63" s="13">
        <f>BD63*VLOOKUP('Données projet'!$B$11,Paramètres!$A$1:$I$89,3,0)*VLOOKUP('Données projet'!$B$11,Paramètres!$A$1:$I$89,5,0)</f>
        <v>299</v>
      </c>
      <c r="BF63" s="13">
        <f t="shared" si="37"/>
        <v>70.966784344875109</v>
      </c>
      <c r="BG63" s="20">
        <f t="shared" si="7"/>
        <v>644.35881606732414</v>
      </c>
      <c r="BH63" s="59">
        <f t="shared" si="8"/>
        <v>937.6921494006574</v>
      </c>
      <c r="BI63" s="59">
        <f ca="1">AVERAGE(OFFSET($BH$3,0,0,'Données projet'!$E$11+1,1))-AVERAGE(OFFSET($H$3,0,0,'Données projet'!$E$11+1,1))</f>
        <v>279.69031306919914</v>
      </c>
      <c r="BJ63" s="59">
        <f t="shared" si="38"/>
        <v>297.01680128882509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32</v>
      </c>
      <c r="BM63" s="16">
        <f>IF(ISNA(VLOOKUP(A63,'Données projet'!$A$87:$I$107,5,0)),0%,VLOOKUP(A63,'Données projet'!$A$87:$I$107,5,0)*VLOOKUP('Données projet'!$B$11,Paramètres!$A$1:$I$89,7,0))</f>
        <v>0.22500000000000001</v>
      </c>
      <c r="BN63" s="16">
        <f>IF(ISNA(VLOOKUP(A63,'Données projet'!$A$87:$I$107,6,0)),0%,VLOOKUP(A63,'Données projet'!$A$87:$I$107,6,0)*VLOOKUP('Données projet'!$B$11,Paramètres!$A$1:$I$89,7,0))</f>
        <v>0.13500000000000001</v>
      </c>
      <c r="BO63" s="16">
        <f>IF(ISNA(VLOOKUP(A63,'Données projet'!$A$87:$I$107,7,0)),0%,VLOOKUP(A63,'Données projet'!$A$87:$I$107,7,0))</f>
        <v>0.2</v>
      </c>
      <c r="BP63" s="21">
        <f>EXP(-LN(2)/35)*BP62+(1-EXP(-LN(2)/35))/(LN(2)/35)*BL63*BM63*VLOOKUP('Données projet'!$B$11,Paramètres!$A$1:$I$89,3,0)*0.475*44/12</f>
        <v>17.520260621018931</v>
      </c>
      <c r="BQ63" s="21">
        <f>EXP(-LN(2)/25)*BQ62+(1-EXP(-LN(2)/25))/(LN(2)/25)*Calculateur!BL63*Calculateur!BN63*VLOOKUP('Données projet'!$B$11,Paramètres!$A$1:$I$89,3,0)*0.475*44/12</f>
        <v>41.152081724445949</v>
      </c>
      <c r="BR63" s="21">
        <f>EXP(-LN(2)/2)*BR62+(1-EXP(-LN(2)/2))/(LN(2)/2)*BL63*BO63*VLOOKUP('Données projet'!$B$11,Paramètres!$A$1:$I$89,3,0)*0.475*44/12</f>
        <v>6.4560773502657565</v>
      </c>
      <c r="BS63" s="22">
        <f t="shared" si="9"/>
        <v>65.128419695730642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2.75</v>
      </c>
      <c r="BY63" s="12">
        <f>IF('Données projet'!$A$114&gt;35,BY62+BX63-CG62,IF(A63&lt;'Données projet'!$A$114,$BV$205^A63,IF(A63='Données projet'!$A$114,'Données projet'!$B$114,BY62+BX63-CG62)))</f>
        <v>168.5</v>
      </c>
      <c r="BZ63" s="13">
        <f>BY63*VLOOKUP('Données projet'!$B$12,Paramètres!$A$1:$I$89,3,0)*VLOOKUP('Données projet'!$B$12,Paramètres!$A$1:$I$89,5,0)</f>
        <v>100.76300000000001</v>
      </c>
      <c r="CA63" s="13">
        <f t="shared" si="39"/>
        <v>27.143691285356681</v>
      </c>
      <c r="CB63" s="20">
        <f t="shared" si="10"/>
        <v>222.77082065532954</v>
      </c>
      <c r="CC63" s="59">
        <f t="shared" si="11"/>
        <v>516.1041539886628</v>
      </c>
      <c r="CD63" s="59">
        <f ca="1">AVERAGE(OFFSET($CC$3,0,0,'Données projet'!$E$12+1,1))-AVERAGE(OFFSET($H$3,0,0,'Données projet'!$E$12+1,1))</f>
        <v>81.299024916151723</v>
      </c>
      <c r="CE63" s="59">
        <f t="shared" si="40"/>
        <v>88.106373324240167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5.2352177091093006</v>
      </c>
      <c r="CL63" s="21">
        <f>EXP(-LN(2)/25)*CL62+(1-EXP(-LN(2)/25))/(LN(2)/25)*Calculateur!CG63*Calculateur!CI63*VLOOKUP('Données projet'!$B$12,Paramètres!$A$1:$I$89,3,0)*0.475*44/12</f>
        <v>10.057547468566469</v>
      </c>
      <c r="CM63" s="21">
        <f>EXP(-LN(2)/2)*CM62+(1-EXP(-LN(2)/2))/(LN(2)/2)*CG63*CJ63*VLOOKUP('Données projet'!$B$12,Paramètres!$A$1:$I$89,3,0)*0.475*44/12</f>
        <v>0.4433732133046287</v>
      </c>
      <c r="CN63" s="22">
        <f t="shared" si="12"/>
        <v>15.736138390980397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754</v>
      </c>
      <c r="CR63" s="12">
        <f>VLOOKUP(A63,'Données projet'!$A$139:$I$159,9,0)</f>
        <v>12.2</v>
      </c>
      <c r="CS63" s="12">
        <f t="array" ref="CS63">INDEX(CR:CR,MIN(IF(ISNUMBER(CR63:CR259),ROW(CR63:CR259),"")))</f>
        <v>12.2</v>
      </c>
      <c r="CT63" s="12">
        <f>IF('Données projet'!$A$140&gt;35,CT62+CS63-DB62,IF(A63&lt;'Données projet'!$A$140,$CQ$205^A63,IF(A63='Données projet'!$A$140,'Données projet'!$B$140,CT62+CS63-DB62)))</f>
        <v>753.99999999999966</v>
      </c>
      <c r="CU63" s="17">
        <f>CT63*VLOOKUP('Données projet'!$B$13,Paramètres!$A$1:$I$89,3,0)*VLOOKUP('Données projet'!$B$13,Paramètres!$A$1:$I$89,5,0)</f>
        <v>421.48599999999982</v>
      </c>
      <c r="CV63" s="13">
        <f t="shared" si="41"/>
        <v>96.119269055816147</v>
      </c>
      <c r="CW63" s="20">
        <f t="shared" si="13"/>
        <v>901.49584360554616</v>
      </c>
      <c r="CX63" s="59">
        <f t="shared" si="14"/>
        <v>1194.8291769388795</v>
      </c>
      <c r="CY63" s="59">
        <f ca="1">AVERAGE(OFFSET($CX$3,0,0,'Données projet'!$E$13+1,1))-AVERAGE(OFFSET($H$3,0,0,'Données projet'!$E$13+1,1))</f>
        <v>475.42482703895411</v>
      </c>
      <c r="CZ63" s="59">
        <f t="shared" si="42"/>
        <v>593.51433014569966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35</v>
      </c>
      <c r="DC63" s="16">
        <f>IF(ISNA(VLOOKUP(A63,'Données projet'!$A$139:$I$159,5,0)),0%,VLOOKUP(A63,'Données projet'!$A$139:$I$159,5,0)*VLOOKUP('Données projet'!$B$13,Paramètres!$A$1:$I$89,7,0))</f>
        <v>0.38500000000000001</v>
      </c>
      <c r="DD63" s="16">
        <f>IF(ISNA(VLOOKUP(A63,'Données projet'!$A$139:$I$159,6,0)),0%,VLOOKUP(A63,'Données projet'!$A$139:$I$159,6,0)*VLOOKUP('Données projet'!$B$13,Paramètres!$A$1:$I$89,7,0))</f>
        <v>0.11000000000000001</v>
      </c>
      <c r="DE63" s="16">
        <f>IF(ISNA(VLOOKUP(A63,'Données projet'!$A$139:$I$159,7,0)),0%,VLOOKUP(A63,'Données projet'!$A$139:$I$159,7,0))</f>
        <v>0.1</v>
      </c>
      <c r="DF63" s="21">
        <f>EXP(-LN(2)/35)*DF62+(1-EXP(-LN(2)/35))/(LN(2)/35)*DB63*DC63*VLOOKUP('Données projet'!$B$13,Paramètres!$A$1:$I$89,3,0)*0.475*44/12</f>
        <v>67.74876353728726</v>
      </c>
      <c r="DG63" s="21">
        <f>EXP(-LN(2)/25)*DG62+(1-EXP(-LN(2)/25))/(LN(2)/25)*Calculateur!DB63*Calculateur!DD63*VLOOKUP('Données projet'!$B$13,Paramètres!$A$1:$I$89,3,0)*0.475*44/12</f>
        <v>38.488191519015892</v>
      </c>
      <c r="DH63" s="21">
        <f>EXP(-LN(2)/2)*DH62+(1-EXP(-LN(2)/2))/(LN(2)/2)*DB63*DE63*VLOOKUP('Données projet'!$B$13,Paramètres!$A$1:$I$89,3,0)*0.475*44/12</f>
        <v>3.0325600334337635</v>
      </c>
      <c r="DI63" s="22">
        <f t="shared" si="15"/>
        <v>109.26951508973691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250</v>
      </c>
      <c r="DM63" s="12">
        <f>VLOOKUP(A63,'Données projet'!$A$165:$I$185,9,0)</f>
        <v>10.125</v>
      </c>
      <c r="DN63" s="12">
        <f t="array" ref="DN63">INDEX(DM:DM,MIN(IF(ISNUMBER(DM63:DM259),ROW(DM63:DM259),"")))</f>
        <v>10.125</v>
      </c>
      <c r="DO63" s="12">
        <f>IF('Données projet'!$A$166&gt;35,DO62+DN63-DW62,IF(A63&lt;'Données projet'!$A$166,$DL$205^A63,IF(A63='Données projet'!$A$166,'Données projet'!$B$166,DO62+DN63-DW62)))</f>
        <v>250</v>
      </c>
      <c r="DP63" s="17">
        <f>DO63*VLOOKUP('Données projet'!$B$14,Paramètres!$A$1:$I$89,3,0)*VLOOKUP('Données projet'!$B$14,Paramètres!$A$1:$I$89,5,0)</f>
        <v>226.20000000000002</v>
      </c>
      <c r="DQ63" s="13">
        <f t="shared" si="43"/>
        <v>55.460237717698156</v>
      </c>
      <c r="DR63" s="20">
        <f t="shared" si="16"/>
        <v>490.55824735832431</v>
      </c>
      <c r="DS63" s="59">
        <f t="shared" si="17"/>
        <v>783.89158069165762</v>
      </c>
      <c r="DT63" s="59">
        <f ca="1">AVERAGE(OFFSET($DS$3,0,0,'Données projet'!$E$14+1,1))-AVERAGE(OFFSET($H$3,0,0,'Données projet'!$E$14+1,1))</f>
        <v>401.17301323870578</v>
      </c>
      <c r="DU63" s="59">
        <f t="shared" si="44"/>
        <v>201.57993789149754</v>
      </c>
      <c r="DV63" s="15">
        <f>IF(ISNA(VLOOKUP(A63,'Données projet'!$A$165:$I$185,3,0)),0,VLOOKUP(A63,'Données projet'!$A$165:$I$185,3,0))</f>
        <v>4</v>
      </c>
      <c r="DW63" s="15">
        <f>IF(ISNA(VLOOKUP(A63,'Données projet'!$A$165:$I$185,4,0)),0,VLOOKUP(A63,'Données projet'!$A$165:$I$185,4,0))</f>
        <v>54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0.215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28.700196327177657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28.700196327177657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242</v>
      </c>
      <c r="EH63" s="12">
        <f>VLOOKUP(A63,'Données projet'!$A$191:$I$211,9,0)</f>
        <v>4.4000000000000004</v>
      </c>
      <c r="EI63" s="12">
        <f t="array" ref="EI63">INDEX(EH:EH,MIN(IF(ISNUMBER(EH63:EH259),ROW(EH63:EH259),"")))</f>
        <v>4.4000000000000004</v>
      </c>
      <c r="EJ63" s="12">
        <f>IF('Données projet'!$A$192&gt;35,EJ62+EI63-ER62,IF(A63&lt;'Données projet'!$A$192,$EG$205^A63,IF(A63='Données projet'!$A$192,'Données projet'!$B$192,EJ62+EI63-ER62)))</f>
        <v>242.00000000000006</v>
      </c>
      <c r="EK63" s="17">
        <f>EJ63*VLOOKUP('Données projet'!$B$15,Paramètres!$A$1:$I$89,3,0)*VLOOKUP('Données projet'!$B$15,Paramètres!$A$1:$I$89,5,0)</f>
        <v>211.41120000000006</v>
      </c>
      <c r="EL63" s="13">
        <f t="shared" si="45"/>
        <v>52.243848094411156</v>
      </c>
      <c r="EM63" s="20">
        <f t="shared" si="19"/>
        <v>459.19920876443285</v>
      </c>
      <c r="EN63" s="59">
        <f t="shared" si="20"/>
        <v>752.53254209776617</v>
      </c>
      <c r="EO63" s="59">
        <f ca="1">AVERAGE(OFFSET($EN$3,0,0,'Données projet'!$E$15+1,1))-AVERAGE(OFFSET($H$3,0,0,'Données projet'!$E$15+1,1))</f>
        <v>237.8483058552178</v>
      </c>
      <c r="EP63" s="59">
        <f t="shared" si="46"/>
        <v>313.36201272119723</v>
      </c>
      <c r="EQ63" s="15">
        <f>IF(ISNA(VLOOKUP(A63,'Données projet'!$A$191:$I$211,3,0)),0,VLOOKUP(A63,'Données projet'!$A$191:$I$211,3,0))</f>
        <v>5</v>
      </c>
      <c r="ER63" s="15">
        <f>IF(ISNA(VLOOKUP(A63,'Données projet'!$A$191:$I$211,4,0)),0,VLOOKUP(A63,'Données projet'!$A$191:$I$211,4,0))</f>
        <v>26</v>
      </c>
      <c r="ES63" s="16">
        <f>IF(ISNA(VLOOKUP(A63,'Données projet'!$A$191:$I$211,5,0)),0%,VLOOKUP(A63,'Données projet'!$A$191:$I$211,5,0)*VLOOKUP('Données projet'!$B$15,Paramètres!$A$1:$I$89,7,0))</f>
        <v>0.215</v>
      </c>
      <c r="ET63" s="16">
        <f>IF(ISNA(VLOOKUP(A63,'Données projet'!$A$191:$I$211,6,0)),0%,VLOOKUP(A63,'Données projet'!$A$191:$I$211,6,0)*VLOOKUP('Données projet'!$B$15,Paramètres!$A$1:$I$89,7,0))</f>
        <v>8.6000000000000007E-2</v>
      </c>
      <c r="EU63" s="16">
        <f>IF(ISNA(VLOOKUP(A63,'Données projet'!$A$191:$I$211,7,0)),0%,VLOOKUP(A63,'Données projet'!$A$191:$I$211,7,0))</f>
        <v>0.2</v>
      </c>
      <c r="EV63" s="21">
        <f>EXP(-LN(2)/35)*EV62+(1-EXP(-LN(2)/35))/(LN(2)/35)*ER63*ES63*VLOOKUP('Données projet'!$B$15,Paramètres!$A$1:$I$89,3,0)*0.475*44/12</f>
        <v>10.950747588632822</v>
      </c>
      <c r="EW63" s="21">
        <f>EXP(-LN(2)/25)*EW62+(1-EXP(-LN(2)/25))/(LN(2)/25)*Calculateur!ER63*Calculateur!ET63*VLOOKUP('Données projet'!$B$15,Paramètres!$A$1:$I$89,3,0)*0.475*44/12</f>
        <v>6.9993886496484592</v>
      </c>
      <c r="EX63" s="21">
        <f>EXP(-LN(2)/2)*EX62+(1-EXP(-LN(2)/2))/(LN(2)/2)*ER63*EU63*VLOOKUP('Données projet'!$B$15,Paramètres!$A$1:$I$89,3,0)*0.475*44/12</f>
        <v>4.5506034775951534</v>
      </c>
      <c r="EY63" s="22">
        <f t="shared" si="21"/>
        <v>22.500739715876435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343</v>
      </c>
      <c r="FC63" s="12">
        <f>VLOOKUP(A63,'Données projet'!$A$217:$I$237,9,0)</f>
        <v>7.4</v>
      </c>
      <c r="FD63" s="12">
        <f t="array" ref="FD63">INDEX(FC:FC,MIN(IF(ISNUMBER(FC63:FC259),ROW(FC63:FC259),"")))</f>
        <v>7.4</v>
      </c>
      <c r="FE63" s="12">
        <f>IF('Données projet'!$A$218&gt;35,FE62+FD63-FM62,IF(A63&lt;'Données projet'!$A$218,$FB$205^A63,IF(A63='Données projet'!$A$218,'Données projet'!$B$218,FE62+FD63-FM62)))</f>
        <v>342.99999999999972</v>
      </c>
      <c r="FF63" s="17">
        <f>FE63*VLOOKUP('Données projet'!$B$16,Paramètres!$A$1:$I$89,3,0)*VLOOKUP('Données projet'!$B$16,Paramètres!$A$1:$I$89,5,0)</f>
        <v>267.53999999999979</v>
      </c>
      <c r="FG63" s="13">
        <f t="shared" si="47"/>
        <v>64.326917419934446</v>
      </c>
      <c r="FH63" s="20">
        <f t="shared" si="22"/>
        <v>578.0015478397188</v>
      </c>
      <c r="FI63" s="59">
        <f t="shared" si="23"/>
        <v>871.33488117305205</v>
      </c>
      <c r="FJ63" s="59">
        <f ca="1">AVERAGE(OFFSET($FI$3,0,0,'Données projet'!$E$16+1,1))-AVERAGE(OFFSET($H$3,0,0,'Données projet'!$E$16+1,1))</f>
        <v>318.52984981739411</v>
      </c>
      <c r="FK63" s="59">
        <f t="shared" si="48"/>
        <v>311.56398336941714</v>
      </c>
      <c r="FL63" s="15">
        <f>IF(ISNA(VLOOKUP(A63,'Données projet'!$A$217:$I$237,3,0)),0,VLOOKUP(A63,'Données projet'!$A$217:$I$237,3,0))</f>
        <v>11</v>
      </c>
      <c r="FM63" s="15">
        <f>IF(ISNA(VLOOKUP(A63,'Données projet'!$A$217:$I$237,4,0)),0,VLOOKUP(A63,'Données projet'!$A$217:$I$237,4,0))</f>
        <v>17</v>
      </c>
      <c r="FN63" s="16">
        <f>IF(ISNA(VLOOKUP(A63,'Données projet'!$A$217:$I$237,5,0)),0%,VLOOKUP(A63,'Données projet'!$A$217:$I$237,5,0)*VLOOKUP('Données projet'!$B$16,Paramètres!$A$1:$I$89,7,0))</f>
        <v>0.30099999999999999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0.2</v>
      </c>
      <c r="FQ63" s="21">
        <f>EXP(-LN(2)/35)*FQ62+(1-EXP(-LN(2)/35))/(LN(2)/35)*FM63*FN63*VLOOKUP('Données projet'!$B$16,Paramètres!$A$1:$I$89,3,0)*0.475*44/12</f>
        <v>14.984052931162974</v>
      </c>
      <c r="FR63" s="21">
        <f>EXP(-LN(2)/25)*FR62+(1-EXP(-LN(2)/25))/(LN(2)/25)*Calculateur!FM63*Calculateur!FO63*VLOOKUP('Données projet'!$B$16,Paramètres!$A$1:$I$89,3,0)*0.475*44/12</f>
        <v>6.9875511312374217</v>
      </c>
      <c r="FS63" s="21">
        <f>EXP(-LN(2)/2)*FS62+(1-EXP(-LN(2)/2))/(LN(2)/2)*FM63*FP63*VLOOKUP('Données projet'!$B$16,Paramètres!$A$1:$I$89,3,0)*0.475*44/12</f>
        <v>3.1579505632446265</v>
      </c>
      <c r="FT63" s="22">
        <f t="shared" si="24"/>
        <v>25.129554625645021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343</v>
      </c>
      <c r="FX63" s="12">
        <f>VLOOKUP(A63,'Données projet'!$A$243:$I$263,9,0)</f>
        <v>7.4</v>
      </c>
      <c r="FY63" s="12">
        <f t="array" ref="FY63">INDEX(FX:FX,MIN(IF(ISNUMBER(FX63:FX259),ROW(FX63:FX259),"")))</f>
        <v>7.4</v>
      </c>
      <c r="FZ63" s="12">
        <f>IF('Données projet'!$A$244&gt;35,FZ62+FY63-GH62,IF(A63&lt;'Données projet'!$A$244,$FW$205^A63,IF(A63='Données projet'!$A$244,'Données projet'!$B$244,FZ62+FY63-GH62)))</f>
        <v>342.99999999999972</v>
      </c>
      <c r="GA63" s="17">
        <f>FZ63*VLOOKUP('Données projet'!$B$17,Paramètres!$A$1:$I$89,3,0)*VLOOKUP('Données projet'!$B$17,Paramètres!$A$1:$I$89,5,0)</f>
        <v>272.89079999999979</v>
      </c>
      <c r="GB63" s="13">
        <f t="shared" si="49"/>
        <v>65.462389231846373</v>
      </c>
      <c r="GC63" s="20">
        <f t="shared" si="25"/>
        <v>589.29847124546529</v>
      </c>
      <c r="GD63" s="59">
        <f t="shared" si="26"/>
        <v>882.63180457879866</v>
      </c>
      <c r="GE63" s="59">
        <f ca="1">AVERAGE(OFFSET($GD$3,0,0,'Données projet'!$E$17+1,1))-AVERAGE(OFFSET($H$3,0,0,'Données projet'!$E$17+1,1))</f>
        <v>325.72928944930294</v>
      </c>
      <c r="GF63" s="59">
        <f t="shared" si="50"/>
        <v>318.38876834819752</v>
      </c>
      <c r="GG63" s="15">
        <f>IF(ISNA(VLOOKUP(A63,'Données projet'!$A$243:$I$263,3,0)),0,VLOOKUP(A63,'Données projet'!$A$243:$I$263,3,0))</f>
        <v>11</v>
      </c>
      <c r="GH63" s="15">
        <f>IF(ISNA(VLOOKUP(A63,'Données projet'!$A$243:$I$263,4,0)),0,VLOOKUP(A63,'Données projet'!$A$243:$I$263,4,0))</f>
        <v>17</v>
      </c>
      <c r="GI63" s="16">
        <f>IF(ISNA(VLOOKUP(A63,'Données projet'!$A$243:$I$263,5,0)),0%,VLOOKUP(A63,'Données projet'!$A$243:$I$263,5,0)*VLOOKUP('Données projet'!$B$17,Paramètres!$A$1:$I$89,7,0))</f>
        <v>0.371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0.2</v>
      </c>
      <c r="GL63" s="21">
        <f>EXP(-LN(2)/35)*GL62+(1-EXP(-LN(2)/35))/(LN(2)/35)*GH63*GI63*VLOOKUP('Données projet'!$B$17,Paramètres!$A$1:$I$89,3,0)*0.475*44/12</f>
        <v>18.838090731596992</v>
      </c>
      <c r="GM63" s="21">
        <f>EXP(-LN(2)/25)*GM62+(1-EXP(-LN(2)/25))/(LN(2)/25)*Calculateur!GH63*Calculateur!GJ63*VLOOKUP('Données projet'!$B$17,Paramètres!$A$1:$I$89,3,0)*0.475*44/12</f>
        <v>8.7848142826673232</v>
      </c>
      <c r="GN63" s="21">
        <f>EXP(-LN(2)/2)*GN62+(1-EXP(-LN(2)/2))/(LN(2)/2)*GH63*GK63*VLOOKUP('Données projet'!$B$17,Paramètres!$A$1:$I$89,3,0)*0.475*44/12</f>
        <v>3.2211095745095193</v>
      </c>
      <c r="GO63" s="21">
        <f t="shared" si="27"/>
        <v>30.844014588773835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343</v>
      </c>
      <c r="GS63" s="12">
        <f>VLOOKUP(A63,'Données projet'!$A$269:$I$289,9,0)</f>
        <v>7.4</v>
      </c>
      <c r="GT63" s="12">
        <f t="array" ref="GT63">INDEX(GS:GS,MIN(IF(ISNUMBER(GS63:GS259),ROW(GS63:GS259),"")))</f>
        <v>7.4</v>
      </c>
      <c r="GU63" s="12">
        <f>IF('Données projet'!$A$270&gt;35,GU62+GT63-HC62,IF(A63&lt;'Données projet'!$A$270,$GR$205^A63,IF(A63='Données projet'!$A$270,'Données projet'!$B$270,GU62+GT63-HC62)))</f>
        <v>342.99999999999972</v>
      </c>
      <c r="GV63" s="17">
        <f>GU63*VLOOKUP('Données projet'!$B$18,Paramètres!$A$1:$I$89,3,0)*VLOOKUP('Données projet'!$B$18,Paramètres!$A$1:$I$89,5,0)</f>
        <v>230.08439999999979</v>
      </c>
      <c r="GW63" s="13">
        <f t="shared" si="51"/>
        <v>56.300930394719607</v>
      </c>
      <c r="GX63" s="20">
        <f t="shared" si="28"/>
        <v>498.78778377080289</v>
      </c>
      <c r="GY63" s="59">
        <f t="shared" si="29"/>
        <v>792.12111710413615</v>
      </c>
      <c r="GZ63" s="59">
        <f ca="1">AVERAGE(OFFSET($GY$3,0,0,'Données projet'!$E$18+1,1))-AVERAGE(OFFSET($H$3,0,0,'Données projet'!$E$18+1,1))</f>
        <v>268.04554291387961</v>
      </c>
      <c r="HA63" s="59">
        <f t="shared" si="52"/>
        <v>263.70463099437148</v>
      </c>
      <c r="HB63" s="15">
        <f>IF(ISNA(VLOOKUP(A63,'Données projet'!$A$269:$I$289,3,0)),0,VLOOKUP(A63,'Données projet'!$A$269:$I$289,3,0))</f>
        <v>11</v>
      </c>
      <c r="HC63" s="15">
        <f>IF(ISNA(VLOOKUP(A63,'Données projet'!$A$269:$I$289,4,0)),0,VLOOKUP(A63,'Données projet'!$A$269:$I$289,4,0))</f>
        <v>17</v>
      </c>
      <c r="HD63" s="16">
        <f>IF(ISNA(VLOOKUP(A63,'Données projet'!$A$269:$I$289,5,0)),0%,VLOOKUP(A63,'Données projet'!$A$269:$I$289,5,0)*VLOOKUP('Données projet'!$B$18,Paramètres!$A$1:$I$89,7,0))</f>
        <v>0.371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0.2</v>
      </c>
      <c r="HG63" s="21">
        <f>EXP(-LN(2)/35)*HG62+(1-EXP(-LN(2)/35))/(LN(2)/35)*HC63*HD63*VLOOKUP('Données projet'!$B$18,Paramètres!$A$1:$I$89,3,0)*0.475*44/12</f>
        <v>15.883096107032753</v>
      </c>
      <c r="HH63" s="21">
        <f>EXP(-LN(2)/25)*HH62+(1-EXP(-LN(2)/25))/(LN(2)/25)*Calculateur!HC63*Calculateur!HE63*VLOOKUP('Données projet'!$B$18,Paramètres!$A$1:$I$89,3,0)*0.475*44/12</f>
        <v>7.4068041991116678</v>
      </c>
      <c r="HI63" s="21">
        <f>EXP(-LN(2)/2)*HI62+(1-EXP(-LN(2)/2))/(LN(2)/2)*HC63*HF63*VLOOKUP('Données projet'!$B$18,Paramètres!$A$1:$I$89,3,0)*0.475*44/12</f>
        <v>2.715837484390379</v>
      </c>
      <c r="HJ63" s="22">
        <f t="shared" si="30"/>
        <v>26.005737790534802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9.1999999999999993</v>
      </c>
      <c r="N64" s="13">
        <f>IF('Données projet'!$A$36&gt;35,N63+M64-V63,IF(A64&lt;'Données projet'!$A$36,$K$205^A64,IF(A64='Données projet'!$A$36,'Données projet'!$B$36,N63+M64-V63)))</f>
        <v>173.2</v>
      </c>
      <c r="O64" s="13">
        <f>N64*VLOOKUP('Données projet'!$B$9,Paramètres!$A$1:$I$89,3,0)*VLOOKUP('Données projet'!$B$9,Paramètres!$A$1:$I$89,5,0)</f>
        <v>76.554400000000001</v>
      </c>
      <c r="P64" s="13">
        <f t="shared" si="33"/>
        <v>21.292570585630376</v>
      </c>
      <c r="Q64" s="20">
        <f t="shared" si="53"/>
        <v>170.41680710330624</v>
      </c>
      <c r="R64" s="59">
        <f t="shared" si="0"/>
        <v>463.75014043663953</v>
      </c>
      <c r="S64" s="59">
        <f ca="1">AVERAGE(OFFSET($R$3,0,0,'Données projet'!$E$9+1,1))-AVERAGE(OFFSET($H$3,0,0,'Données projet'!$E$9+1,1))</f>
        <v>46.095319339746538</v>
      </c>
      <c r="T64" s="59">
        <f t="shared" si="34"/>
        <v>48.158174304064403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5.043103493027715</v>
      </c>
      <c r="AA64" s="21">
        <f>EXP(-LN(2)/25)*AA63+(1-EXP(-LN(2)/25))/(LN(2)/25)*Calculateur!V64*Calculateur!X64*VLOOKUP('Données projet'!$B$9,Paramètres!$A$1:$I$89,3,0)*0.475*44/12</f>
        <v>13.572003019528722</v>
      </c>
      <c r="AB64" s="21">
        <f>EXP(-LN(2)/2)*AB63+(1-EXP(-LN(2)/2))/(LN(2)/2)*V64*Y64*VLOOKUP('Données projet'!$B$9,Paramètres!$A$1:$I$89,3,0)*0.475*44/12</f>
        <v>7.8812701935946921</v>
      </c>
      <c r="AC64" s="22">
        <f t="shared" si="3"/>
        <v>26.496376706151128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7.625</v>
      </c>
      <c r="AI64" s="13">
        <f>IF('Données projet'!$A$62&gt;35,AI63+AH64-AQ63,IF(A64&lt;'Données projet'!$A$62,$AF$205^A64,IF(A64='Données projet'!$A$62,'Données projet'!$B$62,AI63+AH64-AQ63)))</f>
        <v>678.37499999999989</v>
      </c>
      <c r="AJ64" s="13">
        <f>AI64*VLOOKUP('Données projet'!$B$10,Paramètres!$A$1:$I$89,3,0)*VLOOKUP('Données projet'!$B$10,Paramètres!$A$1:$I$89,5,0)</f>
        <v>405.66824999999994</v>
      </c>
      <c r="AK64" s="13">
        <f t="shared" si="35"/>
        <v>92.924873141940054</v>
      </c>
      <c r="AL64" s="20">
        <f t="shared" si="4"/>
        <v>868.38302280554535</v>
      </c>
      <c r="AM64" s="59">
        <f t="shared" si="5"/>
        <v>1161.7163561388786</v>
      </c>
      <c r="AN64" s="59">
        <f ca="1">AVERAGE(OFFSET($AM$3,0,0,'Données projet'!$E$10+1,1))-AVERAGE(OFFSET($H$3,0,0,'Données projet'!$E$10+1,1))</f>
        <v>408.84545509668794</v>
      </c>
      <c r="AO64" s="59">
        <f t="shared" si="36"/>
        <v>409.9253979841132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9.5477728820215511</v>
      </c>
      <c r="AV64" s="21">
        <f>EXP(-LN(2)/25)*AV63+(1-EXP(-LN(2)/25))/(LN(2)/25)*Calculateur!AQ64*Calculateur!AS64*VLOOKUP('Données projet'!$B$10,Paramètres!$A$1:$I$89,3,0)*0.475*44/12</f>
        <v>24.008104346049574</v>
      </c>
      <c r="AW64" s="21">
        <f>EXP(-LN(2)/2)*AW63+(1-EXP(-LN(2)/2))/(LN(2)/2)*AQ64*AT64*VLOOKUP('Données projet'!$B$10,Paramètres!$A$1:$I$89,3,0)*0.475*44/12</f>
        <v>0.69453271068903277</v>
      </c>
      <c r="AX64" s="21">
        <f t="shared" si="6"/>
        <v>34.250409938760157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17.399999999999999</v>
      </c>
      <c r="BD64" s="12">
        <f>IF('Données projet'!$A$88&gt;35,BD63+BC64-BL63,IF(A64&lt;'Données projet'!$A$88,$BA$205^A64,IF(A64='Données projet'!$A$88,'Données projet'!$B$88,BD63+BC64-BL63)))</f>
        <v>485.4</v>
      </c>
      <c r="BE64" s="13">
        <f>BD64*VLOOKUP('Données projet'!$B$11,Paramètres!$A$1:$I$89,3,0)*VLOOKUP('Données projet'!$B$11,Paramètres!$A$1:$I$89,5,0)</f>
        <v>290.26920000000001</v>
      </c>
      <c r="BF64" s="13">
        <f t="shared" si="37"/>
        <v>69.13261576818384</v>
      </c>
      <c r="BG64" s="20">
        <f t="shared" si="7"/>
        <v>625.95816246292009</v>
      </c>
      <c r="BH64" s="59">
        <f t="shared" si="8"/>
        <v>919.29149579625346</v>
      </c>
      <c r="BI64" s="59">
        <f ca="1">AVERAGE(OFFSET($BH$3,0,0,'Données projet'!$E$11+1,1))-AVERAGE(OFFSET($H$3,0,0,'Données projet'!$E$11+1,1))</f>
        <v>279.69031306919914</v>
      </c>
      <c r="BJ64" s="59">
        <f t="shared" si="38"/>
        <v>297.01680128882509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17.176698996544545</v>
      </c>
      <c r="BQ64" s="21">
        <f>EXP(-LN(2)/25)*BQ63+(1-EXP(-LN(2)/25))/(LN(2)/25)*Calculateur!BL64*Calculateur!BN64*VLOOKUP('Données projet'!$B$11,Paramètres!$A$1:$I$89,3,0)*0.475*44/12</f>
        <v>40.026775885597054</v>
      </c>
      <c r="BR64" s="21">
        <f>EXP(-LN(2)/2)*BR63+(1-EXP(-LN(2)/2))/(LN(2)/2)*BL64*BO64*VLOOKUP('Données projet'!$B$11,Paramètres!$A$1:$I$89,3,0)*0.475*44/12</f>
        <v>4.5651360742377944</v>
      </c>
      <c r="BS64" s="22">
        <f t="shared" si="9"/>
        <v>61.768610956379391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2.75</v>
      </c>
      <c r="BY64" s="12">
        <f>IF('Données projet'!$A$114&gt;35,BY63+BX64-CG63,IF(A64&lt;'Données projet'!$A$114,$BV$205^A64,IF(A64='Données projet'!$A$114,'Données projet'!$B$114,BY63+BX64-CG63)))</f>
        <v>171.25</v>
      </c>
      <c r="BZ64" s="13">
        <f>BY64*VLOOKUP('Données projet'!$B$12,Paramètres!$A$1:$I$89,3,0)*VLOOKUP('Données projet'!$B$12,Paramètres!$A$1:$I$89,5,0)</f>
        <v>102.40750000000001</v>
      </c>
      <c r="CA64" s="13">
        <f t="shared" si="39"/>
        <v>27.534754690970516</v>
      </c>
      <c r="CB64" s="20">
        <f t="shared" si="10"/>
        <v>226.31609358677363</v>
      </c>
      <c r="CC64" s="59">
        <f t="shared" si="11"/>
        <v>519.64942692010698</v>
      </c>
      <c r="CD64" s="59">
        <f ca="1">AVERAGE(OFFSET($CC$3,0,0,'Données projet'!$E$12+1,1))-AVERAGE(OFFSET($H$3,0,0,'Données projet'!$E$12+1,1))</f>
        <v>81.299024916151723</v>
      </c>
      <c r="CE64" s="59">
        <f t="shared" si="40"/>
        <v>88.106373324240167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5.1325582830011705</v>
      </c>
      <c r="CL64" s="21">
        <f>EXP(-LN(2)/25)*CL63+(1-EXP(-LN(2)/25))/(LN(2)/25)*Calculateur!CG64*Calculateur!CI64*VLOOKUP('Données projet'!$B$12,Paramètres!$A$1:$I$89,3,0)*0.475*44/12</f>
        <v>9.7825233041350845</v>
      </c>
      <c r="CM64" s="21">
        <f>EXP(-LN(2)/2)*CM63+(1-EXP(-LN(2)/2))/(LN(2)/2)*CG64*CJ64*VLOOKUP('Données projet'!$B$12,Paramètres!$A$1:$I$89,3,0)*0.475*44/12</f>
        <v>0.31351220572417254</v>
      </c>
      <c r="CN64" s="22">
        <f t="shared" si="12"/>
        <v>15.228593792860428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10</v>
      </c>
      <c r="CT64" s="12">
        <f>IF('Données projet'!$A$140&gt;35,CT63+CS64-DB63,IF(A64&lt;'Données projet'!$A$140,$CQ$205^A64,IF(A64='Données projet'!$A$140,'Données projet'!$B$140,CT63+CS64-DB63)))</f>
        <v>728.99999999999966</v>
      </c>
      <c r="CU64" s="17">
        <f>CT64*VLOOKUP('Données projet'!$B$13,Paramètres!$A$1:$I$89,3,0)*VLOOKUP('Données projet'!$B$13,Paramètres!$A$1:$I$89,5,0)</f>
        <v>407.51099999999985</v>
      </c>
      <c r="CV64" s="13">
        <f t="shared" si="41"/>
        <v>93.297752590617137</v>
      </c>
      <c r="CW64" s="20">
        <f t="shared" si="13"/>
        <v>872.24191076199133</v>
      </c>
      <c r="CX64" s="59">
        <f t="shared" si="14"/>
        <v>1165.5752440953247</v>
      </c>
      <c r="CY64" s="59">
        <f ca="1">AVERAGE(OFFSET($CX$3,0,0,'Données projet'!$E$13+1,1))-AVERAGE(OFFSET($H$3,0,0,'Données projet'!$E$13+1,1))</f>
        <v>475.42482703895411</v>
      </c>
      <c r="CZ64" s="59">
        <f t="shared" si="42"/>
        <v>593.51433014569966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66.42025160698654</v>
      </c>
      <c r="DG64" s="21">
        <f>EXP(-LN(2)/25)*DG63+(1-EXP(-LN(2)/25))/(LN(2)/25)*Calculateur!DB64*Calculateur!DD64*VLOOKUP('Données projet'!$B$13,Paramètres!$A$1:$I$89,3,0)*0.475*44/12</f>
        <v>37.435729897922378</v>
      </c>
      <c r="DH64" s="21">
        <f>EXP(-LN(2)/2)*DH63+(1-EXP(-LN(2)/2))/(LN(2)/2)*DB64*DE64*VLOOKUP('Données projet'!$B$13,Paramètres!$A$1:$I$89,3,0)*0.475*44/12</f>
        <v>2.1443437639963174</v>
      </c>
      <c r="DI64" s="22">
        <f t="shared" si="15"/>
        <v>106.00032526890524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8.6666666666666661</v>
      </c>
      <c r="DO64" s="12">
        <f>IF('Données projet'!$A$166&gt;35,DO63+DN64-DW63,IF(A64&lt;'Données projet'!$A$166,$DL$205^A64,IF(A64='Données projet'!$A$166,'Données projet'!$B$166,DO63+DN64-DW63)))</f>
        <v>204.66666666666669</v>
      </c>
      <c r="DP64" s="17">
        <f>DO64*VLOOKUP('Données projet'!$B$14,Paramètres!$A$1:$I$89,3,0)*VLOOKUP('Données projet'!$B$14,Paramètres!$A$1:$I$89,5,0)</f>
        <v>185.1824</v>
      </c>
      <c r="DQ64" s="13">
        <f t="shared" si="43"/>
        <v>46.473263079642983</v>
      </c>
      <c r="DR64" s="20">
        <f t="shared" si="16"/>
        <v>403.46694653037821</v>
      </c>
      <c r="DS64" s="59">
        <f t="shared" si="17"/>
        <v>696.80027986371147</v>
      </c>
      <c r="DT64" s="59">
        <f ca="1">AVERAGE(OFFSET($DS$3,0,0,'Données projet'!$E$14+1,1))-AVERAGE(OFFSET($H$3,0,0,'Données projet'!$E$14+1,1))</f>
        <v>401.17301323870578</v>
      </c>
      <c r="DU64" s="59">
        <f t="shared" si="44"/>
        <v>201.57993789149754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27.915387949333255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27.915387949333255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3.3</v>
      </c>
      <c r="EJ64" s="12">
        <f>IF('Données projet'!$A$192&gt;35,EJ63+EI64-ER63,IF(A64&lt;'Données projet'!$A$192,$EG$205^A64,IF(A64='Données projet'!$A$192,'Données projet'!$B$192,EJ63+EI64-ER63)))</f>
        <v>219.30000000000007</v>
      </c>
      <c r="EK64" s="17">
        <f>EJ64*VLOOKUP('Données projet'!$B$15,Paramètres!$A$1:$I$89,3,0)*VLOOKUP('Données projet'!$B$15,Paramètres!$A$1:$I$89,5,0)</f>
        <v>191.58048000000008</v>
      </c>
      <c r="EL64" s="13">
        <f t="shared" si="45"/>
        <v>47.889205896476554</v>
      </c>
      <c r="EM64" s="20">
        <f t="shared" si="19"/>
        <v>417.07636960303012</v>
      </c>
      <c r="EN64" s="59">
        <f t="shared" si="20"/>
        <v>710.40970293636337</v>
      </c>
      <c r="EO64" s="59">
        <f ca="1">AVERAGE(OFFSET($EN$3,0,0,'Données projet'!$E$15+1,1))-AVERAGE(OFFSET($H$3,0,0,'Données projet'!$E$15+1,1))</f>
        <v>237.8483058552178</v>
      </c>
      <c r="EP64" s="59">
        <f t="shared" si="46"/>
        <v>313.36201272119723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10.736010107716236</v>
      </c>
      <c r="EW64" s="21">
        <f>EXP(-LN(2)/25)*EW63+(1-EXP(-LN(2)/25))/(LN(2)/25)*Calculateur!ER64*Calculateur!ET64*VLOOKUP('Données projet'!$B$15,Paramètres!$A$1:$I$89,3,0)*0.475*44/12</f>
        <v>6.8079899989419701</v>
      </c>
      <c r="EX64" s="21">
        <f>EXP(-LN(2)/2)*EX63+(1-EXP(-LN(2)/2))/(LN(2)/2)*ER64*EU64*VLOOKUP('Données projet'!$B$15,Paramètres!$A$1:$I$89,3,0)*0.475*44/12</f>
        <v>3.2177625774986187</v>
      </c>
      <c r="EY64" s="22">
        <f t="shared" si="21"/>
        <v>20.761762684156825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6</v>
      </c>
      <c r="FE64" s="12">
        <f>IF('Données projet'!$A$218&gt;35,FE63+FD64-FM63,IF(A64&lt;'Données projet'!$A$218,$FB$205^A64,IF(A64='Données projet'!$A$218,'Données projet'!$B$218,FE63+FD64-FM63)))</f>
        <v>331.99999999999972</v>
      </c>
      <c r="FF64" s="17">
        <f>FE64*VLOOKUP('Données projet'!$B$16,Paramètres!$A$1:$I$89,3,0)*VLOOKUP('Données projet'!$B$16,Paramètres!$A$1:$I$89,5,0)</f>
        <v>258.95999999999981</v>
      </c>
      <c r="FG64" s="13">
        <f t="shared" si="47"/>
        <v>62.500640298036011</v>
      </c>
      <c r="FH64" s="20">
        <f t="shared" si="22"/>
        <v>559.87728185241235</v>
      </c>
      <c r="FI64" s="59">
        <f t="shared" si="23"/>
        <v>853.21061518574561</v>
      </c>
      <c r="FJ64" s="59">
        <f ca="1">AVERAGE(OFFSET($FI$3,0,0,'Données projet'!$E$16+1,1))-AVERAGE(OFFSET($H$3,0,0,'Données projet'!$E$16+1,1))</f>
        <v>318.52984981739411</v>
      </c>
      <c r="FK64" s="59">
        <f t="shared" si="48"/>
        <v>311.56398336941714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14.690224792552719</v>
      </c>
      <c r="FR64" s="21">
        <f>EXP(-LN(2)/25)*FR63+(1-EXP(-LN(2)/25))/(LN(2)/25)*Calculateur!FM64*Calculateur!FO64*VLOOKUP('Données projet'!$B$16,Paramètres!$A$1:$I$89,3,0)*0.475*44/12</f>
        <v>6.796476178094391</v>
      </c>
      <c r="FS64" s="21">
        <f>EXP(-LN(2)/2)*FS63+(1-EXP(-LN(2)/2))/(LN(2)/2)*FM64*FP64*VLOOKUP('Données projet'!$B$16,Paramètres!$A$1:$I$89,3,0)*0.475*44/12</f>
        <v>2.2330082579221529</v>
      </c>
      <c r="FT64" s="22">
        <f t="shared" si="24"/>
        <v>23.719709228569265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6</v>
      </c>
      <c r="FZ64" s="12">
        <f>IF('Données projet'!$A$244&gt;35,FZ63+FY64-GH63,IF(A64&lt;'Données projet'!$A$244,$FW$205^A64,IF(A64='Données projet'!$A$244,'Données projet'!$B$244,FZ63+FY64-GH63)))</f>
        <v>331.99999999999972</v>
      </c>
      <c r="GA64" s="17">
        <f>FZ64*VLOOKUP('Données projet'!$B$17,Paramètres!$A$1:$I$89,3,0)*VLOOKUP('Données projet'!$B$17,Paramètres!$A$1:$I$89,5,0)</f>
        <v>264.13919999999979</v>
      </c>
      <c r="GB64" s="13">
        <f t="shared" si="49"/>
        <v>63.60387543087441</v>
      </c>
      <c r="GC64" s="20">
        <f t="shared" si="25"/>
        <v>570.81918970877257</v>
      </c>
      <c r="GD64" s="59">
        <f t="shared" si="26"/>
        <v>864.15252304210594</v>
      </c>
      <c r="GE64" s="59">
        <f ca="1">AVERAGE(OFFSET($GD$3,0,0,'Données projet'!$E$17+1,1))-AVERAGE(OFFSET($H$3,0,0,'Données projet'!$E$17+1,1))</f>
        <v>325.72928944930294</v>
      </c>
      <c r="GF64" s="59">
        <f t="shared" si="50"/>
        <v>318.38876834819752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18.468687262451169</v>
      </c>
      <c r="GM64" s="21">
        <f>EXP(-LN(2)/25)*GM63+(1-EXP(-LN(2)/25))/(LN(2)/25)*Calculateur!GH64*Calculateur!GJ64*VLOOKUP('Données projet'!$B$17,Paramètres!$A$1:$I$89,3,0)*0.475*44/12</f>
        <v>8.5445930741344807</v>
      </c>
      <c r="GN64" s="21">
        <f>EXP(-LN(2)/2)*GN63+(1-EXP(-LN(2)/2))/(LN(2)/2)*GH64*GK64*VLOOKUP('Données projet'!$B$17,Paramètres!$A$1:$I$89,3,0)*0.475*44/12</f>
        <v>2.2776684230805961</v>
      </c>
      <c r="GO64" s="21">
        <f t="shared" si="27"/>
        <v>29.290948759666247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6</v>
      </c>
      <c r="GU64" s="12">
        <f>IF('Données projet'!$A$270&gt;35,GU63+GT64-HC63,IF(A64&lt;'Données projet'!$A$270,$GR$205^A64,IF(A64='Données projet'!$A$270,'Données projet'!$B$270,GU63+GT64-HC63)))</f>
        <v>331.99999999999972</v>
      </c>
      <c r="GV64" s="17">
        <f>GU64*VLOOKUP('Données projet'!$B$18,Paramètres!$A$1:$I$89,3,0)*VLOOKUP('Données projet'!$B$18,Paramètres!$A$1:$I$89,5,0)</f>
        <v>222.70559999999981</v>
      </c>
      <c r="GW64" s="13">
        <f t="shared" si="51"/>
        <v>54.702515528198852</v>
      </c>
      <c r="GX64" s="20">
        <f t="shared" si="28"/>
        <v>483.15246787827937</v>
      </c>
      <c r="GY64" s="59">
        <f t="shared" si="29"/>
        <v>776.48580121161262</v>
      </c>
      <c r="GZ64" s="59">
        <f ca="1">AVERAGE(OFFSET($GY$3,0,0,'Données projet'!$E$18+1,1))-AVERAGE(OFFSET($H$3,0,0,'Données projet'!$E$18+1,1))</f>
        <v>268.04554291387961</v>
      </c>
      <c r="HA64" s="59">
        <f t="shared" si="52"/>
        <v>263.70463099437148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15.571638280105882</v>
      </c>
      <c r="HH64" s="21">
        <f>EXP(-LN(2)/25)*HH63+(1-EXP(-LN(2)/25))/(LN(2)/25)*Calculateur!HC64*Calculateur!HE64*VLOOKUP('Données projet'!$B$18,Paramètres!$A$1:$I$89,3,0)*0.475*44/12</f>
        <v>7.2042647487800551</v>
      </c>
      <c r="HI64" s="21">
        <f>EXP(-LN(2)/2)*HI63+(1-EXP(-LN(2)/2))/(LN(2)/2)*HC64*HF64*VLOOKUP('Données projet'!$B$18,Paramètres!$A$1:$I$89,3,0)*0.475*44/12</f>
        <v>1.9203871018130516</v>
      </c>
      <c r="HJ64" s="22">
        <f t="shared" si="30"/>
        <v>24.696290130698987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9.1999999999999993</v>
      </c>
      <c r="N65" s="13">
        <f>IF('Données projet'!$A$36&gt;35,N64+M65-V64,IF(A65&lt;'Données projet'!$A$36,$K$205^A65,IF(A65='Données projet'!$A$36,'Données projet'!$B$36,N64+M65-V64)))</f>
        <v>182.39999999999998</v>
      </c>
      <c r="O65" s="13">
        <f>N65*VLOOKUP('Données projet'!$B$9,Paramètres!$A$1:$I$89,3,0)*VLOOKUP('Données projet'!$B$9,Paramètres!$A$1:$I$89,5,0)</f>
        <v>80.620800000000003</v>
      </c>
      <c r="P65" s="13">
        <f t="shared" si="33"/>
        <v>22.28890460047776</v>
      </c>
      <c r="Q65" s="20">
        <f t="shared" si="53"/>
        <v>179.23440217916541</v>
      </c>
      <c r="R65" s="59">
        <f t="shared" si="0"/>
        <v>472.56773551249876</v>
      </c>
      <c r="S65" s="59">
        <f ca="1">AVERAGE(OFFSET($R$3,0,0,'Données projet'!$E$9+1,1))-AVERAGE(OFFSET($H$3,0,0,'Données projet'!$E$9+1,1))</f>
        <v>46.095319339746538</v>
      </c>
      <c r="T65" s="59">
        <f t="shared" si="34"/>
        <v>48.158174304064403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4.9442113095188436</v>
      </c>
      <c r="AA65" s="21">
        <f>EXP(-LN(2)/25)*AA64+(1-EXP(-LN(2)/25))/(LN(2)/25)*Calculateur!V65*Calculateur!X65*VLOOKUP('Données projet'!$B$9,Paramètres!$A$1:$I$89,3,0)*0.475*44/12</f>
        <v>13.200875883239089</v>
      </c>
      <c r="AB65" s="21">
        <f>EXP(-LN(2)/2)*AB64+(1-EXP(-LN(2)/2))/(LN(2)/2)*V65*Y65*VLOOKUP('Données projet'!$B$9,Paramètres!$A$1:$I$89,3,0)*0.475*44/12</f>
        <v>5.5728995982542218</v>
      </c>
      <c r="AC65" s="22">
        <f t="shared" si="3"/>
        <v>23.717986791012155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>
        <f>VLOOKUP(A65,'Données projet'!$A$61:$I$81,2,0)</f>
        <v>686</v>
      </c>
      <c r="AG65" s="12">
        <f>VLOOKUP(A65,'Données projet'!$A$61:$I$81,9,0)</f>
        <v>7.625</v>
      </c>
      <c r="AH65" s="12">
        <f t="array" ref="AH65">INDEX(AG:AG,MIN(IF(ISNUMBER(AG65:AG261),ROW(AG65:AG261),"")))</f>
        <v>7.625</v>
      </c>
      <c r="AI65" s="13">
        <f>IF('Données projet'!$A$62&gt;35,AI64+AH65-AQ64,IF(A65&lt;'Données projet'!$A$62,$AF$205^A65,IF(A65='Données projet'!$A$62,'Données projet'!$B$62,AI64+AH65-AQ64)))</f>
        <v>685.99999999999989</v>
      </c>
      <c r="AJ65" s="13">
        <f>AI65*VLOOKUP('Données projet'!$B$10,Paramètres!$A$1:$I$89,3,0)*VLOOKUP('Données projet'!$B$10,Paramètres!$A$1:$I$89,5,0)</f>
        <v>410.22799999999995</v>
      </c>
      <c r="AK65" s="13">
        <f t="shared" si="35"/>
        <v>93.847178396014584</v>
      </c>
      <c r="AL65" s="20">
        <f t="shared" si="4"/>
        <v>877.93093570639178</v>
      </c>
      <c r="AM65" s="59">
        <f t="shared" si="5"/>
        <v>1171.2642690397251</v>
      </c>
      <c r="AN65" s="59">
        <f ca="1">AVERAGE(OFFSET($AM$3,0,0,'Données projet'!$E$10+1,1))-AVERAGE(OFFSET($H$3,0,0,'Données projet'!$E$10+1,1))</f>
        <v>408.84545509668794</v>
      </c>
      <c r="AO65" s="59">
        <f t="shared" si="36"/>
        <v>409.9253979841132</v>
      </c>
      <c r="AP65" s="15" t="str">
        <f>IF(ISNA(VLOOKUP(A65,'Données projet'!$A$61:$I$81,3,0)),0,VLOOKUP(A65,'Données projet'!$A$61:$I$81,3,0))</f>
        <v>CR</v>
      </c>
      <c r="AQ65" s="15">
        <f>IF(ISNA(VLOOKUP(A65,'Données projet'!$A$61:$I$81,4,0)),0,VLOOKUP(A65,'Données projet'!$A$61:$I$81,4,0))</f>
        <v>686</v>
      </c>
      <c r="AR65" s="16">
        <f>IF(ISNA(VLOOKUP(A65,'Données projet'!$A$61:$I$81,5,0)),0%,VLOOKUP(A65,'Données projet'!$A$61:$I$81,5,0)*VLOOKUP('Données projet'!$B$10,Paramètres!$A$1:$I$89,7,0))</f>
        <v>0.315</v>
      </c>
      <c r="AS65" s="16">
        <f>IF(ISNA(VLOOKUP(A65,'Données projet'!$A$61:$I$81,6,0)),0%,VLOOKUP(A65,'Données projet'!$A$61:$I$81,6,0)*VLOOKUP('Données projet'!$B$10,Paramètres!$A$1:$I$89,7,0))</f>
        <v>9.0000000000000011E-2</v>
      </c>
      <c r="AT65" s="16">
        <f>IF(ISNA(VLOOKUP(A65,'Données projet'!$A$61:$I$81,7,0)),0%,VLOOKUP(A65,'Données projet'!$A$61:$I$81,7,0))</f>
        <v>0.1</v>
      </c>
      <c r="AU65" s="21">
        <f>EXP(-LN(2)/35)*AU64+(1-EXP(-LN(2)/35))/(LN(2)/35)*AQ65*AR65*VLOOKUP('Données projet'!$B$10,Paramètres!$A$1:$I$89,3,0)*0.475*44/12</f>
        <v>180.78162015857782</v>
      </c>
      <c r="AV65" s="21">
        <f>EXP(-LN(2)/25)*AV64+(1-EXP(-LN(2)/25))/(LN(2)/25)*Calculateur!AQ65*Calculateur!AS65*VLOOKUP('Données projet'!$B$10,Paramètres!$A$1:$I$89,3,0)*0.475*44/12</f>
        <v>72.1362080979345</v>
      </c>
      <c r="AW65" s="21">
        <f>EXP(-LN(2)/2)*AW64+(1-EXP(-LN(2)/2))/(LN(2)/2)*AQ65*AT65*VLOOKUP('Données projet'!$B$10,Paramètres!$A$1:$I$89,3,0)*0.475*44/12</f>
        <v>46.938447884452792</v>
      </c>
      <c r="AX65" s="21">
        <f t="shared" si="6"/>
        <v>299.85627614096512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17.399999999999999</v>
      </c>
      <c r="BD65" s="12">
        <f>IF('Données projet'!$A$88&gt;35,BD64+BC65-BL64,IF(A65&lt;'Données projet'!$A$88,$BA$205^A65,IF(A65='Données projet'!$A$88,'Données projet'!$B$88,BD64+BC65-BL64)))</f>
        <v>502.79999999999995</v>
      </c>
      <c r="BE65" s="13">
        <f>BD65*VLOOKUP('Données projet'!$B$11,Paramètres!$A$1:$I$89,3,0)*VLOOKUP('Données projet'!$B$11,Paramètres!$A$1:$I$89,5,0)</f>
        <v>300.67439999999999</v>
      </c>
      <c r="BF65" s="13">
        <f t="shared" si="37"/>
        <v>71.317825137860439</v>
      </c>
      <c r="BG65" s="20">
        <f t="shared" si="7"/>
        <v>647.88645878177363</v>
      </c>
      <c r="BH65" s="59">
        <f t="shared" si="8"/>
        <v>941.21979211510688</v>
      </c>
      <c r="BI65" s="59">
        <f ca="1">AVERAGE(OFFSET($BH$3,0,0,'Données projet'!$E$11+1,1))-AVERAGE(OFFSET($H$3,0,0,'Données projet'!$E$11+1,1))</f>
        <v>279.69031306919914</v>
      </c>
      <c r="BJ65" s="59">
        <f t="shared" si="38"/>
        <v>297.01680128882509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16.8398744059742</v>
      </c>
      <c r="BQ65" s="21">
        <f>EXP(-LN(2)/25)*BQ64+(1-EXP(-LN(2)/25))/(LN(2)/25)*Calculateur!BL65*Calculateur!BN65*VLOOKUP('Données projet'!$B$11,Paramètres!$A$1:$I$89,3,0)*0.475*44/12</f>
        <v>38.932241594088744</v>
      </c>
      <c r="BR65" s="21">
        <f>EXP(-LN(2)/2)*BR64+(1-EXP(-LN(2)/2))/(LN(2)/2)*BL65*BO65*VLOOKUP('Données projet'!$B$11,Paramètres!$A$1:$I$89,3,0)*0.475*44/12</f>
        <v>3.2280386751328791</v>
      </c>
      <c r="BS65" s="22">
        <f t="shared" si="9"/>
        <v>59.000154675195823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>
        <f>VLOOKUP(A65,'Données projet'!$A$113:$I$133,2,0)</f>
        <v>174</v>
      </c>
      <c r="BW65" s="12">
        <f>VLOOKUP(A65,'Données projet'!$A$113:$I$133,9,0)</f>
        <v>2.75</v>
      </c>
      <c r="BX65" s="12">
        <f t="array" ref="BX65">INDEX(BW:BW,MIN(IF(ISNUMBER(BW65:BW261),ROW(BW65:BW261),"")))</f>
        <v>2.75</v>
      </c>
      <c r="BY65" s="12">
        <f>IF('Données projet'!$A$114&gt;35,BY64+BX65-CG64,IF(A65&lt;'Données projet'!$A$114,$BV$205^A65,IF(A65='Données projet'!$A$114,'Données projet'!$B$114,BY64+BX65-CG64)))</f>
        <v>174</v>
      </c>
      <c r="BZ65" s="13">
        <f>BY65*VLOOKUP('Données projet'!$B$12,Paramètres!$A$1:$I$89,3,0)*VLOOKUP('Données projet'!$B$12,Paramètres!$A$1:$I$89,5,0)</f>
        <v>104.05200000000001</v>
      </c>
      <c r="CA65" s="13">
        <f t="shared" si="39"/>
        <v>27.925087771564417</v>
      </c>
      <c r="CB65" s="20">
        <f t="shared" si="10"/>
        <v>229.86009453547467</v>
      </c>
      <c r="CC65" s="59">
        <f t="shared" si="11"/>
        <v>523.19342786880793</v>
      </c>
      <c r="CD65" s="59">
        <f ca="1">AVERAGE(OFFSET($CC$3,0,0,'Données projet'!$E$12+1,1))-AVERAGE(OFFSET($H$3,0,0,'Données projet'!$E$12+1,1))</f>
        <v>81.299024916151723</v>
      </c>
      <c r="CE65" s="59">
        <f t="shared" si="40"/>
        <v>88.106373324240167</v>
      </c>
      <c r="CF65" s="15" t="str">
        <f>IF(ISNA(VLOOKUP(A65,'Données projet'!$A$113:$I$133,3,0)),0,VLOOKUP(A65,'Données projet'!$A$113:$I$133,3,0))</f>
        <v>CR</v>
      </c>
      <c r="CG65" s="15">
        <f>IF(ISNA(VLOOKUP(A65,'Données projet'!$A$113:$I$133,4,0)),0,VLOOKUP(A65,'Données projet'!$A$113:$I$133,4,0))</f>
        <v>174</v>
      </c>
      <c r="CH65" s="16">
        <f>IF(ISNA(VLOOKUP(A65,'Données projet'!$A$113:$I$133,5,0)),0%,VLOOKUP(A65,'Données projet'!$A$113:$I$133,5,0)*VLOOKUP('Données projet'!$B$12,Paramètres!$A$1:$I$89,7,0))</f>
        <v>0.315</v>
      </c>
      <c r="CI65" s="16">
        <f>IF(ISNA(VLOOKUP(A65,'Données projet'!$A$113:$I$133,6,0)),0%,VLOOKUP(A65,'Données projet'!$A$113:$I$133,6,0)*VLOOKUP('Données projet'!$B$12,Paramètres!$A$1:$I$89,7,0))</f>
        <v>9.0000000000000011E-2</v>
      </c>
      <c r="CJ65" s="16">
        <f>IF(ISNA(VLOOKUP(A65,'Données projet'!$A$113:$I$133,7,0)),0%,VLOOKUP(A65,'Données projet'!$A$113:$I$133,7,0))</f>
        <v>0.1</v>
      </c>
      <c r="CK65" s="21">
        <f>EXP(-LN(2)/35)*CK64+(1-EXP(-LN(2)/35))/(LN(2)/35)*CG65*CH65*VLOOKUP('Données projet'!$B$12,Paramètres!$A$1:$I$89,3,0)*0.475*44/12</f>
        <v>48.511892631602386</v>
      </c>
      <c r="CL65" s="21">
        <f>EXP(-LN(2)/25)*CL64+(1-EXP(-LN(2)/25))/(LN(2)/25)*Calculateur!CG65*Calculateur!CI65*VLOOKUP('Données projet'!$B$12,Paramètres!$A$1:$I$89,3,0)*0.475*44/12</f>
        <v>21.888957814185041</v>
      </c>
      <c r="CM65" s="21">
        <f>EXP(-LN(2)/2)*CM64+(1-EXP(-LN(2)/2))/(LN(2)/2)*CG65*CJ65*VLOOKUP('Données projet'!$B$12,Paramètres!$A$1:$I$89,3,0)*0.475*44/12</f>
        <v>12.002790108874699</v>
      </c>
      <c r="CN65" s="22">
        <f t="shared" si="12"/>
        <v>82.403640554662132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10</v>
      </c>
      <c r="CT65" s="12">
        <f>IF('Données projet'!$A$140&gt;35,CT64+CS65-DB64,IF(A65&lt;'Données projet'!$A$140,$CQ$205^A65,IF(A65='Données projet'!$A$140,'Données projet'!$B$140,CT64+CS65-DB64)))</f>
        <v>738.99999999999966</v>
      </c>
      <c r="CU65" s="17">
        <f>CT65*VLOOKUP('Données projet'!$B$13,Paramètres!$A$1:$I$89,3,0)*VLOOKUP('Données projet'!$B$13,Paramètres!$A$1:$I$89,5,0)</f>
        <v>413.10099999999983</v>
      </c>
      <c r="CV65" s="13">
        <f t="shared" si="41"/>
        <v>94.427689670462357</v>
      </c>
      <c r="CW65" s="20">
        <f t="shared" si="13"/>
        <v>883.94580117605494</v>
      </c>
      <c r="CX65" s="59">
        <f t="shared" si="14"/>
        <v>1177.2791345093883</v>
      </c>
      <c r="CY65" s="59">
        <f ca="1">AVERAGE(OFFSET($CX$3,0,0,'Données projet'!$E$13+1,1))-AVERAGE(OFFSET($H$3,0,0,'Données projet'!$E$13+1,1))</f>
        <v>475.42482703895411</v>
      </c>
      <c r="CZ65" s="59">
        <f t="shared" si="42"/>
        <v>593.51433014569966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65.117790985326749</v>
      </c>
      <c r="DG65" s="21">
        <f>EXP(-LN(2)/25)*DG64+(1-EXP(-LN(2)/25))/(LN(2)/25)*Calculateur!DB65*Calculateur!DD65*VLOOKUP('Données projet'!$B$13,Paramètres!$A$1:$I$89,3,0)*0.475*44/12</f>
        <v>36.412047895204218</v>
      </c>
      <c r="DH65" s="21">
        <f>EXP(-LN(2)/2)*DH64+(1-EXP(-LN(2)/2))/(LN(2)/2)*DB65*DE65*VLOOKUP('Données projet'!$B$13,Paramètres!$A$1:$I$89,3,0)*0.475*44/12</f>
        <v>1.5162800167168817</v>
      </c>
      <c r="DI65" s="22">
        <f t="shared" si="15"/>
        <v>103.04611889724785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8.6666666666666661</v>
      </c>
      <c r="DO65" s="12">
        <f>IF('Données projet'!$A$166&gt;35,DO64+DN65-DW64,IF(A65&lt;'Données projet'!$A$166,$DL$205^A65,IF(A65='Données projet'!$A$166,'Données projet'!$B$166,DO64+DN65-DW64)))</f>
        <v>213.33333333333334</v>
      </c>
      <c r="DP65" s="17">
        <f>DO65*VLOOKUP('Données projet'!$B$14,Paramètres!$A$1:$I$89,3,0)*VLOOKUP('Données projet'!$B$14,Paramètres!$A$1:$I$89,5,0)</f>
        <v>193.024</v>
      </c>
      <c r="DQ65" s="13">
        <f t="shared" si="43"/>
        <v>48.207900663536861</v>
      </c>
      <c r="DR65" s="20">
        <f t="shared" si="16"/>
        <v>420.14556032232667</v>
      </c>
      <c r="DS65" s="59">
        <f t="shared" si="17"/>
        <v>713.47889365565993</v>
      </c>
      <c r="DT65" s="59">
        <f ca="1">AVERAGE(OFFSET($DS$3,0,0,'Données projet'!$E$14+1,1))-AVERAGE(OFFSET($H$3,0,0,'Données projet'!$E$14+1,1))</f>
        <v>401.17301323870578</v>
      </c>
      <c r="DU65" s="59">
        <f t="shared" si="44"/>
        <v>201.57993789149754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27.152040197852287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27.152040197852287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3.3</v>
      </c>
      <c r="EJ65" s="12">
        <f>IF('Données projet'!$A$192&gt;35,EJ64+EI65-ER64,IF(A65&lt;'Données projet'!$A$192,$EG$205^A65,IF(A65='Données projet'!$A$192,'Données projet'!$B$192,EJ64+EI65-ER64)))</f>
        <v>222.60000000000008</v>
      </c>
      <c r="EK65" s="17">
        <f>EJ65*VLOOKUP('Données projet'!$B$15,Paramètres!$A$1:$I$89,3,0)*VLOOKUP('Données projet'!$B$15,Paramètres!$A$1:$I$89,5,0)</f>
        <v>194.46336000000011</v>
      </c>
      <c r="EL65" s="13">
        <f t="shared" si="45"/>
        <v>48.525400894162686</v>
      </c>
      <c r="EM65" s="20">
        <f t="shared" si="19"/>
        <v>423.20542522400018</v>
      </c>
      <c r="EN65" s="59">
        <f t="shared" si="20"/>
        <v>716.53875855733349</v>
      </c>
      <c r="EO65" s="59">
        <f ca="1">AVERAGE(OFFSET($EN$3,0,0,'Données projet'!$E$15+1,1))-AVERAGE(OFFSET($H$3,0,0,'Données projet'!$E$15+1,1))</f>
        <v>237.8483058552178</v>
      </c>
      <c r="EP65" s="59">
        <f t="shared" si="46"/>
        <v>313.36201272119723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10.525483497823494</v>
      </c>
      <c r="EW65" s="21">
        <f>EXP(-LN(2)/25)*EW64+(1-EXP(-LN(2)/25))/(LN(2)/25)*Calculateur!ER65*Calculateur!ET65*VLOOKUP('Données projet'!$B$15,Paramètres!$A$1:$I$89,3,0)*0.475*44/12</f>
        <v>6.6218251544042674</v>
      </c>
      <c r="EX65" s="21">
        <f>EXP(-LN(2)/2)*EX64+(1-EXP(-LN(2)/2))/(LN(2)/2)*ER65*EU65*VLOOKUP('Données projet'!$B$15,Paramètres!$A$1:$I$89,3,0)*0.475*44/12</f>
        <v>2.2753017387975771</v>
      </c>
      <c r="EY65" s="22">
        <f t="shared" si="21"/>
        <v>19.422610391025337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6</v>
      </c>
      <c r="FE65" s="12">
        <f>IF('Données projet'!$A$218&gt;35,FE64+FD65-FM64,IF(A65&lt;'Données projet'!$A$218,$FB$205^A65,IF(A65='Données projet'!$A$218,'Données projet'!$B$218,FE64+FD65-FM64)))</f>
        <v>337.99999999999972</v>
      </c>
      <c r="FF65" s="17">
        <f>FE65*VLOOKUP('Données projet'!$B$16,Paramètres!$A$1:$I$89,3,0)*VLOOKUP('Données projet'!$B$16,Paramètres!$A$1:$I$89,5,0)</f>
        <v>263.63999999999976</v>
      </c>
      <c r="FG65" s="13">
        <f t="shared" si="47"/>
        <v>63.497649925886698</v>
      </c>
      <c r="FH65" s="20">
        <f t="shared" si="22"/>
        <v>569.7647402875856</v>
      </c>
      <c r="FI65" s="59">
        <f t="shared" si="23"/>
        <v>863.09807362091897</v>
      </c>
      <c r="FJ65" s="59">
        <f ca="1">AVERAGE(OFFSET($FI$3,0,0,'Données projet'!$E$16+1,1))-AVERAGE(OFFSET($H$3,0,0,'Données projet'!$E$16+1,1))</f>
        <v>318.52984981739411</v>
      </c>
      <c r="FK65" s="59">
        <f t="shared" si="48"/>
        <v>311.56398336941714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14.402158444523142</v>
      </c>
      <c r="FR65" s="21">
        <f>EXP(-LN(2)/25)*FR64+(1-EXP(-LN(2)/25))/(LN(2)/25)*Calculateur!FM65*Calculateur!FO65*VLOOKUP('Données projet'!$B$16,Paramètres!$A$1:$I$89,3,0)*0.475*44/12</f>
        <v>6.6106261795932513</v>
      </c>
      <c r="FS65" s="21">
        <f>EXP(-LN(2)/2)*FS64+(1-EXP(-LN(2)/2))/(LN(2)/2)*FM65*FP65*VLOOKUP('Données projet'!$B$16,Paramètres!$A$1:$I$89,3,0)*0.475*44/12</f>
        <v>1.5789752816223135</v>
      </c>
      <c r="FT65" s="22">
        <f t="shared" si="24"/>
        <v>22.591759905738705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6</v>
      </c>
      <c r="FZ65" s="12">
        <f>IF('Données projet'!$A$244&gt;35,FZ64+FY65-GH64,IF(A65&lt;'Données projet'!$A$244,$FW$205^A65,IF(A65='Données projet'!$A$244,'Données projet'!$B$244,FZ64+FY65-GH64)))</f>
        <v>337.99999999999972</v>
      </c>
      <c r="GA65" s="17">
        <f>FZ65*VLOOKUP('Données projet'!$B$17,Paramètres!$A$1:$I$89,3,0)*VLOOKUP('Données projet'!$B$17,Paramètres!$A$1:$I$89,5,0)</f>
        <v>268.91279999999978</v>
      </c>
      <c r="GB65" s="13">
        <f t="shared" si="49"/>
        <v>64.618483855217065</v>
      </c>
      <c r="GC65" s="20">
        <f t="shared" si="25"/>
        <v>580.90031938116931</v>
      </c>
      <c r="GD65" s="59">
        <f t="shared" si="26"/>
        <v>874.23365271450257</v>
      </c>
      <c r="GE65" s="59">
        <f ca="1">AVERAGE(OFFSET($GD$3,0,0,'Données projet'!$E$17+1,1))-AVERAGE(OFFSET($H$3,0,0,'Données projet'!$E$17+1,1))</f>
        <v>325.72928944930294</v>
      </c>
      <c r="GF65" s="59">
        <f t="shared" si="50"/>
        <v>318.38876834819752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18.106527570021427</v>
      </c>
      <c r="GM65" s="21">
        <f>EXP(-LN(2)/25)*GM64+(1-EXP(-LN(2)/25))/(LN(2)/25)*Calculateur!GH65*Calculateur!GJ65*VLOOKUP('Données projet'!$B$17,Paramètres!$A$1:$I$89,3,0)*0.475*44/12</f>
        <v>8.3109407271816522</v>
      </c>
      <c r="GN65" s="21">
        <f>EXP(-LN(2)/2)*GN64+(1-EXP(-LN(2)/2))/(LN(2)/2)*GH65*GK65*VLOOKUP('Données projet'!$B$17,Paramètres!$A$1:$I$89,3,0)*0.475*44/12</f>
        <v>1.6105547872547599</v>
      </c>
      <c r="GO65" s="21">
        <f t="shared" si="27"/>
        <v>28.028023084457839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6</v>
      </c>
      <c r="GU65" s="12">
        <f>IF('Données projet'!$A$270&gt;35,GU64+GT65-HC64,IF(A65&lt;'Données projet'!$A$270,$GR$205^A65,IF(A65='Données projet'!$A$270,'Données projet'!$B$270,GU64+GT65-HC64)))</f>
        <v>337.99999999999972</v>
      </c>
      <c r="GV65" s="17">
        <f>GU65*VLOOKUP('Données projet'!$B$18,Paramètres!$A$1:$I$89,3,0)*VLOOKUP('Données projet'!$B$18,Paramètres!$A$1:$I$89,5,0)</f>
        <v>226.73039999999983</v>
      </c>
      <c r="GW65" s="13">
        <f t="shared" si="51"/>
        <v>55.575129542858527</v>
      </c>
      <c r="GX65" s="20">
        <f t="shared" si="28"/>
        <v>491.68213062047835</v>
      </c>
      <c r="GY65" s="59">
        <f t="shared" si="29"/>
        <v>785.0154639538116</v>
      </c>
      <c r="GZ65" s="59">
        <f ca="1">AVERAGE(OFFSET($GY$3,0,0,'Données projet'!$E$18+1,1))-AVERAGE(OFFSET($H$3,0,0,'Données projet'!$E$18+1,1))</f>
        <v>268.04554291387961</v>
      </c>
      <c r="HA65" s="59">
        <f t="shared" si="52"/>
        <v>263.70463099437148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15.26628795119453</v>
      </c>
      <c r="HH65" s="21">
        <f>EXP(-LN(2)/25)*HH64+(1-EXP(-LN(2)/25))/(LN(2)/25)*Calculateur!HC65*Calculateur!HE65*VLOOKUP('Données projet'!$B$18,Paramètres!$A$1:$I$89,3,0)*0.475*44/12</f>
        <v>7.0072637503688471</v>
      </c>
      <c r="HI65" s="21">
        <f>EXP(-LN(2)/2)*HI64+(1-EXP(-LN(2)/2))/(LN(2)/2)*HC65*HF65*VLOOKUP('Données projet'!$B$18,Paramètres!$A$1:$I$89,3,0)*0.475*44/12</f>
        <v>1.3579187421951897</v>
      </c>
      <c r="HJ65" s="22">
        <f t="shared" si="30"/>
        <v>23.631470443758566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9.1999999999999993</v>
      </c>
      <c r="N66" s="13">
        <f>IF('Données projet'!$A$36&gt;35,N65+M66-V65,IF(A66&lt;'Données projet'!$A$36,$K$205^A66,IF(A66='Données projet'!$A$36,'Données projet'!$B$36,N65+M66-V65)))</f>
        <v>191.59999999999997</v>
      </c>
      <c r="O66" s="13">
        <f>N66*VLOOKUP('Données projet'!$B$9,Paramètres!$A$1:$I$89,3,0)*VLOOKUP('Données projet'!$B$9,Paramètres!$A$1:$I$89,5,0)</f>
        <v>84.68719999999999</v>
      </c>
      <c r="P66" s="13">
        <f t="shared" si="33"/>
        <v>23.279403611759438</v>
      </c>
      <c r="Q66" s="20">
        <f t="shared" si="53"/>
        <v>188.04183462381434</v>
      </c>
      <c r="R66" s="59">
        <f t="shared" si="0"/>
        <v>481.37516795714765</v>
      </c>
      <c r="S66" s="59">
        <f ca="1">AVERAGE(OFFSET($R$3,0,0,'Données projet'!$E$9+1,1))-AVERAGE(OFFSET($H$3,0,0,'Données projet'!$E$9+1,1))</f>
        <v>46.095319339746538</v>
      </c>
      <c r="T66" s="59">
        <f t="shared" si="34"/>
        <v>48.158174304064403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4.8472583414103054</v>
      </c>
      <c r="AA66" s="21">
        <f>EXP(-LN(2)/25)*AA65+(1-EXP(-LN(2)/25))/(LN(2)/25)*Calculateur!V66*Calculateur!X66*VLOOKUP('Données projet'!$B$9,Paramètres!$A$1:$I$89,3,0)*0.475*44/12</f>
        <v>12.839897238008025</v>
      </c>
      <c r="AB66" s="21">
        <f>EXP(-LN(2)/2)*AB65+(1-EXP(-LN(2)/2))/(LN(2)/2)*V66*Y66*VLOOKUP('Données projet'!$B$9,Paramètres!$A$1:$I$89,3,0)*0.475*44/12</f>
        <v>3.9406350967973469</v>
      </c>
      <c r="AC66" s="22">
        <f t="shared" si="3"/>
        <v>21.627790676215678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-1.1368683772161603E-13</v>
      </c>
      <c r="AJ66" s="13">
        <f>AI66*VLOOKUP('Données projet'!$B$10,Paramètres!$A$1:$I$89,3,0)*VLOOKUP('Données projet'!$B$10,Paramètres!$A$1:$I$89,5,0)</f>
        <v>-6.7984728957526396E-14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408.84545509668794</v>
      </c>
      <c r="AO66" s="59">
        <f t="shared" si="36"/>
        <v>409.9253979841132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177.23660285316856</v>
      </c>
      <c r="AV66" s="21">
        <f>EXP(-LN(2)/25)*AV65+(1-EXP(-LN(2)/25))/(LN(2)/25)*Calculateur!AQ66*Calculateur!AS66*VLOOKUP('Données projet'!$B$10,Paramètres!$A$1:$I$89,3,0)*0.475*44/12</f>
        <v>70.163639694018173</v>
      </c>
      <c r="AW66" s="21">
        <f>EXP(-LN(2)/2)*AW65+(1-EXP(-LN(2)/2))/(LN(2)/2)*AQ66*AT66*VLOOKUP('Données projet'!$B$10,Paramètres!$A$1:$I$89,3,0)*0.475*44/12</f>
        <v>33.190494797467927</v>
      </c>
      <c r="AX66" s="21">
        <f t="shared" si="6"/>
        <v>280.59073734465466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17.399999999999999</v>
      </c>
      <c r="BD66" s="12">
        <f>IF('Données projet'!$A$88&gt;35,BD65+BC66-BL65,IF(A66&lt;'Données projet'!$A$88,$BA$205^A66,IF(A66='Données projet'!$A$88,'Données projet'!$B$88,BD65+BC66-BL65)))</f>
        <v>520.19999999999993</v>
      </c>
      <c r="BE66" s="13">
        <f>BD66*VLOOKUP('Données projet'!$B$11,Paramètres!$A$1:$I$89,3,0)*VLOOKUP('Données projet'!$B$11,Paramètres!$A$1:$I$89,5,0)</f>
        <v>311.07959999999997</v>
      </c>
      <c r="BF66" s="13">
        <f t="shared" si="37"/>
        <v>73.49424798183118</v>
      </c>
      <c r="BG66" s="20">
        <f t="shared" si="7"/>
        <v>669.79945190168917</v>
      </c>
      <c r="BH66" s="59">
        <f t="shared" si="8"/>
        <v>963.13278523502254</v>
      </c>
      <c r="BI66" s="59">
        <f ca="1">AVERAGE(OFFSET($BH$3,0,0,'Données projet'!$E$11+1,1))-AVERAGE(OFFSET($H$3,0,0,'Données projet'!$E$11+1,1))</f>
        <v>279.69031306919914</v>
      </c>
      <c r="BJ66" s="59">
        <f t="shared" si="38"/>
        <v>297.01680128882509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16.509654740182228</v>
      </c>
      <c r="BQ66" s="21">
        <f>EXP(-LN(2)/25)*BQ65+(1-EXP(-LN(2)/25))/(LN(2)/25)*Calculateur!BL66*Calculateur!BN66*VLOOKUP('Données projet'!$B$11,Paramètres!$A$1:$I$89,3,0)*0.475*44/12</f>
        <v>37.867637400340783</v>
      </c>
      <c r="BR66" s="21">
        <f>EXP(-LN(2)/2)*BR65+(1-EXP(-LN(2)/2))/(LN(2)/2)*BL66*BO66*VLOOKUP('Données projet'!$B$11,Paramètres!$A$1:$I$89,3,0)*0.475*44/12</f>
        <v>2.2825680371188977</v>
      </c>
      <c r="BS66" s="22">
        <f t="shared" si="9"/>
        <v>56.65986017764191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81.299024916151723</v>
      </c>
      <c r="CE66" s="59">
        <f t="shared" si="40"/>
        <v>88.106373324240167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47.560604006429465</v>
      </c>
      <c r="CL66" s="21">
        <f>EXP(-LN(2)/25)*CL65+(1-EXP(-LN(2)/25))/(LN(2)/25)*Calculateur!CG66*Calculateur!CI66*VLOOKUP('Données projet'!$B$12,Paramètres!$A$1:$I$89,3,0)*0.475*44/12</f>
        <v>21.290403111665889</v>
      </c>
      <c r="CM66" s="21">
        <f>EXP(-LN(2)/2)*CM65+(1-EXP(-LN(2)/2))/(LN(2)/2)*CG66*CJ66*VLOOKUP('Données projet'!$B$12,Paramètres!$A$1:$I$89,3,0)*0.475*44/12</f>
        <v>8.4872542791441195</v>
      </c>
      <c r="CN66" s="22">
        <f t="shared" si="12"/>
        <v>77.338261397239478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10</v>
      </c>
      <c r="CT66" s="12">
        <f>IF('Données projet'!$A$140&gt;35,CT65+CS66-DB65,IF(A66&lt;'Données projet'!$A$140,$CQ$205^A66,IF(A66='Données projet'!$A$140,'Données projet'!$B$140,CT65+CS66-DB65)))</f>
        <v>748.99999999999966</v>
      </c>
      <c r="CU66" s="17">
        <f>CT66*VLOOKUP('Données projet'!$B$13,Paramètres!$A$1:$I$89,3,0)*VLOOKUP('Données projet'!$B$13,Paramètres!$A$1:$I$89,5,0)</f>
        <v>418.6909999999998</v>
      </c>
      <c r="CV66" s="13">
        <f t="shared" si="41"/>
        <v>95.555848328260851</v>
      </c>
      <c r="CW66" s="20">
        <f t="shared" si="13"/>
        <v>895.64659417172061</v>
      </c>
      <c r="CX66" s="59">
        <f t="shared" si="14"/>
        <v>1188.9799275050539</v>
      </c>
      <c r="CY66" s="59">
        <f ca="1">AVERAGE(OFFSET($CX$3,0,0,'Données projet'!$E$13+1,1))-AVERAGE(OFFSET($H$3,0,0,'Données projet'!$E$13+1,1))</f>
        <v>475.42482703895411</v>
      </c>
      <c r="CZ66" s="59">
        <f t="shared" si="42"/>
        <v>593.51433014569966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63.840870822035171</v>
      </c>
      <c r="DG66" s="21">
        <f>EXP(-LN(2)/25)*DG65+(1-EXP(-LN(2)/25))/(LN(2)/25)*Calculateur!DB66*Calculateur!DD66*VLOOKUP('Données projet'!$B$13,Paramètres!$A$1:$I$89,3,0)*0.475*44/12</f>
        <v>35.416358530683482</v>
      </c>
      <c r="DH66" s="21">
        <f>EXP(-LN(2)/2)*DH65+(1-EXP(-LN(2)/2))/(LN(2)/2)*DB66*DE66*VLOOKUP('Données projet'!$B$13,Paramètres!$A$1:$I$89,3,0)*0.475*44/12</f>
        <v>1.0721718819981587</v>
      </c>
      <c r="DI66" s="22">
        <f t="shared" si="15"/>
        <v>100.32940123471681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8.6666666666666661</v>
      </c>
      <c r="DO66" s="12">
        <f>IF('Données projet'!$A$166&gt;35,DO65+DN66-DW65,IF(A66&lt;'Données projet'!$A$166,$DL$205^A66,IF(A66='Données projet'!$A$166,'Données projet'!$B$166,DO65+DN66-DW65)))</f>
        <v>222</v>
      </c>
      <c r="DP66" s="17">
        <f>DO66*VLOOKUP('Données projet'!$B$14,Paramètres!$A$1:$I$89,3,0)*VLOOKUP('Données projet'!$B$14,Paramètres!$A$1:$I$89,5,0)</f>
        <v>200.8656</v>
      </c>
      <c r="DQ66" s="13">
        <f t="shared" si="43"/>
        <v>49.934352565642911</v>
      </c>
      <c r="DR66" s="20">
        <f t="shared" si="16"/>
        <v>436.80991738516144</v>
      </c>
      <c r="DS66" s="59">
        <f t="shared" si="17"/>
        <v>730.14325071849476</v>
      </c>
      <c r="DT66" s="59">
        <f ca="1">AVERAGE(OFFSET($DS$3,0,0,'Données projet'!$E$14+1,1))-AVERAGE(OFFSET($H$3,0,0,'Données projet'!$E$14+1,1))</f>
        <v>401.17301323870578</v>
      </c>
      <c r="DU66" s="59">
        <f t="shared" si="44"/>
        <v>201.57993789149754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26.409566230778278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26.409566230778278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3.3</v>
      </c>
      <c r="EJ66" s="12">
        <f>IF('Données projet'!$A$192&gt;35,EJ65+EI66-ER65,IF(A66&lt;'Données projet'!$A$192,$EG$205^A66,IF(A66='Données projet'!$A$192,'Données projet'!$B$192,EJ65+EI66-ER65)))</f>
        <v>225.90000000000009</v>
      </c>
      <c r="EK66" s="17">
        <f>EJ66*VLOOKUP('Données projet'!$B$15,Paramètres!$A$1:$I$89,3,0)*VLOOKUP('Données projet'!$B$15,Paramètres!$A$1:$I$89,5,0)</f>
        <v>197.34624000000011</v>
      </c>
      <c r="EL66" s="13">
        <f t="shared" si="45"/>
        <v>49.160498973822023</v>
      </c>
      <c r="EM66" s="20">
        <f t="shared" si="19"/>
        <v>429.33257037940683</v>
      </c>
      <c r="EN66" s="59">
        <f t="shared" si="20"/>
        <v>722.66590371274015</v>
      </c>
      <c r="EO66" s="59">
        <f ca="1">AVERAGE(OFFSET($EN$3,0,0,'Données projet'!$E$15+1,1))-AVERAGE(OFFSET($H$3,0,0,'Données projet'!$E$15+1,1))</f>
        <v>237.8483058552178</v>
      </c>
      <c r="EP66" s="59">
        <f t="shared" si="46"/>
        <v>313.36201272119723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10.319085186342196</v>
      </c>
      <c r="EW66" s="21">
        <f>EXP(-LN(2)/25)*EW65+(1-EXP(-LN(2)/25))/(LN(2)/25)*Calculateur!ER66*Calculateur!ET66*VLOOKUP('Données projet'!$B$15,Paramètres!$A$1:$I$89,3,0)*0.475*44/12</f>
        <v>6.440750997330432</v>
      </c>
      <c r="EX66" s="21">
        <f>EXP(-LN(2)/2)*EX65+(1-EXP(-LN(2)/2))/(LN(2)/2)*ER66*EU66*VLOOKUP('Données projet'!$B$15,Paramètres!$A$1:$I$89,3,0)*0.475*44/12</f>
        <v>1.6088812887493096</v>
      </c>
      <c r="EY66" s="22">
        <f t="shared" si="21"/>
        <v>18.368717472421938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6</v>
      </c>
      <c r="FE66" s="12">
        <f>IF('Données projet'!$A$218&gt;35,FE65+FD66-FM65,IF(A66&lt;'Données projet'!$A$218,$FB$205^A66,IF(A66='Données projet'!$A$218,'Données projet'!$B$218,FE65+FD66-FM65)))</f>
        <v>343.99999999999972</v>
      </c>
      <c r="FF66" s="17">
        <f>FE66*VLOOKUP('Données projet'!$B$16,Paramètres!$A$1:$I$89,3,0)*VLOOKUP('Données projet'!$B$16,Paramètres!$A$1:$I$89,5,0)</f>
        <v>268.31999999999977</v>
      </c>
      <c r="FG66" s="13">
        <f t="shared" si="47"/>
        <v>64.492601473092421</v>
      </c>
      <c r="FH66" s="20">
        <f t="shared" si="22"/>
        <v>579.64861423230218</v>
      </c>
      <c r="FI66" s="59">
        <f t="shared" si="23"/>
        <v>872.98194756563544</v>
      </c>
      <c r="FJ66" s="59">
        <f ca="1">AVERAGE(OFFSET($FI$3,0,0,'Données projet'!$E$16+1,1))-AVERAGE(OFFSET($H$3,0,0,'Données projet'!$E$16+1,1))</f>
        <v>318.52984981739411</v>
      </c>
      <c r="FK66" s="59">
        <f t="shared" si="48"/>
        <v>311.56398336941714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14.119740901875302</v>
      </c>
      <c r="FR66" s="21">
        <f>EXP(-LN(2)/25)*FR65+(1-EXP(-LN(2)/25))/(LN(2)/25)*Calculateur!FM66*Calculateur!FO66*VLOOKUP('Données projet'!$B$16,Paramètres!$A$1:$I$89,3,0)*0.475*44/12</f>
        <v>6.4298582590745514</v>
      </c>
      <c r="FS66" s="21">
        <f>EXP(-LN(2)/2)*FS65+(1-EXP(-LN(2)/2))/(LN(2)/2)*FM66*FP66*VLOOKUP('Données projet'!$B$16,Paramètres!$A$1:$I$89,3,0)*0.475*44/12</f>
        <v>1.1165041289610766</v>
      </c>
      <c r="FT66" s="22">
        <f t="shared" si="24"/>
        <v>21.666103289910929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6</v>
      </c>
      <c r="FZ66" s="12">
        <f>IF('Données projet'!$A$244&gt;35,FZ65+FY66-GH65,IF(A66&lt;'Données projet'!$A$244,$FW$205^A66,IF(A66='Données projet'!$A$244,'Données projet'!$B$244,FZ65+FY66-GH65)))</f>
        <v>343.99999999999972</v>
      </c>
      <c r="GA66" s="17">
        <f>FZ66*VLOOKUP('Données projet'!$B$17,Paramètres!$A$1:$I$89,3,0)*VLOOKUP('Données projet'!$B$17,Paramètres!$A$1:$I$89,5,0)</f>
        <v>273.68639999999976</v>
      </c>
      <c r="GB66" s="13">
        <f t="shared" si="49"/>
        <v>65.630997870536959</v>
      </c>
      <c r="GC66" s="20">
        <f t="shared" si="25"/>
        <v>590.97780129118485</v>
      </c>
      <c r="GD66" s="59">
        <f t="shared" si="26"/>
        <v>884.31113462451822</v>
      </c>
      <c r="GE66" s="59">
        <f ca="1">AVERAGE(OFFSET($GD$3,0,0,'Données projet'!$E$17+1,1))-AVERAGE(OFFSET($H$3,0,0,'Données projet'!$E$17+1,1))</f>
        <v>325.72928944930294</v>
      </c>
      <c r="GF66" s="59">
        <f t="shared" si="50"/>
        <v>318.38876834819752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17.751469608264632</v>
      </c>
      <c r="GM66" s="21">
        <f>EXP(-LN(2)/25)*GM65+(1-EXP(-LN(2)/25))/(LN(2)/25)*Calculateur!GH66*Calculateur!GJ66*VLOOKUP('Données projet'!$B$17,Paramètres!$A$1:$I$89,3,0)*0.475*44/12</f>
        <v>8.0836776159434915</v>
      </c>
      <c r="GN66" s="21">
        <f>EXP(-LN(2)/2)*GN65+(1-EXP(-LN(2)/2))/(LN(2)/2)*GH66*GK66*VLOOKUP('Données projet'!$B$17,Paramètres!$A$1:$I$89,3,0)*0.475*44/12</f>
        <v>1.1388342115402981</v>
      </c>
      <c r="GO66" s="21">
        <f t="shared" si="27"/>
        <v>26.973981435748421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6</v>
      </c>
      <c r="GU66" s="12">
        <f>IF('Données projet'!$A$270&gt;35,GU65+GT66-HC65,IF(A66&lt;'Données projet'!$A$270,$GR$205^A66,IF(A66='Données projet'!$A$270,'Données projet'!$B$270,GU65+GT66-HC65)))</f>
        <v>343.99999999999972</v>
      </c>
      <c r="GV66" s="17">
        <f>GU66*VLOOKUP('Données projet'!$B$18,Paramètres!$A$1:$I$89,3,0)*VLOOKUP('Données projet'!$B$18,Paramètres!$A$1:$I$89,5,0)</f>
        <v>230.7551999999998</v>
      </c>
      <c r="GW66" s="13">
        <f t="shared" si="51"/>
        <v>56.445942260956926</v>
      </c>
      <c r="GX66" s="20">
        <f t="shared" si="28"/>
        <v>500.2086561044996</v>
      </c>
      <c r="GY66" s="59">
        <f t="shared" si="29"/>
        <v>793.54198943783285</v>
      </c>
      <c r="GZ66" s="59">
        <f ca="1">AVERAGE(OFFSET($GY$3,0,0,'Données projet'!$E$18+1,1))-AVERAGE(OFFSET($H$3,0,0,'Données projet'!$E$18+1,1))</f>
        <v>268.04554291387961</v>
      </c>
      <c r="HA66" s="59">
        <f t="shared" si="52"/>
        <v>263.70463099437148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14.966925355987819</v>
      </c>
      <c r="HH66" s="21">
        <f>EXP(-LN(2)/25)*HH65+(1-EXP(-LN(2)/25))/(LN(2)/25)*Calculateur!HC66*Calculateur!HE66*VLOOKUP('Données projet'!$B$18,Paramètres!$A$1:$I$89,3,0)*0.475*44/12</f>
        <v>6.8156497546190256</v>
      </c>
      <c r="HI66" s="21">
        <f>EXP(-LN(2)/2)*HI65+(1-EXP(-LN(2)/2))/(LN(2)/2)*HC66*HF66*VLOOKUP('Données projet'!$B$18,Paramètres!$A$1:$I$89,3,0)*0.475*44/12</f>
        <v>0.96019355090652592</v>
      </c>
      <c r="HJ66" s="22">
        <f t="shared" si="30"/>
        <v>22.742768661513367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9.1999999999999993</v>
      </c>
      <c r="N67" s="13">
        <f>IF('Données projet'!$A$36&gt;35,N66+M67-V66,IF(A67&lt;'Données projet'!$A$36,$K$205^A67,IF(A67='Données projet'!$A$36,'Données projet'!$B$36,N66+M67-V66)))</f>
        <v>200.79999999999995</v>
      </c>
      <c r="O67" s="13">
        <f>N67*VLOOKUP('Données projet'!$B$9,Paramètres!$A$1:$I$89,3,0)*VLOOKUP('Données projet'!$B$9,Paramètres!$A$1:$I$89,5,0)</f>
        <v>88.753599999999992</v>
      </c>
      <c r="P67" s="13">
        <f t="shared" si="33"/>
        <v>24.264379782725676</v>
      </c>
      <c r="Q67" s="20">
        <f t="shared" ref="Q67:Q98" si="54">(O67+P67)*0.475*44/12</f>
        <v>196.8396481215805</v>
      </c>
      <c r="R67" s="59">
        <f t="shared" ref="R67:R130" si="55">Q67+(I67+J67)*44/12</f>
        <v>490.17298145491384</v>
      </c>
      <c r="S67" s="59">
        <f ca="1">AVERAGE(OFFSET($R$3,0,0,'Données projet'!$E$9+1,1))-AVERAGE(OFFSET($H$3,0,0,'Données projet'!$E$9+1,1))</f>
        <v>46.095319339746538</v>
      </c>
      <c r="T67" s="59">
        <f t="shared" si="34"/>
        <v>48.158174304064403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4.7522065618709037</v>
      </c>
      <c r="AA67" s="21">
        <f>EXP(-LN(2)/25)*AA66+(1-EXP(-LN(2)/25))/(LN(2)/25)*Calculateur!V67*Calculateur!X67*VLOOKUP('Données projet'!$B$9,Paramètres!$A$1:$I$89,3,0)*0.475*44/12</f>
        <v>12.488789572813845</v>
      </c>
      <c r="AB67" s="21">
        <f>EXP(-LN(2)/2)*AB66+(1-EXP(-LN(2)/2))/(LN(2)/2)*V67*Y67*VLOOKUP('Données projet'!$B$9,Paramètres!$A$1:$I$89,3,0)*0.475*44/12</f>
        <v>2.7864497991271113</v>
      </c>
      <c r="AC67" s="22">
        <f t="shared" si="3"/>
        <v>20.027445933811862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-1.1368683772161603E-13</v>
      </c>
      <c r="AJ67" s="13">
        <f>AI67*VLOOKUP('Données projet'!$B$10,Paramètres!$A$1:$I$89,3,0)*VLOOKUP('Données projet'!$B$10,Paramètres!$A$1:$I$89,5,0)</f>
        <v>-6.7984728957526396E-14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408.84545509668794</v>
      </c>
      <c r="AO67" s="59">
        <f t="shared" si="36"/>
        <v>409.9253979841132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173.76110117487133</v>
      </c>
      <c r="AV67" s="21">
        <f>EXP(-LN(2)/25)*AV66+(1-EXP(-LN(2)/25))/(LN(2)/25)*Calculateur!AQ67*Calculateur!AS67*VLOOKUP('Données projet'!$B$10,Paramètres!$A$1:$I$89,3,0)*0.475*44/12</f>
        <v>68.24501127683979</v>
      </c>
      <c r="AW67" s="21">
        <f>EXP(-LN(2)/2)*AW66+(1-EXP(-LN(2)/2))/(LN(2)/2)*AQ67*AT67*VLOOKUP('Données projet'!$B$10,Paramètres!$A$1:$I$89,3,0)*0.475*44/12</f>
        <v>23.4692239422264</v>
      </c>
      <c r="AX67" s="21">
        <f t="shared" si="6"/>
        <v>265.47533639393754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17.399999999999999</v>
      </c>
      <c r="BD67" s="12">
        <f>IF('Données projet'!$A$88&gt;35,BD66+BC67-BL66,IF(A67&lt;'Données projet'!$A$88,$BA$205^A67,IF(A67='Données projet'!$A$88,'Données projet'!$B$88,BD66+BC67-BL66)))</f>
        <v>537.59999999999991</v>
      </c>
      <c r="BE67" s="13">
        <f>BD67*VLOOKUP('Données projet'!$B$11,Paramètres!$A$1:$I$89,3,0)*VLOOKUP('Données projet'!$B$11,Paramètres!$A$1:$I$89,5,0)</f>
        <v>321.48479999999995</v>
      </c>
      <c r="BF67" s="13">
        <f t="shared" si="37"/>
        <v>75.662211893590367</v>
      </c>
      <c r="BG67" s="20">
        <f t="shared" si="7"/>
        <v>691.69771238133637</v>
      </c>
      <c r="BH67" s="59">
        <f t="shared" si="8"/>
        <v>985.03104571466974</v>
      </c>
      <c r="BI67" s="59">
        <f ca="1">AVERAGE(OFFSET($BH$3,0,0,'Données projet'!$E$11+1,1))-AVERAGE(OFFSET($H$3,0,0,'Données projet'!$E$11+1,1))</f>
        <v>279.69031306919914</v>
      </c>
      <c r="BJ67" s="59">
        <f t="shared" si="38"/>
        <v>297.01680128882509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16.185910480622326</v>
      </c>
      <c r="BQ67" s="21">
        <f>EXP(-LN(2)/25)*BQ66+(1-EXP(-LN(2)/25))/(LN(2)/25)*Calculateur!BL67*Calculateur!BN67*VLOOKUP('Données projet'!$B$11,Paramètres!$A$1:$I$89,3,0)*0.475*44/12</f>
        <v>36.832144864255959</v>
      </c>
      <c r="BR67" s="21">
        <f>EXP(-LN(2)/2)*BR66+(1-EXP(-LN(2)/2))/(LN(2)/2)*BL67*BO67*VLOOKUP('Données projet'!$B$11,Paramètres!$A$1:$I$89,3,0)*0.475*44/12</f>
        <v>1.6140193375664398</v>
      </c>
      <c r="BS67" s="22">
        <f t="shared" si="9"/>
        <v>54.632074682444724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81.299024916151723</v>
      </c>
      <c r="CE67" s="59">
        <f t="shared" si="40"/>
        <v>88.106373324240167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46.627969570967416</v>
      </c>
      <c r="CL67" s="21">
        <f>EXP(-LN(2)/25)*CL66+(1-EXP(-LN(2)/25))/(LN(2)/25)*Calculateur!CG67*Calculateur!CI67*VLOOKUP('Données projet'!$B$12,Paramètres!$A$1:$I$89,3,0)*0.475*44/12</f>
        <v>20.708215918963745</v>
      </c>
      <c r="CM67" s="21">
        <f>EXP(-LN(2)/2)*CM66+(1-EXP(-LN(2)/2))/(LN(2)/2)*CG67*CJ67*VLOOKUP('Données projet'!$B$12,Paramètres!$A$1:$I$89,3,0)*0.475*44/12</f>
        <v>6.0013950544373502</v>
      </c>
      <c r="CN67" s="22">
        <f t="shared" si="12"/>
        <v>73.337580544368507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10</v>
      </c>
      <c r="CT67" s="12">
        <f>IF('Données projet'!$A$140&gt;35,CT66+CS67-DB66,IF(A67&lt;'Données projet'!$A$140,$CQ$205^A67,IF(A67='Données projet'!$A$140,'Données projet'!$B$140,CT66+CS67-DB66)))</f>
        <v>758.99999999999966</v>
      </c>
      <c r="CU67" s="17">
        <f>CT67*VLOOKUP('Données projet'!$B$13,Paramètres!$A$1:$I$89,3,0)*VLOOKUP('Données projet'!$B$13,Paramètres!$A$1:$I$89,5,0)</f>
        <v>424.28099999999978</v>
      </c>
      <c r="CV67" s="13">
        <f t="shared" si="41"/>
        <v>96.682255052757768</v>
      </c>
      <c r="CW67" s="20">
        <f t="shared" si="13"/>
        <v>907.34433588355262</v>
      </c>
      <c r="CX67" s="59">
        <f t="shared" si="14"/>
        <v>1200.677669216886</v>
      </c>
      <c r="CY67" s="59">
        <f ca="1">AVERAGE(OFFSET($CX$3,0,0,'Données projet'!$E$13+1,1))-AVERAGE(OFFSET($H$3,0,0,'Données projet'!$E$13+1,1))</f>
        <v>475.42482703895411</v>
      </c>
      <c r="CZ67" s="59">
        <f t="shared" si="42"/>
        <v>593.51433014569966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62.588990284301346</v>
      </c>
      <c r="DG67" s="21">
        <f>EXP(-LN(2)/25)*DG66+(1-EXP(-LN(2)/25))/(LN(2)/25)*Calculateur!DB67*Calculateur!DD67*VLOOKUP('Données projet'!$B$13,Paramètres!$A$1:$I$89,3,0)*0.475*44/12</f>
        <v>34.447896344196593</v>
      </c>
      <c r="DH67" s="21">
        <f>EXP(-LN(2)/2)*DH66+(1-EXP(-LN(2)/2))/(LN(2)/2)*DB67*DE67*VLOOKUP('Données projet'!$B$13,Paramètres!$A$1:$I$89,3,0)*0.475*44/12</f>
        <v>0.75814000835844086</v>
      </c>
      <c r="DI67" s="22">
        <f t="shared" si="15"/>
        <v>97.795026636856377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8.6666666666666661</v>
      </c>
      <c r="DO67" s="12">
        <f>IF('Données projet'!$A$166&gt;35,DO66+DN67-DW66,IF(A67&lt;'Données projet'!$A$166,$DL$205^A67,IF(A67='Données projet'!$A$166,'Données projet'!$B$166,DO66+DN67-DW66)))</f>
        <v>230.66666666666666</v>
      </c>
      <c r="DP67" s="17">
        <f>DO67*VLOOKUP('Données projet'!$B$14,Paramètres!$A$1:$I$89,3,0)*VLOOKUP('Données projet'!$B$14,Paramètres!$A$1:$I$89,5,0)</f>
        <v>208.7072</v>
      </c>
      <c r="DQ67" s="13">
        <f t="shared" si="43"/>
        <v>51.652974918933275</v>
      </c>
      <c r="DR67" s="20">
        <f t="shared" si="16"/>
        <v>453.46063798380879</v>
      </c>
      <c r="DS67" s="59">
        <f t="shared" si="17"/>
        <v>746.79397131714211</v>
      </c>
      <c r="DT67" s="59">
        <f ca="1">AVERAGE(OFFSET($DS$3,0,0,'Données projet'!$E$14+1,1))-AVERAGE(OFFSET($H$3,0,0,'Données projet'!$E$14+1,1))</f>
        <v>401.17301323870578</v>
      </c>
      <c r="DU67" s="59">
        <f t="shared" si="44"/>
        <v>201.57993789149754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25.687395253378916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25.687395253378916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3.3</v>
      </c>
      <c r="EJ67" s="12">
        <f>IF('Données projet'!$A$192&gt;35,EJ66+EI67-ER66,IF(A67&lt;'Données projet'!$A$192,$EG$205^A67,IF(A67='Données projet'!$A$192,'Données projet'!$B$192,EJ66+EI67-ER66)))</f>
        <v>229.2000000000001</v>
      </c>
      <c r="EK67" s="17">
        <f>EJ67*VLOOKUP('Données projet'!$B$15,Paramètres!$A$1:$I$89,3,0)*VLOOKUP('Données projet'!$B$15,Paramètres!$A$1:$I$89,5,0)</f>
        <v>200.22912000000011</v>
      </c>
      <c r="EL67" s="13">
        <f t="shared" si="45"/>
        <v>49.794518010766396</v>
      </c>
      <c r="EM67" s="20">
        <f t="shared" si="19"/>
        <v>435.45783620208493</v>
      </c>
      <c r="EN67" s="59">
        <f t="shared" si="20"/>
        <v>728.79116953541825</v>
      </c>
      <c r="EO67" s="59">
        <f ca="1">AVERAGE(OFFSET($EN$3,0,0,'Données projet'!$E$15+1,1))-AVERAGE(OFFSET($H$3,0,0,'Données projet'!$E$15+1,1))</f>
        <v>237.8483058552178</v>
      </c>
      <c r="EP67" s="59">
        <f t="shared" si="46"/>
        <v>313.36201272119723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10.116734219858506</v>
      </c>
      <c r="EW67" s="21">
        <f>EXP(-LN(2)/25)*EW66+(1-EXP(-LN(2)/25))/(LN(2)/25)*Calculateur!ER67*Calculateur!ET67*VLOOKUP('Données projet'!$B$15,Paramètres!$A$1:$I$89,3,0)*0.475*44/12</f>
        <v>6.2646283226040573</v>
      </c>
      <c r="EX67" s="21">
        <f>EXP(-LN(2)/2)*EX66+(1-EXP(-LN(2)/2))/(LN(2)/2)*ER67*EU67*VLOOKUP('Données projet'!$B$15,Paramètres!$A$1:$I$89,3,0)*0.475*44/12</f>
        <v>1.1376508693987888</v>
      </c>
      <c r="EY67" s="22">
        <f t="shared" si="21"/>
        <v>17.519013411861351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6</v>
      </c>
      <c r="FE67" s="12">
        <f>IF('Données projet'!$A$218&gt;35,FE66+FD67-FM66,IF(A67&lt;'Données projet'!$A$218,$FB$205^A67,IF(A67='Données projet'!$A$218,'Données projet'!$B$218,FE66+FD67-FM66)))</f>
        <v>349.99999999999972</v>
      </c>
      <c r="FF67" s="17">
        <f>FE67*VLOOKUP('Données projet'!$B$16,Paramètres!$A$1:$I$89,3,0)*VLOOKUP('Données projet'!$B$16,Paramètres!$A$1:$I$89,5,0)</f>
        <v>272.99999999999977</v>
      </c>
      <c r="FG67" s="13">
        <f t="shared" si="47"/>
        <v>65.485534978229737</v>
      </c>
      <c r="FH67" s="20">
        <f t="shared" si="22"/>
        <v>589.52897342041638</v>
      </c>
      <c r="FI67" s="59">
        <f t="shared" si="23"/>
        <v>882.86230675374964</v>
      </c>
      <c r="FJ67" s="59">
        <f ca="1">AVERAGE(OFFSET($FI$3,0,0,'Données projet'!$E$16+1,1))-AVERAGE(OFFSET($H$3,0,0,'Données projet'!$E$16+1,1))</f>
        <v>318.52984981739411</v>
      </c>
      <c r="FK67" s="59">
        <f t="shared" si="48"/>
        <v>311.56398336941714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13.842861394981094</v>
      </c>
      <c r="FR67" s="21">
        <f>EXP(-LN(2)/25)*FR66+(1-EXP(-LN(2)/25))/(LN(2)/25)*Calculateur!FM67*Calculateur!FO67*VLOOKUP('Données projet'!$B$16,Paramètres!$A$1:$I$89,3,0)*0.475*44/12</f>
        <v>6.2540334468486076</v>
      </c>
      <c r="FS67" s="21">
        <f>EXP(-LN(2)/2)*FS66+(1-EXP(-LN(2)/2))/(LN(2)/2)*FM67*FP67*VLOOKUP('Données projet'!$B$16,Paramètres!$A$1:$I$89,3,0)*0.475*44/12</f>
        <v>0.78948764081115697</v>
      </c>
      <c r="FT67" s="22">
        <f t="shared" si="24"/>
        <v>20.886382482640858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6</v>
      </c>
      <c r="FZ67" s="12">
        <f>IF('Données projet'!$A$244&gt;35,FZ66+FY67-GH66,IF(A67&lt;'Données projet'!$A$244,$FW$205^A67,IF(A67='Données projet'!$A$244,'Données projet'!$B$244,FZ66+FY67-GH66)))</f>
        <v>349.99999999999972</v>
      </c>
      <c r="GA67" s="17">
        <f>FZ67*VLOOKUP('Données projet'!$B$17,Paramètres!$A$1:$I$89,3,0)*VLOOKUP('Données projet'!$B$17,Paramètres!$A$1:$I$89,5,0)</f>
        <v>278.45999999999981</v>
      </c>
      <c r="GB67" s="13">
        <f t="shared" si="49"/>
        <v>66.641458222154824</v>
      </c>
      <c r="GC67" s="20">
        <f t="shared" si="25"/>
        <v>601.05170640358597</v>
      </c>
      <c r="GD67" s="59">
        <f t="shared" si="26"/>
        <v>894.38503973691923</v>
      </c>
      <c r="GE67" s="59">
        <f ca="1">AVERAGE(OFFSET($GD$3,0,0,'Données projet'!$E$17+1,1))-AVERAGE(OFFSET($H$3,0,0,'Données projet'!$E$17+1,1))</f>
        <v>325.72928944930294</v>
      </c>
      <c r="GF67" s="59">
        <f t="shared" si="50"/>
        <v>318.38876834819752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17.403374116573914</v>
      </c>
      <c r="GM67" s="21">
        <f>EXP(-LN(2)/25)*GM66+(1-EXP(-LN(2)/25))/(LN(2)/25)*Calculateur!GH67*Calculateur!GJ67*VLOOKUP('Données projet'!$B$17,Paramètres!$A$1:$I$89,3,0)*0.475*44/12</f>
        <v>7.8626290264333862</v>
      </c>
      <c r="GN67" s="21">
        <f>EXP(-LN(2)/2)*GN66+(1-EXP(-LN(2)/2))/(LN(2)/2)*GH67*GK67*VLOOKUP('Données projet'!$B$17,Paramètres!$A$1:$I$89,3,0)*0.475*44/12</f>
        <v>0.80527739362737993</v>
      </c>
      <c r="GO67" s="21">
        <f t="shared" si="27"/>
        <v>26.071280536634681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6</v>
      </c>
      <c r="GU67" s="12">
        <f>IF('Données projet'!$A$270&gt;35,GU66+GT67-HC66,IF(A67&lt;'Données projet'!$A$270,$GR$205^A67,IF(A67='Données projet'!$A$270,'Données projet'!$B$270,GU66+GT67-HC66)))</f>
        <v>349.99999999999972</v>
      </c>
      <c r="GV67" s="17">
        <f>GU67*VLOOKUP('Données projet'!$B$18,Paramètres!$A$1:$I$89,3,0)*VLOOKUP('Données projet'!$B$18,Paramètres!$A$1:$I$89,5,0)</f>
        <v>234.77999999999983</v>
      </c>
      <c r="GW67" s="13">
        <f t="shared" si="51"/>
        <v>57.314988725508904</v>
      </c>
      <c r="GX67" s="20">
        <f t="shared" si="28"/>
        <v>508.73210536359443</v>
      </c>
      <c r="GY67" s="59">
        <f t="shared" si="29"/>
        <v>802.06543869692769</v>
      </c>
      <c r="GZ67" s="59">
        <f ca="1">AVERAGE(OFFSET($GY$3,0,0,'Données projet'!$E$18+1,1))-AVERAGE(OFFSET($H$3,0,0,'Données projet'!$E$18+1,1))</f>
        <v>268.04554291387961</v>
      </c>
      <c r="HA67" s="59">
        <f t="shared" si="52"/>
        <v>263.70463099437148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14.673433078679958</v>
      </c>
      <c r="HH67" s="21">
        <f>EXP(-LN(2)/25)*HH66+(1-EXP(-LN(2)/25))/(LN(2)/25)*Calculateur!HC67*Calculateur!HE67*VLOOKUP('Données projet'!$B$18,Paramètres!$A$1:$I$89,3,0)*0.475*44/12</f>
        <v>6.6292754536595249</v>
      </c>
      <c r="HI67" s="21">
        <f>EXP(-LN(2)/2)*HI66+(1-EXP(-LN(2)/2))/(LN(2)/2)*HC67*HF67*VLOOKUP('Données projet'!$B$18,Paramètres!$A$1:$I$89,3,0)*0.475*44/12</f>
        <v>0.67895937109759497</v>
      </c>
      <c r="HJ67" s="22">
        <f t="shared" si="30"/>
        <v>21.981667903437078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9.1999999999999993</v>
      </c>
      <c r="N68" s="13">
        <f>IF('Données projet'!$A$36&gt;35,N67+M68-V67,IF(A68&lt;'Données projet'!$A$36,$K$205^A68,IF(A68='Données projet'!$A$36,'Données projet'!$B$36,N67+M68-V67)))</f>
        <v>209.99999999999994</v>
      </c>
      <c r="O68" s="13">
        <f>N68*VLOOKUP('Données projet'!$B$9,Paramètres!$A$1:$I$89,3,0)*VLOOKUP('Données projet'!$B$9,Paramètres!$A$1:$I$89,5,0)</f>
        <v>92.82</v>
      </c>
      <c r="P68" s="13">
        <f t="shared" si="33"/>
        <v>25.244115055224704</v>
      </c>
      <c r="Q68" s="20">
        <f t="shared" si="54"/>
        <v>205.62833372118303</v>
      </c>
      <c r="R68" s="59">
        <f t="shared" si="55"/>
        <v>498.96166705451634</v>
      </c>
      <c r="S68" s="59">
        <f ca="1">AVERAGE(OFFSET($R$3,0,0,'Données projet'!$E$9+1,1))-AVERAGE(OFFSET($H$3,0,0,'Données projet'!$E$9+1,1))</f>
        <v>46.095319339746538</v>
      </c>
      <c r="T68" s="59">
        <f t="shared" si="34"/>
        <v>48.158174304064403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4.6590186897524086</v>
      </c>
      <c r="AA68" s="21">
        <f>EXP(-LN(2)/25)*AA67+(1-EXP(-LN(2)/25))/(LN(2)/25)*Calculateur!V68*Calculateur!X68*VLOOKUP('Données projet'!$B$9,Paramètres!$A$1:$I$89,3,0)*0.475*44/12</f>
        <v>12.147282965188349</v>
      </c>
      <c r="AB68" s="21">
        <f>EXP(-LN(2)/2)*AB67+(1-EXP(-LN(2)/2))/(LN(2)/2)*V68*Y68*VLOOKUP('Données projet'!$B$9,Paramètres!$A$1:$I$89,3,0)*0.475*44/12</f>
        <v>1.9703175483986737</v>
      </c>
      <c r="AC68" s="22">
        <f t="shared" ref="AC68:AC131" si="57">SUM(Z68:AB68)</f>
        <v>18.776619203339429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-1.1368683772161603E-13</v>
      </c>
      <c r="AJ68" s="13">
        <f>AI68*VLOOKUP('Données projet'!$B$10,Paramètres!$A$1:$I$89,3,0)*VLOOKUP('Données projet'!$B$10,Paramètres!$A$1:$I$89,5,0)</f>
        <v>-6.7984728957526396E-14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408.84545509668794</v>
      </c>
      <c r="AO68" s="59">
        <f t="shared" si="36"/>
        <v>409.9253979841132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170.35375196463878</v>
      </c>
      <c r="AV68" s="21">
        <f>EXP(-LN(2)/25)*AV67+(1-EXP(-LN(2)/25))/(LN(2)/25)*Calculateur!AQ68*Calculateur!AS68*VLOOKUP('Données projet'!$B$10,Paramètres!$A$1:$I$89,3,0)*0.475*44/12</f>
        <v>66.378847854625434</v>
      </c>
      <c r="AW68" s="21">
        <f>EXP(-LN(2)/2)*AW67+(1-EXP(-LN(2)/2))/(LN(2)/2)*AQ68*AT68*VLOOKUP('Données projet'!$B$10,Paramètres!$A$1:$I$89,3,0)*0.475*44/12</f>
        <v>16.595247398733967</v>
      </c>
      <c r="AX68" s="21">
        <f t="shared" ref="AX68:AX131" si="60">SUM(AU68:AW68)</f>
        <v>253.32784721799817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555</v>
      </c>
      <c r="BB68" s="12">
        <f>VLOOKUP(A68,'Données projet'!$A$87:$I$107,9,0)</f>
        <v>17.399999999999999</v>
      </c>
      <c r="BC68" s="12">
        <f t="array" ref="BC68">INDEX(BB:BB,MIN(IF(ISNUMBER(BB68:BB264),ROW(BB68:BB264),"")))</f>
        <v>17.399999999999999</v>
      </c>
      <c r="BD68" s="12">
        <f>IF('Données projet'!$A$88&gt;35,BD67+BC68-BL67,IF(A68&lt;'Données projet'!$A$88,$BA$205^A68,IF(A68='Données projet'!$A$88,'Données projet'!$B$88,BD67+BC68-BL67)))</f>
        <v>554.99999999999989</v>
      </c>
      <c r="BE68" s="13">
        <f>BD68*VLOOKUP('Données projet'!$B$11,Paramètres!$A$1:$I$89,3,0)*VLOOKUP('Données projet'!$B$11,Paramètres!$A$1:$I$89,5,0)</f>
        <v>331.88999999999993</v>
      </c>
      <c r="BF68" s="13">
        <f t="shared" si="37"/>
        <v>77.822022056956186</v>
      </c>
      <c r="BG68" s="20">
        <f t="shared" ref="BG68:BG131" si="61">(BE68+BF68)*0.475*44/12</f>
        <v>713.58177174919854</v>
      </c>
      <c r="BH68" s="59">
        <f t="shared" ref="BH68:BH131" si="62">BG68+(AY68+AZ68)*44/12</f>
        <v>1006.9151050825319</v>
      </c>
      <c r="BI68" s="59">
        <f ca="1">AVERAGE(OFFSET($BH$3,0,0,'Données projet'!$E$11+1,1))-AVERAGE(OFFSET($H$3,0,0,'Données projet'!$E$11+1,1))</f>
        <v>279.69031306919914</v>
      </c>
      <c r="BJ68" s="59">
        <f t="shared" si="38"/>
        <v>297.01680128882509</v>
      </c>
      <c r="BK68" s="15" t="str">
        <f>IF(ISNA(VLOOKUP(A68,'Données projet'!$A$87:$I$107,3,0)),0,VLOOKUP(A68,'Données projet'!$A$87:$I$107,3,0))</f>
        <v>CR</v>
      </c>
      <c r="BL68" s="15">
        <f>IF(ISNA(VLOOKUP(A68,'Données projet'!$A$87:$I$107,4,0)),0,VLOOKUP(A68,'Données projet'!$A$87:$I$107,4,0))</f>
        <v>555</v>
      </c>
      <c r="BM68" s="16">
        <f>IF(ISNA(VLOOKUP(A68,'Données projet'!$A$87:$I$107,5,0)),0%,VLOOKUP(A68,'Données projet'!$A$87:$I$107,5,0)*VLOOKUP('Données projet'!$B$11,Paramètres!$A$1:$I$89,7,0))</f>
        <v>0.315</v>
      </c>
      <c r="BN68" s="16">
        <f>IF(ISNA(VLOOKUP(A68,'Données projet'!$A$87:$I$107,6,0)),0%,VLOOKUP(A68,'Données projet'!$A$87:$I$107,6,0)*VLOOKUP('Données projet'!$B$11,Paramètres!$A$1:$I$89,7,0))</f>
        <v>9.0000000000000011E-2</v>
      </c>
      <c r="BO68" s="16">
        <f>IF(ISNA(VLOOKUP(A68,'Données projet'!$A$87:$I$107,7,0)),0%,VLOOKUP(A68,'Données projet'!$A$87:$I$107,7,0))</f>
        <v>0.1</v>
      </c>
      <c r="BP68" s="21">
        <f>EXP(-LN(2)/35)*BP67+(1-EXP(-LN(2)/35))/(LN(2)/35)*BL68*BM68*VLOOKUP('Données projet'!$B$11,Paramètres!$A$1:$I$89,3,0)*0.475*44/12</f>
        <v>154.55465994001401</v>
      </c>
      <c r="BQ68" s="21">
        <f>EXP(-LN(2)/25)*BQ67+(1-EXP(-LN(2)/25))/(LN(2)/25)*Calculateur!BL68*Calculateur!BN68*VLOOKUP('Données projet'!$B$11,Paramètres!$A$1:$I$89,3,0)*0.475*44/12</f>
        <v>75.293563667141512</v>
      </c>
      <c r="BR68" s="21">
        <f>EXP(-LN(2)/2)*BR67+(1-EXP(-LN(2)/2))/(LN(2)/2)*BL68*BO68*VLOOKUP('Données projet'!$B$11,Paramètres!$A$1:$I$89,3,0)*0.475*44/12</f>
        <v>38.718941741165317</v>
      </c>
      <c r="BS68" s="22">
        <f t="shared" ref="BS68:BS131" si="63">SUM(BP68:BR68)</f>
        <v>268.56716534832083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81.299024916151723</v>
      </c>
      <c r="CE68" s="59">
        <f t="shared" si="40"/>
        <v>88.106373324240167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45.71362352793394</v>
      </c>
      <c r="CL68" s="21">
        <f>EXP(-LN(2)/25)*CL67+(1-EXP(-LN(2)/25))/(LN(2)/25)*Calculateur!CG68*Calculateur!CI68*VLOOKUP('Données projet'!$B$12,Paramètres!$A$1:$I$89,3,0)*0.475*44/12</f>
        <v>20.141948665661936</v>
      </c>
      <c r="CM68" s="21">
        <f>EXP(-LN(2)/2)*CM67+(1-EXP(-LN(2)/2))/(LN(2)/2)*CG68*CJ68*VLOOKUP('Données projet'!$B$12,Paramètres!$A$1:$I$89,3,0)*0.475*44/12</f>
        <v>4.2436271395720597</v>
      </c>
      <c r="CN68" s="22">
        <f t="shared" ref="CN68:CN131" si="66">SUM(CK68:CM68)</f>
        <v>70.099199333167931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769</v>
      </c>
      <c r="CR68" s="12">
        <f>VLOOKUP(A68,'Données projet'!$A$139:$I$159,9,0)</f>
        <v>10</v>
      </c>
      <c r="CS68" s="12">
        <f t="array" ref="CS68">INDEX(CR:CR,MIN(IF(ISNUMBER(CR68:CR264),ROW(CR68:CR264),"")))</f>
        <v>10</v>
      </c>
      <c r="CT68" s="12">
        <f>IF('Données projet'!$A$140&gt;35,CT67+CS68-DB67,IF(A68&lt;'Données projet'!$A$140,$CQ$205^A68,IF(A68='Données projet'!$A$140,'Données projet'!$B$140,CT67+CS68-DB67)))</f>
        <v>768.99999999999966</v>
      </c>
      <c r="CU68" s="17">
        <f>CT68*VLOOKUP('Données projet'!$B$13,Paramètres!$A$1:$I$89,3,0)*VLOOKUP('Données projet'!$B$13,Paramètres!$A$1:$I$89,5,0)</f>
        <v>429.87099999999981</v>
      </c>
      <c r="CV68" s="13">
        <f t="shared" si="41"/>
        <v>97.806935594587088</v>
      </c>
      <c r="CW68" s="20">
        <f t="shared" ref="CW68:CW131" si="67">(CU68+CV68)*0.475*44/12</f>
        <v>919.03907116057201</v>
      </c>
      <c r="CX68" s="59">
        <f t="shared" ref="CX68:CX131" si="68">CW68+(CO68+CP68)*44/12</f>
        <v>1212.3724044939054</v>
      </c>
      <c r="CY68" s="59">
        <f ca="1">AVERAGE(OFFSET($CX$3,0,0,'Données projet'!$E$13+1,1))-AVERAGE(OFFSET($H$3,0,0,'Données projet'!$E$13+1,1))</f>
        <v>475.42482703895411</v>
      </c>
      <c r="CZ68" s="59">
        <f t="shared" si="42"/>
        <v>593.51433014569966</v>
      </c>
      <c r="DA68" s="15" t="str">
        <f>IF(ISNA(VLOOKUP(A68,'Données projet'!$A$139:$I$159,3,0)),0,VLOOKUP(A68,'Données projet'!$A$139:$I$159,3,0))</f>
        <v>CR</v>
      </c>
      <c r="DB68" s="15">
        <f>IF(ISNA(VLOOKUP(A68,'Données projet'!$A$139:$I$159,4,0)),0,VLOOKUP(A68,'Données projet'!$A$139:$I$159,4,0))</f>
        <v>769</v>
      </c>
      <c r="DC68" s="16">
        <f>IF(ISNA(VLOOKUP(A68,'Données projet'!$A$139:$I$159,5,0)),0%,VLOOKUP(A68,'Données projet'!$A$139:$I$159,5,0)*VLOOKUP('Données projet'!$B$13,Paramètres!$A$1:$I$89,7,0))</f>
        <v>0.44000000000000006</v>
      </c>
      <c r="DD68" s="16">
        <f>IF(ISNA(VLOOKUP(A68,'Données projet'!$A$139:$I$159,6,0)),0%,VLOOKUP(A68,'Données projet'!$A$139:$I$159,6,0)*VLOOKUP('Données projet'!$B$13,Paramètres!$A$1:$I$89,7,0))</f>
        <v>5.5000000000000007E-2</v>
      </c>
      <c r="DE68" s="16">
        <f>IF(ISNA(VLOOKUP(A68,'Données projet'!$A$139:$I$159,7,0)),0%,VLOOKUP(A68,'Données projet'!$A$139:$I$159,7,0))</f>
        <v>0.1</v>
      </c>
      <c r="DF68" s="21">
        <f>EXP(-LN(2)/35)*DF67+(1-EXP(-LN(2)/35))/(LN(2)/35)*DB68*DC68*VLOOKUP('Données projet'!$B$13,Paramètres!$A$1:$I$89,3,0)*0.475*44/12</f>
        <v>312.27235753101104</v>
      </c>
      <c r="DG68" s="21">
        <f>EXP(-LN(2)/25)*DG67+(1-EXP(-LN(2)/25))/(LN(2)/25)*Calculateur!DB68*Calculateur!DD68*VLOOKUP('Données projet'!$B$13,Paramètres!$A$1:$I$89,3,0)*0.475*44/12</f>
        <v>64.746262825073856</v>
      </c>
      <c r="DH68" s="21">
        <f>EXP(-LN(2)/2)*DH67+(1-EXP(-LN(2)/2))/(LN(2)/2)*DB68*DE68*VLOOKUP('Données projet'!$B$13,Paramètres!$A$1:$I$89,3,0)*0.475*44/12</f>
        <v>49.207468937999025</v>
      </c>
      <c r="DI68" s="22">
        <f t="shared" ref="DI68:DI131" si="69">SUM(DF68:DH68)</f>
        <v>426.22608929408392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8.6666666666666661</v>
      </c>
      <c r="DO68" s="12">
        <f>IF('Données projet'!$A$166&gt;35,DO67+DN68-DW67,IF(A68&lt;'Données projet'!$A$166,$DL$205^A68,IF(A68='Données projet'!$A$166,'Données projet'!$B$166,DO67+DN68-DW67)))</f>
        <v>239.33333333333331</v>
      </c>
      <c r="DP68" s="17">
        <f>DO68*VLOOKUP('Données projet'!$B$14,Paramètres!$A$1:$I$89,3,0)*VLOOKUP('Données projet'!$B$14,Paramètres!$A$1:$I$89,5,0)</f>
        <v>216.54879999999997</v>
      </c>
      <c r="DQ68" s="13">
        <f t="shared" si="43"/>
        <v>53.364095578940479</v>
      </c>
      <c r="DR68" s="20">
        <f t="shared" ref="DR68:DR131" si="70">(DP68+DQ68)*0.475*44/12</f>
        <v>470.09829313332119</v>
      </c>
      <c r="DS68" s="59">
        <f t="shared" ref="DS68:DS131" si="71">DR68+(DJ68+DK68)*44/12</f>
        <v>763.43162646665451</v>
      </c>
      <c r="DT68" s="59">
        <f ca="1">AVERAGE(OFFSET($DS$3,0,0,'Données projet'!$E$14+1,1))-AVERAGE(OFFSET($H$3,0,0,'Données projet'!$E$14+1,1))</f>
        <v>401.17301323870578</v>
      </c>
      <c r="DU68" s="59">
        <f t="shared" si="44"/>
        <v>201.57993789149754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24.984972079333861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24.984972079333861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3.3</v>
      </c>
      <c r="EJ68" s="12">
        <f>IF('Données projet'!$A$192&gt;35,EJ67+EI68-ER67,IF(A68&lt;'Données projet'!$A$192,$EG$205^A68,IF(A68='Données projet'!$A$192,'Données projet'!$B$192,EJ67+EI68-ER67)))</f>
        <v>232.50000000000011</v>
      </c>
      <c r="EK68" s="17">
        <f>EJ68*VLOOKUP('Données projet'!$B$15,Paramètres!$A$1:$I$89,3,0)*VLOOKUP('Données projet'!$B$15,Paramètres!$A$1:$I$89,5,0)</f>
        <v>203.11200000000011</v>
      </c>
      <c r="EL68" s="13">
        <f t="shared" si="45"/>
        <v>50.427475336015824</v>
      </c>
      <c r="EM68" s="20">
        <f t="shared" ref="EM68:EM131" si="73">(EK68+EL68)*0.475*44/12</f>
        <v>441.58125287689433</v>
      </c>
      <c r="EN68" s="59">
        <f t="shared" ref="EN68:EN131" si="74">EM68+(EE68+EF68)*44/12</f>
        <v>734.91458621022764</v>
      </c>
      <c r="EO68" s="59">
        <f ca="1">AVERAGE(OFFSET($EN$3,0,0,'Données projet'!$E$15+1,1))-AVERAGE(OFFSET($H$3,0,0,'Données projet'!$E$15+1,1))</f>
        <v>237.8483058552178</v>
      </c>
      <c r="EP68" s="59">
        <f t="shared" si="46"/>
        <v>313.36201272119723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9.9183512324056586</v>
      </c>
      <c r="EW68" s="21">
        <f>EXP(-LN(2)/25)*EW67+(1-EXP(-LN(2)/25))/(LN(2)/25)*Calculateur!ER68*Calculateur!ET68*VLOOKUP('Données projet'!$B$15,Paramètres!$A$1:$I$89,3,0)*0.475*44/12</f>
        <v>6.0933217316799642</v>
      </c>
      <c r="EX68" s="21">
        <f>EXP(-LN(2)/2)*EX67+(1-EXP(-LN(2)/2))/(LN(2)/2)*ER68*EU68*VLOOKUP('Données projet'!$B$15,Paramètres!$A$1:$I$89,3,0)*0.475*44/12</f>
        <v>0.8044406443746549</v>
      </c>
      <c r="EY68" s="22">
        <f t="shared" ref="EY68:EY131" si="75">SUM(EV68:EX68)</f>
        <v>16.816113608460277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356</v>
      </c>
      <c r="FC68" s="12">
        <f>VLOOKUP(A68,'Données projet'!$A$217:$I$237,9,0)</f>
        <v>6</v>
      </c>
      <c r="FD68" s="12">
        <f t="array" ref="FD68">INDEX(FC:FC,MIN(IF(ISNUMBER(FC68:FC264),ROW(FC68:FC264),"")))</f>
        <v>6</v>
      </c>
      <c r="FE68" s="12">
        <f>IF('Données projet'!$A$218&gt;35,FE67+FD68-FM67,IF(A68&lt;'Données projet'!$A$218,$FB$205^A68,IF(A68='Données projet'!$A$218,'Données projet'!$B$218,FE67+FD68-FM67)))</f>
        <v>355.99999999999972</v>
      </c>
      <c r="FF68" s="17">
        <f>FE68*VLOOKUP('Données projet'!$B$16,Paramètres!$A$1:$I$89,3,0)*VLOOKUP('Données projet'!$B$16,Paramètres!$A$1:$I$89,5,0)</f>
        <v>277.67999999999978</v>
      </c>
      <c r="FG68" s="13">
        <f t="shared" si="47"/>
        <v>66.476489028465835</v>
      </c>
      <c r="FH68" s="20">
        <f t="shared" ref="FH68:FH131" si="76">(FF68+FG68)*0.475*44/12</f>
        <v>599.40588505791095</v>
      </c>
      <c r="FI68" s="59">
        <f t="shared" ref="FI68:FI131" si="77">FH68+(EZ68+FA68)*44/12</f>
        <v>892.73921839124432</v>
      </c>
      <c r="FJ68" s="59">
        <f ca="1">AVERAGE(OFFSET($FI$3,0,0,'Données projet'!$E$16+1,1))-AVERAGE(OFFSET($H$3,0,0,'Données projet'!$E$16+1,1))</f>
        <v>318.52984981739411</v>
      </c>
      <c r="FK68" s="59">
        <f t="shared" si="48"/>
        <v>311.56398336941714</v>
      </c>
      <c r="FL68" s="15">
        <f>IF(ISNA(VLOOKUP(A68,'Données projet'!$A$217:$I$237,3,0)),0,VLOOKUP(A68,'Données projet'!$A$217:$I$237,3,0))</f>
        <v>12</v>
      </c>
      <c r="FM68" s="15">
        <f>IF(ISNA(VLOOKUP(A68,'Données projet'!$A$217:$I$237,4,0)),0,VLOOKUP(A68,'Données projet'!$A$217:$I$237,4,0))</f>
        <v>16</v>
      </c>
      <c r="FN68" s="16">
        <f>IF(ISNA(VLOOKUP(A68,'Données projet'!$A$217:$I$237,5,0)),0%,VLOOKUP(A68,'Données projet'!$A$217:$I$237,5,0)*VLOOKUP('Données projet'!$B$16,Paramètres!$A$1:$I$89,7,0))</f>
        <v>0.30099999999999999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0.2</v>
      </c>
      <c r="FQ68" s="21">
        <f>EXP(-LN(2)/35)*FQ67+(1-EXP(-LN(2)/35))/(LN(2)/35)*FM68*FN68*VLOOKUP('Données projet'!$B$16,Paramètres!$A$1:$I$89,3,0)*0.475*44/12</f>
        <v>17.724088697645193</v>
      </c>
      <c r="FR68" s="21">
        <f>EXP(-LN(2)/25)*FR67+(1-EXP(-LN(2)/25))/(LN(2)/25)*Calculateur!FM68*Calculateur!FO68*VLOOKUP('Données projet'!$B$16,Paramètres!$A$1:$I$89,3,0)*0.475*44/12</f>
        <v>6.083016573359207</v>
      </c>
      <c r="FS68" s="21">
        <f>EXP(-LN(2)/2)*FS67+(1-EXP(-LN(2)/2))/(LN(2)/2)*FM68*FP68*VLOOKUP('Données projet'!$B$16,Paramètres!$A$1:$I$89,3,0)*0.475*44/12</f>
        <v>2.913295243335587</v>
      </c>
      <c r="FT68" s="22">
        <f t="shared" ref="FT68:FT131" si="78">SUM(FQ68:FS68)</f>
        <v>26.720400514339985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356</v>
      </c>
      <c r="FX68" s="12">
        <f>VLOOKUP(A68,'Données projet'!$A$243:$I$263,9,0)</f>
        <v>6</v>
      </c>
      <c r="FY68" s="12">
        <f t="array" ref="FY68">INDEX(FX:FX,MIN(IF(ISNUMBER(FX68:FX264),ROW(FX68:FX264),"")))</f>
        <v>6</v>
      </c>
      <c r="FZ68" s="12">
        <f>IF('Données projet'!$A$244&gt;35,FZ67+FY68-GH67,IF(A68&lt;'Données projet'!$A$244,$FW$205^A68,IF(A68='Données projet'!$A$244,'Données projet'!$B$244,FZ67+FY68-GH67)))</f>
        <v>355.99999999999972</v>
      </c>
      <c r="GA68" s="17">
        <f>FZ68*VLOOKUP('Données projet'!$B$17,Paramètres!$A$1:$I$89,3,0)*VLOOKUP('Données projet'!$B$17,Paramètres!$A$1:$I$89,5,0)</f>
        <v>283.2335999999998</v>
      </c>
      <c r="GB68" s="13">
        <f t="shared" si="49"/>
        <v>67.649904178362377</v>
      </c>
      <c r="GC68" s="20">
        <f t="shared" ref="GC68:GC131" si="79">(GA68+GB68)*0.475*44/12</f>
        <v>611.12210311064734</v>
      </c>
      <c r="GD68" s="59">
        <f t="shared" ref="GD68:GD131" si="80">GC68+(FU68+FV68)*44/12</f>
        <v>904.45543644398072</v>
      </c>
      <c r="GE68" s="59">
        <f ca="1">AVERAGE(OFFSET($GD$3,0,0,'Données projet'!$E$17+1,1))-AVERAGE(OFFSET($H$3,0,0,'Données projet'!$E$17+1,1))</f>
        <v>325.72928944930294</v>
      </c>
      <c r="GF68" s="59">
        <f t="shared" si="50"/>
        <v>318.38876834819752</v>
      </c>
      <c r="GG68" s="15">
        <f>IF(ISNA(VLOOKUP(A68,'Données projet'!$A$243:$I$263,3,0)),0,VLOOKUP(A68,'Données projet'!$A$243:$I$263,3,0))</f>
        <v>12</v>
      </c>
      <c r="GH68" s="15">
        <f>IF(ISNA(VLOOKUP(A68,'Données projet'!$A$243:$I$263,4,0)),0,VLOOKUP(A68,'Données projet'!$A$243:$I$263,4,0))</f>
        <v>16</v>
      </c>
      <c r="GI68" s="16">
        <f>IF(ISNA(VLOOKUP(A68,'Données projet'!$A$243:$I$263,5,0)),0%,VLOOKUP(A68,'Données projet'!$A$243:$I$263,5,0)*VLOOKUP('Données projet'!$B$17,Paramètres!$A$1:$I$89,7,0))</f>
        <v>0.371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0.2</v>
      </c>
      <c r="GL68" s="21">
        <f>EXP(-LN(2)/35)*GL67+(1-EXP(-LN(2)/35))/(LN(2)/35)*GH68*GI68*VLOOKUP('Données projet'!$B$17,Paramètres!$A$1:$I$89,3,0)*0.475*44/12</f>
        <v>22.282889185923246</v>
      </c>
      <c r="GM68" s="21">
        <f>EXP(-LN(2)/25)*GM67+(1-EXP(-LN(2)/25))/(LN(2)/25)*Calculateur!GH68*Calculateur!GJ68*VLOOKUP('Données projet'!$B$17,Paramètres!$A$1:$I$89,3,0)*0.475*44/12</f>
        <v>7.6476250222278752</v>
      </c>
      <c r="GN68" s="21">
        <f>EXP(-LN(2)/2)*GN67+(1-EXP(-LN(2)/2))/(LN(2)/2)*GH68*GK68*VLOOKUP('Données projet'!$B$17,Paramètres!$A$1:$I$89,3,0)*0.475*44/12</f>
        <v>2.9715611482022988</v>
      </c>
      <c r="GO68" s="21">
        <f t="shared" ref="GO68:GO131" si="81">SUM(GL68:GN68)</f>
        <v>32.902075356353421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>
        <f>VLOOKUP(A68,'Données projet'!$A$269:$I$289,2,0)</f>
        <v>356</v>
      </c>
      <c r="GS68" s="12">
        <f>VLOOKUP(A68,'Données projet'!$A$269:$I$289,9,0)</f>
        <v>6</v>
      </c>
      <c r="GT68" s="12">
        <f t="array" ref="GT68">INDEX(GS:GS,MIN(IF(ISNUMBER(GS68:GS264),ROW(GS68:GS264),"")))</f>
        <v>6</v>
      </c>
      <c r="GU68" s="12">
        <f>IF('Données projet'!$A$270&gt;35,GU67+GT68-HC67,IF(A68&lt;'Données projet'!$A$270,$GR$205^A68,IF(A68='Données projet'!$A$270,'Données projet'!$B$270,GU67+GT68-HC67)))</f>
        <v>355.99999999999972</v>
      </c>
      <c r="GV68" s="17">
        <f>GU68*VLOOKUP('Données projet'!$B$18,Paramètres!$A$1:$I$89,3,0)*VLOOKUP('Données projet'!$B$18,Paramètres!$A$1:$I$89,5,0)</f>
        <v>238.8047999999998</v>
      </c>
      <c r="GW68" s="13">
        <f t="shared" si="51"/>
        <v>58.182302709210205</v>
      </c>
      <c r="GX68" s="20">
        <f t="shared" ref="GX68:GX131" si="82">(GV68+GW68)*0.475*44/12</f>
        <v>517.25253721854074</v>
      </c>
      <c r="GY68" s="59">
        <f t="shared" ref="GY68:GY131" si="83">GX68+(GP68+GQ68)*44/12</f>
        <v>810.585870551874</v>
      </c>
      <c r="GZ68" s="59">
        <f ca="1">AVERAGE(OFFSET($GY$3,0,0,'Données projet'!$E$18+1,1))-AVERAGE(OFFSET($H$3,0,0,'Données projet'!$E$18+1,1))</f>
        <v>268.04554291387961</v>
      </c>
      <c r="HA68" s="59">
        <f t="shared" si="52"/>
        <v>263.70463099437148</v>
      </c>
      <c r="HB68" s="15">
        <f>IF(ISNA(VLOOKUP(A68,'Données projet'!$A$269:$I$289,3,0)),0,VLOOKUP(A68,'Données projet'!$A$269:$I$289,3,0))</f>
        <v>12</v>
      </c>
      <c r="HC68" s="15">
        <f>IF(ISNA(VLOOKUP(A68,'Données projet'!$A$269:$I$289,4,0)),0,VLOOKUP(A68,'Données projet'!$A$269:$I$289,4,0))</f>
        <v>16</v>
      </c>
      <c r="HD68" s="16">
        <f>IF(ISNA(VLOOKUP(A68,'Données projet'!$A$269:$I$289,5,0)),0%,VLOOKUP(A68,'Données projet'!$A$269:$I$289,5,0)*VLOOKUP('Données projet'!$B$18,Paramètres!$A$1:$I$89,7,0))</f>
        <v>0.371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0.2</v>
      </c>
      <c r="HG68" s="21">
        <f>EXP(-LN(2)/35)*HG67+(1-EXP(-LN(2)/35))/(LN(2)/35)*HC68*HD68*VLOOKUP('Données projet'!$B$18,Paramètres!$A$1:$I$89,3,0)*0.475*44/12</f>
        <v>18.787534019503905</v>
      </c>
      <c r="HH68" s="21">
        <f>EXP(-LN(2)/25)*HH67+(1-EXP(-LN(2)/25))/(LN(2)/25)*Calculateur!HC68*Calculateur!HE68*VLOOKUP('Données projet'!$B$18,Paramètres!$A$1:$I$89,3,0)*0.475*44/12</f>
        <v>6.4479975677607602</v>
      </c>
      <c r="HI68" s="21">
        <f>EXP(-LN(2)/2)*HI67+(1-EXP(-LN(2)/2))/(LN(2)/2)*HC68*HF68*VLOOKUP('Données projet'!$B$18,Paramètres!$A$1:$I$89,3,0)*0.475*44/12</f>
        <v>2.5054339092686053</v>
      </c>
      <c r="HJ68" s="22">
        <f t="shared" ref="HJ68:HJ131" si="84">SUM(HG68:HI68)</f>
        <v>27.740965496533271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9.1999999999999993</v>
      </c>
      <c r="N69" s="13">
        <f>IF('Données projet'!$A$36&gt;35,N68+M69-V68,IF(A69&lt;'Données projet'!$A$36,$K$205^A69,IF(A69='Données projet'!$A$36,'Données projet'!$B$36,N68+M69-V68)))</f>
        <v>219.19999999999993</v>
      </c>
      <c r="O69" s="13">
        <f>N69*VLOOKUP('Données projet'!$B$9,Paramètres!$A$1:$I$89,3,0)*VLOOKUP('Données projet'!$B$9,Paramètres!$A$1:$I$89,5,0)</f>
        <v>96.886399999999981</v>
      </c>
      <c r="P69" s="13">
        <f t="shared" ref="P69:P132" si="87">EXP(-1.0587+0.8836*LN(O69)+0.284)</f>
        <v>26.218865270752353</v>
      </c>
      <c r="Q69" s="20">
        <f t="shared" si="54"/>
        <v>214.408337013227</v>
      </c>
      <c r="R69" s="59">
        <f t="shared" si="55"/>
        <v>507.74167034656034</v>
      </c>
      <c r="S69" s="59">
        <f ca="1">AVERAGE(OFFSET($R$3,0,0,'Données projet'!$E$9+1,1))-AVERAGE(OFFSET($H$3,0,0,'Données projet'!$E$9+1,1))</f>
        <v>46.095319339746538</v>
      </c>
      <c r="T69" s="59">
        <f t="shared" ref="T69:T132" si="88">$T$3</f>
        <v>48.158174304064403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4.5676581749671676</v>
      </c>
      <c r="AA69" s="21">
        <f>EXP(-LN(2)/25)*AA68+(1-EXP(-LN(2)/25))/(LN(2)/25)*Calculateur!V69*Calculateur!X69*VLOOKUP('Données projet'!$B$9,Paramètres!$A$1:$I$89,3,0)*0.475*44/12</f>
        <v>11.815114873707426</v>
      </c>
      <c r="AB69" s="21">
        <f>EXP(-LN(2)/2)*AB68+(1-EXP(-LN(2)/2))/(LN(2)/2)*V69*Y69*VLOOKUP('Données projet'!$B$9,Paramètres!$A$1:$I$89,3,0)*0.475*44/12</f>
        <v>1.3932248995635559</v>
      </c>
      <c r="AC69" s="22">
        <f t="shared" si="57"/>
        <v>17.77599794823815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-1.1368683772161603E-13</v>
      </c>
      <c r="AJ69" s="13">
        <f>AI69*VLOOKUP('Données projet'!$B$10,Paramètres!$A$1:$I$89,3,0)*VLOOKUP('Données projet'!$B$10,Paramètres!$A$1:$I$89,5,0)</f>
        <v>-6.7984728957526396E-14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408.84545509668794</v>
      </c>
      <c r="AO69" s="59">
        <f t="shared" ref="AO69:AO132" si="90">$AO$3</f>
        <v>409.9253979841132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167.0132187941411</v>
      </c>
      <c r="AV69" s="21">
        <f>EXP(-LN(2)/25)*AV68+(1-EXP(-LN(2)/25))/(LN(2)/25)*Calculateur!AQ69*Calculateur!AS69*VLOOKUP('Données projet'!$B$10,Paramètres!$A$1:$I$89,3,0)*0.475*44/12</f>
        <v>64.563714769328797</v>
      </c>
      <c r="AW69" s="21">
        <f>EXP(-LN(2)/2)*AW68+(1-EXP(-LN(2)/2))/(LN(2)/2)*AQ69*AT69*VLOOKUP('Données projet'!$B$10,Paramètres!$A$1:$I$89,3,0)*0.475*44/12</f>
        <v>11.734611971113202</v>
      </c>
      <c r="AX69" s="21">
        <f t="shared" si="60"/>
        <v>243.31154553458308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-1.1368683772161603E-13</v>
      </c>
      <c r="BE69" s="13">
        <f>BD69*VLOOKUP('Données projet'!$B$11,Paramètres!$A$1:$I$89,3,0)*VLOOKUP('Données projet'!$B$11,Paramètres!$A$1:$I$89,5,0)</f>
        <v>-6.7984728957526396E-14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279.69031306919914</v>
      </c>
      <c r="BJ69" s="59">
        <f t="shared" ref="BJ69:BJ132" si="92">$BJ$3</f>
        <v>297.01680128882509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151.52393732762459</v>
      </c>
      <c r="BQ69" s="21">
        <f>EXP(-LN(2)/25)*BQ68+(1-EXP(-LN(2)/25))/(LN(2)/25)*Calculateur!BL69*Calculateur!BN69*VLOOKUP('Données projet'!$B$11,Paramètres!$A$1:$I$89,3,0)*0.475*44/12</f>
        <v>73.234657209147102</v>
      </c>
      <c r="BR69" s="21">
        <f>EXP(-LN(2)/2)*BR68+(1-EXP(-LN(2)/2))/(LN(2)/2)*BL69*BO69*VLOOKUP('Données projet'!$B$11,Paramètres!$A$1:$I$89,3,0)*0.475*44/12</f>
        <v>27.378426265544867</v>
      </c>
      <c r="BS69" s="22">
        <f t="shared" si="63"/>
        <v>252.13702080231656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81.299024916151723</v>
      </c>
      <c r="CE69" s="59">
        <f t="shared" ref="CE69:CE132" si="94">$CE$3</f>
        <v>88.106373324240167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44.817207253108336</v>
      </c>
      <c r="CL69" s="21">
        <f>EXP(-LN(2)/25)*CL68+(1-EXP(-LN(2)/25))/(LN(2)/25)*Calculateur!CG69*Calculateur!CI69*VLOOKUP('Données projet'!$B$12,Paramètres!$A$1:$I$89,3,0)*0.475*44/12</f>
        <v>19.591166020180363</v>
      </c>
      <c r="CM69" s="21">
        <f>EXP(-LN(2)/2)*CM68+(1-EXP(-LN(2)/2))/(LN(2)/2)*CG69*CJ69*VLOOKUP('Données projet'!$B$12,Paramètres!$A$1:$I$89,3,0)*0.475*44/12</f>
        <v>3.0006975272186751</v>
      </c>
      <c r="CN69" s="22">
        <f t="shared" si="66"/>
        <v>67.409070800507379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-3.4106051316484809E-13</v>
      </c>
      <c r="CU69" s="17">
        <f>CT69*VLOOKUP('Données projet'!$B$13,Paramètres!$A$1:$I$89,3,0)*VLOOKUP('Données projet'!$B$13,Paramètres!$A$1:$I$89,5,0)</f>
        <v>-1.9065282685915009E-13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475.42482703895411</v>
      </c>
      <c r="CZ69" s="59">
        <f t="shared" ref="CZ69:CZ132" si="96">$CZ$3</f>
        <v>593.51433014569966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306.14888706715891</v>
      </c>
      <c r="DG69" s="21">
        <f>EXP(-LN(2)/25)*DG68+(1-EXP(-LN(2)/25))/(LN(2)/25)*Calculateur!DB69*Calculateur!DD69*VLOOKUP('Données projet'!$B$13,Paramètres!$A$1:$I$89,3,0)*0.475*44/12</f>
        <v>62.975772863264233</v>
      </c>
      <c r="DH69" s="21">
        <f>EXP(-LN(2)/2)*DH68+(1-EXP(-LN(2)/2))/(LN(2)/2)*DB69*DE69*VLOOKUP('Données projet'!$B$13,Paramètres!$A$1:$I$89,3,0)*0.475*44/12</f>
        <v>34.79493497108551</v>
      </c>
      <c r="DI69" s="22">
        <f t="shared" si="69"/>
        <v>403.91959490150867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8.6666666666666661</v>
      </c>
      <c r="DO69" s="12">
        <f>IF('Données projet'!$A$166&gt;35,DO68+DN69-DW68,IF(A69&lt;'Données projet'!$A$166,$DL$205^A69,IF(A69='Données projet'!$A$166,'Données projet'!$B$166,DO68+DN69-DW68)))</f>
        <v>247.99999999999997</v>
      </c>
      <c r="DP69" s="17">
        <f>DO69*VLOOKUP('Données projet'!$B$14,Paramètres!$A$1:$I$89,3,0)*VLOOKUP('Données projet'!$B$14,Paramètres!$A$1:$I$89,5,0)</f>
        <v>224.39039999999997</v>
      </c>
      <c r="DQ69" s="13">
        <f t="shared" ref="DQ69:DQ132" si="97">EXP(-1.0587+0.8836*LN(DP69)+0.284)</f>
        <v>55.068017311015858</v>
      </c>
      <c r="DR69" s="20">
        <f t="shared" si="70"/>
        <v>486.72341015001916</v>
      </c>
      <c r="DS69" s="59">
        <f t="shared" si="71"/>
        <v>780.05674348335242</v>
      </c>
      <c r="DT69" s="59">
        <f ca="1">AVERAGE(OFFSET($DS$3,0,0,'Données projet'!$E$14+1,1))-AVERAGE(OFFSET($H$3,0,0,'Données projet'!$E$14+1,1))</f>
        <v>401.17301323870578</v>
      </c>
      <c r="DU69" s="59">
        <f t="shared" ref="DU69:DU132" si="98">$DU$3</f>
        <v>201.57993789149754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24.3017567039219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24.3017567039219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3.3</v>
      </c>
      <c r="EJ69" s="12">
        <f>IF('Données projet'!$A$192&gt;35,EJ68+EI69-ER68,IF(A69&lt;'Données projet'!$A$192,$EG$205^A69,IF(A69='Données projet'!$A$192,'Données projet'!$B$192,EJ68+EI69-ER68)))</f>
        <v>235.80000000000013</v>
      </c>
      <c r="EK69" s="17">
        <f>EJ69*VLOOKUP('Données projet'!$B$15,Paramètres!$A$1:$I$89,3,0)*VLOOKUP('Données projet'!$B$15,Paramètres!$A$1:$I$89,5,0)</f>
        <v>205.99488000000014</v>
      </c>
      <c r="EL69" s="13">
        <f t="shared" ref="EL69:EL132" si="99">EXP(-1.0587+0.8836*LN(EK69)+0.284)</f>
        <v>51.0593877603579</v>
      </c>
      <c r="EM69" s="20">
        <f t="shared" si="73"/>
        <v>447.70284968262354</v>
      </c>
      <c r="EN69" s="59">
        <f t="shared" si="74"/>
        <v>741.03618301595679</v>
      </c>
      <c r="EO69" s="59">
        <f ca="1">AVERAGE(OFFSET($EN$3,0,0,'Données projet'!$E$15+1,1))-AVERAGE(OFFSET($H$3,0,0,'Données projet'!$E$15+1,1))</f>
        <v>237.8483058552178</v>
      </c>
      <c r="EP69" s="59">
        <f t="shared" ref="EP69:EP132" si="100">$EP$3</f>
        <v>313.36201272119723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9.723858414335087</v>
      </c>
      <c r="EW69" s="21">
        <f>EXP(-LN(2)/25)*EW68+(1-EXP(-LN(2)/25))/(LN(2)/25)*Calculateur!ER69*Calculateur!ET69*VLOOKUP('Données projet'!$B$15,Paramètres!$A$1:$I$89,3,0)*0.475*44/12</f>
        <v>5.9266995284933124</v>
      </c>
      <c r="EX69" s="21">
        <f>EXP(-LN(2)/2)*EX68+(1-EXP(-LN(2)/2))/(LN(2)/2)*ER69*EU69*VLOOKUP('Données projet'!$B$15,Paramètres!$A$1:$I$89,3,0)*0.475*44/12</f>
        <v>0.56882543469939439</v>
      </c>
      <c r="EY69" s="22">
        <f t="shared" si="75"/>
        <v>16.219383377527794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5.2</v>
      </c>
      <c r="FE69" s="12">
        <f>IF('Données projet'!$A$218&gt;35,FE68+FD69-FM68,IF(A69&lt;'Données projet'!$A$218,$FB$205^A69,IF(A69='Données projet'!$A$218,'Données projet'!$B$218,FE68+FD69-FM68)))</f>
        <v>345.1999999999997</v>
      </c>
      <c r="FF69" s="17">
        <f>FE69*VLOOKUP('Données projet'!$B$16,Paramètres!$A$1:$I$89,3,0)*VLOOKUP('Données projet'!$B$16,Paramètres!$A$1:$I$89,5,0)</f>
        <v>269.2559999999998</v>
      </c>
      <c r="FG69" s="13">
        <f t="shared" ref="FG69:FG132" si="101">EXP(-1.0587+0.8836*LN(FF69)+0.284)</f>
        <v>64.69134836229442</v>
      </c>
      <c r="FH69" s="20">
        <f t="shared" si="76"/>
        <v>581.6249650643291</v>
      </c>
      <c r="FI69" s="59">
        <f t="shared" si="77"/>
        <v>874.95829839766247</v>
      </c>
      <c r="FJ69" s="59">
        <f ca="1">AVERAGE(OFFSET($FI$3,0,0,'Données projet'!$E$16+1,1))-AVERAGE(OFFSET($H$3,0,0,'Données projet'!$E$16+1,1))</f>
        <v>318.52984981739411</v>
      </c>
      <c r="FK69" s="59">
        <f t="shared" ref="FK69:FK132" si="102">$FK$3</f>
        <v>311.56398336941714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17.376530128911014</v>
      </c>
      <c r="FR69" s="21">
        <f>EXP(-LN(2)/25)*FR68+(1-EXP(-LN(2)/25))/(LN(2)/25)*Calculateur!FM69*Calculateur!FO69*VLOOKUP('Données projet'!$B$16,Paramètres!$A$1:$I$89,3,0)*0.475*44/12</f>
        <v>5.9166761652687612</v>
      </c>
      <c r="FS69" s="21">
        <f>EXP(-LN(2)/2)*FS68+(1-EXP(-LN(2)/2))/(LN(2)/2)*FM69*FP69*VLOOKUP('Données projet'!$B$16,Paramètres!$A$1:$I$89,3,0)*0.475*44/12</f>
        <v>2.0600108221611069</v>
      </c>
      <c r="FT69" s="22">
        <f t="shared" si="78"/>
        <v>25.353217116340883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5.2</v>
      </c>
      <c r="FZ69" s="12">
        <f>IF('Données projet'!$A$244&gt;35,FZ68+FY69-GH68,IF(A69&lt;'Données projet'!$A$244,$FW$205^A69,IF(A69='Données projet'!$A$244,'Données projet'!$B$244,FZ68+FY69-GH68)))</f>
        <v>345.1999999999997</v>
      </c>
      <c r="GA69" s="17">
        <f>FZ69*VLOOKUP('Données projet'!$B$17,Paramètres!$A$1:$I$89,3,0)*VLOOKUP('Données projet'!$B$17,Paramètres!$A$1:$I$89,5,0)</f>
        <v>274.64111999999977</v>
      </c>
      <c r="GB69" s="13">
        <f t="shared" ref="GB69:GB132" si="103">EXP(-1.0587+0.8836*LN(GA69)+0.284)</f>
        <v>65.833252956609641</v>
      </c>
      <c r="GC69" s="20">
        <f t="shared" si="79"/>
        <v>592.99286623276123</v>
      </c>
      <c r="GD69" s="59">
        <f t="shared" si="80"/>
        <v>886.3261995660946</v>
      </c>
      <c r="GE69" s="59">
        <f ca="1">AVERAGE(OFFSET($GD$3,0,0,'Données projet'!$E$17+1,1))-AVERAGE(OFFSET($H$3,0,0,'Données projet'!$E$17+1,1))</f>
        <v>325.72928944930294</v>
      </c>
      <c r="GF69" s="59">
        <f t="shared" ref="GF69:GF132" si="104">$GF$3</f>
        <v>318.38876834819752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21.845935320207673</v>
      </c>
      <c r="GM69" s="21">
        <f>EXP(-LN(2)/25)*GM68+(1-EXP(-LN(2)/25))/(LN(2)/25)*Calculateur!GH69*Calculateur!GJ69*VLOOKUP('Données projet'!$B$17,Paramètres!$A$1:$I$89,3,0)*0.475*44/12</f>
        <v>7.4385003138239325</v>
      </c>
      <c r="GN69" s="21">
        <f>EXP(-LN(2)/2)*GN68+(1-EXP(-LN(2)/2))/(LN(2)/2)*GH69*GK69*VLOOKUP('Données projet'!$B$17,Paramètres!$A$1:$I$89,3,0)*0.475*44/12</f>
        <v>2.1012110386043288</v>
      </c>
      <c r="GO69" s="21">
        <f t="shared" si="81"/>
        <v>31.385646672635936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5.2</v>
      </c>
      <c r="GU69" s="12">
        <f>IF('Données projet'!$A$270&gt;35,GU68+GT69-HC68,IF(A69&lt;'Données projet'!$A$270,$GR$205^A69,IF(A69='Données projet'!$A$270,'Données projet'!$B$270,GU68+GT69-HC68)))</f>
        <v>345.1999999999997</v>
      </c>
      <c r="GV69" s="17">
        <f>GU69*VLOOKUP('Données projet'!$B$18,Paramètres!$A$1:$I$89,3,0)*VLOOKUP('Données projet'!$B$18,Paramètres!$A$1:$I$89,5,0)</f>
        <v>231.5601599999998</v>
      </c>
      <c r="GW69" s="13">
        <f t="shared" ref="GW69:GW132" si="105">EXP(-1.0587+0.8836*LN(GV69)+0.284)</f>
        <v>56.619891755568716</v>
      </c>
      <c r="GX69" s="20">
        <f t="shared" si="82"/>
        <v>501.91359014094843</v>
      </c>
      <c r="GY69" s="59">
        <f t="shared" si="83"/>
        <v>795.24692347428174</v>
      </c>
      <c r="GZ69" s="59">
        <f ca="1">AVERAGE(OFFSET($GY$3,0,0,'Données projet'!$E$18+1,1))-AVERAGE(OFFSET($H$3,0,0,'Données projet'!$E$18+1,1))</f>
        <v>268.04554291387961</v>
      </c>
      <c r="HA69" s="59">
        <f t="shared" ref="HA69:HA132" si="106">$HA$3</f>
        <v>263.70463099437148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18.419121936645677</v>
      </c>
      <c r="HH69" s="21">
        <f>EXP(-LN(2)/25)*HH68+(1-EXP(-LN(2)/25))/(LN(2)/25)*Calculateur!HC69*Calculateur!HE69*VLOOKUP('Données projet'!$B$18,Paramètres!$A$1:$I$89,3,0)*0.475*44/12</f>
        <v>6.2716767351848874</v>
      </c>
      <c r="HI69" s="21">
        <f>EXP(-LN(2)/2)*HI68+(1-EXP(-LN(2)/2))/(LN(2)/2)*HC69*HF69*VLOOKUP('Données projet'!$B$18,Paramètres!$A$1:$I$89,3,0)*0.475*44/12</f>
        <v>1.7716093070585521</v>
      </c>
      <c r="HJ69" s="22">
        <f t="shared" si="84"/>
        <v>26.462407978889114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9.1999999999999993</v>
      </c>
      <c r="N70" s="13">
        <f>IF('Données projet'!$A$36&gt;35,N69+M70-V69,IF(A70&lt;'Données projet'!$A$36,$K$205^A70,IF(A70='Données projet'!$A$36,'Données projet'!$B$36,N69+M70-V69)))</f>
        <v>228.39999999999992</v>
      </c>
      <c r="O70" s="13">
        <f>N70*VLOOKUP('Données projet'!$B$9,Paramètres!$A$1:$I$89,3,0)*VLOOKUP('Données projet'!$B$9,Paramètres!$A$1:$I$89,5,0)</f>
        <v>100.95279999999997</v>
      </c>
      <c r="P70" s="13">
        <f t="shared" si="87"/>
        <v>27.188863580147306</v>
      </c>
      <c r="Q70" s="20">
        <f t="shared" si="54"/>
        <v>223.18006406875648</v>
      </c>
      <c r="R70" s="59">
        <f t="shared" si="55"/>
        <v>516.51339740208982</v>
      </c>
      <c r="S70" s="59">
        <f ca="1">AVERAGE(OFFSET($R$3,0,0,'Données projet'!$E$9+1,1))-AVERAGE(OFFSET($H$3,0,0,'Données projet'!$E$9+1,1))</f>
        <v>46.095319339746538</v>
      </c>
      <c r="T70" s="59">
        <f t="shared" si="88"/>
        <v>48.158174304064403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4.4780891841524539</v>
      </c>
      <c r="AA70" s="21">
        <f>EXP(-LN(2)/25)*AA69+(1-EXP(-LN(2)/25))/(LN(2)/25)*Calculateur!V70*Calculateur!X70*VLOOKUP('Données projet'!$B$9,Paramètres!$A$1:$I$89,3,0)*0.475*44/12</f>
        <v>11.492029936156008</v>
      </c>
      <c r="AB70" s="21">
        <f>EXP(-LN(2)/2)*AB69+(1-EXP(-LN(2)/2))/(LN(2)/2)*V70*Y70*VLOOKUP('Données projet'!$B$9,Paramètres!$A$1:$I$89,3,0)*0.475*44/12</f>
        <v>0.98515877419933706</v>
      </c>
      <c r="AC70" s="22">
        <f t="shared" si="57"/>
        <v>16.955277894507798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-1.1368683772161603E-13</v>
      </c>
      <c r="AJ70" s="13">
        <f>AI70*VLOOKUP('Données projet'!$B$10,Paramètres!$A$1:$I$89,3,0)*VLOOKUP('Données projet'!$B$10,Paramètres!$A$1:$I$89,5,0)</f>
        <v>-6.7984728957526396E-14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408.84545509668794</v>
      </c>
      <c r="AO70" s="59">
        <f t="shared" si="90"/>
        <v>409.9253979841132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163.73819144159282</v>
      </c>
      <c r="AV70" s="21">
        <f>EXP(-LN(2)/25)*AV69+(1-EXP(-LN(2)/25))/(LN(2)/25)*Calculateur!AQ70*Calculateur!AS70*VLOOKUP('Données projet'!$B$10,Paramètres!$A$1:$I$89,3,0)*0.475*44/12</f>
        <v>62.798216593703302</v>
      </c>
      <c r="AW70" s="21">
        <f>EXP(-LN(2)/2)*AW69+(1-EXP(-LN(2)/2))/(LN(2)/2)*AQ70*AT70*VLOOKUP('Données projet'!$B$10,Paramètres!$A$1:$I$89,3,0)*0.475*44/12</f>
        <v>8.2976236993669836</v>
      </c>
      <c r="AX70" s="21">
        <f t="shared" si="60"/>
        <v>234.83403173466311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-1.1368683772161603E-13</v>
      </c>
      <c r="BE70" s="13">
        <f>BD70*VLOOKUP('Données projet'!$B$11,Paramètres!$A$1:$I$89,3,0)*VLOOKUP('Données projet'!$B$11,Paramètres!$A$1:$I$89,5,0)</f>
        <v>-6.7984728957526396E-14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279.69031306919914</v>
      </c>
      <c r="BJ70" s="59">
        <f t="shared" si="92"/>
        <v>297.01680128882509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148.55264533710587</v>
      </c>
      <c r="BQ70" s="21">
        <f>EXP(-LN(2)/25)*BQ69+(1-EXP(-LN(2)/25))/(LN(2)/25)*Calculateur!BL70*Calculateur!BN70*VLOOKUP('Données projet'!$B$11,Paramètres!$A$1:$I$89,3,0)*0.475*44/12</f>
        <v>71.232051656519729</v>
      </c>
      <c r="BR70" s="21">
        <f>EXP(-LN(2)/2)*BR69+(1-EXP(-LN(2)/2))/(LN(2)/2)*BL70*BO70*VLOOKUP('Données projet'!$B$11,Paramètres!$A$1:$I$89,3,0)*0.475*44/12</f>
        <v>19.359470870582662</v>
      </c>
      <c r="BS70" s="22">
        <f t="shared" si="63"/>
        <v>239.14416786420827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81.299024916151723</v>
      </c>
      <c r="CE70" s="59">
        <f t="shared" si="94"/>
        <v>88.106373324240167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43.938369154672117</v>
      </c>
      <c r="CL70" s="21">
        <f>EXP(-LN(2)/25)*CL69+(1-EXP(-LN(2)/25))/(LN(2)/25)*Calculateur!CG70*Calculateur!CI70*VLOOKUP('Données projet'!$B$12,Paramètres!$A$1:$I$89,3,0)*0.475*44/12</f>
        <v>19.055444555103886</v>
      </c>
      <c r="CM70" s="21">
        <f>EXP(-LN(2)/2)*CM69+(1-EXP(-LN(2)/2))/(LN(2)/2)*CG70*CJ70*VLOOKUP('Données projet'!$B$12,Paramètres!$A$1:$I$89,3,0)*0.475*44/12</f>
        <v>2.1218135697860299</v>
      </c>
      <c r="CN70" s="22">
        <f t="shared" si="66"/>
        <v>65.115627279562034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-3.4106051316484809E-13</v>
      </c>
      <c r="CU70" s="17">
        <f>CT70*VLOOKUP('Données projet'!$B$13,Paramètres!$A$1:$I$89,3,0)*VLOOKUP('Données projet'!$B$13,Paramètres!$A$1:$I$89,5,0)</f>
        <v>-1.9065282685915009E-13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475.42482703895411</v>
      </c>
      <c r="CZ70" s="59">
        <f t="shared" si="96"/>
        <v>593.51433014569966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300.14549412415477</v>
      </c>
      <c r="DG70" s="21">
        <f>EXP(-LN(2)/25)*DG69+(1-EXP(-LN(2)/25))/(LN(2)/25)*Calculateur!DB70*Calculateur!DD70*VLOOKUP('Données projet'!$B$13,Paramètres!$A$1:$I$89,3,0)*0.475*44/12</f>
        <v>61.253697042566309</v>
      </c>
      <c r="DH70" s="21">
        <f>EXP(-LN(2)/2)*DH69+(1-EXP(-LN(2)/2))/(LN(2)/2)*DB70*DE70*VLOOKUP('Données projet'!$B$13,Paramètres!$A$1:$I$89,3,0)*0.475*44/12</f>
        <v>24.603734468999512</v>
      </c>
      <c r="DI70" s="22">
        <f t="shared" si="69"/>
        <v>386.0029256357206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8.6666666666666661</v>
      </c>
      <c r="DO70" s="12">
        <f>IF('Données projet'!$A$166&gt;35,DO69+DN70-DW69,IF(A70&lt;'Données projet'!$A$166,$DL$205^A70,IF(A70='Données projet'!$A$166,'Données projet'!$B$166,DO69+DN70-DW69)))</f>
        <v>256.66666666666663</v>
      </c>
      <c r="DP70" s="17">
        <f>DO70*VLOOKUP('Données projet'!$B$14,Paramètres!$A$1:$I$89,3,0)*VLOOKUP('Données projet'!$B$14,Paramètres!$A$1:$I$89,5,0)</f>
        <v>232.23199999999997</v>
      </c>
      <c r="DQ70" s="13">
        <f t="shared" si="97"/>
        <v>56.765020519538929</v>
      </c>
      <c r="DR70" s="20">
        <f t="shared" si="70"/>
        <v>503.33647740486361</v>
      </c>
      <c r="DS70" s="59">
        <f t="shared" si="71"/>
        <v>796.66981073819693</v>
      </c>
      <c r="DT70" s="59">
        <f ca="1">AVERAGE(OFFSET($DS$3,0,0,'Données projet'!$E$14+1,1))-AVERAGE(OFFSET($H$3,0,0,'Données projet'!$E$14+1,1))</f>
        <v>401.17301323870578</v>
      </c>
      <c r="DU70" s="59">
        <f t="shared" si="98"/>
        <v>201.57993789149754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23.637223888879312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23.637223888879312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3.3</v>
      </c>
      <c r="EJ70" s="12">
        <f>IF('Données projet'!$A$192&gt;35,EJ69+EI70-ER69,IF(A70&lt;'Données projet'!$A$192,$EG$205^A70,IF(A70='Données projet'!$A$192,'Données projet'!$B$192,EJ69+EI70-ER69)))</f>
        <v>239.10000000000014</v>
      </c>
      <c r="EK70" s="17">
        <f>EJ70*VLOOKUP('Données projet'!$B$15,Paramètres!$A$1:$I$89,3,0)*VLOOKUP('Données projet'!$B$15,Paramètres!$A$1:$I$89,5,0)</f>
        <v>208.87776000000017</v>
      </c>
      <c r="EL70" s="13">
        <f t="shared" si="99"/>
        <v>51.690271597021052</v>
      </c>
      <c r="EM70" s="20">
        <f t="shared" si="73"/>
        <v>453.82265503147863</v>
      </c>
      <c r="EN70" s="59">
        <f t="shared" si="74"/>
        <v>747.15598836481195</v>
      </c>
      <c r="EO70" s="59">
        <f ca="1">AVERAGE(OFFSET($EN$3,0,0,'Données projet'!$E$15+1,1))-AVERAGE(OFFSET($H$3,0,0,'Données projet'!$E$15+1,1))</f>
        <v>237.8483058552178</v>
      </c>
      <c r="EP70" s="59">
        <f t="shared" si="100"/>
        <v>313.36201272119723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9.5331794817979745</v>
      </c>
      <c r="EW70" s="21">
        <f>EXP(-LN(2)/25)*EW69+(1-EXP(-LN(2)/25))/(LN(2)/25)*Calculateur!ER70*Calculateur!ET70*VLOOKUP('Données projet'!$B$15,Paramètres!$A$1:$I$89,3,0)*0.475*44/12</f>
        <v>5.7646336182150799</v>
      </c>
      <c r="EX70" s="21">
        <f>EXP(-LN(2)/2)*EX69+(1-EXP(-LN(2)/2))/(LN(2)/2)*ER70*EU70*VLOOKUP('Données projet'!$B$15,Paramètres!$A$1:$I$89,3,0)*0.475*44/12</f>
        <v>0.40222032218732745</v>
      </c>
      <c r="EY70" s="22">
        <f t="shared" si="75"/>
        <v>15.700033422200383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5.2</v>
      </c>
      <c r="FE70" s="12">
        <f>IF('Données projet'!$A$218&gt;35,FE69+FD70-FM69,IF(A70&lt;'Données projet'!$A$218,$FB$205^A70,IF(A70='Données projet'!$A$218,'Données projet'!$B$218,FE69+FD70-FM69)))</f>
        <v>350.39999999999969</v>
      </c>
      <c r="FF70" s="17">
        <f>FE70*VLOOKUP('Données projet'!$B$16,Paramètres!$A$1:$I$89,3,0)*VLOOKUP('Données projet'!$B$16,Paramètres!$A$1:$I$89,5,0)</f>
        <v>273.31199999999978</v>
      </c>
      <c r="FG70" s="13">
        <f t="shared" si="101"/>
        <v>65.551659745801445</v>
      </c>
      <c r="FH70" s="20">
        <f t="shared" si="76"/>
        <v>590.1875407239371</v>
      </c>
      <c r="FI70" s="59">
        <f t="shared" si="77"/>
        <v>883.52087405727048</v>
      </c>
      <c r="FJ70" s="59">
        <f ca="1">AVERAGE(OFFSET($FI$3,0,0,'Données projet'!$E$16+1,1))-AVERAGE(OFFSET($H$3,0,0,'Données projet'!$E$16+1,1))</f>
        <v>318.52984981739411</v>
      </c>
      <c r="FK70" s="59">
        <f t="shared" si="102"/>
        <v>311.56398336941714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17.035786971719919</v>
      </c>
      <c r="FR70" s="21">
        <f>EXP(-LN(2)/25)*FR69+(1-EXP(-LN(2)/25))/(LN(2)/25)*Calculateur!FM70*Calculateur!FO70*VLOOKUP('Données projet'!$B$16,Paramètres!$A$1:$I$89,3,0)*0.475*44/12</f>
        <v>5.75488434438501</v>
      </c>
      <c r="FS70" s="21">
        <f>EXP(-LN(2)/2)*FS69+(1-EXP(-LN(2)/2))/(LN(2)/2)*FM70*FP70*VLOOKUP('Données projet'!$B$16,Paramètres!$A$1:$I$89,3,0)*0.475*44/12</f>
        <v>1.4566476216677937</v>
      </c>
      <c r="FT70" s="22">
        <f t="shared" si="78"/>
        <v>24.247318937772722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5.2</v>
      </c>
      <c r="FZ70" s="12">
        <f>IF('Données projet'!$A$244&gt;35,FZ69+FY70-GH69,IF(A70&lt;'Données projet'!$A$244,$FW$205^A70,IF(A70='Données projet'!$A$244,'Données projet'!$B$244,FZ69+FY70-GH69)))</f>
        <v>350.39999999999969</v>
      </c>
      <c r="GA70" s="17">
        <f>FZ70*VLOOKUP('Données projet'!$B$17,Paramètres!$A$1:$I$89,3,0)*VLOOKUP('Données projet'!$B$17,Paramètres!$A$1:$I$89,5,0)</f>
        <v>278.77823999999976</v>
      </c>
      <c r="GB70" s="13">
        <f t="shared" si="103"/>
        <v>66.70875019643654</v>
      </c>
      <c r="GC70" s="20">
        <f t="shared" si="79"/>
        <v>601.7231745921265</v>
      </c>
      <c r="GD70" s="59">
        <f t="shared" si="80"/>
        <v>895.05650792545975</v>
      </c>
      <c r="GE70" s="59">
        <f ca="1">AVERAGE(OFFSET($GD$3,0,0,'Données projet'!$E$17+1,1))-AVERAGE(OFFSET($H$3,0,0,'Données projet'!$E$17+1,1))</f>
        <v>325.72928944930294</v>
      </c>
      <c r="GF70" s="59">
        <f t="shared" si="104"/>
        <v>318.38876834819752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21.417549853283241</v>
      </c>
      <c r="GM70" s="21">
        <f>EXP(-LN(2)/25)*GM69+(1-EXP(-LN(2)/25))/(LN(2)/25)*Calculateur!GH70*Calculateur!GJ70*VLOOKUP('Données projet'!$B$17,Paramètres!$A$1:$I$89,3,0)*0.475*44/12</f>
        <v>7.2350941315686867</v>
      </c>
      <c r="GN70" s="21">
        <f>EXP(-LN(2)/2)*GN69+(1-EXP(-LN(2)/2))/(LN(2)/2)*GH70*GK70*VLOOKUP('Données projet'!$B$17,Paramètres!$A$1:$I$89,3,0)*0.475*44/12</f>
        <v>1.4857805741011494</v>
      </c>
      <c r="GO70" s="21">
        <f t="shared" si="81"/>
        <v>30.138424558953076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5.2</v>
      </c>
      <c r="GU70" s="12">
        <f>IF('Données projet'!$A$270&gt;35,GU69+GT70-HC69,IF(A70&lt;'Données projet'!$A$270,$GR$205^A70,IF(A70='Données projet'!$A$270,'Données projet'!$B$270,GU69+GT70-HC69)))</f>
        <v>350.39999999999969</v>
      </c>
      <c r="GV70" s="17">
        <f>GU70*VLOOKUP('Données projet'!$B$18,Paramètres!$A$1:$I$89,3,0)*VLOOKUP('Données projet'!$B$18,Paramètres!$A$1:$I$89,5,0)</f>
        <v>235.04831999999979</v>
      </c>
      <c r="GW70" s="13">
        <f t="shared" si="105"/>
        <v>57.37286319059664</v>
      </c>
      <c r="GX70" s="20">
        <f t="shared" si="82"/>
        <v>509.30022739028874</v>
      </c>
      <c r="GY70" s="59">
        <f t="shared" si="83"/>
        <v>802.63356072362205</v>
      </c>
      <c r="GZ70" s="59">
        <f ca="1">AVERAGE(OFFSET($GY$3,0,0,'Données projet'!$E$18+1,1))-AVERAGE(OFFSET($H$3,0,0,'Données projet'!$E$18+1,1))</f>
        <v>268.04554291387961</v>
      </c>
      <c r="HA70" s="59">
        <f t="shared" si="106"/>
        <v>263.70463099437148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18.057934190023115</v>
      </c>
      <c r="HH70" s="21">
        <f>EXP(-LN(2)/25)*HH69+(1-EXP(-LN(2)/25))/(LN(2)/25)*Calculateur!HC70*Calculateur!HE70*VLOOKUP('Données projet'!$B$18,Paramètres!$A$1:$I$89,3,0)*0.475*44/12</f>
        <v>6.100177405048111</v>
      </c>
      <c r="HI70" s="21">
        <f>EXP(-LN(2)/2)*HI69+(1-EXP(-LN(2)/2))/(LN(2)/2)*HC70*HF70*VLOOKUP('Données projet'!$B$18,Paramètres!$A$1:$I$89,3,0)*0.475*44/12</f>
        <v>1.2527169546343029</v>
      </c>
      <c r="HJ70" s="22">
        <f t="shared" si="84"/>
        <v>25.410828549705528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9.1999999999999993</v>
      </c>
      <c r="N71" s="13">
        <f>IF('Données projet'!$A$36&gt;35,N70+M71-V70,IF(A71&lt;'Données projet'!$A$36,$K$205^A71,IF(A71='Données projet'!$A$36,'Données projet'!$B$36,N70+M71-V70)))</f>
        <v>237.59999999999991</v>
      </c>
      <c r="O71" s="13">
        <f>N71*VLOOKUP('Données projet'!$B$9,Paramètres!$A$1:$I$89,3,0)*VLOOKUP('Données projet'!$B$9,Paramètres!$A$1:$I$89,5,0)</f>
        <v>105.01919999999997</v>
      </c>
      <c r="P71" s="13">
        <f t="shared" si="87"/>
        <v>28.154323288446648</v>
      </c>
      <c r="Q71" s="20">
        <f t="shared" si="54"/>
        <v>231.94388639404454</v>
      </c>
      <c r="R71" s="59">
        <f t="shared" si="55"/>
        <v>525.27721972737788</v>
      </c>
      <c r="S71" s="59">
        <f ca="1">AVERAGE(OFFSET($R$3,0,0,'Données projet'!$E$9+1,1))-AVERAGE(OFFSET($H$3,0,0,'Données projet'!$E$9+1,1))</f>
        <v>46.095319339746538</v>
      </c>
      <c r="T71" s="59">
        <f t="shared" si="88"/>
        <v>48.158174304064403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4.3902765866159266</v>
      </c>
      <c r="AA71" s="21">
        <f>EXP(-LN(2)/25)*AA70+(1-EXP(-LN(2)/25))/(LN(2)/25)*Calculateur!V71*Calculateur!X71*VLOOKUP('Données projet'!$B$9,Paramètres!$A$1:$I$89,3,0)*0.475*44/12</f>
        <v>11.177779773212233</v>
      </c>
      <c r="AB71" s="21">
        <f>EXP(-LN(2)/2)*AB70+(1-EXP(-LN(2)/2))/(LN(2)/2)*V71*Y71*VLOOKUP('Données projet'!$B$9,Paramètres!$A$1:$I$89,3,0)*0.475*44/12</f>
        <v>0.69661244978177805</v>
      </c>
      <c r="AC71" s="22">
        <f t="shared" si="57"/>
        <v>16.264668809609937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-1.1368683772161603E-13</v>
      </c>
      <c r="AJ71" s="13">
        <f>AI71*VLOOKUP('Données projet'!$B$10,Paramètres!$A$1:$I$89,3,0)*VLOOKUP('Données projet'!$B$10,Paramètres!$A$1:$I$89,5,0)</f>
        <v>-6.7984728957526396E-14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408.84545509668794</v>
      </c>
      <c r="AO71" s="59">
        <f t="shared" si="90"/>
        <v>409.9253979841132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160.52738537785856</v>
      </c>
      <c r="AV71" s="21">
        <f>EXP(-LN(2)/25)*AV70+(1-EXP(-LN(2)/25))/(LN(2)/25)*Calculateur!AQ71*Calculateur!AS71*VLOOKUP('Données projet'!$B$10,Paramètres!$A$1:$I$89,3,0)*0.475*44/12</f>
        <v>61.080996058533799</v>
      </c>
      <c r="AW71" s="21">
        <f>EXP(-LN(2)/2)*AW70+(1-EXP(-LN(2)/2))/(LN(2)/2)*AQ71*AT71*VLOOKUP('Données projet'!$B$10,Paramètres!$A$1:$I$89,3,0)*0.475*44/12</f>
        <v>5.8673059855566008</v>
      </c>
      <c r="AX71" s="21">
        <f t="shared" si="60"/>
        <v>227.47568742194898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-1.1368683772161603E-13</v>
      </c>
      <c r="BE71" s="13">
        <f>BD71*VLOOKUP('Données projet'!$B$11,Paramètres!$A$1:$I$89,3,0)*VLOOKUP('Données projet'!$B$11,Paramètres!$A$1:$I$89,5,0)</f>
        <v>-6.7984728957526396E-14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279.69031306919914</v>
      </c>
      <c r="BJ71" s="59">
        <f t="shared" si="92"/>
        <v>297.01680128882509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145.63961857021206</v>
      </c>
      <c r="BQ71" s="21">
        <f>EXP(-LN(2)/25)*BQ70+(1-EXP(-LN(2)/25))/(LN(2)/25)*Calculateur!BL71*Calculateur!BN71*VLOOKUP('Données projet'!$B$11,Paramètres!$A$1:$I$89,3,0)*0.475*44/12</f>
        <v>69.284207458041408</v>
      </c>
      <c r="BR71" s="21">
        <f>EXP(-LN(2)/2)*BR70+(1-EXP(-LN(2)/2))/(LN(2)/2)*BL71*BO71*VLOOKUP('Données projet'!$B$11,Paramètres!$A$1:$I$89,3,0)*0.475*44/12</f>
        <v>13.689213132772435</v>
      </c>
      <c r="BS71" s="22">
        <f t="shared" si="63"/>
        <v>228.61303916102591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81.299024916151723</v>
      </c>
      <c r="CE71" s="59">
        <f t="shared" si="94"/>
        <v>88.106373324240167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43.076764535307923</v>
      </c>
      <c r="CL71" s="21">
        <f>EXP(-LN(2)/25)*CL70+(1-EXP(-LN(2)/25))/(LN(2)/25)*Calculateur!CG71*Calculateur!CI71*VLOOKUP('Données projet'!$B$12,Paramètres!$A$1:$I$89,3,0)*0.475*44/12</f>
        <v>18.534372421662294</v>
      </c>
      <c r="CM71" s="21">
        <f>EXP(-LN(2)/2)*CM70+(1-EXP(-LN(2)/2))/(LN(2)/2)*CG71*CJ71*VLOOKUP('Données projet'!$B$12,Paramètres!$A$1:$I$89,3,0)*0.475*44/12</f>
        <v>1.5003487636093376</v>
      </c>
      <c r="CN71" s="22">
        <f t="shared" si="66"/>
        <v>63.111485720579552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-3.4106051316484809E-13</v>
      </c>
      <c r="CU71" s="17">
        <f>CT71*VLOOKUP('Données projet'!$B$13,Paramètres!$A$1:$I$89,3,0)*VLOOKUP('Données projet'!$B$13,Paramètres!$A$1:$I$89,5,0)</f>
        <v>-1.9065282685915009E-13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475.42482703895411</v>
      </c>
      <c r="CZ71" s="59">
        <f t="shared" si="96"/>
        <v>593.51433014569966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294.25982405505476</v>
      </c>
      <c r="DG71" s="21">
        <f>EXP(-LN(2)/25)*DG70+(1-EXP(-LN(2)/25))/(LN(2)/25)*Calculateur!DB71*Calculateur!DD71*VLOOKUP('Données projet'!$B$13,Paramètres!$A$1:$I$89,3,0)*0.475*44/12</f>
        <v>59.578711475745401</v>
      </c>
      <c r="DH71" s="21">
        <f>EXP(-LN(2)/2)*DH70+(1-EXP(-LN(2)/2))/(LN(2)/2)*DB71*DE71*VLOOKUP('Données projet'!$B$13,Paramètres!$A$1:$I$89,3,0)*0.475*44/12</f>
        <v>17.397467485542755</v>
      </c>
      <c r="DI71" s="22">
        <f t="shared" si="69"/>
        <v>371.23600301634292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8.6666666666666661</v>
      </c>
      <c r="DO71" s="12">
        <f>IF('Données projet'!$A$166&gt;35,DO70+DN71-DW70,IF(A71&lt;'Données projet'!$A$166,$DL$205^A71,IF(A71='Données projet'!$A$166,'Données projet'!$B$166,DO70+DN71-DW70)))</f>
        <v>265.33333333333331</v>
      </c>
      <c r="DP71" s="17">
        <f>DO71*VLOOKUP('Données projet'!$B$14,Paramètres!$A$1:$I$89,3,0)*VLOOKUP('Données projet'!$B$14,Paramètres!$A$1:$I$89,5,0)</f>
        <v>240.07359999999997</v>
      </c>
      <c r="DQ71" s="13">
        <f t="shared" si="97"/>
        <v>58.455365598151033</v>
      </c>
      <c r="DR71" s="20">
        <f t="shared" si="70"/>
        <v>519.93794841677959</v>
      </c>
      <c r="DS71" s="59">
        <f t="shared" si="71"/>
        <v>813.27128175011285</v>
      </c>
      <c r="DT71" s="59">
        <f ca="1">AVERAGE(OFFSET($DS$3,0,0,'Données projet'!$E$14+1,1))-AVERAGE(OFFSET($H$3,0,0,'Données projet'!$E$14+1,1))</f>
        <v>401.17301323870578</v>
      </c>
      <c r="DU71" s="59">
        <f t="shared" si="98"/>
        <v>201.57993789149754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22.990862758610326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22.990862758610326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3.3</v>
      </c>
      <c r="EJ71" s="12">
        <f>IF('Données projet'!$A$192&gt;35,EJ70+EI71-ER70,IF(A71&lt;'Données projet'!$A$192,$EG$205^A71,IF(A71='Données projet'!$A$192,'Données projet'!$B$192,EJ70+EI71-ER70)))</f>
        <v>242.40000000000015</v>
      </c>
      <c r="EK71" s="17">
        <f>EJ71*VLOOKUP('Données projet'!$B$15,Paramètres!$A$1:$I$89,3,0)*VLOOKUP('Données projet'!$B$15,Paramètres!$A$1:$I$89,5,0)</f>
        <v>211.76064000000014</v>
      </c>
      <c r="EL71" s="13">
        <f t="shared" si="99"/>
        <v>52.320142683061377</v>
      </c>
      <c r="EM71" s="20">
        <f t="shared" si="73"/>
        <v>459.94069650633213</v>
      </c>
      <c r="EN71" s="59">
        <f t="shared" si="74"/>
        <v>753.27402983966545</v>
      </c>
      <c r="EO71" s="59">
        <f ca="1">AVERAGE(OFFSET($EN$3,0,0,'Données projet'!$E$15+1,1))-AVERAGE(OFFSET($H$3,0,0,'Données projet'!$E$15+1,1))</f>
        <v>237.8483058552178</v>
      </c>
      <c r="EP71" s="59">
        <f t="shared" si="100"/>
        <v>313.36201272119723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9.34623964682525</v>
      </c>
      <c r="EW71" s="21">
        <f>EXP(-LN(2)/25)*EW70+(1-EXP(-LN(2)/25))/(LN(2)/25)*Calculateur!ER71*Calculateur!ET71*VLOOKUP('Données projet'!$B$15,Paramètres!$A$1:$I$89,3,0)*0.475*44/12</f>
        <v>5.6069994087760815</v>
      </c>
      <c r="EX71" s="21">
        <f>EXP(-LN(2)/2)*EX70+(1-EXP(-LN(2)/2))/(LN(2)/2)*ER71*EU71*VLOOKUP('Données projet'!$B$15,Paramètres!$A$1:$I$89,3,0)*0.475*44/12</f>
        <v>0.2844127173496972</v>
      </c>
      <c r="EY71" s="22">
        <f t="shared" si="75"/>
        <v>15.237651772951029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5.2</v>
      </c>
      <c r="FE71" s="12">
        <f>IF('Données projet'!$A$218&gt;35,FE70+FD71-FM70,IF(A71&lt;'Données projet'!$A$218,$FB$205^A71,IF(A71='Données projet'!$A$218,'Données projet'!$B$218,FE70+FD71-FM70)))</f>
        <v>355.59999999999968</v>
      </c>
      <c r="FF71" s="17">
        <f>FE71*VLOOKUP('Données projet'!$B$16,Paramètres!$A$1:$I$89,3,0)*VLOOKUP('Données projet'!$B$16,Paramètres!$A$1:$I$89,5,0)</f>
        <v>277.36799999999977</v>
      </c>
      <c r="FG71" s="13">
        <f t="shared" si="101"/>
        <v>66.410486254957149</v>
      </c>
      <c r="FH71" s="20">
        <f t="shared" si="76"/>
        <v>598.74753022738321</v>
      </c>
      <c r="FI71" s="59">
        <f t="shared" si="77"/>
        <v>892.08086356071658</v>
      </c>
      <c r="FJ71" s="59">
        <f ca="1">AVERAGE(OFFSET($FI$3,0,0,'Données projet'!$E$16+1,1))-AVERAGE(OFFSET($H$3,0,0,'Données projet'!$E$16+1,1))</f>
        <v>318.52984981739411</v>
      </c>
      <c r="FK71" s="59">
        <f t="shared" si="102"/>
        <v>311.56398336941714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16.701725580008539</v>
      </c>
      <c r="FR71" s="21">
        <f>EXP(-LN(2)/25)*FR70+(1-EXP(-LN(2)/25))/(LN(2)/25)*Calculateur!FM71*Calculateur!FO71*VLOOKUP('Données projet'!$B$16,Paramètres!$A$1:$I$89,3,0)*0.475*44/12</f>
        <v>5.5975167293515868</v>
      </c>
      <c r="FS71" s="21">
        <f>EXP(-LN(2)/2)*FS70+(1-EXP(-LN(2)/2))/(LN(2)/2)*FM71*FP71*VLOOKUP('Données projet'!$B$16,Paramètres!$A$1:$I$89,3,0)*0.475*44/12</f>
        <v>1.0300054110805534</v>
      </c>
      <c r="FT71" s="22">
        <f t="shared" si="78"/>
        <v>23.329247720440677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5.2</v>
      </c>
      <c r="FZ71" s="12">
        <f>IF('Données projet'!$A$244&gt;35,FZ70+FY71-GH70,IF(A71&lt;'Données projet'!$A$244,$FW$205^A71,IF(A71='Données projet'!$A$244,'Données projet'!$B$244,FZ70+FY71-GH70)))</f>
        <v>355.59999999999968</v>
      </c>
      <c r="GA71" s="17">
        <f>FZ71*VLOOKUP('Données projet'!$B$17,Paramètres!$A$1:$I$89,3,0)*VLOOKUP('Données projet'!$B$17,Paramètres!$A$1:$I$89,5,0)</f>
        <v>282.91535999999979</v>
      </c>
      <c r="GB71" s="13">
        <f t="shared" si="103"/>
        <v>67.582736351531807</v>
      </c>
      <c r="GC71" s="20">
        <f t="shared" si="79"/>
        <v>610.45085114558412</v>
      </c>
      <c r="GD71" s="59">
        <f t="shared" si="80"/>
        <v>903.7841844789175</v>
      </c>
      <c r="GE71" s="59">
        <f ca="1">AVERAGE(OFFSET($GD$3,0,0,'Données projet'!$E$17+1,1))-AVERAGE(OFFSET($H$3,0,0,'Données projet'!$E$17+1,1))</f>
        <v>325.72928944930294</v>
      </c>
      <c r="GF71" s="59">
        <f t="shared" si="104"/>
        <v>318.38876834819752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20.997564764075861</v>
      </c>
      <c r="GM71" s="21">
        <f>EXP(-LN(2)/25)*GM70+(1-EXP(-LN(2)/25))/(LN(2)/25)*Calculateur!GH71*Calculateur!GJ71*VLOOKUP('Données projet'!$B$17,Paramètres!$A$1:$I$89,3,0)*0.475*44/12</f>
        <v>7.0372501020638767</v>
      </c>
      <c r="GN71" s="21">
        <f>EXP(-LN(2)/2)*GN70+(1-EXP(-LN(2)/2))/(LN(2)/2)*GH71*GK71*VLOOKUP('Données projet'!$B$17,Paramètres!$A$1:$I$89,3,0)*0.475*44/12</f>
        <v>1.0506055193021644</v>
      </c>
      <c r="GO71" s="21">
        <f t="shared" si="81"/>
        <v>29.0854203854419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5.2</v>
      </c>
      <c r="GU71" s="12">
        <f>IF('Données projet'!$A$270&gt;35,GU70+GT71-HC70,IF(A71&lt;'Données projet'!$A$270,$GR$205^A71,IF(A71='Données projet'!$A$270,'Données projet'!$B$270,GU70+GT71-HC70)))</f>
        <v>355.59999999999968</v>
      </c>
      <c r="GV71" s="17">
        <f>GU71*VLOOKUP('Données projet'!$B$18,Paramètres!$A$1:$I$89,3,0)*VLOOKUP('Données projet'!$B$18,Paramètres!$A$1:$I$89,5,0)</f>
        <v>238.53647999999981</v>
      </c>
      <c r="GW71" s="13">
        <f t="shared" si="105"/>
        <v>58.124535017142684</v>
      </c>
      <c r="GX71" s="20">
        <f t="shared" si="82"/>
        <v>516.68460115485652</v>
      </c>
      <c r="GY71" s="59">
        <f t="shared" si="83"/>
        <v>810.01793448818989</v>
      </c>
      <c r="GZ71" s="59">
        <f ca="1">AVERAGE(OFFSET($GY$3,0,0,'Données projet'!$E$18+1,1))-AVERAGE(OFFSET($H$3,0,0,'Données projet'!$E$18+1,1))</f>
        <v>268.04554291387961</v>
      </c>
      <c r="HA71" s="59">
        <f t="shared" si="106"/>
        <v>263.70463099437148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17.70382911480905</v>
      </c>
      <c r="HH71" s="21">
        <f>EXP(-LN(2)/25)*HH70+(1-EXP(-LN(2)/25))/(LN(2)/25)*Calculateur!HC71*Calculateur!HE71*VLOOKUP('Données projet'!$B$18,Paramètres!$A$1:$I$89,3,0)*0.475*44/12</f>
        <v>5.9333677331126831</v>
      </c>
      <c r="HI71" s="21">
        <f>EXP(-LN(2)/2)*HI70+(1-EXP(-LN(2)/2))/(LN(2)/2)*HC71*HF71*VLOOKUP('Données projet'!$B$18,Paramètres!$A$1:$I$89,3,0)*0.475*44/12</f>
        <v>0.88580465352927629</v>
      </c>
      <c r="HJ71" s="22">
        <f t="shared" si="84"/>
        <v>24.523001501451009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9.1999999999999993</v>
      </c>
      <c r="N72" s="13">
        <f>IF('Données projet'!$A$36&gt;35,N71+M72-V71,IF(A72&lt;'Données projet'!$A$36,$K$205^A72,IF(A72='Données projet'!$A$36,'Données projet'!$B$36,N71+M72-V71)))</f>
        <v>246.7999999999999</v>
      </c>
      <c r="O72" s="13">
        <f>N72*VLOOKUP('Données projet'!$B$9,Paramètres!$A$1:$I$89,3,0)*VLOOKUP('Données projet'!$B$9,Paramètres!$A$1:$I$89,5,0)</f>
        <v>109.08559999999997</v>
      </c>
      <c r="P72" s="13">
        <f t="shared" si="87"/>
        <v>29.115440246729211</v>
      </c>
      <c r="Q72" s="20">
        <f t="shared" si="54"/>
        <v>240.70014509638659</v>
      </c>
      <c r="R72" s="59">
        <f t="shared" si="55"/>
        <v>534.03347842971993</v>
      </c>
      <c r="S72" s="59">
        <f ca="1">AVERAGE(OFFSET($R$3,0,0,'Données projet'!$E$9+1,1))-AVERAGE(OFFSET($H$3,0,0,'Données projet'!$E$9+1,1))</f>
        <v>46.095319339746538</v>
      </c>
      <c r="T72" s="59">
        <f t="shared" si="88"/>
        <v>48.158174304064403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4.3041859405566951</v>
      </c>
      <c r="AA72" s="21">
        <f>EXP(-LN(2)/25)*AA71+(1-EXP(-LN(2)/25))/(LN(2)/25)*Calculateur!V72*Calculateur!X72*VLOOKUP('Données projet'!$B$9,Paramètres!$A$1:$I$89,3,0)*0.475*44/12</f>
        <v>10.872122797499854</v>
      </c>
      <c r="AB72" s="21">
        <f>EXP(-LN(2)/2)*AB71+(1-EXP(-LN(2)/2))/(LN(2)/2)*V72*Y72*VLOOKUP('Données projet'!$B$9,Paramètres!$A$1:$I$89,3,0)*0.475*44/12</f>
        <v>0.49257938709966859</v>
      </c>
      <c r="AC72" s="22">
        <f t="shared" si="57"/>
        <v>15.668888125156217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-1.1368683772161603E-13</v>
      </c>
      <c r="AJ72" s="13">
        <f>AI72*VLOOKUP('Données projet'!$B$10,Paramètres!$A$1:$I$89,3,0)*VLOOKUP('Données projet'!$B$10,Paramètres!$A$1:$I$89,5,0)</f>
        <v>-6.7984728957526396E-14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408.84545509668794</v>
      </c>
      <c r="AO72" s="59">
        <f t="shared" si="90"/>
        <v>409.9253979841132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157.37954126263583</v>
      </c>
      <c r="AV72" s="21">
        <f>EXP(-LN(2)/25)*AV71+(1-EXP(-LN(2)/25))/(LN(2)/25)*Calculateur!AQ72*Calculateur!AS72*VLOOKUP('Données projet'!$B$10,Paramètres!$A$1:$I$89,3,0)*0.475*44/12</f>
        <v>59.410733009203213</v>
      </c>
      <c r="AW72" s="21">
        <f>EXP(-LN(2)/2)*AW71+(1-EXP(-LN(2)/2))/(LN(2)/2)*AQ72*AT72*VLOOKUP('Données projet'!$B$10,Paramètres!$A$1:$I$89,3,0)*0.475*44/12</f>
        <v>4.1488118496834918</v>
      </c>
      <c r="AX72" s="21">
        <f t="shared" si="60"/>
        <v>220.93908612152254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-1.1368683772161603E-13</v>
      </c>
      <c r="BE72" s="13">
        <f>BD72*VLOOKUP('Données projet'!$B$11,Paramètres!$A$1:$I$89,3,0)*VLOOKUP('Données projet'!$B$11,Paramètres!$A$1:$I$89,5,0)</f>
        <v>-6.7984728957526396E-14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279.69031306919914</v>
      </c>
      <c r="BJ72" s="59">
        <f t="shared" si="92"/>
        <v>297.01680128882509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142.78371448144617</v>
      </c>
      <c r="BQ72" s="21">
        <f>EXP(-LN(2)/25)*BQ71+(1-EXP(-LN(2)/25))/(LN(2)/25)*Calculateur!BL72*Calculateur!BN72*VLOOKUP('Données projet'!$B$11,Paramètres!$A$1:$I$89,3,0)*0.475*44/12</f>
        <v>67.389627161603144</v>
      </c>
      <c r="BR72" s="21">
        <f>EXP(-LN(2)/2)*BR71+(1-EXP(-LN(2)/2))/(LN(2)/2)*BL72*BO72*VLOOKUP('Données projet'!$B$11,Paramètres!$A$1:$I$89,3,0)*0.475*44/12</f>
        <v>9.679735435291331</v>
      </c>
      <c r="BS72" s="22">
        <f t="shared" si="63"/>
        <v>219.85307707834062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81.299024916151723</v>
      </c>
      <c r="CE72" s="59">
        <f t="shared" si="94"/>
        <v>88.106373324240167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42.232055457002538</v>
      </c>
      <c r="CL72" s="21">
        <f>EXP(-LN(2)/25)*CL71+(1-EXP(-LN(2)/25))/(LN(2)/25)*Calculateur!CG72*Calculateur!CI72*VLOOKUP('Données projet'!$B$12,Paramètres!$A$1:$I$89,3,0)*0.475*44/12</f>
        <v>18.027549033111654</v>
      </c>
      <c r="CM72" s="21">
        <f>EXP(-LN(2)/2)*CM71+(1-EXP(-LN(2)/2))/(LN(2)/2)*CG72*CJ72*VLOOKUP('Données projet'!$B$12,Paramètres!$A$1:$I$89,3,0)*0.475*44/12</f>
        <v>1.0609067848930149</v>
      </c>
      <c r="CN72" s="22">
        <f t="shared" si="66"/>
        <v>61.320511275007206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-3.4106051316484809E-13</v>
      </c>
      <c r="CU72" s="17">
        <f>CT72*VLOOKUP('Données projet'!$B$13,Paramètres!$A$1:$I$89,3,0)*VLOOKUP('Données projet'!$B$13,Paramètres!$A$1:$I$89,5,0)</f>
        <v>-1.9065282685915009E-13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475.42482703895411</v>
      </c>
      <c r="CZ72" s="59">
        <f t="shared" si="96"/>
        <v>593.51433014569966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288.48956838610553</v>
      </c>
      <c r="DG72" s="21">
        <f>EXP(-LN(2)/25)*DG71+(1-EXP(-LN(2)/25))/(LN(2)/25)*Calculateur!DB72*Calculateur!DD72*VLOOKUP('Données projet'!$B$13,Paramètres!$A$1:$I$89,3,0)*0.475*44/12</f>
        <v>57.949528477332876</v>
      </c>
      <c r="DH72" s="21">
        <f>EXP(-LN(2)/2)*DH71+(1-EXP(-LN(2)/2))/(LN(2)/2)*DB72*DE72*VLOOKUP('Données projet'!$B$13,Paramètres!$A$1:$I$89,3,0)*0.475*44/12</f>
        <v>12.301867234499756</v>
      </c>
      <c r="DI72" s="22">
        <f t="shared" si="69"/>
        <v>358.74096409793816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>
        <f>VLOOKUP(A72,'Données projet'!$A$165:$I$185,2,0)</f>
        <v>274</v>
      </c>
      <c r="DM72" s="12">
        <f>VLOOKUP(A72,'Données projet'!$A$165:$I$185,9,0)</f>
        <v>8.6666666666666661</v>
      </c>
      <c r="DN72" s="12">
        <f t="array" ref="DN72">INDEX(DM:DM,MIN(IF(ISNUMBER(DM72:DM268),ROW(DM72:DM268),"")))</f>
        <v>8.6666666666666661</v>
      </c>
      <c r="DO72" s="12">
        <f>IF('Données projet'!$A$166&gt;35,DO71+DN72-DW71,IF(A72&lt;'Données projet'!$A$166,$DL$205^A72,IF(A72='Données projet'!$A$166,'Données projet'!$B$166,DO71+DN72-DW71)))</f>
        <v>274</v>
      </c>
      <c r="DP72" s="17">
        <f>DO72*VLOOKUP('Données projet'!$B$14,Paramètres!$A$1:$I$89,3,0)*VLOOKUP('Données projet'!$B$14,Paramètres!$A$1:$I$89,5,0)</f>
        <v>247.9152</v>
      </c>
      <c r="DQ72" s="13">
        <f t="shared" si="97"/>
        <v>60.139294964297406</v>
      </c>
      <c r="DR72" s="20">
        <f t="shared" si="70"/>
        <v>536.52824539615131</v>
      </c>
      <c r="DS72" s="59">
        <f t="shared" si="71"/>
        <v>829.86157872948456</v>
      </c>
      <c r="DT72" s="59">
        <f ca="1">AVERAGE(OFFSET($DS$3,0,0,'Données projet'!$E$14+1,1))-AVERAGE(OFFSET($H$3,0,0,'Données projet'!$E$14+1,1))</f>
        <v>401.17301323870578</v>
      </c>
      <c r="DU72" s="59">
        <f t="shared" si="98"/>
        <v>201.57993789149754</v>
      </c>
      <c r="DV72" s="15">
        <f>IF(ISNA(VLOOKUP(A72,'Données projet'!$A$165:$I$185,3,0)),0,VLOOKUP(A72,'Données projet'!$A$165:$I$185,3,0))</f>
        <v>5</v>
      </c>
      <c r="DW72" s="15">
        <f>IF(ISNA(VLOOKUP(A72,'Données projet'!$A$165:$I$185,4,0)),0,VLOOKUP(A72,'Données projet'!$A$165:$I$185,4,0))</f>
        <v>51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0.215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33.286510669300256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33.286510669300256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3.3</v>
      </c>
      <c r="EJ72" s="12">
        <f>IF('Données projet'!$A$192&gt;35,EJ71+EI72-ER71,IF(A72&lt;'Données projet'!$A$192,$EG$205^A72,IF(A72='Données projet'!$A$192,'Données projet'!$B$192,EJ71+EI72-ER71)))</f>
        <v>245.70000000000016</v>
      </c>
      <c r="EK72" s="17">
        <f>EJ72*VLOOKUP('Données projet'!$B$15,Paramètres!$A$1:$I$89,3,0)*VLOOKUP('Données projet'!$B$15,Paramètres!$A$1:$I$89,5,0)</f>
        <v>214.64352000000017</v>
      </c>
      <c r="EL72" s="13">
        <f t="shared" si="99"/>
        <v>52.949016399550956</v>
      </c>
      <c r="EM72" s="20">
        <f t="shared" si="73"/>
        <v>466.05700089588487</v>
      </c>
      <c r="EN72" s="59">
        <f t="shared" si="74"/>
        <v>759.39033422921818</v>
      </c>
      <c r="EO72" s="59">
        <f ca="1">AVERAGE(OFFSET($EN$3,0,0,'Données projet'!$E$15+1,1))-AVERAGE(OFFSET($H$3,0,0,'Données projet'!$E$15+1,1))</f>
        <v>237.8483058552178</v>
      </c>
      <c r="EP72" s="59">
        <f t="shared" si="100"/>
        <v>313.36201272119723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9.1629655879943002</v>
      </c>
      <c r="EW72" s="21">
        <f>EXP(-LN(2)/25)*EW71+(1-EXP(-LN(2)/25))/(LN(2)/25)*Calculateur!ER72*Calculateur!ET72*VLOOKUP('Données projet'!$B$15,Paramètres!$A$1:$I$89,3,0)*0.475*44/12</f>
        <v>5.4536757150838158</v>
      </c>
      <c r="EX72" s="21">
        <f>EXP(-LN(2)/2)*EX71+(1-EXP(-LN(2)/2))/(LN(2)/2)*ER72*EU72*VLOOKUP('Données projet'!$B$15,Paramètres!$A$1:$I$89,3,0)*0.475*44/12</f>
        <v>0.20111016109366373</v>
      </c>
      <c r="EY72" s="22">
        <f t="shared" si="75"/>
        <v>14.81775146417178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5.2</v>
      </c>
      <c r="FE72" s="12">
        <f>IF('Données projet'!$A$218&gt;35,FE71+FD72-FM71,IF(A72&lt;'Données projet'!$A$218,$FB$205^A72,IF(A72='Données projet'!$A$218,'Données projet'!$B$218,FE71+FD72-FM71)))</f>
        <v>360.79999999999967</v>
      </c>
      <c r="FF72" s="17">
        <f>FE72*VLOOKUP('Données projet'!$B$16,Paramètres!$A$1:$I$89,3,0)*VLOOKUP('Données projet'!$B$16,Paramètres!$A$1:$I$89,5,0)</f>
        <v>281.42399999999975</v>
      </c>
      <c r="FG72" s="13">
        <f t="shared" si="101"/>
        <v>67.267852111913371</v>
      </c>
      <c r="FH72" s="20">
        <f t="shared" si="76"/>
        <v>607.304975761582</v>
      </c>
      <c r="FI72" s="59">
        <f t="shared" si="77"/>
        <v>900.63830909491526</v>
      </c>
      <c r="FJ72" s="59">
        <f ca="1">AVERAGE(OFFSET($FI$3,0,0,'Données projet'!$E$16+1,1))-AVERAGE(OFFSET($H$3,0,0,'Données projet'!$E$16+1,1))</f>
        <v>318.52984981739411</v>
      </c>
      <c r="FK72" s="59">
        <f t="shared" si="102"/>
        <v>311.56398336941714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16.374214928431289</v>
      </c>
      <c r="FR72" s="21">
        <f>EXP(-LN(2)/25)*FR71+(1-EXP(-LN(2)/25))/(LN(2)/25)*Calculateur!FM72*Calculateur!FO72*VLOOKUP('Données projet'!$B$16,Paramètres!$A$1:$I$89,3,0)*0.475*44/12</f>
        <v>5.4444523400268565</v>
      </c>
      <c r="FS72" s="21">
        <f>EXP(-LN(2)/2)*FS71+(1-EXP(-LN(2)/2))/(LN(2)/2)*FM72*FP72*VLOOKUP('Données projet'!$B$16,Paramètres!$A$1:$I$89,3,0)*0.475*44/12</f>
        <v>0.72832381083389686</v>
      </c>
      <c r="FT72" s="22">
        <f t="shared" si="78"/>
        <v>22.546991079292042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5.2</v>
      </c>
      <c r="FZ72" s="12">
        <f>IF('Données projet'!$A$244&gt;35,FZ71+FY72-GH71,IF(A72&lt;'Données projet'!$A$244,$FW$205^A72,IF(A72='Données projet'!$A$244,'Données projet'!$B$244,FZ71+FY72-GH71)))</f>
        <v>360.79999999999967</v>
      </c>
      <c r="GA72" s="17">
        <f>FZ72*VLOOKUP('Données projet'!$B$17,Paramètres!$A$1:$I$89,3,0)*VLOOKUP('Données projet'!$B$17,Paramètres!$A$1:$I$89,5,0)</f>
        <v>287.05247999999978</v>
      </c>
      <c r="GB72" s="13">
        <f t="shared" si="103"/>
        <v>68.455236071606535</v>
      </c>
      <c r="GC72" s="20">
        <f t="shared" si="79"/>
        <v>619.17593882471431</v>
      </c>
      <c r="GD72" s="59">
        <f t="shared" si="80"/>
        <v>912.50927215804768</v>
      </c>
      <c r="GE72" s="59">
        <f ca="1">AVERAGE(OFFSET($GD$3,0,0,'Données projet'!$E$17+1,1))-AVERAGE(OFFSET($H$3,0,0,'Données projet'!$E$17+1,1))</f>
        <v>325.72928944930294</v>
      </c>
      <c r="GF72" s="59">
        <f t="shared" si="104"/>
        <v>318.38876834819752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20.585815326302228</v>
      </c>
      <c r="GM72" s="21">
        <f>EXP(-LN(2)/25)*GM71+(1-EXP(-LN(2)/25))/(LN(2)/25)*Calculateur!GH72*Calculateur!GJ72*VLOOKUP('Données projet'!$B$17,Paramètres!$A$1:$I$89,3,0)*0.475*44/12</f>
        <v>6.8448161279500406</v>
      </c>
      <c r="GN72" s="21">
        <f>EXP(-LN(2)/2)*GN71+(1-EXP(-LN(2)/2))/(LN(2)/2)*GH72*GK72*VLOOKUP('Données projet'!$B$17,Paramètres!$A$1:$I$89,3,0)*0.475*44/12</f>
        <v>0.74289028705057469</v>
      </c>
      <c r="GO72" s="21">
        <f t="shared" si="81"/>
        <v>28.173521741302842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5.2</v>
      </c>
      <c r="GU72" s="12">
        <f>IF('Données projet'!$A$270&gt;35,GU71+GT72-HC71,IF(A72&lt;'Données projet'!$A$270,$GR$205^A72,IF(A72='Données projet'!$A$270,'Données projet'!$B$270,GU71+GT72-HC71)))</f>
        <v>360.79999999999967</v>
      </c>
      <c r="GV72" s="17">
        <f>GU72*VLOOKUP('Données projet'!$B$18,Paramètres!$A$1:$I$89,3,0)*VLOOKUP('Données projet'!$B$18,Paramètres!$A$1:$I$89,5,0)</f>
        <v>242.02463999999981</v>
      </c>
      <c r="GW72" s="13">
        <f t="shared" si="105"/>
        <v>58.874928435191691</v>
      </c>
      <c r="GX72" s="20">
        <f t="shared" si="82"/>
        <v>524.06674835795855</v>
      </c>
      <c r="GY72" s="59">
        <f t="shared" si="83"/>
        <v>817.40008169129192</v>
      </c>
      <c r="GZ72" s="59">
        <f ca="1">AVERAGE(OFFSET($GY$3,0,0,'Données projet'!$E$18+1,1))-AVERAGE(OFFSET($H$3,0,0,'Données projet'!$E$18+1,1))</f>
        <v>268.04554291387961</v>
      </c>
      <c r="HA72" s="59">
        <f t="shared" si="106"/>
        <v>263.70463099437148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17.356667824137165</v>
      </c>
      <c r="HH72" s="21">
        <f>EXP(-LN(2)/25)*HH71+(1-EXP(-LN(2)/25))/(LN(2)/25)*Calculateur!HC72*Calculateur!HE72*VLOOKUP('Données projet'!$B$18,Paramètres!$A$1:$I$89,3,0)*0.475*44/12</f>
        <v>5.7711194804284682</v>
      </c>
      <c r="HI72" s="21">
        <f>EXP(-LN(2)/2)*HI71+(1-EXP(-LN(2)/2))/(LN(2)/2)*HC72*HF72*VLOOKUP('Données projet'!$B$18,Paramètres!$A$1:$I$89,3,0)*0.475*44/12</f>
        <v>0.62635847731715155</v>
      </c>
      <c r="HJ72" s="22">
        <f t="shared" si="84"/>
        <v>23.754145781882784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256</v>
      </c>
      <c r="L73" s="12">
        <f>VLOOKUP(A73,'Données projet'!$A$35:$I$55,9,0)</f>
        <v>9.1999999999999993</v>
      </c>
      <c r="M73" s="12">
        <f t="array" ref="M73">INDEX(L:L,MIN(IF(ISNUMBER(L73:L269),ROW(L73:L269),"")))</f>
        <v>9.1999999999999993</v>
      </c>
      <c r="N73" s="13">
        <f>IF('Données projet'!$A$36&gt;35,N72+M73-V72,IF(A73&lt;'Données projet'!$A$36,$K$205^A73,IF(A73='Données projet'!$A$36,'Données projet'!$B$36,N72+M73-V72)))</f>
        <v>255.99999999999989</v>
      </c>
      <c r="O73" s="13">
        <f>N73*VLOOKUP('Données projet'!$B$9,Paramètres!$A$1:$I$89,3,0)*VLOOKUP('Données projet'!$B$9,Paramètres!$A$1:$I$89,5,0)</f>
        <v>113.15199999999996</v>
      </c>
      <c r="P73" s="13">
        <f t="shared" si="87"/>
        <v>30.072394877287866</v>
      </c>
      <c r="Q73" s="20">
        <f t="shared" si="54"/>
        <v>249.44915441127628</v>
      </c>
      <c r="R73" s="59">
        <f t="shared" si="55"/>
        <v>542.78248774460963</v>
      </c>
      <c r="S73" s="59">
        <f ca="1">AVERAGE(OFFSET($R$3,0,0,'Données projet'!$E$9+1,1))-AVERAGE(OFFSET($H$3,0,0,'Données projet'!$E$9+1,1))</f>
        <v>46.095319339746538</v>
      </c>
      <c r="T73" s="59">
        <f t="shared" si="88"/>
        <v>48.158174304064403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52</v>
      </c>
      <c r="W73" s="16">
        <f>IF(ISNA(VLOOKUP(A73,'Données projet'!$A$35:$I$55,5,0)),0%,VLOOKUP(A73,'Données projet'!$A$35:$I$55,5,0)*VLOOKUP('Données projet'!$B$9,Paramètres!$A$1:$I$89,7,0))</f>
        <v>0.13500000000000001</v>
      </c>
      <c r="X73" s="16">
        <f>IF(ISNA(VLOOKUP(A73,'Données projet'!$A$35:$I$55,6,0)),0%,VLOOKUP(A73,'Données projet'!$A$35:$I$55,6,0)*VLOOKUP('Données projet'!$B$9,Paramètres!$A$1:$I$89,7,0))</f>
        <v>0.18000000000000002</v>
      </c>
      <c r="Y73" s="16">
        <f>IF(ISNA(VLOOKUP(A73,'Données projet'!$A$35:$I$55,7,0)),0%,VLOOKUP(A73,'Données projet'!$A$35:$I$55,7,0))</f>
        <v>0.3</v>
      </c>
      <c r="Z73" s="21">
        <f>EXP(-LN(2)/35)*Z72+(1-EXP(-LN(2)/35))/(LN(2)/35)*V73*W73*VLOOKUP('Données projet'!$B$9,Paramètres!$A$1:$I$89,3,0)*0.475*44/12</f>
        <v>8.3359007344725988</v>
      </c>
      <c r="AA73" s="21">
        <f>EXP(-LN(2)/25)*AA72+(1-EXP(-LN(2)/25))/(LN(2)/25)*Calculateur!V73*Calculateur!X73*VLOOKUP('Données projet'!$B$9,Paramètres!$A$1:$I$89,3,0)*0.475*44/12</f>
        <v>16.041371405088515</v>
      </c>
      <c r="AB73" s="21">
        <f>EXP(-LN(2)/2)*AB72+(1-EXP(-LN(2)/2))/(LN(2)/2)*V73*Y73*VLOOKUP('Données projet'!$B$9,Paramètres!$A$1:$I$89,3,0)*0.475*44/12</f>
        <v>8.1552743627953763</v>
      </c>
      <c r="AC73" s="22">
        <f t="shared" si="57"/>
        <v>32.532546502356489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-1.1368683772161603E-13</v>
      </c>
      <c r="AJ73" s="13">
        <f>AI73*VLOOKUP('Données projet'!$B$10,Paramètres!$A$1:$I$89,3,0)*VLOOKUP('Données projet'!$B$10,Paramètres!$A$1:$I$89,5,0)</f>
        <v>-6.7984728957526396E-14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408.84545509668794</v>
      </c>
      <c r="AO73" s="59">
        <f t="shared" si="90"/>
        <v>409.9253979841132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154.29342445051728</v>
      </c>
      <c r="AV73" s="21">
        <f>EXP(-LN(2)/25)*AV72+(1-EXP(-LN(2)/25))/(LN(2)/25)*Calculateur!AQ73*Calculateur!AS73*VLOOKUP('Données projet'!$B$10,Paramètres!$A$1:$I$89,3,0)*0.475*44/12</f>
        <v>57.786143390791885</v>
      </c>
      <c r="AW73" s="21">
        <f>EXP(-LN(2)/2)*AW72+(1-EXP(-LN(2)/2))/(LN(2)/2)*AQ73*AT73*VLOOKUP('Données projet'!$B$10,Paramètres!$A$1:$I$89,3,0)*0.475*44/12</f>
        <v>2.9336529927783004</v>
      </c>
      <c r="AX73" s="21">
        <f t="shared" si="60"/>
        <v>215.01322083408746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-1.1368683772161603E-13</v>
      </c>
      <c r="BE73" s="13">
        <f>BD73*VLOOKUP('Données projet'!$B$11,Paramètres!$A$1:$I$89,3,0)*VLOOKUP('Données projet'!$B$11,Paramètres!$A$1:$I$89,5,0)</f>
        <v>-6.7984728957526396E-14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279.69031306919914</v>
      </c>
      <c r="BJ73" s="59">
        <f t="shared" si="92"/>
        <v>297.01680128882509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139.98381292993147</v>
      </c>
      <c r="BQ73" s="21">
        <f>EXP(-LN(2)/25)*BQ72+(1-EXP(-LN(2)/25))/(LN(2)/25)*Calculateur!BL73*Calculateur!BN73*VLOOKUP('Données projet'!$B$11,Paramètres!$A$1:$I$89,3,0)*0.475*44/12</f>
        <v>65.546854263002629</v>
      </c>
      <c r="BR73" s="21">
        <f>EXP(-LN(2)/2)*BR72+(1-EXP(-LN(2)/2))/(LN(2)/2)*BL73*BO73*VLOOKUP('Données projet'!$B$11,Paramètres!$A$1:$I$89,3,0)*0.475*44/12</f>
        <v>6.8446065663862177</v>
      </c>
      <c r="BS73" s="22">
        <f t="shared" si="63"/>
        <v>212.37527375932032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81.299024916151723</v>
      </c>
      <c r="CE73" s="59">
        <f t="shared" si="94"/>
        <v>88.106373324240167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41.403910608501057</v>
      </c>
      <c r="CL73" s="21">
        <f>EXP(-LN(2)/25)*CL72+(1-EXP(-LN(2)/25))/(LN(2)/25)*Calculateur!CG73*Calculateur!CI73*VLOOKUP('Données projet'!$B$12,Paramètres!$A$1:$I$89,3,0)*0.475*44/12</f>
        <v>17.534584756773615</v>
      </c>
      <c r="CM73" s="21">
        <f>EXP(-LN(2)/2)*CM72+(1-EXP(-LN(2)/2))/(LN(2)/2)*CG73*CJ73*VLOOKUP('Données projet'!$B$12,Paramètres!$A$1:$I$89,3,0)*0.475*44/12</f>
        <v>0.75017438180466878</v>
      </c>
      <c r="CN73" s="22">
        <f t="shared" si="66"/>
        <v>59.688669747079345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-3.4106051316484809E-13</v>
      </c>
      <c r="CU73" s="17">
        <f>CT73*VLOOKUP('Données projet'!$B$13,Paramètres!$A$1:$I$89,3,0)*VLOOKUP('Données projet'!$B$13,Paramètres!$A$1:$I$89,5,0)</f>
        <v>-1.9065282685915009E-13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475.42482703895411</v>
      </c>
      <c r="CZ73" s="59">
        <f t="shared" si="96"/>
        <v>593.51433014569966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282.83246391131598</v>
      </c>
      <c r="DG73" s="21">
        <f>EXP(-LN(2)/25)*DG72+(1-EXP(-LN(2)/25))/(LN(2)/25)*Calculateur!DB73*Calculateur!DD73*VLOOKUP('Données projet'!$B$13,Paramètres!$A$1:$I$89,3,0)*0.475*44/12</f>
        <v>56.364895573686951</v>
      </c>
      <c r="DH73" s="21">
        <f>EXP(-LN(2)/2)*DH72+(1-EXP(-LN(2)/2))/(LN(2)/2)*DB73*DE73*VLOOKUP('Données projet'!$B$13,Paramètres!$A$1:$I$89,3,0)*0.475*44/12</f>
        <v>8.6987337427713776</v>
      </c>
      <c r="DI73" s="22">
        <f t="shared" si="69"/>
        <v>347.89609322777432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8.1111111111111107</v>
      </c>
      <c r="DO73" s="12">
        <f>IF('Données projet'!$A$166&gt;35,DO72+DN73-DW72,IF(A73&lt;'Données projet'!$A$166,$DL$205^A73,IF(A73='Données projet'!$A$166,'Données projet'!$B$166,DO72+DN73-DW72)))</f>
        <v>231.11111111111109</v>
      </c>
      <c r="DP73" s="17">
        <f>DO73*VLOOKUP('Données projet'!$B$14,Paramètres!$A$1:$I$89,3,0)*VLOOKUP('Données projet'!$B$14,Paramètres!$A$1:$I$89,5,0)</f>
        <v>209.1093333333333</v>
      </c>
      <c r="DQ73" s="13">
        <f t="shared" si="97"/>
        <v>51.740904503189689</v>
      </c>
      <c r="DR73" s="20">
        <f t="shared" si="70"/>
        <v>454.31416423194418</v>
      </c>
      <c r="DS73" s="59">
        <f t="shared" si="71"/>
        <v>747.64749756527749</v>
      </c>
      <c r="DT73" s="59">
        <f ca="1">AVERAGE(OFFSET($DS$3,0,0,'Données projet'!$E$14+1,1))-AVERAGE(OFFSET($H$3,0,0,'Données projet'!$E$14+1,1))</f>
        <v>401.17301323870578</v>
      </c>
      <c r="DU73" s="59">
        <f t="shared" si="98"/>
        <v>201.57993789149754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32.376289284586719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32.376289284586719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249</v>
      </c>
      <c r="EH73" s="12">
        <f>VLOOKUP(A73,'Données projet'!$A$191:$I$211,9,0)</f>
        <v>3.3</v>
      </c>
      <c r="EI73" s="12">
        <f t="array" ref="EI73">INDEX(EH:EH,MIN(IF(ISNUMBER(EH73:EH269),ROW(EH73:EH269),"")))</f>
        <v>3.3</v>
      </c>
      <c r="EJ73" s="12">
        <f>IF('Données projet'!$A$192&gt;35,EJ72+EI73-ER72,IF(A73&lt;'Données projet'!$A$192,$EG$205^A73,IF(A73='Données projet'!$A$192,'Données projet'!$B$192,EJ72+EI73-ER72)))</f>
        <v>249.00000000000017</v>
      </c>
      <c r="EK73" s="17">
        <f>EJ73*VLOOKUP('Données projet'!$B$15,Paramètres!$A$1:$I$89,3,0)*VLOOKUP('Données projet'!$B$15,Paramètres!$A$1:$I$89,5,0)</f>
        <v>217.52640000000019</v>
      </c>
      <c r="EL73" s="13">
        <f t="shared" si="99"/>
        <v>53.576907690651304</v>
      </c>
      <c r="EM73" s="20">
        <f t="shared" si="73"/>
        <v>472.17159422788467</v>
      </c>
      <c r="EN73" s="59">
        <f t="shared" si="74"/>
        <v>765.50492756121798</v>
      </c>
      <c r="EO73" s="59">
        <f ca="1">AVERAGE(OFFSET($EN$3,0,0,'Données projet'!$E$15+1,1))-AVERAGE(OFFSET($H$3,0,0,'Données projet'!$E$15+1,1))</f>
        <v>237.8483058552178</v>
      </c>
      <c r="EP73" s="59">
        <f t="shared" si="100"/>
        <v>313.36201272119723</v>
      </c>
      <c r="EQ73" s="15" t="str">
        <f>IF(ISNA(VLOOKUP(A73,'Données projet'!$A$191:$I$211,3,0)),0,VLOOKUP(A73,'Données projet'!$A$191:$I$211,3,0))</f>
        <v>CR</v>
      </c>
      <c r="ER73" s="15">
        <f>IF(ISNA(VLOOKUP(A73,'Données projet'!$A$191:$I$211,4,0)),0,VLOOKUP(A73,'Données projet'!$A$191:$I$211,4,0))</f>
        <v>249</v>
      </c>
      <c r="ES73" s="16">
        <f>IF(ISNA(VLOOKUP(A73,'Données projet'!$A$191:$I$211,5,0)),0%,VLOOKUP(A73,'Données projet'!$A$191:$I$211,5,0)*VLOOKUP('Données projet'!$B$15,Paramètres!$A$1:$I$89,7,0))</f>
        <v>0.30099999999999999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0.2</v>
      </c>
      <c r="EV73" s="21">
        <f>EXP(-LN(2)/35)*EV72+(1-EXP(-LN(2)/35))/(LN(2)/35)*ER73*ES73*VLOOKUP('Données projet'!$B$15,Paramètres!$A$1:$I$89,3,0)*0.475*44/12</f>
        <v>81.364452003568232</v>
      </c>
      <c r="EW73" s="21">
        <f>EXP(-LN(2)/25)*EW72+(1-EXP(-LN(2)/25))/(LN(2)/25)*Calculateur!ER73*Calculateur!ET73*VLOOKUP('Données projet'!$B$15,Paramètres!$A$1:$I$89,3,0)*0.475*44/12</f>
        <v>5.3045446658585078</v>
      </c>
      <c r="EX73" s="21">
        <f>EXP(-LN(2)/2)*EX72+(1-EXP(-LN(2)/2))/(LN(2)/2)*ER73*EU73*VLOOKUP('Données projet'!$B$15,Paramètres!$A$1:$I$89,3,0)*0.475*44/12</f>
        <v>41.190608966118361</v>
      </c>
      <c r="EY73" s="22">
        <f t="shared" si="75"/>
        <v>127.85960563554511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366</v>
      </c>
      <c r="FC73" s="12">
        <f>VLOOKUP(A73,'Données projet'!$A$217:$I$237,9,0)</f>
        <v>5.2</v>
      </c>
      <c r="FD73" s="12">
        <f t="array" ref="FD73">INDEX(FC:FC,MIN(IF(ISNUMBER(FC73:FC269),ROW(FC73:FC269),"")))</f>
        <v>5.2</v>
      </c>
      <c r="FE73" s="12">
        <f>IF('Données projet'!$A$218&gt;35,FE72+FD73-FM72,IF(A73&lt;'Données projet'!$A$218,$FB$205^A73,IF(A73='Données projet'!$A$218,'Données projet'!$B$218,FE72+FD73-FM72)))</f>
        <v>365.99999999999966</v>
      </c>
      <c r="FF73" s="17">
        <f>FE73*VLOOKUP('Données projet'!$B$16,Paramètres!$A$1:$I$89,3,0)*VLOOKUP('Données projet'!$B$16,Paramètres!$A$1:$I$89,5,0)</f>
        <v>285.47999999999973</v>
      </c>
      <c r="FG73" s="13">
        <f t="shared" si="101"/>
        <v>68.12378080053071</v>
      </c>
      <c r="FH73" s="20">
        <f t="shared" si="76"/>
        <v>615.85991822759047</v>
      </c>
      <c r="FI73" s="59">
        <f t="shared" si="77"/>
        <v>909.19325156092373</v>
      </c>
      <c r="FJ73" s="59">
        <f ca="1">AVERAGE(OFFSET($FI$3,0,0,'Données projet'!$E$16+1,1))-AVERAGE(OFFSET($H$3,0,0,'Données projet'!$E$16+1,1))</f>
        <v>318.52984981739411</v>
      </c>
      <c r="FK73" s="59">
        <f t="shared" si="102"/>
        <v>311.56398336941714</v>
      </c>
      <c r="FL73" s="15">
        <f>IF(ISNA(VLOOKUP(A73,'Données projet'!$A$217:$I$237,3,0)),0,VLOOKUP(A73,'Données projet'!$A$217:$I$237,3,0))</f>
        <v>13</v>
      </c>
      <c r="FM73" s="15">
        <f>IF(ISNA(VLOOKUP(A73,'Données projet'!$A$217:$I$237,4,0)),0,VLOOKUP(A73,'Données projet'!$A$217:$I$237,4,0))</f>
        <v>15</v>
      </c>
      <c r="FN73" s="16">
        <f>IF(ISNA(VLOOKUP(A73,'Données projet'!$A$217:$I$237,5,0)),0%,VLOOKUP(A73,'Données projet'!$A$217:$I$237,5,0)*VLOOKUP('Données projet'!$B$16,Paramètres!$A$1:$I$89,7,0))</f>
        <v>0.30099999999999999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0.2</v>
      </c>
      <c r="FQ73" s="21">
        <f>EXP(-LN(2)/35)*FQ72+(1-EXP(-LN(2)/35))/(LN(2)/35)*FM73*FN73*VLOOKUP('Données projet'!$B$16,Paramètres!$A$1:$I$89,3,0)*0.475*44/12</f>
        <v>19.946261596570885</v>
      </c>
      <c r="FR73" s="21">
        <f>EXP(-LN(2)/25)*FR72+(1-EXP(-LN(2)/25))/(LN(2)/25)*Calculateur!FM73*Calculateur!FO73*VLOOKUP('Données projet'!$B$16,Paramètres!$A$1:$I$89,3,0)*0.475*44/12</f>
        <v>5.2955735044775167</v>
      </c>
      <c r="FS73" s="21">
        <f>EXP(-LN(2)/2)*FS72+(1-EXP(-LN(2)/2))/(LN(2)/2)*FM73*FP73*VLOOKUP('Données projet'!$B$16,Paramètres!$A$1:$I$89,3,0)*0.475*44/12</f>
        <v>2.7228556857168855</v>
      </c>
      <c r="FT73" s="22">
        <f t="shared" si="78"/>
        <v>27.964690786765289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366</v>
      </c>
      <c r="FX73" s="12">
        <f>VLOOKUP(A73,'Données projet'!$A$243:$I$263,9,0)</f>
        <v>5.2</v>
      </c>
      <c r="FY73" s="12">
        <f t="array" ref="FY73">INDEX(FX:FX,MIN(IF(ISNUMBER(FX73:FX269),ROW(FX73:FX269),"")))</f>
        <v>5.2</v>
      </c>
      <c r="FZ73" s="12">
        <f>IF('Données projet'!$A$244&gt;35,FZ72+FY73-GH72,IF(A73&lt;'Données projet'!$A$244,$FW$205^A73,IF(A73='Données projet'!$A$244,'Données projet'!$B$244,FZ72+FY73-GH72)))</f>
        <v>365.99999999999966</v>
      </c>
      <c r="GA73" s="17">
        <f>FZ73*VLOOKUP('Données projet'!$B$17,Paramètres!$A$1:$I$89,3,0)*VLOOKUP('Données projet'!$B$17,Paramètres!$A$1:$I$89,5,0)</f>
        <v>291.18959999999976</v>
      </c>
      <c r="GB73" s="13">
        <f t="shared" si="103"/>
        <v>69.326273255048633</v>
      </c>
      <c r="GC73" s="20">
        <f t="shared" si="79"/>
        <v>627.89847925254264</v>
      </c>
      <c r="GD73" s="59">
        <f t="shared" si="80"/>
        <v>921.23181258587601</v>
      </c>
      <c r="GE73" s="59">
        <f ca="1">AVERAGE(OFFSET($GD$3,0,0,'Données projet'!$E$17+1,1))-AVERAGE(OFFSET($H$3,0,0,'Données projet'!$E$17+1,1))</f>
        <v>325.72928944930294</v>
      </c>
      <c r="GF73" s="59">
        <f t="shared" si="104"/>
        <v>318.38876834819752</v>
      </c>
      <c r="GG73" s="15">
        <f>IF(ISNA(VLOOKUP(A73,'Données projet'!$A$243:$I$263,3,0)),0,VLOOKUP(A73,'Données projet'!$A$243:$I$263,3,0))</f>
        <v>13</v>
      </c>
      <c r="GH73" s="15">
        <f>IF(ISNA(VLOOKUP(A73,'Données projet'!$A$243:$I$263,4,0)),0,VLOOKUP(A73,'Données projet'!$A$243:$I$263,4,0))</f>
        <v>15</v>
      </c>
      <c r="GI73" s="16">
        <f>IF(ISNA(VLOOKUP(A73,'Données projet'!$A$243:$I$263,5,0)),0%,VLOOKUP(A73,'Données projet'!$A$243:$I$263,5,0)*VLOOKUP('Données projet'!$B$17,Paramètres!$A$1:$I$89,7,0))</f>
        <v>0.371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0.2</v>
      </c>
      <c r="GL73" s="21">
        <f>EXP(-LN(2)/35)*GL72+(1-EXP(-LN(2)/35))/(LN(2)/35)*GH73*GI73*VLOOKUP('Données projet'!$B$17,Paramètres!$A$1:$I$89,3,0)*0.475*44/12</f>
        <v>25.076625625828431</v>
      </c>
      <c r="GM73" s="21">
        <f>EXP(-LN(2)/25)*GM72+(1-EXP(-LN(2)/25))/(LN(2)/25)*Calculateur!GH73*Calculateur!GJ73*VLOOKUP('Données projet'!$B$17,Paramètres!$A$1:$I$89,3,0)*0.475*44/12</f>
        <v>6.6576442709780101</v>
      </c>
      <c r="GN73" s="21">
        <f>EXP(-LN(2)/2)*GN72+(1-EXP(-LN(2)/2))/(LN(2)/2)*GH73*GK73*VLOOKUP('Données projet'!$B$17,Paramètres!$A$1:$I$89,3,0)*0.475*44/12</f>
        <v>2.7773127994312228</v>
      </c>
      <c r="GO73" s="21">
        <f t="shared" si="81"/>
        <v>34.511582696237667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366</v>
      </c>
      <c r="GS73" s="12">
        <f>VLOOKUP(A73,'Données projet'!$A$269:$I$289,9,0)</f>
        <v>5.2</v>
      </c>
      <c r="GT73" s="12">
        <f t="array" ref="GT73">INDEX(GS:GS,MIN(IF(ISNUMBER(GS73:GS269),ROW(GS73:GS269),"")))</f>
        <v>5.2</v>
      </c>
      <c r="GU73" s="12">
        <f>IF('Données projet'!$A$270&gt;35,GU72+GT73-HC72,IF(A73&lt;'Données projet'!$A$270,$GR$205^A73,IF(A73='Données projet'!$A$270,'Données projet'!$B$270,GU72+GT73-HC72)))</f>
        <v>365.99999999999966</v>
      </c>
      <c r="GV73" s="17">
        <f>GU73*VLOOKUP('Données projet'!$B$18,Paramètres!$A$1:$I$89,3,0)*VLOOKUP('Données projet'!$B$18,Paramètres!$A$1:$I$89,5,0)</f>
        <v>245.51279999999977</v>
      </c>
      <c r="GW73" s="13">
        <f t="shared" si="105"/>
        <v>59.624063998553098</v>
      </c>
      <c r="GX73" s="20">
        <f t="shared" si="82"/>
        <v>531.44670479747958</v>
      </c>
      <c r="GY73" s="59">
        <f t="shared" si="83"/>
        <v>824.78003813081295</v>
      </c>
      <c r="GZ73" s="59">
        <f ca="1">AVERAGE(OFFSET($GY$3,0,0,'Données projet'!$E$18+1,1))-AVERAGE(OFFSET($H$3,0,0,'Données projet'!$E$18+1,1))</f>
        <v>268.04554291387961</v>
      </c>
      <c r="HA73" s="59">
        <f t="shared" si="106"/>
        <v>263.70463099437148</v>
      </c>
      <c r="HB73" s="15">
        <f>IF(ISNA(VLOOKUP(A73,'Données projet'!$A$269:$I$289,3,0)),0,VLOOKUP(A73,'Données projet'!$A$269:$I$289,3,0))</f>
        <v>13</v>
      </c>
      <c r="HC73" s="15">
        <f>IF(ISNA(VLOOKUP(A73,'Données projet'!$A$269:$I$289,4,0)),0,VLOOKUP(A73,'Données projet'!$A$269:$I$289,4,0))</f>
        <v>15</v>
      </c>
      <c r="HD73" s="16">
        <f>IF(ISNA(VLOOKUP(A73,'Données projet'!$A$269:$I$289,5,0)),0%,VLOOKUP(A73,'Données projet'!$A$269:$I$289,5,0)*VLOOKUP('Données projet'!$B$18,Paramètres!$A$1:$I$89,7,0))</f>
        <v>0.371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0.2</v>
      </c>
      <c r="HG73" s="21">
        <f>EXP(-LN(2)/35)*HG72+(1-EXP(-LN(2)/35))/(LN(2)/35)*HC73*HD73*VLOOKUP('Données projet'!$B$18,Paramètres!$A$1:$I$89,3,0)*0.475*44/12</f>
        <v>21.143037292365136</v>
      </c>
      <c r="HH73" s="21">
        <f>EXP(-LN(2)/25)*HH72+(1-EXP(-LN(2)/25))/(LN(2)/25)*Calculateur!HC73*Calculateur!HE73*VLOOKUP('Données projet'!$B$18,Paramètres!$A$1:$I$89,3,0)*0.475*44/12</f>
        <v>5.6133079147461684</v>
      </c>
      <c r="HI73" s="21">
        <f>EXP(-LN(2)/2)*HI72+(1-EXP(-LN(2)/2))/(LN(2)/2)*HC73*HF73*VLOOKUP('Données projet'!$B$18,Paramètres!$A$1:$I$89,3,0)*0.475*44/12</f>
        <v>2.3416558897165216</v>
      </c>
      <c r="HJ73" s="22">
        <f t="shared" si="84"/>
        <v>29.098001096827826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8.6</v>
      </c>
      <c r="N74" s="13">
        <f>IF('Données projet'!$A$36&gt;35,N73+M74-V73,IF(A74&lt;'Données projet'!$A$36,$K$205^A74,IF(A74='Données projet'!$A$36,'Données projet'!$B$36,N73+M74-V73)))</f>
        <v>212.59999999999991</v>
      </c>
      <c r="O74" s="13">
        <f>N74*VLOOKUP('Données projet'!$B$9,Paramètres!$A$1:$I$89,3,0)*VLOOKUP('Données projet'!$B$9,Paramètres!$A$1:$I$89,5,0)</f>
        <v>93.969199999999972</v>
      </c>
      <c r="P74" s="13">
        <f t="shared" si="87"/>
        <v>25.520082779226129</v>
      </c>
      <c r="Q74" s="20">
        <f t="shared" si="54"/>
        <v>208.11050084048546</v>
      </c>
      <c r="R74" s="59">
        <f t="shared" si="55"/>
        <v>501.4438341738188</v>
      </c>
      <c r="S74" s="59">
        <f ca="1">AVERAGE(OFFSET($R$3,0,0,'Données projet'!$E$9+1,1))-AVERAGE(OFFSET($H$3,0,0,'Données projet'!$E$9+1,1))</f>
        <v>46.095319339746538</v>
      </c>
      <c r="T74" s="59">
        <f t="shared" si="88"/>
        <v>48.158174304064403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8.1724388054669959</v>
      </c>
      <c r="AA74" s="21">
        <f>EXP(-LN(2)/25)*AA73+(1-EXP(-LN(2)/25))/(LN(2)/25)*Calculateur!V74*Calculateur!X74*VLOOKUP('Données projet'!$B$9,Paramètres!$A$1:$I$89,3,0)*0.475*44/12</f>
        <v>15.602719260437311</v>
      </c>
      <c r="AB74" s="21">
        <f>EXP(-LN(2)/2)*AB73+(1-EXP(-LN(2)/2))/(LN(2)/2)*V74*Y74*VLOOKUP('Données projet'!$B$9,Paramètres!$A$1:$I$89,3,0)*0.475*44/12</f>
        <v>5.7666498043694112</v>
      </c>
      <c r="AC74" s="22">
        <f t="shared" si="57"/>
        <v>29.541807870273718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-1.1368683772161603E-13</v>
      </c>
      <c r="AJ74" s="13">
        <f>AI74*VLOOKUP('Données projet'!$B$10,Paramètres!$A$1:$I$89,3,0)*VLOOKUP('Données projet'!$B$10,Paramètres!$A$1:$I$89,5,0)</f>
        <v>-6.7984728957526396E-14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408.84545509668794</v>
      </c>
      <c r="AO74" s="59">
        <f t="shared" si="90"/>
        <v>409.9253979841132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151.26782450673898</v>
      </c>
      <c r="AV74" s="21">
        <f>EXP(-LN(2)/25)*AV73+(1-EXP(-LN(2)/25))/(LN(2)/25)*Calculateur!AQ74*Calculateur!AS74*VLOOKUP('Données projet'!$B$10,Paramètres!$A$1:$I$89,3,0)*0.475*44/12</f>
        <v>56.20597826092947</v>
      </c>
      <c r="AW74" s="21">
        <f>EXP(-LN(2)/2)*AW73+(1-EXP(-LN(2)/2))/(LN(2)/2)*AQ74*AT74*VLOOKUP('Données projet'!$B$10,Paramètres!$A$1:$I$89,3,0)*0.475*44/12</f>
        <v>2.0744059248417459</v>
      </c>
      <c r="AX74" s="21">
        <f t="shared" si="60"/>
        <v>209.5482086925102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-1.1368683772161603E-13</v>
      </c>
      <c r="BE74" s="13">
        <f>BD74*VLOOKUP('Données projet'!$B$11,Paramètres!$A$1:$I$89,3,0)*VLOOKUP('Données projet'!$B$11,Paramètres!$A$1:$I$89,5,0)</f>
        <v>-6.7984728957526396E-14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279.69031306919914</v>
      </c>
      <c r="BJ74" s="59">
        <f t="shared" si="92"/>
        <v>297.01680128882509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137.23881574007066</v>
      </c>
      <c r="BQ74" s="21">
        <f>EXP(-LN(2)/25)*BQ73+(1-EXP(-LN(2)/25))/(LN(2)/25)*Calculateur!BL74*Calculateur!BN74*VLOOKUP('Données projet'!$B$11,Paramètres!$A$1:$I$89,3,0)*0.475*44/12</f>
        <v>63.754472086221568</v>
      </c>
      <c r="BR74" s="21">
        <f>EXP(-LN(2)/2)*BR73+(1-EXP(-LN(2)/2))/(LN(2)/2)*BL74*BO74*VLOOKUP('Données projet'!$B$11,Paramètres!$A$1:$I$89,3,0)*0.475*44/12</f>
        <v>4.8398677176456655</v>
      </c>
      <c r="BS74" s="22">
        <f t="shared" si="63"/>
        <v>205.83315554393789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81.299024916151723</v>
      </c>
      <c r="CE74" s="59">
        <f t="shared" si="94"/>
        <v>88.106373324240167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40.592005175360207</v>
      </c>
      <c r="CL74" s="21">
        <f>EXP(-LN(2)/25)*CL73+(1-EXP(-LN(2)/25))/(LN(2)/25)*Calculateur!CG74*Calculateur!CI74*VLOOKUP('Données projet'!$B$12,Paramètres!$A$1:$I$89,3,0)*0.475*44/12</f>
        <v>17.055100614495903</v>
      </c>
      <c r="CM74" s="21">
        <f>EXP(-LN(2)/2)*CM73+(1-EXP(-LN(2)/2))/(LN(2)/2)*CG74*CJ74*VLOOKUP('Données projet'!$B$12,Paramètres!$A$1:$I$89,3,0)*0.475*44/12</f>
        <v>0.53045339244650747</v>
      </c>
      <c r="CN74" s="22">
        <f t="shared" si="66"/>
        <v>58.177559182302623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-3.4106051316484809E-13</v>
      </c>
      <c r="CU74" s="17">
        <f>CT74*VLOOKUP('Données projet'!$B$13,Paramètres!$A$1:$I$89,3,0)*VLOOKUP('Données projet'!$B$13,Paramètres!$A$1:$I$89,5,0)</f>
        <v>-1.9065282685915009E-13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475.42482703895411</v>
      </c>
      <c r="CZ74" s="59">
        <f t="shared" si="96"/>
        <v>593.51433014569966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277.28629180478401</v>
      </c>
      <c r="DG74" s="21">
        <f>EXP(-LN(2)/25)*DG73+(1-EXP(-LN(2)/25))/(LN(2)/25)*Calculateur!DB74*Calculateur!DD74*VLOOKUP('Données projet'!$B$13,Paramètres!$A$1:$I$89,3,0)*0.475*44/12</f>
        <v>54.823594540123445</v>
      </c>
      <c r="DH74" s="21">
        <f>EXP(-LN(2)/2)*DH73+(1-EXP(-LN(2)/2))/(LN(2)/2)*DB74*DE74*VLOOKUP('Données projet'!$B$13,Paramètres!$A$1:$I$89,3,0)*0.475*44/12</f>
        <v>6.1509336172498781</v>
      </c>
      <c r="DI74" s="22">
        <f t="shared" si="69"/>
        <v>338.26081996215737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8.1111111111111107</v>
      </c>
      <c r="DO74" s="12">
        <f>IF('Données projet'!$A$166&gt;35,DO73+DN74-DW73,IF(A74&lt;'Données projet'!$A$166,$DL$205^A74,IF(A74='Données projet'!$A$166,'Données projet'!$B$166,DO73+DN74-DW73)))</f>
        <v>239.2222222222222</v>
      </c>
      <c r="DP74" s="17">
        <f>DO74*VLOOKUP('Données projet'!$B$14,Paramètres!$A$1:$I$89,3,0)*VLOOKUP('Données projet'!$B$14,Paramètres!$A$1:$I$89,5,0)</f>
        <v>216.44826666666665</v>
      </c>
      <c r="DQ74" s="13">
        <f t="shared" si="97"/>
        <v>53.342204311943696</v>
      </c>
      <c r="DR74" s="20">
        <f t="shared" si="70"/>
        <v>469.88507028774637</v>
      </c>
      <c r="DS74" s="59">
        <f t="shared" si="71"/>
        <v>763.21840362107969</v>
      </c>
      <c r="DT74" s="59">
        <f ca="1">AVERAGE(OFFSET($DS$3,0,0,'Données projet'!$E$14+1,1))-AVERAGE(OFFSET($H$3,0,0,'Données projet'!$E$14+1,1))</f>
        <v>401.17301323870578</v>
      </c>
      <c r="DU74" s="59">
        <f t="shared" si="98"/>
        <v>201.57993789149754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31.490957951504637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31.490957951504637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1.7053025658242404E-13</v>
      </c>
      <c r="EK74" s="17">
        <f>EJ74*VLOOKUP('Données projet'!$B$15,Paramètres!$A$1:$I$89,3,0)*VLOOKUP('Données projet'!$B$15,Paramètres!$A$1:$I$89,5,0)</f>
        <v>1.4897523215040567E-13</v>
      </c>
      <c r="EL74" s="13">
        <f t="shared" si="99"/>
        <v>2.136562777003313E-12</v>
      </c>
      <c r="EM74" s="20">
        <f t="shared" si="73"/>
        <v>3.9806453659427267E-12</v>
      </c>
      <c r="EN74" s="59">
        <f t="shared" si="74"/>
        <v>293.33333333333729</v>
      </c>
      <c r="EO74" s="59">
        <f ca="1">AVERAGE(OFFSET($EN$3,0,0,'Données projet'!$E$15+1,1))-AVERAGE(OFFSET($H$3,0,0,'Données projet'!$E$15+1,1))</f>
        <v>237.8483058552178</v>
      </c>
      <c r="EP74" s="59">
        <f t="shared" si="100"/>
        <v>313.36201272119723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79.768944727193684</v>
      </c>
      <c r="EW74" s="21">
        <f>EXP(-LN(2)/25)*EW73+(1-EXP(-LN(2)/25))/(LN(2)/25)*Calculateur!ER74*Calculateur!ET74*VLOOKUP('Données projet'!$B$15,Paramètres!$A$1:$I$89,3,0)*0.475*44/12</f>
        <v>5.1594916130167263</v>
      </c>
      <c r="EX74" s="21">
        <f>EXP(-LN(2)/2)*EX73+(1-EXP(-LN(2)/2))/(LN(2)/2)*ER74*EU74*VLOOKUP('Données projet'!$B$15,Paramètres!$A$1:$I$89,3,0)*0.475*44/12</f>
        <v>29.126158921145702</v>
      </c>
      <c r="EY74" s="22">
        <f t="shared" si="75"/>
        <v>114.05459526135611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4.8</v>
      </c>
      <c r="FE74" s="12">
        <f>IF('Données projet'!$A$218&gt;35,FE73+FD74-FM73,IF(A74&lt;'Données projet'!$A$218,$FB$205^A74,IF(A74='Données projet'!$A$218,'Données projet'!$B$218,FE73+FD74-FM73)))</f>
        <v>355.79999999999967</v>
      </c>
      <c r="FF74" s="17">
        <f>FE74*VLOOKUP('Données projet'!$B$16,Paramètres!$A$1:$I$89,3,0)*VLOOKUP('Données projet'!$B$16,Paramètres!$A$1:$I$89,5,0)</f>
        <v>277.52399999999977</v>
      </c>
      <c r="FG74" s="13">
        <f t="shared" si="101"/>
        <v>66.443488721352182</v>
      </c>
      <c r="FH74" s="20">
        <f t="shared" si="76"/>
        <v>599.07670952302124</v>
      </c>
      <c r="FI74" s="59">
        <f t="shared" si="77"/>
        <v>892.41004285635449</v>
      </c>
      <c r="FJ74" s="59">
        <f ca="1">AVERAGE(OFFSET($FI$3,0,0,'Données projet'!$E$16+1,1))-AVERAGE(OFFSET($H$3,0,0,'Données projet'!$E$16+1,1))</f>
        <v>318.52984981739411</v>
      </c>
      <c r="FK74" s="59">
        <f t="shared" si="102"/>
        <v>311.56398336941714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19.555127572680409</v>
      </c>
      <c r="FR74" s="21">
        <f>EXP(-LN(2)/25)*FR73+(1-EXP(-LN(2)/25))/(LN(2)/25)*Calculateur!FM74*Calculateur!FO74*VLOOKUP('Données projet'!$B$16,Paramètres!$A$1:$I$89,3,0)*0.475*44/12</f>
        <v>5.1507657685154715</v>
      </c>
      <c r="FS74" s="21">
        <f>EXP(-LN(2)/2)*FS73+(1-EXP(-LN(2)/2))/(LN(2)/2)*FM74*FP74*VLOOKUP('Données projet'!$B$16,Paramètres!$A$1:$I$89,3,0)*0.475*44/12</f>
        <v>1.9253497195627567</v>
      </c>
      <c r="FT74" s="22">
        <f t="shared" si="78"/>
        <v>26.631243060758639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4.8</v>
      </c>
      <c r="FZ74" s="12">
        <f>IF('Données projet'!$A$244&gt;35,FZ73+FY74-GH73,IF(A74&lt;'Données projet'!$A$244,$FW$205^A74,IF(A74='Données projet'!$A$244,'Données projet'!$B$244,FZ73+FY74-GH73)))</f>
        <v>355.79999999999967</v>
      </c>
      <c r="GA74" s="17">
        <f>FZ74*VLOOKUP('Données projet'!$B$17,Paramètres!$A$1:$I$89,3,0)*VLOOKUP('Données projet'!$B$17,Paramètres!$A$1:$I$89,5,0)</f>
        <v>283.07447999999977</v>
      </c>
      <c r="GB74" s="13">
        <f t="shared" si="103"/>
        <v>67.616321363645156</v>
      </c>
      <c r="GC74" s="20">
        <f t="shared" si="79"/>
        <v>610.78647904168156</v>
      </c>
      <c r="GD74" s="59">
        <f t="shared" si="80"/>
        <v>904.11981237501482</v>
      </c>
      <c r="GE74" s="59">
        <f ca="1">AVERAGE(OFFSET($GD$3,0,0,'Données projet'!$E$17+1,1))-AVERAGE(OFFSET($H$3,0,0,'Données projet'!$E$17+1,1))</f>
        <v>325.72928944930294</v>
      </c>
      <c r="GF74" s="59">
        <f t="shared" si="104"/>
        <v>318.38876834819752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24.58488829253729</v>
      </c>
      <c r="GM74" s="21">
        <f>EXP(-LN(2)/25)*GM73+(1-EXP(-LN(2)/25))/(LN(2)/25)*Calculateur!GH74*Calculateur!GJ74*VLOOKUP('Données projet'!$B$17,Paramètres!$A$1:$I$89,3,0)*0.475*44/12</f>
        <v>6.4755906382778203</v>
      </c>
      <c r="GN74" s="21">
        <f>EXP(-LN(2)/2)*GN73+(1-EXP(-LN(2)/2))/(LN(2)/2)*GH74*GK74*VLOOKUP('Données projet'!$B$17,Paramètres!$A$1:$I$89,3,0)*0.475*44/12</f>
        <v>1.9638567139540115</v>
      </c>
      <c r="GO74" s="21">
        <f t="shared" si="81"/>
        <v>33.024335644769117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4.8</v>
      </c>
      <c r="GU74" s="12">
        <f>IF('Données projet'!$A$270&gt;35,GU73+GT74-HC73,IF(A74&lt;'Données projet'!$A$270,$GR$205^A74,IF(A74='Données projet'!$A$270,'Données projet'!$B$270,GU73+GT74-HC73)))</f>
        <v>355.79999999999967</v>
      </c>
      <c r="GV74" s="17">
        <f>GU74*VLOOKUP('Données projet'!$B$18,Paramètres!$A$1:$I$89,3,0)*VLOOKUP('Données projet'!$B$18,Paramètres!$A$1:$I$89,5,0)</f>
        <v>238.67063999999979</v>
      </c>
      <c r="GW74" s="13">
        <f t="shared" si="105"/>
        <v>58.153419808111728</v>
      </c>
      <c r="GX74" s="20">
        <f t="shared" si="82"/>
        <v>516.96857083246095</v>
      </c>
      <c r="GY74" s="59">
        <f t="shared" si="83"/>
        <v>810.30190416579421</v>
      </c>
      <c r="GZ74" s="59">
        <f ca="1">AVERAGE(OFFSET($GY$3,0,0,'Données projet'!$E$18+1,1))-AVERAGE(OFFSET($H$3,0,0,'Données projet'!$E$18+1,1))</f>
        <v>268.04554291387961</v>
      </c>
      <c r="HA74" s="59">
        <f t="shared" si="106"/>
        <v>263.70463099437148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20.728435227041231</v>
      </c>
      <c r="HH74" s="21">
        <f>EXP(-LN(2)/25)*HH73+(1-EXP(-LN(2)/25))/(LN(2)/25)*Calculateur!HC74*Calculateur!HE74*VLOOKUP('Données projet'!$B$18,Paramètres!$A$1:$I$89,3,0)*0.475*44/12</f>
        <v>5.4598117146264009</v>
      </c>
      <c r="HI74" s="21">
        <f>EXP(-LN(2)/2)*HI73+(1-EXP(-LN(2)/2))/(LN(2)/2)*HC74*HF74*VLOOKUP('Données projet'!$B$18,Paramètres!$A$1:$I$89,3,0)*0.475*44/12</f>
        <v>1.6558007588239709</v>
      </c>
      <c r="HJ74" s="22">
        <f t="shared" si="84"/>
        <v>27.844047700491604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8.6</v>
      </c>
      <c r="N75" s="13">
        <f>IF('Données projet'!$A$36&gt;35,N74+M75-V74,IF(A75&lt;'Données projet'!$A$36,$K$205^A75,IF(A75='Données projet'!$A$36,'Données projet'!$B$36,N74+M75-V74)))</f>
        <v>221.1999999999999</v>
      </c>
      <c r="O75" s="13">
        <f>N75*VLOOKUP('Données projet'!$B$9,Paramètres!$A$1:$I$89,3,0)*VLOOKUP('Données projet'!$B$9,Paramètres!$A$1:$I$89,5,0)</f>
        <v>97.770399999999967</v>
      </c>
      <c r="P75" s="13">
        <f t="shared" si="87"/>
        <v>26.430131043969602</v>
      </c>
      <c r="Q75" s="20">
        <f t="shared" si="54"/>
        <v>216.3159249015803</v>
      </c>
      <c r="R75" s="59">
        <f t="shared" si="55"/>
        <v>509.64925823491365</v>
      </c>
      <c r="S75" s="59">
        <f ca="1">AVERAGE(OFFSET($R$3,0,0,'Données projet'!$E$9+1,1))-AVERAGE(OFFSET($H$3,0,0,'Données projet'!$E$9+1,1))</f>
        <v>46.095319339746538</v>
      </c>
      <c r="T75" s="59">
        <f t="shared" si="88"/>
        <v>48.158174304064403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8.0121822651872616</v>
      </c>
      <c r="AA75" s="21">
        <f>EXP(-LN(2)/25)*AA74+(1-EXP(-LN(2)/25))/(LN(2)/25)*Calculateur!V75*Calculateur!X75*VLOOKUP('Données projet'!$B$9,Paramètres!$A$1:$I$89,3,0)*0.475*44/12</f>
        <v>15.176062081749308</v>
      </c>
      <c r="AB75" s="21">
        <f>EXP(-LN(2)/2)*AB74+(1-EXP(-LN(2)/2))/(LN(2)/2)*V75*Y75*VLOOKUP('Données projet'!$B$9,Paramètres!$A$1:$I$89,3,0)*0.475*44/12</f>
        <v>4.077637181397689</v>
      </c>
      <c r="AC75" s="22">
        <f t="shared" si="57"/>
        <v>27.265881528334262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-1.1368683772161603E-13</v>
      </c>
      <c r="AJ75" s="13">
        <f>AI75*VLOOKUP('Données projet'!$B$10,Paramètres!$A$1:$I$89,3,0)*VLOOKUP('Données projet'!$B$10,Paramètres!$A$1:$I$89,5,0)</f>
        <v>-6.7984728957526396E-14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408.84545509668794</v>
      </c>
      <c r="AO75" s="59">
        <f t="shared" si="90"/>
        <v>409.9253979841132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148.30155473242442</v>
      </c>
      <c r="AV75" s="21">
        <f>EXP(-LN(2)/25)*AV74+(1-EXP(-LN(2)/25))/(LN(2)/25)*Calculateur!AQ75*Calculateur!AS75*VLOOKUP('Données projet'!$B$10,Paramètres!$A$1:$I$89,3,0)*0.475*44/12</f>
        <v>54.669022829640419</v>
      </c>
      <c r="AW75" s="21">
        <f>EXP(-LN(2)/2)*AW74+(1-EXP(-LN(2)/2))/(LN(2)/2)*AQ75*AT75*VLOOKUP('Données projet'!$B$10,Paramètres!$A$1:$I$89,3,0)*0.475*44/12</f>
        <v>1.4668264963891502</v>
      </c>
      <c r="AX75" s="21">
        <f t="shared" si="60"/>
        <v>204.43740405845401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-1.1368683772161603E-13</v>
      </c>
      <c r="BE75" s="13">
        <f>BD75*VLOOKUP('Données projet'!$B$11,Paramètres!$A$1:$I$89,3,0)*VLOOKUP('Données projet'!$B$11,Paramètres!$A$1:$I$89,5,0)</f>
        <v>-6.7984728957526396E-14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279.69031306919914</v>
      </c>
      <c r="BJ75" s="59">
        <f t="shared" si="92"/>
        <v>297.01680128882509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134.54764627082005</v>
      </c>
      <c r="BQ75" s="21">
        <f>EXP(-LN(2)/25)*BQ74+(1-EXP(-LN(2)/25))/(LN(2)/25)*Calculateur!BL75*Calculateur!BN75*VLOOKUP('Données projet'!$B$11,Paramètres!$A$1:$I$89,3,0)*0.475*44/12</f>
        <v>62.011102694321863</v>
      </c>
      <c r="BR75" s="21">
        <f>EXP(-LN(2)/2)*BR74+(1-EXP(-LN(2)/2))/(LN(2)/2)*BL75*BO75*VLOOKUP('Données projet'!$B$11,Paramètres!$A$1:$I$89,3,0)*0.475*44/12</f>
        <v>3.4223032831931088</v>
      </c>
      <c r="BS75" s="22">
        <f t="shared" si="63"/>
        <v>199.98105224833503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81.299024916151723</v>
      </c>
      <c r="CE75" s="59">
        <f t="shared" si="94"/>
        <v>88.106373324240167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39.796020712549833</v>
      </c>
      <c r="CL75" s="21">
        <f>EXP(-LN(2)/25)*CL74+(1-EXP(-LN(2)/25))/(LN(2)/25)*Calculateur!CG75*Calculateur!CI75*VLOOKUP('Données projet'!$B$12,Paramètres!$A$1:$I$89,3,0)*0.475*44/12</f>
        <v>16.588727991303752</v>
      </c>
      <c r="CM75" s="21">
        <f>EXP(-LN(2)/2)*CM74+(1-EXP(-LN(2)/2))/(LN(2)/2)*CG75*CJ75*VLOOKUP('Données projet'!$B$12,Paramètres!$A$1:$I$89,3,0)*0.475*44/12</f>
        <v>0.37508719090233439</v>
      </c>
      <c r="CN75" s="22">
        <f t="shared" si="66"/>
        <v>56.759835894755923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-3.4106051316484809E-13</v>
      </c>
      <c r="CU75" s="17">
        <f>CT75*VLOOKUP('Données projet'!$B$13,Paramètres!$A$1:$I$89,3,0)*VLOOKUP('Données projet'!$B$13,Paramètres!$A$1:$I$89,5,0)</f>
        <v>-1.9065282685915009E-13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475.42482703895411</v>
      </c>
      <c r="CZ75" s="59">
        <f t="shared" si="96"/>
        <v>593.51433014569966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271.84887675043018</v>
      </c>
      <c r="DG75" s="21">
        <f>EXP(-LN(2)/25)*DG74+(1-EXP(-LN(2)/25))/(LN(2)/25)*Calculateur!DB75*Calculateur!DD75*VLOOKUP('Données projet'!$B$13,Paramètres!$A$1:$I$89,3,0)*0.475*44/12</f>
        <v>53.324440464376231</v>
      </c>
      <c r="DH75" s="21">
        <f>EXP(-LN(2)/2)*DH74+(1-EXP(-LN(2)/2))/(LN(2)/2)*DB75*DE75*VLOOKUP('Données projet'!$B$13,Paramètres!$A$1:$I$89,3,0)*0.475*44/12</f>
        <v>4.3493668713856888</v>
      </c>
      <c r="DI75" s="22">
        <f t="shared" si="69"/>
        <v>329.5226840861921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8.1111111111111107</v>
      </c>
      <c r="DO75" s="12">
        <f>IF('Données projet'!$A$166&gt;35,DO74+DN75-DW74,IF(A75&lt;'Données projet'!$A$166,$DL$205^A75,IF(A75='Données projet'!$A$166,'Données projet'!$B$166,DO74+DN75-DW74)))</f>
        <v>247.33333333333331</v>
      </c>
      <c r="DP75" s="17">
        <f>DO75*VLOOKUP('Données projet'!$B$14,Paramètres!$A$1:$I$89,3,0)*VLOOKUP('Données projet'!$B$14,Paramètres!$A$1:$I$89,5,0)</f>
        <v>223.78719999999998</v>
      </c>
      <c r="DQ75" s="13">
        <f t="shared" si="97"/>
        <v>54.937195482089855</v>
      </c>
      <c r="DR75" s="20">
        <f t="shared" si="70"/>
        <v>485.44498879797311</v>
      </c>
      <c r="DS75" s="59">
        <f t="shared" si="71"/>
        <v>778.77832213130637</v>
      </c>
      <c r="DT75" s="59">
        <f ca="1">AVERAGE(OFFSET($DS$3,0,0,'Données projet'!$E$14+1,1))-AVERAGE(OFFSET($H$3,0,0,'Données projet'!$E$14+1,1))</f>
        <v>401.17301323870578</v>
      </c>
      <c r="DU75" s="59">
        <f t="shared" si="98"/>
        <v>201.57993789149754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30.629836050283238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30.629836050283238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1.7053025658242404E-13</v>
      </c>
      <c r="EK75" s="17">
        <f>EJ75*VLOOKUP('Données projet'!$B$15,Paramètres!$A$1:$I$89,3,0)*VLOOKUP('Données projet'!$B$15,Paramètres!$A$1:$I$89,5,0)</f>
        <v>1.4897523215040567E-13</v>
      </c>
      <c r="EL75" s="13">
        <f t="shared" si="99"/>
        <v>2.136562777003313E-12</v>
      </c>
      <c r="EM75" s="20">
        <f t="shared" si="73"/>
        <v>3.9806453659427267E-12</v>
      </c>
      <c r="EN75" s="59">
        <f t="shared" si="74"/>
        <v>293.33333333333729</v>
      </c>
      <c r="EO75" s="59">
        <f ca="1">AVERAGE(OFFSET($EN$3,0,0,'Données projet'!$E$15+1,1))-AVERAGE(OFFSET($H$3,0,0,'Données projet'!$E$15+1,1))</f>
        <v>237.8483058552178</v>
      </c>
      <c r="EP75" s="59">
        <f t="shared" si="100"/>
        <v>313.36201272119723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78.204724375345492</v>
      </c>
      <c r="EW75" s="21">
        <f>EXP(-LN(2)/25)*EW74+(1-EXP(-LN(2)/25))/(LN(2)/25)*Calculateur!ER75*Calculateur!ET75*VLOOKUP('Données projet'!$B$15,Paramètres!$A$1:$I$89,3,0)*0.475*44/12</f>
        <v>5.0184050435329119</v>
      </c>
      <c r="EX75" s="21">
        <f>EXP(-LN(2)/2)*EX74+(1-EXP(-LN(2)/2))/(LN(2)/2)*ER75*EU75*VLOOKUP('Données projet'!$B$15,Paramètres!$A$1:$I$89,3,0)*0.475*44/12</f>
        <v>20.595304483059184</v>
      </c>
      <c r="EY75" s="22">
        <f t="shared" si="75"/>
        <v>103.81843390193758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4.8</v>
      </c>
      <c r="FE75" s="12">
        <f>IF('Données projet'!$A$218&gt;35,FE74+FD75-FM74,IF(A75&lt;'Données projet'!$A$218,$FB$205^A75,IF(A75='Données projet'!$A$218,'Données projet'!$B$218,FE74+FD75-FM74)))</f>
        <v>360.59999999999968</v>
      </c>
      <c r="FF75" s="17">
        <f>FE75*VLOOKUP('Données projet'!$B$16,Paramètres!$A$1:$I$89,3,0)*VLOOKUP('Données projet'!$B$16,Paramètres!$A$1:$I$89,5,0)</f>
        <v>281.26799999999974</v>
      </c>
      <c r="FG75" s="13">
        <f t="shared" si="101"/>
        <v>67.234903224948226</v>
      </c>
      <c r="FH75" s="20">
        <f t="shared" si="76"/>
        <v>606.97588978345107</v>
      </c>
      <c r="FI75" s="59">
        <f t="shared" si="77"/>
        <v>900.30922311678432</v>
      </c>
      <c r="FJ75" s="59">
        <f ca="1">AVERAGE(OFFSET($FI$3,0,0,'Données projet'!$E$16+1,1))-AVERAGE(OFFSET($H$3,0,0,'Données projet'!$E$16+1,1))</f>
        <v>318.52984981739411</v>
      </c>
      <c r="FK75" s="59">
        <f t="shared" si="102"/>
        <v>311.56398336941714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19.171663448430227</v>
      </c>
      <c r="FR75" s="21">
        <f>EXP(-LN(2)/25)*FR74+(1-EXP(-LN(2)/25))/(LN(2)/25)*Calculateur!FM75*Calculateur!FO75*VLOOKUP('Données projet'!$B$16,Paramètres!$A$1:$I$89,3,0)*0.475*44/12</f>
        <v>5.0099178077084163</v>
      </c>
      <c r="FS75" s="21">
        <f>EXP(-LN(2)/2)*FS74+(1-EXP(-LN(2)/2))/(LN(2)/2)*FM75*FP75*VLOOKUP('Données projet'!$B$16,Paramètres!$A$1:$I$89,3,0)*0.475*44/12</f>
        <v>1.361427842858443</v>
      </c>
      <c r="FT75" s="22">
        <f t="shared" si="78"/>
        <v>25.543009098997086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4.8</v>
      </c>
      <c r="FZ75" s="12">
        <f>IF('Données projet'!$A$244&gt;35,FZ74+FY75-GH74,IF(A75&lt;'Données projet'!$A$244,$FW$205^A75,IF(A75='Données projet'!$A$244,'Données projet'!$B$244,FZ74+FY75-GH74)))</f>
        <v>360.59999999999968</v>
      </c>
      <c r="GA75" s="17">
        <f>FZ75*VLOOKUP('Données projet'!$B$17,Paramètres!$A$1:$I$89,3,0)*VLOOKUP('Données projet'!$B$17,Paramètres!$A$1:$I$89,5,0)</f>
        <v>286.89335999999975</v>
      </c>
      <c r="GB75" s="13">
        <f t="shared" si="103"/>
        <v>68.421705584684744</v>
      </c>
      <c r="GC75" s="20">
        <f t="shared" si="79"/>
        <v>618.84040589332551</v>
      </c>
      <c r="GD75" s="59">
        <f t="shared" si="80"/>
        <v>912.17373922665888</v>
      </c>
      <c r="GE75" s="59">
        <f ca="1">AVERAGE(OFFSET($GD$3,0,0,'Données projet'!$E$17+1,1))-AVERAGE(OFFSET($H$3,0,0,'Données projet'!$E$17+1,1))</f>
        <v>325.72928944930294</v>
      </c>
      <c r="GF75" s="59">
        <f t="shared" si="104"/>
        <v>318.38876834819752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24.102793628421828</v>
      </c>
      <c r="GM75" s="21">
        <f>EXP(-LN(2)/25)*GM74+(1-EXP(-LN(2)/25))/(LN(2)/25)*Calculateur!GH75*Calculateur!GJ75*VLOOKUP('Données projet'!$B$17,Paramètres!$A$1:$I$89,3,0)*0.475*44/12</f>
        <v>6.2985152717376014</v>
      </c>
      <c r="GN75" s="21">
        <f>EXP(-LN(2)/2)*GN74+(1-EXP(-LN(2)/2))/(LN(2)/2)*GH75*GK75*VLOOKUP('Données projet'!$B$17,Paramètres!$A$1:$I$89,3,0)*0.475*44/12</f>
        <v>1.3886563997156116</v>
      </c>
      <c r="GO75" s="21">
        <f t="shared" si="81"/>
        <v>31.789965299875039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4.8</v>
      </c>
      <c r="GU75" s="12">
        <f>IF('Données projet'!$A$270&gt;35,GU74+GT75-HC74,IF(A75&lt;'Données projet'!$A$270,$GR$205^A75,IF(A75='Données projet'!$A$270,'Données projet'!$B$270,GU74+GT75-HC74)))</f>
        <v>360.59999999999968</v>
      </c>
      <c r="GV75" s="17">
        <f>GU75*VLOOKUP('Données projet'!$B$18,Paramètres!$A$1:$I$89,3,0)*VLOOKUP('Données projet'!$B$18,Paramètres!$A$1:$I$89,5,0)</f>
        <v>241.89047999999977</v>
      </c>
      <c r="GW75" s="13">
        <f t="shared" si="105"/>
        <v>58.846090538615705</v>
      </c>
      <c r="GX75" s="20">
        <f t="shared" si="82"/>
        <v>523.78286035475526</v>
      </c>
      <c r="GY75" s="59">
        <f t="shared" si="83"/>
        <v>817.11619368808852</v>
      </c>
      <c r="GZ75" s="59">
        <f ca="1">AVERAGE(OFFSET($GY$3,0,0,'Données projet'!$E$18+1,1))-AVERAGE(OFFSET($H$3,0,0,'Données projet'!$E$18+1,1))</f>
        <v>268.04554291387961</v>
      </c>
      <c r="HA75" s="59">
        <f t="shared" si="106"/>
        <v>263.70463099437148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20.321963255336041</v>
      </c>
      <c r="HH75" s="21">
        <f>EXP(-LN(2)/25)*HH74+(1-EXP(-LN(2)/25))/(LN(2)/25)*Calculateur!HC75*Calculateur!HE75*VLOOKUP('Données projet'!$B$18,Paramètres!$A$1:$I$89,3,0)*0.475*44/12</f>
        <v>5.3105128761709226</v>
      </c>
      <c r="HI75" s="21">
        <f>EXP(-LN(2)/2)*HI74+(1-EXP(-LN(2)/2))/(LN(2)/2)*HC75*HF75*VLOOKUP('Données projet'!$B$18,Paramètres!$A$1:$I$89,3,0)*0.475*44/12</f>
        <v>1.170827944858261</v>
      </c>
      <c r="HJ75" s="22">
        <f t="shared" si="84"/>
        <v>26.803304076365222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8.6</v>
      </c>
      <c r="N76" s="13">
        <f>IF('Données projet'!$A$36&gt;35,N75+M76-V75,IF(A76&lt;'Données projet'!$A$36,$K$205^A76,IF(A76='Données projet'!$A$36,'Données projet'!$B$36,N75+M76-V75)))</f>
        <v>229.7999999999999</v>
      </c>
      <c r="O76" s="13">
        <f>N76*VLOOKUP('Données projet'!$B$9,Paramètres!$A$1:$I$89,3,0)*VLOOKUP('Données projet'!$B$9,Paramètres!$A$1:$I$89,5,0)</f>
        <v>101.57159999999998</v>
      </c>
      <c r="P76" s="13">
        <f t="shared" si="87"/>
        <v>27.336069099006757</v>
      </c>
      <c r="Q76" s="20">
        <f t="shared" si="54"/>
        <v>224.51419034743674</v>
      </c>
      <c r="R76" s="59">
        <f t="shared" si="55"/>
        <v>517.84752368077011</v>
      </c>
      <c r="S76" s="59">
        <f ca="1">AVERAGE(OFFSET($R$3,0,0,'Données projet'!$E$9+1,1))-AVERAGE(OFFSET($H$3,0,0,'Données projet'!$E$9+1,1))</f>
        <v>46.095319339746538</v>
      </c>
      <c r="T76" s="59">
        <f t="shared" si="88"/>
        <v>48.158174304064403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7.8550682579155753</v>
      </c>
      <c r="AA76" s="21">
        <f>EXP(-LN(2)/25)*AA75+(1-EXP(-LN(2)/25))/(LN(2)/25)*Calculateur!V76*Calculateur!X76*VLOOKUP('Données projet'!$B$9,Paramètres!$A$1:$I$89,3,0)*0.475*44/12</f>
        <v>14.761071866049454</v>
      </c>
      <c r="AB76" s="21">
        <f>EXP(-LN(2)/2)*AB75+(1-EXP(-LN(2)/2))/(LN(2)/2)*V76*Y76*VLOOKUP('Données projet'!$B$9,Paramètres!$A$1:$I$89,3,0)*0.475*44/12</f>
        <v>2.8833249021847065</v>
      </c>
      <c r="AC76" s="22">
        <f t="shared" si="57"/>
        <v>25.499465026149736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-1.1368683772161603E-13</v>
      </c>
      <c r="AJ76" s="13">
        <f>AI76*VLOOKUP('Données projet'!$B$10,Paramètres!$A$1:$I$89,3,0)*VLOOKUP('Données projet'!$B$10,Paramètres!$A$1:$I$89,5,0)</f>
        <v>-6.7984728957526396E-14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408.84545509668794</v>
      </c>
      <c r="AO76" s="59">
        <f t="shared" si="90"/>
        <v>409.9253979841132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145.39345169913827</v>
      </c>
      <c r="AV76" s="21">
        <f>EXP(-LN(2)/25)*AV75+(1-EXP(-LN(2)/25))/(LN(2)/25)*Calculateur!AQ76*Calculateur!AS76*VLOOKUP('Données projet'!$B$10,Paramètres!$A$1:$I$89,3,0)*0.475*44/12</f>
        <v>53.17409552544494</v>
      </c>
      <c r="AW76" s="21">
        <f>EXP(-LN(2)/2)*AW75+(1-EXP(-LN(2)/2))/(LN(2)/2)*AQ76*AT76*VLOOKUP('Données projet'!$B$10,Paramètres!$A$1:$I$89,3,0)*0.475*44/12</f>
        <v>1.037202962420873</v>
      </c>
      <c r="AX76" s="21">
        <f t="shared" si="60"/>
        <v>199.6047501870041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-1.1368683772161603E-13</v>
      </c>
      <c r="BE76" s="13">
        <f>BD76*VLOOKUP('Données projet'!$B$11,Paramètres!$A$1:$I$89,3,0)*VLOOKUP('Données projet'!$B$11,Paramètres!$A$1:$I$89,5,0)</f>
        <v>-6.7984728957526396E-14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279.69031306919914</v>
      </c>
      <c r="BJ76" s="59">
        <f t="shared" si="92"/>
        <v>297.01680128882509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131.90924899341016</v>
      </c>
      <c r="BQ76" s="21">
        <f>EXP(-LN(2)/25)*BQ75+(1-EXP(-LN(2)/25))/(LN(2)/25)*Calculateur!BL76*Calculateur!BN76*VLOOKUP('Données projet'!$B$11,Paramètres!$A$1:$I$89,3,0)*0.475*44/12</f>
        <v>60.315405830123467</v>
      </c>
      <c r="BR76" s="21">
        <f>EXP(-LN(2)/2)*BR75+(1-EXP(-LN(2)/2))/(LN(2)/2)*BL76*BO76*VLOOKUP('Données projet'!$B$11,Paramètres!$A$1:$I$89,3,0)*0.475*44/12</f>
        <v>2.4199338588228327</v>
      </c>
      <c r="BS76" s="22">
        <f t="shared" si="63"/>
        <v>194.64458868235647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81.299024916151723</v>
      </c>
      <c r="CE76" s="59">
        <f t="shared" si="94"/>
        <v>88.106373324240167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39.015645019552586</v>
      </c>
      <c r="CL76" s="21">
        <f>EXP(-LN(2)/25)*CL75+(1-EXP(-LN(2)/25))/(LN(2)/25)*Calculateur!CG76*Calculateur!CI76*VLOOKUP('Données projet'!$B$12,Paramètres!$A$1:$I$89,3,0)*0.475*44/12</f>
        <v>16.135108352018261</v>
      </c>
      <c r="CM76" s="21">
        <f>EXP(-LN(2)/2)*CM75+(1-EXP(-LN(2)/2))/(LN(2)/2)*CG76*CJ76*VLOOKUP('Données projet'!$B$12,Paramètres!$A$1:$I$89,3,0)*0.475*44/12</f>
        <v>0.26522669622325373</v>
      </c>
      <c r="CN76" s="22">
        <f t="shared" si="66"/>
        <v>55.415980067794095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-3.4106051316484809E-13</v>
      </c>
      <c r="CU76" s="17">
        <f>CT76*VLOOKUP('Données projet'!$B$13,Paramètres!$A$1:$I$89,3,0)*VLOOKUP('Données projet'!$B$13,Paramètres!$A$1:$I$89,5,0)</f>
        <v>-1.9065282685915009E-13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475.42482703895411</v>
      </c>
      <c r="CZ76" s="59">
        <f t="shared" si="96"/>
        <v>593.51433014569966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266.51808608879657</v>
      </c>
      <c r="DG76" s="21">
        <f>EXP(-LN(2)/25)*DG75+(1-EXP(-LN(2)/25))/(LN(2)/25)*Calculateur!DB76*Calculateur!DD76*VLOOKUP('Données projet'!$B$13,Paramètres!$A$1:$I$89,3,0)*0.475*44/12</f>
        <v>51.866280835667411</v>
      </c>
      <c r="DH76" s="21">
        <f>EXP(-LN(2)/2)*DH75+(1-EXP(-LN(2)/2))/(LN(2)/2)*DB76*DE76*VLOOKUP('Données projet'!$B$13,Paramètres!$A$1:$I$89,3,0)*0.475*44/12</f>
        <v>3.075466808624939</v>
      </c>
      <c r="DI76" s="22">
        <f t="shared" si="69"/>
        <v>321.45983373308889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8.1111111111111107</v>
      </c>
      <c r="DO76" s="12">
        <f>IF('Données projet'!$A$166&gt;35,DO75+DN76-DW75,IF(A76&lt;'Données projet'!$A$166,$DL$205^A76,IF(A76='Données projet'!$A$166,'Données projet'!$B$166,DO75+DN76-DW75)))</f>
        <v>255.44444444444443</v>
      </c>
      <c r="DP76" s="17">
        <f>DO76*VLOOKUP('Données projet'!$B$14,Paramètres!$A$1:$I$89,3,0)*VLOOKUP('Données projet'!$B$14,Paramètres!$A$1:$I$89,5,0)</f>
        <v>231.12613333333331</v>
      </c>
      <c r="DQ76" s="13">
        <f t="shared" si="97"/>
        <v>56.526108626018512</v>
      </c>
      <c r="DR76" s="20">
        <f t="shared" si="70"/>
        <v>500.99432141253783</v>
      </c>
      <c r="DS76" s="59">
        <f t="shared" si="71"/>
        <v>794.32765474587109</v>
      </c>
      <c r="DT76" s="59">
        <f ca="1">AVERAGE(OFFSET($DS$3,0,0,'Données projet'!$E$14+1,1))-AVERAGE(OFFSET($H$3,0,0,'Données projet'!$E$14+1,1))</f>
        <v>401.17301323870578</v>
      </c>
      <c r="DU76" s="59">
        <f t="shared" si="98"/>
        <v>201.57993789149754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29.792261572735171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29.792261572735171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1.7053025658242404E-13</v>
      </c>
      <c r="EK76" s="17">
        <f>EJ76*VLOOKUP('Données projet'!$B$15,Paramètres!$A$1:$I$89,3,0)*VLOOKUP('Données projet'!$B$15,Paramètres!$A$1:$I$89,5,0)</f>
        <v>1.4897523215040567E-13</v>
      </c>
      <c r="EL76" s="13">
        <f t="shared" si="99"/>
        <v>2.136562777003313E-12</v>
      </c>
      <c r="EM76" s="20">
        <f t="shared" si="73"/>
        <v>3.9806453659427267E-12</v>
      </c>
      <c r="EN76" s="59">
        <f t="shared" si="74"/>
        <v>293.33333333333729</v>
      </c>
      <c r="EO76" s="59">
        <f ca="1">AVERAGE(OFFSET($EN$3,0,0,'Données projet'!$E$15+1,1))-AVERAGE(OFFSET($H$3,0,0,'Données projet'!$E$15+1,1))</f>
        <v>237.8483058552178</v>
      </c>
      <c r="EP76" s="59">
        <f t="shared" si="100"/>
        <v>313.36201272119723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76.671177430516835</v>
      </c>
      <c r="EW76" s="21">
        <f>EXP(-LN(2)/25)*EW75+(1-EXP(-LN(2)/25))/(LN(2)/25)*Calculateur!ER76*Calculateur!ET76*VLOOKUP('Données projet'!$B$15,Paramètres!$A$1:$I$89,3,0)*0.475*44/12</f>
        <v>4.8811764937110533</v>
      </c>
      <c r="EX76" s="21">
        <f>EXP(-LN(2)/2)*EX75+(1-EXP(-LN(2)/2))/(LN(2)/2)*ER76*EU76*VLOOKUP('Données projet'!$B$15,Paramètres!$A$1:$I$89,3,0)*0.475*44/12</f>
        <v>14.563079460572853</v>
      </c>
      <c r="EY76" s="22">
        <f t="shared" si="75"/>
        <v>96.115433384800738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4.8</v>
      </c>
      <c r="FE76" s="12">
        <f>IF('Données projet'!$A$218&gt;35,FE75+FD76-FM75,IF(A76&lt;'Données projet'!$A$218,$FB$205^A76,IF(A76='Données projet'!$A$218,'Données projet'!$B$218,FE75+FD76-FM75)))</f>
        <v>365.39999999999969</v>
      </c>
      <c r="FF76" s="17">
        <f>FE76*VLOOKUP('Données projet'!$B$16,Paramètres!$A$1:$I$89,3,0)*VLOOKUP('Données projet'!$B$16,Paramètres!$A$1:$I$89,5,0)</f>
        <v>285.01199999999977</v>
      </c>
      <c r="FG76" s="13">
        <f t="shared" si="101"/>
        <v>68.025092408173052</v>
      </c>
      <c r="FH76" s="20">
        <f t="shared" si="76"/>
        <v>614.87293594423443</v>
      </c>
      <c r="FI76" s="59">
        <f t="shared" si="77"/>
        <v>908.2062692775678</v>
      </c>
      <c r="FJ76" s="59">
        <f ca="1">AVERAGE(OFFSET($FI$3,0,0,'Données projet'!$E$16+1,1))-AVERAGE(OFFSET($H$3,0,0,'Données projet'!$E$16+1,1))</f>
        <v>318.52984981739411</v>
      </c>
      <c r="FK76" s="59">
        <f t="shared" si="102"/>
        <v>311.56398336941714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18.79571882176657</v>
      </c>
      <c r="FR76" s="21">
        <f>EXP(-LN(2)/25)*FR75+(1-EXP(-LN(2)/25))/(LN(2)/25)*Calculateur!FM76*Calculateur!FO76*VLOOKUP('Données projet'!$B$16,Paramètres!$A$1:$I$89,3,0)*0.475*44/12</f>
        <v>4.8729213417965029</v>
      </c>
      <c r="FS76" s="21">
        <f>EXP(-LN(2)/2)*FS75+(1-EXP(-LN(2)/2))/(LN(2)/2)*FM76*FP76*VLOOKUP('Données projet'!$B$16,Paramètres!$A$1:$I$89,3,0)*0.475*44/12</f>
        <v>0.96267485978137857</v>
      </c>
      <c r="FT76" s="22">
        <f t="shared" si="78"/>
        <v>24.631315023344452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4.8</v>
      </c>
      <c r="FZ76" s="12">
        <f>IF('Données projet'!$A$244&gt;35,FZ75+FY76-GH75,IF(A76&lt;'Données projet'!$A$244,$FW$205^A76,IF(A76='Données projet'!$A$244,'Données projet'!$B$244,FZ75+FY76-GH75)))</f>
        <v>365.39999999999969</v>
      </c>
      <c r="GA76" s="17">
        <f>FZ76*VLOOKUP('Données projet'!$B$17,Paramètres!$A$1:$I$89,3,0)*VLOOKUP('Données projet'!$B$17,Paramètres!$A$1:$I$89,5,0)</f>
        <v>290.71223999999978</v>
      </c>
      <c r="GB76" s="13">
        <f t="shared" si="103"/>
        <v>69.225842856510994</v>
      </c>
      <c r="GC76" s="20">
        <f t="shared" si="79"/>
        <v>626.89216097508961</v>
      </c>
      <c r="GD76" s="59">
        <f t="shared" si="80"/>
        <v>920.22549430842287</v>
      </c>
      <c r="GE76" s="59">
        <f ca="1">AVERAGE(OFFSET($GD$3,0,0,'Données projet'!$E$17+1,1))-AVERAGE(OFFSET($H$3,0,0,'Données projet'!$E$17+1,1))</f>
        <v>325.72928944930294</v>
      </c>
      <c r="GF76" s="59">
        <f t="shared" si="104"/>
        <v>318.38876834819752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23.630152546620963</v>
      </c>
      <c r="GM76" s="21">
        <f>EXP(-LN(2)/25)*GM75+(1-EXP(-LN(2)/25))/(LN(2)/25)*Calculateur!GH76*Calculateur!GJ76*VLOOKUP('Données projet'!$B$17,Paramètres!$A$1:$I$89,3,0)*0.475*44/12</f>
        <v>6.1262820404074141</v>
      </c>
      <c r="GN76" s="21">
        <f>EXP(-LN(2)/2)*GN75+(1-EXP(-LN(2)/2))/(LN(2)/2)*GH76*GK76*VLOOKUP('Données projet'!$B$17,Paramètres!$A$1:$I$89,3,0)*0.475*44/12</f>
        <v>0.98192835697700587</v>
      </c>
      <c r="GO76" s="21">
        <f t="shared" si="81"/>
        <v>30.738362944005381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4.8</v>
      </c>
      <c r="GU76" s="12">
        <f>IF('Données projet'!$A$270&gt;35,GU75+GT76-HC75,IF(A76&lt;'Données projet'!$A$270,$GR$205^A76,IF(A76='Données projet'!$A$270,'Données projet'!$B$270,GU75+GT76-HC75)))</f>
        <v>365.39999999999969</v>
      </c>
      <c r="GV76" s="17">
        <f>GU76*VLOOKUP('Données projet'!$B$18,Paramètres!$A$1:$I$89,3,0)*VLOOKUP('Données projet'!$B$18,Paramètres!$A$1:$I$89,5,0)</f>
        <v>245.1103199999998</v>
      </c>
      <c r="GW76" s="13">
        <f t="shared" si="105"/>
        <v>59.537688830400349</v>
      </c>
      <c r="GX76" s="20">
        <f t="shared" si="82"/>
        <v>530.5952820462802</v>
      </c>
      <c r="GY76" s="59">
        <f t="shared" si="83"/>
        <v>823.92861537961357</v>
      </c>
      <c r="GZ76" s="59">
        <f ca="1">AVERAGE(OFFSET($GY$3,0,0,'Données projet'!$E$18+1,1))-AVERAGE(OFFSET($H$3,0,0,'Données projet'!$E$18+1,1))</f>
        <v>268.04554291387961</v>
      </c>
      <c r="HA76" s="59">
        <f t="shared" si="106"/>
        <v>263.70463099437148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19.923461951072564</v>
      </c>
      <c r="HH76" s="21">
        <f>EXP(-LN(2)/25)*HH75+(1-EXP(-LN(2)/25))/(LN(2)/25)*Calculateur!HC76*Calculateur!HE76*VLOOKUP('Données projet'!$B$18,Paramètres!$A$1:$I$89,3,0)*0.475*44/12</f>
        <v>5.165296622304294</v>
      </c>
      <c r="HI76" s="21">
        <f>EXP(-LN(2)/2)*HI75+(1-EXP(-LN(2)/2))/(LN(2)/2)*HC76*HF76*VLOOKUP('Données projet'!$B$18,Paramètres!$A$1:$I$89,3,0)*0.475*44/12</f>
        <v>0.82790037941198558</v>
      </c>
      <c r="HJ76" s="22">
        <f t="shared" si="84"/>
        <v>25.916658952788843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8.6</v>
      </c>
      <c r="N77" s="13">
        <f>IF('Données projet'!$A$36&gt;35,N76+M77-V76,IF(A77&lt;'Données projet'!$A$36,$K$205^A77,IF(A77='Données projet'!$A$36,'Données projet'!$B$36,N76+M77-V76)))</f>
        <v>238.39999999999989</v>
      </c>
      <c r="O77" s="13">
        <f>N77*VLOOKUP('Données projet'!$B$9,Paramètres!$A$1:$I$89,3,0)*VLOOKUP('Données projet'!$B$9,Paramètres!$A$1:$I$89,5,0)</f>
        <v>105.37279999999997</v>
      </c>
      <c r="P77" s="13">
        <f t="shared" si="87"/>
        <v>28.238068376785808</v>
      </c>
      <c r="Q77" s="20">
        <f t="shared" si="54"/>
        <v>232.70559575623523</v>
      </c>
      <c r="R77" s="59">
        <f t="shared" si="55"/>
        <v>526.03892908956857</v>
      </c>
      <c r="S77" s="59">
        <f ca="1">AVERAGE(OFFSET($R$3,0,0,'Données projet'!$E$9+1,1))-AVERAGE(OFFSET($H$3,0,0,'Données projet'!$E$9+1,1))</f>
        <v>46.095319339746538</v>
      </c>
      <c r="T77" s="59">
        <f t="shared" si="88"/>
        <v>48.158174304064403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7.7010351604964047</v>
      </c>
      <c r="AA77" s="21">
        <f>EXP(-LN(2)/25)*AA76+(1-EXP(-LN(2)/25))/(LN(2)/25)*Calculateur!V77*Calculateur!X77*VLOOKUP('Données projet'!$B$9,Paramètres!$A$1:$I$89,3,0)*0.475*44/12</f>
        <v>14.357429579621298</v>
      </c>
      <c r="AB77" s="21">
        <f>EXP(-LN(2)/2)*AB76+(1-EXP(-LN(2)/2))/(LN(2)/2)*V77*Y77*VLOOKUP('Données projet'!$B$9,Paramètres!$A$1:$I$89,3,0)*0.475*44/12</f>
        <v>2.038818590698845</v>
      </c>
      <c r="AC77" s="22">
        <f t="shared" si="57"/>
        <v>24.097283330816548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-1.1368683772161603E-13</v>
      </c>
      <c r="AJ77" s="13">
        <f>AI77*VLOOKUP('Données projet'!$B$10,Paramètres!$A$1:$I$89,3,0)*VLOOKUP('Données projet'!$B$10,Paramètres!$A$1:$I$89,5,0)</f>
        <v>-6.7984728957526396E-14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408.84545509668794</v>
      </c>
      <c r="AO77" s="59">
        <f t="shared" si="90"/>
        <v>409.9253979841132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142.54237479256716</v>
      </c>
      <c r="AV77" s="21">
        <f>EXP(-LN(2)/25)*AV76+(1-EXP(-LN(2)/25))/(LN(2)/25)*Calculateur!AQ77*Calculateur!AS77*VLOOKUP('Données projet'!$B$10,Paramètres!$A$1:$I$89,3,0)*0.475*44/12</f>
        <v>51.720047086997496</v>
      </c>
      <c r="AW77" s="21">
        <f>EXP(-LN(2)/2)*AW76+(1-EXP(-LN(2)/2))/(LN(2)/2)*AQ77*AT77*VLOOKUP('Données projet'!$B$10,Paramètres!$A$1:$I$89,3,0)*0.475*44/12</f>
        <v>0.7334132481945751</v>
      </c>
      <c r="AX77" s="21">
        <f t="shared" si="60"/>
        <v>194.99583512775925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-1.1368683772161603E-13</v>
      </c>
      <c r="BE77" s="13">
        <f>BD77*VLOOKUP('Données projet'!$B$11,Paramètres!$A$1:$I$89,3,0)*VLOOKUP('Données projet'!$B$11,Paramètres!$A$1:$I$89,5,0)</f>
        <v>-6.7984728957526396E-14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279.69031306919914</v>
      </c>
      <c r="BJ77" s="59">
        <f t="shared" si="92"/>
        <v>297.01680128882509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129.32258907734683</v>
      </c>
      <c r="BQ77" s="21">
        <f>EXP(-LN(2)/25)*BQ76+(1-EXP(-LN(2)/25))/(LN(2)/25)*Calculateur!BL77*Calculateur!BN77*VLOOKUP('Données projet'!$B$11,Paramètres!$A$1:$I$89,3,0)*0.475*44/12</f>
        <v>58.666077885849404</v>
      </c>
      <c r="BR77" s="21">
        <f>EXP(-LN(2)/2)*BR76+(1-EXP(-LN(2)/2))/(LN(2)/2)*BL77*BO77*VLOOKUP('Données projet'!$B$11,Paramètres!$A$1:$I$89,3,0)*0.475*44/12</f>
        <v>1.7111516415965544</v>
      </c>
      <c r="BS77" s="22">
        <f t="shared" si="63"/>
        <v>189.6998186047928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81.299024916151723</v>
      </c>
      <c r="CE77" s="59">
        <f t="shared" si="94"/>
        <v>88.106373324240167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38.250572017912845</v>
      </c>
      <c r="CL77" s="21">
        <f>EXP(-LN(2)/25)*CL76+(1-EXP(-LN(2)/25))/(LN(2)/25)*Calculateur!CG77*Calculateur!CI77*VLOOKUP('Données projet'!$B$12,Paramètres!$A$1:$I$89,3,0)*0.475*44/12</f>
        <v>15.693892965623851</v>
      </c>
      <c r="CM77" s="21">
        <f>EXP(-LN(2)/2)*CM76+(1-EXP(-LN(2)/2))/(LN(2)/2)*CG77*CJ77*VLOOKUP('Données projet'!$B$12,Paramètres!$A$1:$I$89,3,0)*0.475*44/12</f>
        <v>0.18754359545116719</v>
      </c>
      <c r="CN77" s="22">
        <f t="shared" si="66"/>
        <v>54.132008578987865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-3.4106051316484809E-13</v>
      </c>
      <c r="CU77" s="17">
        <f>CT77*VLOOKUP('Données projet'!$B$13,Paramètres!$A$1:$I$89,3,0)*VLOOKUP('Données projet'!$B$13,Paramètres!$A$1:$I$89,5,0)</f>
        <v>-1.9065282685915009E-13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475.42482703895411</v>
      </c>
      <c r="CZ77" s="59">
        <f t="shared" si="96"/>
        <v>593.51433014569966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261.29182898057633</v>
      </c>
      <c r="DG77" s="21">
        <f>EXP(-LN(2)/25)*DG76+(1-EXP(-LN(2)/25))/(LN(2)/25)*Calculateur!DB77*Calculateur!DD77*VLOOKUP('Données projet'!$B$13,Paramètres!$A$1:$I$89,3,0)*0.475*44/12</f>
        <v>50.447994658686916</v>
      </c>
      <c r="DH77" s="21">
        <f>EXP(-LN(2)/2)*DH76+(1-EXP(-LN(2)/2))/(LN(2)/2)*DB77*DE77*VLOOKUP('Données projet'!$B$13,Paramètres!$A$1:$I$89,3,0)*0.475*44/12</f>
        <v>2.1746834356928444</v>
      </c>
      <c r="DI77" s="22">
        <f t="shared" si="69"/>
        <v>313.91450707495608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8.1111111111111107</v>
      </c>
      <c r="DO77" s="12">
        <f>IF('Données projet'!$A$166&gt;35,DO76+DN77-DW76,IF(A77&lt;'Données projet'!$A$166,$DL$205^A77,IF(A77='Données projet'!$A$166,'Données projet'!$B$166,DO76+DN77-DW76)))</f>
        <v>263.55555555555554</v>
      </c>
      <c r="DP77" s="17">
        <f>DO77*VLOOKUP('Données projet'!$B$14,Paramètres!$A$1:$I$89,3,0)*VLOOKUP('Données projet'!$B$14,Paramètres!$A$1:$I$89,5,0)</f>
        <v>238.46506666666667</v>
      </c>
      <c r="DQ77" s="13">
        <f t="shared" si="97"/>
        <v>58.109158879235501</v>
      </c>
      <c r="DR77" s="20">
        <f t="shared" si="70"/>
        <v>516.53344282577962</v>
      </c>
      <c r="DS77" s="59">
        <f t="shared" si="71"/>
        <v>809.86677615911299</v>
      </c>
      <c r="DT77" s="59">
        <f ca="1">AVERAGE(OFFSET($DS$3,0,0,'Données projet'!$E$14+1,1))-AVERAGE(OFFSET($H$3,0,0,'Données projet'!$E$14+1,1))</f>
        <v>401.17301323870578</v>
      </c>
      <c r="DU77" s="59">
        <f t="shared" si="98"/>
        <v>201.57993789149754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28.977590613321784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28.977590613321784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1.7053025658242404E-13</v>
      </c>
      <c r="EK77" s="17">
        <f>EJ77*VLOOKUP('Données projet'!$B$15,Paramètres!$A$1:$I$89,3,0)*VLOOKUP('Données projet'!$B$15,Paramètres!$A$1:$I$89,5,0)</f>
        <v>1.4897523215040567E-13</v>
      </c>
      <c r="EL77" s="13">
        <f t="shared" si="99"/>
        <v>2.136562777003313E-12</v>
      </c>
      <c r="EM77" s="20">
        <f t="shared" si="73"/>
        <v>3.9806453659427267E-12</v>
      </c>
      <c r="EN77" s="59">
        <f t="shared" si="74"/>
        <v>293.33333333333729</v>
      </c>
      <c r="EO77" s="59">
        <f ca="1">AVERAGE(OFFSET($EN$3,0,0,'Données projet'!$E$15+1,1))-AVERAGE(OFFSET($H$3,0,0,'Données projet'!$E$15+1,1))</f>
        <v>237.8483058552178</v>
      </c>
      <c r="EP77" s="59">
        <f t="shared" si="100"/>
        <v>313.36201272119723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75.16770240590499</v>
      </c>
      <c r="EW77" s="21">
        <f>EXP(-LN(2)/25)*EW76+(1-EXP(-LN(2)/25))/(LN(2)/25)*Calculateur!ER77*Calculateur!ET77*VLOOKUP('Données projet'!$B$15,Paramètres!$A$1:$I$89,3,0)*0.475*44/12</f>
        <v>4.7477004658006088</v>
      </c>
      <c r="EX77" s="21">
        <f>EXP(-LN(2)/2)*EX76+(1-EXP(-LN(2)/2))/(LN(2)/2)*ER77*EU77*VLOOKUP('Données projet'!$B$15,Paramètres!$A$1:$I$89,3,0)*0.475*44/12</f>
        <v>10.297652241529594</v>
      </c>
      <c r="EY77" s="22">
        <f t="shared" si="75"/>
        <v>90.213055113235185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4.8</v>
      </c>
      <c r="FE77" s="12">
        <f>IF('Données projet'!$A$218&gt;35,FE76+FD77-FM76,IF(A77&lt;'Données projet'!$A$218,$FB$205^A77,IF(A77='Données projet'!$A$218,'Données projet'!$B$218,FE76+FD77-FM76)))</f>
        <v>370.1999999999997</v>
      </c>
      <c r="FF77" s="17">
        <f>FE77*VLOOKUP('Données projet'!$B$16,Paramètres!$A$1:$I$89,3,0)*VLOOKUP('Données projet'!$B$16,Paramètres!$A$1:$I$89,5,0)</f>
        <v>288.7559999999998</v>
      </c>
      <c r="FG77" s="13">
        <f t="shared" si="101"/>
        <v>68.814074228089893</v>
      </c>
      <c r="FH77" s="20">
        <f t="shared" si="76"/>
        <v>622.76787928058957</v>
      </c>
      <c r="FI77" s="59">
        <f t="shared" si="77"/>
        <v>916.10121261392283</v>
      </c>
      <c r="FJ77" s="59">
        <f ca="1">AVERAGE(OFFSET($FI$3,0,0,'Données projet'!$E$16+1,1))-AVERAGE(OFFSET($H$3,0,0,'Données projet'!$E$16+1,1))</f>
        <v>318.52984981739411</v>
      </c>
      <c r="FK77" s="59">
        <f t="shared" si="102"/>
        <v>311.56398336941714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18.427146239928209</v>
      </c>
      <c r="FR77" s="21">
        <f>EXP(-LN(2)/25)*FR76+(1-EXP(-LN(2)/25))/(LN(2)/25)*Calculateur!FM77*Calculateur!FO77*VLOOKUP('Données projet'!$B$16,Paramètres!$A$1:$I$89,3,0)*0.475*44/12</f>
        <v>4.7396710514492817</v>
      </c>
      <c r="FS77" s="21">
        <f>EXP(-LN(2)/2)*FS76+(1-EXP(-LN(2)/2))/(LN(2)/2)*FM77*FP77*VLOOKUP('Données projet'!$B$16,Paramètres!$A$1:$I$89,3,0)*0.475*44/12</f>
        <v>0.6807139214292216</v>
      </c>
      <c r="FT77" s="22">
        <f t="shared" si="78"/>
        <v>23.847531212806711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4.8</v>
      </c>
      <c r="FZ77" s="12">
        <f>IF('Données projet'!$A$244&gt;35,FZ76+FY77-GH76,IF(A77&lt;'Données projet'!$A$244,$FW$205^A77,IF(A77='Données projet'!$A$244,'Données projet'!$B$244,FZ76+FY77-GH76)))</f>
        <v>370.1999999999997</v>
      </c>
      <c r="GA77" s="17">
        <f>FZ77*VLOOKUP('Données projet'!$B$17,Paramètres!$A$1:$I$89,3,0)*VLOOKUP('Données projet'!$B$17,Paramètres!$A$1:$I$89,5,0)</f>
        <v>294.53111999999976</v>
      </c>
      <c r="GB77" s="13">
        <f t="shared" si="103"/>
        <v>70.028751453157682</v>
      </c>
      <c r="GC77" s="20">
        <f t="shared" si="79"/>
        <v>634.94177611424914</v>
      </c>
      <c r="GD77" s="59">
        <f t="shared" si="80"/>
        <v>928.27510944758251</v>
      </c>
      <c r="GE77" s="59">
        <f ca="1">AVERAGE(OFFSET($GD$3,0,0,'Données projet'!$E$17+1,1))-AVERAGE(OFFSET($H$3,0,0,'Données projet'!$E$17+1,1))</f>
        <v>325.72928944930294</v>
      </c>
      <c r="GF77" s="59">
        <f t="shared" si="104"/>
        <v>318.38876834819752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23.166779668151616</v>
      </c>
      <c r="GM77" s="21">
        <f>EXP(-LN(2)/25)*GM76+(1-EXP(-LN(2)/25))/(LN(2)/25)*Calculateur!GH77*Calculateur!GJ77*VLOOKUP('Données projet'!$B$17,Paramètres!$A$1:$I$89,3,0)*0.475*44/12</f>
        <v>5.9587585358453028</v>
      </c>
      <c r="GN77" s="21">
        <f>EXP(-LN(2)/2)*GN76+(1-EXP(-LN(2)/2))/(LN(2)/2)*GH77*GK77*VLOOKUP('Données projet'!$B$17,Paramètres!$A$1:$I$89,3,0)*0.475*44/12</f>
        <v>0.69432819985780592</v>
      </c>
      <c r="GO77" s="21">
        <f t="shared" si="81"/>
        <v>29.819866403854725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4.8</v>
      </c>
      <c r="GU77" s="12">
        <f>IF('Données projet'!$A$270&gt;35,GU76+GT77-HC76,IF(A77&lt;'Données projet'!$A$270,$GR$205^A77,IF(A77='Données projet'!$A$270,'Données projet'!$B$270,GU76+GT77-HC76)))</f>
        <v>370.1999999999997</v>
      </c>
      <c r="GV77" s="17">
        <f>GU77*VLOOKUP('Données projet'!$B$18,Paramètres!$A$1:$I$89,3,0)*VLOOKUP('Données projet'!$B$18,Paramètres!$A$1:$I$89,5,0)</f>
        <v>248.33015999999981</v>
      </c>
      <c r="GW77" s="13">
        <f t="shared" si="105"/>
        <v>60.228230400049313</v>
      </c>
      <c r="GX77" s="20">
        <f t="shared" si="82"/>
        <v>537.40586328008555</v>
      </c>
      <c r="GY77" s="59">
        <f t="shared" si="83"/>
        <v>830.73919661341893</v>
      </c>
      <c r="GZ77" s="59">
        <f ca="1">AVERAGE(OFFSET($GY$3,0,0,'Données projet'!$E$18+1,1))-AVERAGE(OFFSET($H$3,0,0,'Données projet'!$E$18+1,1))</f>
        <v>268.04554291387961</v>
      </c>
      <c r="HA77" s="59">
        <f t="shared" si="106"/>
        <v>263.70463099437148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19.532775014323899</v>
      </c>
      <c r="HH77" s="21">
        <f>EXP(-LN(2)/25)*HH76+(1-EXP(-LN(2)/25))/(LN(2)/25)*Calculateur!HC77*Calculateur!HE77*VLOOKUP('Données projet'!$B$18,Paramètres!$A$1:$I$89,3,0)*0.475*44/12</f>
        <v>5.0240513145362389</v>
      </c>
      <c r="HI77" s="21">
        <f>EXP(-LN(2)/2)*HI76+(1-EXP(-LN(2)/2))/(LN(2)/2)*HC77*HF77*VLOOKUP('Données projet'!$B$18,Paramètres!$A$1:$I$89,3,0)*0.475*44/12</f>
        <v>0.58541397242913062</v>
      </c>
      <c r="HJ77" s="22">
        <f t="shared" si="84"/>
        <v>25.14224030128927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8.6</v>
      </c>
      <c r="N78" s="13">
        <f>IF('Données projet'!$A$36&gt;35,N77+M78-V77,IF(A78&lt;'Données projet'!$A$36,$K$205^A78,IF(A78='Données projet'!$A$36,'Données projet'!$B$36,N77+M78-V77)))</f>
        <v>246.99999999999989</v>
      </c>
      <c r="O78" s="13">
        <f>N78*VLOOKUP('Données projet'!$B$9,Paramètres!$A$1:$I$89,3,0)*VLOOKUP('Données projet'!$B$9,Paramètres!$A$1:$I$89,5,0)</f>
        <v>109.17399999999995</v>
      </c>
      <c r="P78" s="13">
        <f t="shared" si="87"/>
        <v>29.136287240258785</v>
      </c>
      <c r="Q78" s="20">
        <f t="shared" si="54"/>
        <v>240.89041694345062</v>
      </c>
      <c r="R78" s="59">
        <f t="shared" si="55"/>
        <v>534.2237502767839</v>
      </c>
      <c r="S78" s="59">
        <f ca="1">AVERAGE(OFFSET($R$3,0,0,'Données projet'!$E$9+1,1))-AVERAGE(OFFSET($H$3,0,0,'Données projet'!$E$9+1,1))</f>
        <v>46.095319339746538</v>
      </c>
      <c r="T78" s="59">
        <f t="shared" si="88"/>
        <v>48.158174304064403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7.5500225581667113</v>
      </c>
      <c r="AA78" s="21">
        <f>EXP(-LN(2)/25)*AA77+(1-EXP(-LN(2)/25))/(LN(2)/25)*Calculateur!V78*Calculateur!X78*VLOOKUP('Données projet'!$B$9,Paramètres!$A$1:$I$89,3,0)*0.475*44/12</f>
        <v>13.964824912742147</v>
      </c>
      <c r="AB78" s="21">
        <f>EXP(-LN(2)/2)*AB77+(1-EXP(-LN(2)/2))/(LN(2)/2)*V78*Y78*VLOOKUP('Données projet'!$B$9,Paramètres!$A$1:$I$89,3,0)*0.475*44/12</f>
        <v>1.4416624510923535</v>
      </c>
      <c r="AC78" s="22">
        <f t="shared" si="57"/>
        <v>22.95650992200121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-1.1368683772161603E-13</v>
      </c>
      <c r="AJ78" s="13">
        <f>AI78*VLOOKUP('Données projet'!$B$10,Paramètres!$A$1:$I$89,3,0)*VLOOKUP('Données projet'!$B$10,Paramètres!$A$1:$I$89,5,0)</f>
        <v>-6.7984728957526396E-14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408.84545509668794</v>
      </c>
      <c r="AO78" s="59">
        <f t="shared" si="90"/>
        <v>409.9253979841132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139.74720576514869</v>
      </c>
      <c r="AV78" s="21">
        <f>EXP(-LN(2)/25)*AV77+(1-EXP(-LN(2)/25))/(LN(2)/25)*Calculateur!AQ78*Calculateur!AS78*VLOOKUP('Données projet'!$B$10,Paramètres!$A$1:$I$89,3,0)*0.475*44/12</f>
        <v>50.305759679564481</v>
      </c>
      <c r="AW78" s="21">
        <f>EXP(-LN(2)/2)*AW77+(1-EXP(-LN(2)/2))/(LN(2)/2)*AQ78*AT78*VLOOKUP('Données projet'!$B$10,Paramètres!$A$1:$I$89,3,0)*0.475*44/12</f>
        <v>0.51860148121043648</v>
      </c>
      <c r="AX78" s="21">
        <f t="shared" si="60"/>
        <v>190.57156692592361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-1.1368683772161603E-13</v>
      </c>
      <c r="BE78" s="13">
        <f>BD78*VLOOKUP('Données projet'!$B$11,Paramètres!$A$1:$I$89,3,0)*VLOOKUP('Données projet'!$B$11,Paramètres!$A$1:$I$89,5,0)</f>
        <v>-6.7984728957526396E-14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279.69031306919914</v>
      </c>
      <c r="BJ78" s="59">
        <f t="shared" si="92"/>
        <v>297.01680128882509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126.78665198453075</v>
      </c>
      <c r="BQ78" s="21">
        <f>EXP(-LN(2)/25)*BQ77+(1-EXP(-LN(2)/25))/(LN(2)/25)*Calculateur!BL78*Calculateur!BN78*VLOOKUP('Données projet'!$B$11,Paramètres!$A$1:$I$89,3,0)*0.475*44/12</f>
        <v>57.061850900945899</v>
      </c>
      <c r="BR78" s="21">
        <f>EXP(-LN(2)/2)*BR77+(1-EXP(-LN(2)/2))/(LN(2)/2)*BL78*BO78*VLOOKUP('Données projet'!$B$11,Paramètres!$A$1:$I$89,3,0)*0.475*44/12</f>
        <v>1.2099669294114164</v>
      </c>
      <c r="BS78" s="22">
        <f t="shared" si="63"/>
        <v>185.05846981488807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81.299024916151723</v>
      </c>
      <c r="CE78" s="59">
        <f t="shared" si="94"/>
        <v>88.106373324240167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37.500501631186808</v>
      </c>
      <c r="CL78" s="21">
        <f>EXP(-LN(2)/25)*CL77+(1-EXP(-LN(2)/25))/(LN(2)/25)*Calculateur!CG78*Calculateur!CI78*VLOOKUP('Données projet'!$B$12,Paramètres!$A$1:$I$89,3,0)*0.475*44/12</f>
        <v>15.264742637172905</v>
      </c>
      <c r="CM78" s="21">
        <f>EXP(-LN(2)/2)*CM77+(1-EXP(-LN(2)/2))/(LN(2)/2)*CG78*CJ78*VLOOKUP('Données projet'!$B$12,Paramètres!$A$1:$I$89,3,0)*0.475*44/12</f>
        <v>0.13261334811162687</v>
      </c>
      <c r="CN78" s="22">
        <f t="shared" si="66"/>
        <v>52.897857616471335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-3.4106051316484809E-13</v>
      </c>
      <c r="CU78" s="17">
        <f>CT78*VLOOKUP('Données projet'!$B$13,Paramètres!$A$1:$I$89,3,0)*VLOOKUP('Données projet'!$B$13,Paramètres!$A$1:$I$89,5,0)</f>
        <v>-1.9065282685915009E-13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475.42482703895411</v>
      </c>
      <c r="CZ78" s="59">
        <f t="shared" si="96"/>
        <v>593.51433014569966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256.16805558654619</v>
      </c>
      <c r="DG78" s="21">
        <f>EXP(-LN(2)/25)*DG77+(1-EXP(-LN(2)/25))/(LN(2)/25)*Calculateur!DB78*Calculateur!DD78*VLOOKUP('Données projet'!$B$13,Paramètres!$A$1:$I$89,3,0)*0.475*44/12</f>
        <v>49.068491591800381</v>
      </c>
      <c r="DH78" s="21">
        <f>EXP(-LN(2)/2)*DH77+(1-EXP(-LN(2)/2))/(LN(2)/2)*DB78*DE78*VLOOKUP('Données projet'!$B$13,Paramètres!$A$1:$I$89,3,0)*0.475*44/12</f>
        <v>1.5377334043124695</v>
      </c>
      <c r="DI78" s="22">
        <f t="shared" si="69"/>
        <v>306.774280582659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8.1111111111111107</v>
      </c>
      <c r="DO78" s="12">
        <f>IF('Données projet'!$A$166&gt;35,DO77+DN78-DW77,IF(A78&lt;'Données projet'!$A$166,$DL$205^A78,IF(A78='Données projet'!$A$166,'Données projet'!$B$166,DO77+DN78-DW77)))</f>
        <v>271.66666666666663</v>
      </c>
      <c r="DP78" s="17">
        <f>DO78*VLOOKUP('Données projet'!$B$14,Paramètres!$A$1:$I$89,3,0)*VLOOKUP('Données projet'!$B$14,Paramètres!$A$1:$I$89,5,0)</f>
        <v>245.80399999999995</v>
      </c>
      <c r="DQ78" s="13">
        <f t="shared" si="97"/>
        <v>59.686547383038381</v>
      </c>
      <c r="DR78" s="20">
        <f t="shared" si="70"/>
        <v>532.06270335879174</v>
      </c>
      <c r="DS78" s="59">
        <f t="shared" si="71"/>
        <v>825.39603669212511</v>
      </c>
      <c r="DT78" s="59">
        <f ca="1">AVERAGE(OFFSET($DS$3,0,0,'Données projet'!$E$14+1,1))-AVERAGE(OFFSET($H$3,0,0,'Données projet'!$E$14+1,1))</f>
        <v>401.17301323870578</v>
      </c>
      <c r="DU78" s="59">
        <f t="shared" si="98"/>
        <v>201.57993789149754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28.18519687413524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28.18519687413524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1.7053025658242404E-13</v>
      </c>
      <c r="EK78" s="17">
        <f>EJ78*VLOOKUP('Données projet'!$B$15,Paramètres!$A$1:$I$89,3,0)*VLOOKUP('Données projet'!$B$15,Paramètres!$A$1:$I$89,5,0)</f>
        <v>1.4897523215040567E-13</v>
      </c>
      <c r="EL78" s="13">
        <f t="shared" si="99"/>
        <v>2.136562777003313E-12</v>
      </c>
      <c r="EM78" s="20">
        <f t="shared" si="73"/>
        <v>3.9806453659427267E-12</v>
      </c>
      <c r="EN78" s="59">
        <f t="shared" si="74"/>
        <v>293.33333333333729</v>
      </c>
      <c r="EO78" s="59">
        <f ca="1">AVERAGE(OFFSET($EN$3,0,0,'Données projet'!$E$15+1,1))-AVERAGE(OFFSET($H$3,0,0,'Données projet'!$E$15+1,1))</f>
        <v>237.8483058552178</v>
      </c>
      <c r="EP78" s="59">
        <f t="shared" si="100"/>
        <v>313.36201272119723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73.693709609496565</v>
      </c>
      <c r="EW78" s="21">
        <f>EXP(-LN(2)/25)*EW77+(1-EXP(-LN(2)/25))/(LN(2)/25)*Calculateur!ER78*Calculateur!ET78*VLOOKUP('Données projet'!$B$15,Paramètres!$A$1:$I$89,3,0)*0.475*44/12</f>
        <v>4.6178743468925747</v>
      </c>
      <c r="EX78" s="21">
        <f>EXP(-LN(2)/2)*EX77+(1-EXP(-LN(2)/2))/(LN(2)/2)*ER78*EU78*VLOOKUP('Données projet'!$B$15,Paramètres!$A$1:$I$89,3,0)*0.475*44/12</f>
        <v>7.2815397302864273</v>
      </c>
      <c r="EY78" s="22">
        <f t="shared" si="75"/>
        <v>85.593123686675568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375</v>
      </c>
      <c r="FC78" s="12">
        <f>VLOOKUP(A78,'Données projet'!$A$217:$I$237,9,0)</f>
        <v>4.8</v>
      </c>
      <c r="FD78" s="12">
        <f t="array" ref="FD78">INDEX(FC:FC,MIN(IF(ISNUMBER(FC78:FC274),ROW(FC78:FC274),"")))</f>
        <v>4.8</v>
      </c>
      <c r="FE78" s="12">
        <f>IF('Données projet'!$A$218&gt;35,FE77+FD78-FM77,IF(A78&lt;'Données projet'!$A$218,$FB$205^A78,IF(A78='Données projet'!$A$218,'Données projet'!$B$218,FE77+FD78-FM77)))</f>
        <v>374.99999999999972</v>
      </c>
      <c r="FF78" s="17">
        <f>FE78*VLOOKUP('Données projet'!$B$16,Paramètres!$A$1:$I$89,3,0)*VLOOKUP('Données projet'!$B$16,Paramètres!$A$1:$I$89,5,0)</f>
        <v>292.49999999999977</v>
      </c>
      <c r="FG78" s="13">
        <f t="shared" si="101"/>
        <v>69.601866149330064</v>
      </c>
      <c r="FH78" s="20">
        <f t="shared" si="76"/>
        <v>630.66075021008271</v>
      </c>
      <c r="FI78" s="59">
        <f t="shared" si="77"/>
        <v>923.99408354341608</v>
      </c>
      <c r="FJ78" s="59">
        <f ca="1">AVERAGE(OFFSET($FI$3,0,0,'Données projet'!$E$16+1,1))-AVERAGE(OFFSET($H$3,0,0,'Données projet'!$E$16+1,1))</f>
        <v>318.52984981739411</v>
      </c>
      <c r="FK78" s="59">
        <f t="shared" si="102"/>
        <v>311.56398336941714</v>
      </c>
      <c r="FL78" s="15">
        <f>IF(ISNA(VLOOKUP(A78,'Données projet'!$A$217:$I$237,3,0)),0,VLOOKUP(A78,'Données projet'!$A$217:$I$237,3,0))</f>
        <v>14</v>
      </c>
      <c r="FM78" s="15">
        <f>IF(ISNA(VLOOKUP(A78,'Données projet'!$A$217:$I$237,4,0)),0,VLOOKUP(A78,'Données projet'!$A$217:$I$237,4,0))</f>
        <v>14</v>
      </c>
      <c r="FN78" s="16">
        <f>IF(ISNA(VLOOKUP(A78,'Données projet'!$A$217:$I$237,5,0)),0%,VLOOKUP(A78,'Données projet'!$A$217:$I$237,5,0)*VLOOKUP('Données projet'!$B$16,Paramètres!$A$1:$I$89,7,0))</f>
        <v>0.30099999999999999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0.2</v>
      </c>
      <c r="FQ78" s="21">
        <f>EXP(-LN(2)/35)*FQ77+(1-EXP(-LN(2)/35))/(LN(2)/35)*FM78*FN78*VLOOKUP('Données projet'!$B$16,Paramètres!$A$1:$I$89,3,0)*0.475*44/12</f>
        <v>21.699393841507064</v>
      </c>
      <c r="FR78" s="21">
        <f>EXP(-LN(2)/25)*FR77+(1-EXP(-LN(2)/25))/(LN(2)/25)*Calculateur!FM78*Calculateur!FO78*VLOOKUP('Données projet'!$B$16,Paramètres!$A$1:$I$89,3,0)*0.475*44/12</f>
        <v>4.6100644972989331</v>
      </c>
      <c r="FS78" s="21">
        <f>EXP(-LN(2)/2)*FS77+(1-EXP(-LN(2)/2))/(LN(2)/2)*FM78*FP78*VLOOKUP('Données projet'!$B$16,Paramètres!$A$1:$I$89,3,0)*0.475*44/12</f>
        <v>2.5420002113888569</v>
      </c>
      <c r="FT78" s="22">
        <f t="shared" si="78"/>
        <v>28.851458550194852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375</v>
      </c>
      <c r="FX78" s="12">
        <f>VLOOKUP(A78,'Données projet'!$A$243:$I$263,9,0)</f>
        <v>4.8</v>
      </c>
      <c r="FY78" s="12">
        <f t="array" ref="FY78">INDEX(FX:FX,MIN(IF(ISNUMBER(FX78:FX274),ROW(FX78:FX274),"")))</f>
        <v>4.8</v>
      </c>
      <c r="FZ78" s="12">
        <f>IF('Données projet'!$A$244&gt;35,FZ77+FY78-GH77,IF(A78&lt;'Données projet'!$A$244,$FW$205^A78,IF(A78='Données projet'!$A$244,'Données projet'!$B$244,FZ77+FY78-GH77)))</f>
        <v>374.99999999999972</v>
      </c>
      <c r="GA78" s="17">
        <f>FZ78*VLOOKUP('Données projet'!$B$17,Paramètres!$A$1:$I$89,3,0)*VLOOKUP('Données projet'!$B$17,Paramètres!$A$1:$I$89,5,0)</f>
        <v>298.3499999999998</v>
      </c>
      <c r="GB78" s="13">
        <f t="shared" si="103"/>
        <v>70.83044914753448</v>
      </c>
      <c r="GC78" s="20">
        <f t="shared" si="79"/>
        <v>642.98928226528881</v>
      </c>
      <c r="GD78" s="59">
        <f t="shared" si="80"/>
        <v>936.32261559862218</v>
      </c>
      <c r="GE78" s="59">
        <f ca="1">AVERAGE(OFFSET($GD$3,0,0,'Données projet'!$E$17+1,1))-AVERAGE(OFFSET($H$3,0,0,'Données projet'!$E$17+1,1))</f>
        <v>325.72928944930294</v>
      </c>
      <c r="GF78" s="59">
        <f t="shared" si="104"/>
        <v>318.38876834819752</v>
      </c>
      <c r="GG78" s="15">
        <f>IF(ISNA(VLOOKUP(A78,'Données projet'!$A$243:$I$263,3,0)),0,VLOOKUP(A78,'Données projet'!$A$243:$I$263,3,0))</f>
        <v>14</v>
      </c>
      <c r="GH78" s="15">
        <f>IF(ISNA(VLOOKUP(A78,'Données projet'!$A$243:$I$263,4,0)),0,VLOOKUP(A78,'Données projet'!$A$243:$I$263,4,0))</f>
        <v>14</v>
      </c>
      <c r="GI78" s="16">
        <f>IF(ISNA(VLOOKUP(A78,'Données projet'!$A$243:$I$263,5,0)),0%,VLOOKUP(A78,'Données projet'!$A$243:$I$263,5,0)*VLOOKUP('Données projet'!$B$17,Paramètres!$A$1:$I$89,7,0))</f>
        <v>0.371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0.2</v>
      </c>
      <c r="GL78" s="21">
        <f>EXP(-LN(2)/35)*GL77+(1-EXP(-LN(2)/35))/(LN(2)/35)*GH78*GI78*VLOOKUP('Données projet'!$B$17,Paramètres!$A$1:$I$89,3,0)*0.475*44/12</f>
        <v>27.280679792369124</v>
      </c>
      <c r="GM78" s="21">
        <f>EXP(-LN(2)/25)*GM77+(1-EXP(-LN(2)/25))/(LN(2)/25)*Calculateur!GH78*Calculateur!GJ78*VLOOKUP('Données projet'!$B$17,Paramètres!$A$1:$I$89,3,0)*0.475*44/12</f>
        <v>5.7958159703251209</v>
      </c>
      <c r="GN78" s="21">
        <f>EXP(-LN(2)/2)*GN77+(1-EXP(-LN(2)/2))/(LN(2)/2)*GH78*GK78*VLOOKUP('Données projet'!$B$17,Paramètres!$A$1:$I$89,3,0)*0.475*44/12</f>
        <v>2.5928402156166341</v>
      </c>
      <c r="GO78" s="21">
        <f t="shared" si="81"/>
        <v>35.669335978310876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>
        <f>VLOOKUP(A78,'Données projet'!$A$269:$I$289,2,0)</f>
        <v>375</v>
      </c>
      <c r="GS78" s="12">
        <f>VLOOKUP(A78,'Données projet'!$A$269:$I$289,9,0)</f>
        <v>4.8</v>
      </c>
      <c r="GT78" s="12">
        <f t="array" ref="GT78">INDEX(GS:GS,MIN(IF(ISNUMBER(GS78:GS274),ROW(GS78:GS274),"")))</f>
        <v>4.8</v>
      </c>
      <c r="GU78" s="12">
        <f>IF('Données projet'!$A$270&gt;35,GU77+GT78-HC77,IF(A78&lt;'Données projet'!$A$270,$GR$205^A78,IF(A78='Données projet'!$A$270,'Données projet'!$B$270,GU77+GT78-HC77)))</f>
        <v>374.99999999999972</v>
      </c>
      <c r="GV78" s="17">
        <f>GU78*VLOOKUP('Données projet'!$B$18,Paramètres!$A$1:$I$89,3,0)*VLOOKUP('Données projet'!$B$18,Paramètres!$A$1:$I$89,5,0)</f>
        <v>251.54999999999984</v>
      </c>
      <c r="GW78" s="13">
        <f t="shared" si="105"/>
        <v>60.917730533154099</v>
      </c>
      <c r="GX78" s="20">
        <f t="shared" si="82"/>
        <v>544.21463067857633</v>
      </c>
      <c r="GY78" s="59">
        <f t="shared" si="83"/>
        <v>837.5479640119097</v>
      </c>
      <c r="GZ78" s="59">
        <f ca="1">AVERAGE(OFFSET($GY$3,0,0,'Données projet'!$E$18+1,1))-AVERAGE(OFFSET($H$3,0,0,'Données projet'!$E$18+1,1))</f>
        <v>268.04554291387961</v>
      </c>
      <c r="HA78" s="59">
        <f t="shared" si="106"/>
        <v>263.70463099437148</v>
      </c>
      <c r="HB78" s="15">
        <f>IF(ISNA(VLOOKUP(A78,'Données projet'!$A$269:$I$289,3,0)),0,VLOOKUP(A78,'Données projet'!$A$269:$I$289,3,0))</f>
        <v>14</v>
      </c>
      <c r="HC78" s="15">
        <f>IF(ISNA(VLOOKUP(A78,'Données projet'!$A$269:$I$289,4,0)),0,VLOOKUP(A78,'Données projet'!$A$269:$I$289,4,0))</f>
        <v>14</v>
      </c>
      <c r="HD78" s="16">
        <f>IF(ISNA(VLOOKUP(A78,'Données projet'!$A$269:$I$289,5,0)),0%,VLOOKUP(A78,'Données projet'!$A$269:$I$289,5,0)*VLOOKUP('Données projet'!$B$18,Paramètres!$A$1:$I$89,7,0))</f>
        <v>0.371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0.2</v>
      </c>
      <c r="HG78" s="21">
        <f>EXP(-LN(2)/35)*HG77+(1-EXP(-LN(2)/35))/(LN(2)/35)*HC78*HD78*VLOOKUP('Données projet'!$B$18,Paramètres!$A$1:$I$89,3,0)*0.475*44/12</f>
        <v>23.001357471997483</v>
      </c>
      <c r="HH78" s="21">
        <f>EXP(-LN(2)/25)*HH77+(1-EXP(-LN(2)/25))/(LN(2)/25)*Calculateur!HC78*Calculateur!HE78*VLOOKUP('Données projet'!$B$18,Paramètres!$A$1:$I$89,3,0)*0.475*44/12</f>
        <v>4.8866683671368696</v>
      </c>
      <c r="HI78" s="21">
        <f>EXP(-LN(2)/2)*HI77+(1-EXP(-LN(2)/2))/(LN(2)/2)*HC78*HF78*VLOOKUP('Données projet'!$B$18,Paramètres!$A$1:$I$89,3,0)*0.475*44/12</f>
        <v>2.1861201817944171</v>
      </c>
      <c r="HJ78" s="22">
        <f t="shared" si="84"/>
        <v>30.074146020928772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8.6</v>
      </c>
      <c r="N79" s="13">
        <f>IF('Données projet'!$A$36&gt;35,N78+M79-V78,IF(A79&lt;'Données projet'!$A$36,$K$205^A79,IF(A79='Données projet'!$A$36,'Données projet'!$B$36,N78+M79-V78)))</f>
        <v>255.59999999999988</v>
      </c>
      <c r="O79" s="13">
        <f>N79*VLOOKUP('Données projet'!$B$9,Paramètres!$A$1:$I$89,3,0)*VLOOKUP('Données projet'!$B$9,Paramètres!$A$1:$I$89,5,0)</f>
        <v>112.97519999999996</v>
      </c>
      <c r="P79" s="13">
        <f t="shared" si="87"/>
        <v>30.030872399306435</v>
      </c>
      <c r="Q79" s="20">
        <f t="shared" si="54"/>
        <v>249.06890942879195</v>
      </c>
      <c r="R79" s="59">
        <f t="shared" si="55"/>
        <v>542.4022427621253</v>
      </c>
      <c r="S79" s="59">
        <f ca="1">AVERAGE(OFFSET($R$3,0,0,'Données projet'!$E$9+1,1))-AVERAGE(OFFSET($H$3,0,0,'Données projet'!$E$9+1,1))</f>
        <v>46.095319339746538</v>
      </c>
      <c r="T79" s="59">
        <f t="shared" si="88"/>
        <v>48.158174304064403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7.4019712208601112</v>
      </c>
      <c r="AA79" s="21">
        <f>EXP(-LN(2)/25)*AA78+(1-EXP(-LN(2)/25))/(LN(2)/25)*Calculateur!V79*Calculateur!X79*VLOOKUP('Données projet'!$B$9,Paramètres!$A$1:$I$89,3,0)*0.475*44/12</f>
        <v>13.582956041124987</v>
      </c>
      <c r="AB79" s="21">
        <f>EXP(-LN(2)/2)*AB78+(1-EXP(-LN(2)/2))/(LN(2)/2)*V79*Y79*VLOOKUP('Données projet'!$B$9,Paramètres!$A$1:$I$89,3,0)*0.475*44/12</f>
        <v>1.0194092953494227</v>
      </c>
      <c r="AC79" s="22">
        <f t="shared" si="57"/>
        <v>22.004336557334522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-1.1368683772161603E-13</v>
      </c>
      <c r="AJ79" s="13">
        <f>AI79*VLOOKUP('Données projet'!$B$10,Paramètres!$A$1:$I$89,3,0)*VLOOKUP('Données projet'!$B$10,Paramètres!$A$1:$I$89,5,0)</f>
        <v>-6.7984728957526396E-14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408.84545509668794</v>
      </c>
      <c r="AO79" s="59">
        <f t="shared" si="90"/>
        <v>409.9253979841132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137.00684829747314</v>
      </c>
      <c r="AV79" s="21">
        <f>EXP(-LN(2)/25)*AV78+(1-EXP(-LN(2)/25))/(LN(2)/25)*Calculateur!AQ79*Calculateur!AS79*VLOOKUP('Données projet'!$B$10,Paramètres!$A$1:$I$89,3,0)*0.475*44/12</f>
        <v>48.930146035661863</v>
      </c>
      <c r="AW79" s="21">
        <f>EXP(-LN(2)/2)*AW78+(1-EXP(-LN(2)/2))/(LN(2)/2)*AQ79*AT79*VLOOKUP('Données projet'!$B$10,Paramètres!$A$1:$I$89,3,0)*0.475*44/12</f>
        <v>0.36670662409728755</v>
      </c>
      <c r="AX79" s="21">
        <f t="shared" si="60"/>
        <v>186.30370095723228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-1.1368683772161603E-13</v>
      </c>
      <c r="BE79" s="13">
        <f>BD79*VLOOKUP('Données projet'!$B$11,Paramètres!$A$1:$I$89,3,0)*VLOOKUP('Données projet'!$B$11,Paramètres!$A$1:$I$89,5,0)</f>
        <v>-6.7984728957526396E-14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279.69031306919914</v>
      </c>
      <c r="BJ79" s="59">
        <f t="shared" si="92"/>
        <v>297.01680128882509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124.30044307133589</v>
      </c>
      <c r="BQ79" s="21">
        <f>EXP(-LN(2)/25)*BQ78+(1-EXP(-LN(2)/25))/(LN(2)/25)*Calculateur!BL79*Calculateur!BN79*VLOOKUP('Données projet'!$B$11,Paramètres!$A$1:$I$89,3,0)*0.475*44/12</f>
        <v>55.501491587307214</v>
      </c>
      <c r="BR79" s="21">
        <f>EXP(-LN(2)/2)*BR78+(1-EXP(-LN(2)/2))/(LN(2)/2)*BL79*BO79*VLOOKUP('Données projet'!$B$11,Paramètres!$A$1:$I$89,3,0)*0.475*44/12</f>
        <v>0.85557582079827721</v>
      </c>
      <c r="BS79" s="22">
        <f t="shared" si="63"/>
        <v>180.65751047944138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81.299024916151723</v>
      </c>
      <c r="CE79" s="59">
        <f t="shared" si="94"/>
        <v>88.106373324240167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36.7651396672467</v>
      </c>
      <c r="CL79" s="21">
        <f>EXP(-LN(2)/25)*CL78+(1-EXP(-LN(2)/25))/(LN(2)/25)*Calculateur!CG79*Calculateur!CI79*VLOOKUP('Données projet'!$B$12,Paramètres!$A$1:$I$89,3,0)*0.475*44/12</f>
        <v>14.847327447021485</v>
      </c>
      <c r="CM79" s="21">
        <f>EXP(-LN(2)/2)*CM78+(1-EXP(-LN(2)/2))/(LN(2)/2)*CG79*CJ79*VLOOKUP('Données projet'!$B$12,Paramètres!$A$1:$I$89,3,0)*0.475*44/12</f>
        <v>9.3771797725583597E-2</v>
      </c>
      <c r="CN79" s="22">
        <f t="shared" si="66"/>
        <v>51.706238911993765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-3.4106051316484809E-13</v>
      </c>
      <c r="CU79" s="17">
        <f>CT79*VLOOKUP('Données projet'!$B$13,Paramètres!$A$1:$I$89,3,0)*VLOOKUP('Données projet'!$B$13,Paramètres!$A$1:$I$89,5,0)</f>
        <v>-1.9065282685915009E-13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475.42482703895411</v>
      </c>
      <c r="CZ79" s="59">
        <f t="shared" si="96"/>
        <v>593.51433014569966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251.14475626357981</v>
      </c>
      <c r="DG79" s="21">
        <f>EXP(-LN(2)/25)*DG78+(1-EXP(-LN(2)/25))/(LN(2)/25)*Calculateur!DB79*Calculateur!DD79*VLOOKUP('Données projet'!$B$13,Paramètres!$A$1:$I$89,3,0)*0.475*44/12</f>
        <v>47.726711108822776</v>
      </c>
      <c r="DH79" s="21">
        <f>EXP(-LN(2)/2)*DH78+(1-EXP(-LN(2)/2))/(LN(2)/2)*DB79*DE79*VLOOKUP('Données projet'!$B$13,Paramètres!$A$1:$I$89,3,0)*0.475*44/12</f>
        <v>1.0873417178464222</v>
      </c>
      <c r="DI79" s="22">
        <f t="shared" si="69"/>
        <v>299.95880909024902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8.1111111111111107</v>
      </c>
      <c r="DO79" s="12">
        <f>IF('Données projet'!$A$166&gt;35,DO78+DN79-DW78,IF(A79&lt;'Données projet'!$A$166,$DL$205^A79,IF(A79='Données projet'!$A$166,'Données projet'!$B$166,DO78+DN79-DW78)))</f>
        <v>279.77777777777771</v>
      </c>
      <c r="DP79" s="17">
        <f>DO79*VLOOKUP('Données projet'!$B$14,Paramètres!$A$1:$I$89,3,0)*VLOOKUP('Données projet'!$B$14,Paramètres!$A$1:$I$89,5,0)</f>
        <v>253.14293333333325</v>
      </c>
      <c r="DQ79" s="13">
        <f t="shared" si="97"/>
        <v>61.258462585145814</v>
      </c>
      <c r="DR79" s="20">
        <f t="shared" si="70"/>
        <v>547.58243122468434</v>
      </c>
      <c r="DS79" s="59">
        <f t="shared" si="71"/>
        <v>840.9157645580176</v>
      </c>
      <c r="DT79" s="59">
        <f ca="1">AVERAGE(OFFSET($DS$3,0,0,'Données projet'!$E$14+1,1))-AVERAGE(OFFSET($H$3,0,0,'Données projet'!$E$14+1,1))</f>
        <v>401.17301323870578</v>
      </c>
      <c r="DU79" s="59">
        <f t="shared" si="98"/>
        <v>201.57993789149754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27.414471183416925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27.414471183416925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1.7053025658242404E-13</v>
      </c>
      <c r="EK79" s="17">
        <f>EJ79*VLOOKUP('Données projet'!$B$15,Paramètres!$A$1:$I$89,3,0)*VLOOKUP('Données projet'!$B$15,Paramètres!$A$1:$I$89,5,0)</f>
        <v>1.4897523215040567E-13</v>
      </c>
      <c r="EL79" s="13">
        <f t="shared" si="99"/>
        <v>2.136562777003313E-12</v>
      </c>
      <c r="EM79" s="20">
        <f t="shared" si="73"/>
        <v>3.9806453659427267E-12</v>
      </c>
      <c r="EN79" s="59">
        <f t="shared" si="74"/>
        <v>293.33333333333729</v>
      </c>
      <c r="EO79" s="59">
        <f ca="1">AVERAGE(OFFSET($EN$3,0,0,'Données projet'!$E$15+1,1))-AVERAGE(OFFSET($H$3,0,0,'Données projet'!$E$15+1,1))</f>
        <v>237.8483058552178</v>
      </c>
      <c r="EP79" s="59">
        <f t="shared" si="100"/>
        <v>313.36201272119723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72.248620912778875</v>
      </c>
      <c r="EW79" s="21">
        <f>EXP(-LN(2)/25)*EW78+(1-EXP(-LN(2)/25))/(LN(2)/25)*Calculateur!ER79*Calculateur!ET79*VLOOKUP('Données projet'!$B$15,Paramètres!$A$1:$I$89,3,0)*0.475*44/12</f>
        <v>4.49159833003334</v>
      </c>
      <c r="EX79" s="21">
        <f>EXP(-LN(2)/2)*EX78+(1-EXP(-LN(2)/2))/(LN(2)/2)*ER79*EU79*VLOOKUP('Données projet'!$B$15,Paramètres!$A$1:$I$89,3,0)*0.475*44/12</f>
        <v>5.148826120764797</v>
      </c>
      <c r="EY79" s="22">
        <f t="shared" si="75"/>
        <v>81.889045363577011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4</v>
      </c>
      <c r="FE79" s="12">
        <f>IF('Données projet'!$A$218&gt;35,FE78+FD79-FM78,IF(A79&lt;'Données projet'!$A$218,$FB$205^A79,IF(A79='Données projet'!$A$218,'Données projet'!$B$218,FE78+FD79-FM78)))</f>
        <v>364.99999999999972</v>
      </c>
      <c r="FF79" s="17">
        <f>FE79*VLOOKUP('Données projet'!$B$16,Paramètres!$A$1:$I$89,3,0)*VLOOKUP('Données projet'!$B$16,Paramètres!$A$1:$I$89,5,0)</f>
        <v>284.69999999999976</v>
      </c>
      <c r="FG79" s="13">
        <f t="shared" si="101"/>
        <v>67.95928966850353</v>
      </c>
      <c r="FH79" s="20">
        <f t="shared" si="76"/>
        <v>614.21492950597656</v>
      </c>
      <c r="FI79" s="59">
        <f t="shared" si="77"/>
        <v>907.54826283930993</v>
      </c>
      <c r="FJ79" s="59">
        <f ca="1">AVERAGE(OFFSET($FI$3,0,0,'Données projet'!$E$16+1,1))-AVERAGE(OFFSET($H$3,0,0,'Données projet'!$E$16+1,1))</f>
        <v>318.52984981739411</v>
      </c>
      <c r="FK79" s="59">
        <f t="shared" si="102"/>
        <v>311.56398336941714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21.273881963598473</v>
      </c>
      <c r="FR79" s="21">
        <f>EXP(-LN(2)/25)*FR78+(1-EXP(-LN(2)/25))/(LN(2)/25)*Calculateur!FM79*Calculateur!FO79*VLOOKUP('Données projet'!$B$16,Paramètres!$A$1:$I$89,3,0)*0.475*44/12</f>
        <v>4.4840020411875381</v>
      </c>
      <c r="FS79" s="21">
        <f>EXP(-LN(2)/2)*FS78+(1-EXP(-LN(2)/2))/(LN(2)/2)*FM79*FP79*VLOOKUP('Données projet'!$B$16,Paramètres!$A$1:$I$89,3,0)*0.475*44/12</f>
        <v>1.7974655872506982</v>
      </c>
      <c r="FT79" s="22">
        <f t="shared" si="78"/>
        <v>27.555349592036709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4</v>
      </c>
      <c r="FZ79" s="12">
        <f>IF('Données projet'!$A$244&gt;35,FZ78+FY79-GH78,IF(A79&lt;'Données projet'!$A$244,$FW$205^A79,IF(A79='Données projet'!$A$244,'Données projet'!$B$244,FZ78+FY79-GH78)))</f>
        <v>364.99999999999972</v>
      </c>
      <c r="GA79" s="17">
        <f>FZ79*VLOOKUP('Données projet'!$B$17,Paramètres!$A$1:$I$89,3,0)*VLOOKUP('Données projet'!$B$17,Paramètres!$A$1:$I$89,5,0)</f>
        <v>290.39399999999978</v>
      </c>
      <c r="GB79" s="13">
        <f t="shared" si="103"/>
        <v>69.158878594433091</v>
      </c>
      <c r="GC79" s="20">
        <f t="shared" si="79"/>
        <v>626.22126355197054</v>
      </c>
      <c r="GD79" s="59">
        <f t="shared" si="80"/>
        <v>919.55459688530391</v>
      </c>
      <c r="GE79" s="59">
        <f ca="1">AVERAGE(OFFSET($GD$3,0,0,'Données projet'!$E$17+1,1))-AVERAGE(OFFSET($H$3,0,0,'Données projet'!$E$17+1,1))</f>
        <v>325.72928944930294</v>
      </c>
      <c r="GF79" s="59">
        <f t="shared" si="104"/>
        <v>318.38876834819752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26.745722301212417</v>
      </c>
      <c r="GM79" s="21">
        <f>EXP(-LN(2)/25)*GM78+(1-EXP(-LN(2)/25))/(LN(2)/25)*Calculateur!GH79*Calculateur!GJ79*VLOOKUP('Données projet'!$B$17,Paramètres!$A$1:$I$89,3,0)*0.475*44/12</f>
        <v>5.6373290778278653</v>
      </c>
      <c r="GN79" s="21">
        <f>EXP(-LN(2)/2)*GN78+(1-EXP(-LN(2)/2))/(LN(2)/2)*GH79*GK79*VLOOKUP('Données projet'!$B$17,Paramètres!$A$1:$I$89,3,0)*0.475*44/12</f>
        <v>1.8334148989957122</v>
      </c>
      <c r="GO79" s="21">
        <f t="shared" si="81"/>
        <v>34.216466278035995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4</v>
      </c>
      <c r="GU79" s="12">
        <f>IF('Données projet'!$A$270&gt;35,GU78+GT79-HC78,IF(A79&lt;'Données projet'!$A$270,$GR$205^A79,IF(A79='Données projet'!$A$270,'Données projet'!$B$270,GU78+GT79-HC78)))</f>
        <v>364.99999999999972</v>
      </c>
      <c r="GV79" s="17">
        <f>GU79*VLOOKUP('Données projet'!$B$18,Paramètres!$A$1:$I$89,3,0)*VLOOKUP('Données projet'!$B$18,Paramètres!$A$1:$I$89,5,0)</f>
        <v>244.84199999999981</v>
      </c>
      <c r="GW79" s="13">
        <f t="shared" si="105"/>
        <v>59.480096214206256</v>
      </c>
      <c r="GX79" s="20">
        <f t="shared" si="82"/>
        <v>530.02765090640889</v>
      </c>
      <c r="GY79" s="59">
        <f t="shared" si="83"/>
        <v>823.36098423974227</v>
      </c>
      <c r="GZ79" s="59">
        <f ca="1">AVERAGE(OFFSET($GY$3,0,0,'Données projet'!$E$18+1,1))-AVERAGE(OFFSET($H$3,0,0,'Données projet'!$E$18+1,1))</f>
        <v>268.04554291387961</v>
      </c>
      <c r="HA79" s="59">
        <f t="shared" si="106"/>
        <v>263.70463099437148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22.55031488141438</v>
      </c>
      <c r="HH79" s="21">
        <f>EXP(-LN(2)/25)*HH78+(1-EXP(-LN(2)/25))/(LN(2)/25)*Calculateur!HC79*Calculateur!HE79*VLOOKUP('Données projet'!$B$18,Paramètres!$A$1:$I$89,3,0)*0.475*44/12</f>
        <v>4.7530421636587912</v>
      </c>
      <c r="HI79" s="21">
        <f>EXP(-LN(2)/2)*HI78+(1-EXP(-LN(2)/2))/(LN(2)/2)*HC79*HF79*VLOOKUP('Données projet'!$B$18,Paramètres!$A$1:$I$89,3,0)*0.475*44/12</f>
        <v>1.5458204050356006</v>
      </c>
      <c r="HJ79" s="22">
        <f t="shared" si="84"/>
        <v>28.849177450108769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8.6</v>
      </c>
      <c r="N80" s="13">
        <f>IF('Données projet'!$A$36&gt;35,N79+M80-V79,IF(A80&lt;'Données projet'!$A$36,$K$205^A80,IF(A80='Données projet'!$A$36,'Données projet'!$B$36,N79+M80-V79)))</f>
        <v>264.19999999999987</v>
      </c>
      <c r="O80" s="13">
        <f>N80*VLOOKUP('Données projet'!$B$9,Paramètres!$A$1:$I$89,3,0)*VLOOKUP('Données projet'!$B$9,Paramètres!$A$1:$I$89,5,0)</f>
        <v>116.77639999999995</v>
      </c>
      <c r="P80" s="13">
        <f t="shared" si="87"/>
        <v>30.921960131177624</v>
      </c>
      <c r="Q80" s="20">
        <f t="shared" si="54"/>
        <v>257.24131056180096</v>
      </c>
      <c r="R80" s="59">
        <f t="shared" si="55"/>
        <v>550.57464389513427</v>
      </c>
      <c r="S80" s="59">
        <f ca="1">AVERAGE(OFFSET($R$3,0,0,'Données projet'!$E$9+1,1))-AVERAGE(OFFSET($H$3,0,0,'Données projet'!$E$9+1,1))</f>
        <v>46.095319339746538</v>
      </c>
      <c r="T80" s="59">
        <f t="shared" si="88"/>
        <v>48.158174304064403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7.2568230799756943</v>
      </c>
      <c r="AA80" s="21">
        <f>EXP(-LN(2)/25)*AA79+(1-EXP(-LN(2)/25))/(LN(2)/25)*Calculateur!V80*Calculateur!X80*VLOOKUP('Données projet'!$B$9,Paramètres!$A$1:$I$89,3,0)*0.475*44/12</f>
        <v>13.21152939388381</v>
      </c>
      <c r="AB80" s="21">
        <f>EXP(-LN(2)/2)*AB79+(1-EXP(-LN(2)/2))/(LN(2)/2)*V80*Y80*VLOOKUP('Données projet'!$B$9,Paramètres!$A$1:$I$89,3,0)*0.475*44/12</f>
        <v>0.72083122554617685</v>
      </c>
      <c r="AC80" s="22">
        <f t="shared" si="57"/>
        <v>21.189183699405682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-6.7984728957526396E-14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408.84545509668794</v>
      </c>
      <c r="AO80" s="59">
        <f t="shared" si="90"/>
        <v>409.9253979841132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134.3202275682857</v>
      </c>
      <c r="AV80" s="21">
        <f>EXP(-LN(2)/25)*AV79+(1-EXP(-LN(2)/25))/(LN(2)/25)*Calculateur!AQ80*Calculateur!AS80*VLOOKUP('Données projet'!$B$10,Paramètres!$A$1:$I$89,3,0)*0.475*44/12</f>
        <v>47.592148619192145</v>
      </c>
      <c r="AW80" s="21">
        <f>EXP(-LN(2)/2)*AW79+(1-EXP(-LN(2)/2))/(LN(2)/2)*AQ80*AT80*VLOOKUP('Données projet'!$B$10,Paramètres!$A$1:$I$89,3,0)*0.475*44/12</f>
        <v>0.25930074060521824</v>
      </c>
      <c r="AX80" s="21">
        <f t="shared" si="60"/>
        <v>182.17167692808306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-1.1368683772161603E-13</v>
      </c>
      <c r="BE80" s="13">
        <f>BD80*VLOOKUP('Données projet'!$B$11,Paramètres!$A$1:$I$89,3,0)*VLOOKUP('Données projet'!$B$11,Paramètres!$A$1:$I$89,5,0)</f>
        <v>-6.7984728957526396E-14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279.69031306919914</v>
      </c>
      <c r="BJ80" s="59">
        <f t="shared" si="92"/>
        <v>297.01680128882509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121.86298719849108</v>
      </c>
      <c r="BQ80" s="21">
        <f>EXP(-LN(2)/25)*BQ79+(1-EXP(-LN(2)/25))/(LN(2)/25)*Calculateur!BL80*Calculateur!BN80*VLOOKUP('Données projet'!$B$11,Paramètres!$A$1:$I$89,3,0)*0.475*44/12</f>
        <v>53.983800381155703</v>
      </c>
      <c r="BR80" s="21">
        <f>EXP(-LN(2)/2)*BR79+(1-EXP(-LN(2)/2))/(LN(2)/2)*BL80*BO80*VLOOKUP('Données projet'!$B$11,Paramètres!$A$1:$I$89,3,0)*0.475*44/12</f>
        <v>0.60498346470570818</v>
      </c>
      <c r="BS80" s="22">
        <f t="shared" si="63"/>
        <v>176.45177104435248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81.299024916151723</v>
      </c>
      <c r="CE80" s="59">
        <f t="shared" si="94"/>
        <v>88.106373324240167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36.044197702892951</v>
      </c>
      <c r="CL80" s="21">
        <f>EXP(-LN(2)/25)*CL79+(1-EXP(-LN(2)/25))/(LN(2)/25)*Calculateur!CG80*Calculateur!CI80*VLOOKUP('Données projet'!$B$12,Paramètres!$A$1:$I$89,3,0)*0.475*44/12</f>
        <v>14.441326497195666</v>
      </c>
      <c r="CM80" s="21">
        <f>EXP(-LN(2)/2)*CM79+(1-EXP(-LN(2)/2))/(LN(2)/2)*CG80*CJ80*VLOOKUP('Données projet'!$B$12,Paramètres!$A$1:$I$89,3,0)*0.475*44/12</f>
        <v>6.6306674055813433E-2</v>
      </c>
      <c r="CN80" s="22">
        <f t="shared" si="66"/>
        <v>50.551830874144436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-3.4106051316484809E-13</v>
      </c>
      <c r="CU80" s="17">
        <f>CT80*VLOOKUP('Données projet'!$B$13,Paramètres!$A$1:$I$89,3,0)*VLOOKUP('Données projet'!$B$13,Paramètres!$A$1:$I$89,5,0)</f>
        <v>-1.9065282685915009E-13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475.42482703895411</v>
      </c>
      <c r="CZ80" s="59">
        <f t="shared" si="96"/>
        <v>593.51433014569966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246.21996077642675</v>
      </c>
      <c r="DG80" s="21">
        <f>EXP(-LN(2)/25)*DG79+(1-EXP(-LN(2)/25))/(LN(2)/25)*Calculateur!DB80*Calculateur!DD80*VLOOKUP('Données projet'!$B$13,Paramètres!$A$1:$I$89,3,0)*0.475*44/12</f>
        <v>46.421621683713362</v>
      </c>
      <c r="DH80" s="21">
        <f>EXP(-LN(2)/2)*DH79+(1-EXP(-LN(2)/2))/(LN(2)/2)*DB80*DE80*VLOOKUP('Données projet'!$B$13,Paramètres!$A$1:$I$89,3,0)*0.475*44/12</f>
        <v>0.76886670215623476</v>
      </c>
      <c r="DI80" s="22">
        <f t="shared" si="69"/>
        <v>293.41044916229635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8.1111111111111107</v>
      </c>
      <c r="DO80" s="12">
        <f>IF('Données projet'!$A$166&gt;35,DO79+DN80-DW79,IF(A80&lt;'Données projet'!$A$166,$DL$205^A80,IF(A80='Données projet'!$A$166,'Données projet'!$B$166,DO79+DN80-DW79)))</f>
        <v>287.8888888888888</v>
      </c>
      <c r="DP80" s="17">
        <f>DO80*VLOOKUP('Données projet'!$B$14,Paramètres!$A$1:$I$89,3,0)*VLOOKUP('Données projet'!$B$14,Paramètres!$A$1:$I$89,5,0)</f>
        <v>260.48186666666658</v>
      </c>
      <c r="DQ80" s="13">
        <f t="shared" si="97"/>
        <v>62.825081385259836</v>
      </c>
      <c r="DR80" s="20">
        <f t="shared" si="70"/>
        <v>563.09293452377176</v>
      </c>
      <c r="DS80" s="59">
        <f t="shared" si="71"/>
        <v>856.42626785710513</v>
      </c>
      <c r="DT80" s="59">
        <f ca="1">AVERAGE(OFFSET($DS$3,0,0,'Données projet'!$E$14+1,1))-AVERAGE(OFFSET($H$3,0,0,'Données projet'!$E$14+1,1))</f>
        <v>401.17301323870578</v>
      </c>
      <c r="DU80" s="59">
        <f t="shared" si="98"/>
        <v>201.57993789149754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26.664821027242006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26.664821027242006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1.7053025658242404E-13</v>
      </c>
      <c r="EK80" s="17">
        <f>EJ80*VLOOKUP('Données projet'!$B$15,Paramètres!$A$1:$I$89,3,0)*VLOOKUP('Données projet'!$B$15,Paramètres!$A$1:$I$89,5,0)</f>
        <v>1.4897523215040567E-13</v>
      </c>
      <c r="EL80" s="13">
        <f t="shared" si="99"/>
        <v>2.136562777003313E-12</v>
      </c>
      <c r="EM80" s="20">
        <f t="shared" si="73"/>
        <v>3.9806453659427267E-12</v>
      </c>
      <c r="EN80" s="59">
        <f t="shared" si="74"/>
        <v>293.33333333333729</v>
      </c>
      <c r="EO80" s="59">
        <f ca="1">AVERAGE(OFFSET($EN$3,0,0,'Données projet'!$E$15+1,1))-AVERAGE(OFFSET($H$3,0,0,'Données projet'!$E$15+1,1))</f>
        <v>237.8483058552178</v>
      </c>
      <c r="EP80" s="59">
        <f t="shared" si="100"/>
        <v>313.36201272119723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70.831869523986754</v>
      </c>
      <c r="EW80" s="21">
        <f>EXP(-LN(2)/25)*EW79+(1-EXP(-LN(2)/25))/(LN(2)/25)*Calculateur!ER80*Calculateur!ET80*VLOOKUP('Données projet'!$B$15,Paramètres!$A$1:$I$89,3,0)*0.475*44/12</f>
        <v>4.3687753374956877</v>
      </c>
      <c r="EX80" s="21">
        <f>EXP(-LN(2)/2)*EX79+(1-EXP(-LN(2)/2))/(LN(2)/2)*ER80*EU80*VLOOKUP('Données projet'!$B$15,Paramètres!$A$1:$I$89,3,0)*0.475*44/12</f>
        <v>3.6407698651432137</v>
      </c>
      <c r="EY80" s="22">
        <f t="shared" si="75"/>
        <v>78.841414726625658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4</v>
      </c>
      <c r="FE80" s="12">
        <f>IF('Données projet'!$A$218&gt;35,FE79+FD80-FM79,IF(A80&lt;'Données projet'!$A$218,$FB$205^A80,IF(A80='Données projet'!$A$218,'Données projet'!$B$218,FE79+FD80-FM79)))</f>
        <v>368.99999999999972</v>
      </c>
      <c r="FF80" s="17">
        <f>FE80*VLOOKUP('Données projet'!$B$16,Paramètres!$A$1:$I$89,3,0)*VLOOKUP('Données projet'!$B$16,Paramètres!$A$1:$I$89,5,0)</f>
        <v>287.81999999999977</v>
      </c>
      <c r="FG80" s="13">
        <f t="shared" si="101"/>
        <v>68.61694100009646</v>
      </c>
      <c r="FH80" s="20">
        <f t="shared" si="76"/>
        <v>620.79433890850089</v>
      </c>
      <c r="FI80" s="59">
        <f t="shared" si="77"/>
        <v>914.12767224183426</v>
      </c>
      <c r="FJ80" s="59">
        <f ca="1">AVERAGE(OFFSET($FI$3,0,0,'Données projet'!$E$16+1,1))-AVERAGE(OFFSET($H$3,0,0,'Données projet'!$E$16+1,1))</f>
        <v>318.52984981739411</v>
      </c>
      <c r="FK80" s="59">
        <f t="shared" si="102"/>
        <v>311.56398336941714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20.856714114079054</v>
      </c>
      <c r="FR80" s="21">
        <f>EXP(-LN(2)/25)*FR79+(1-EXP(-LN(2)/25))/(LN(2)/25)*Calculateur!FM80*Calculateur!FO80*VLOOKUP('Données projet'!$B$16,Paramètres!$A$1:$I$89,3,0)*0.475*44/12</f>
        <v>4.3613867695678454</v>
      </c>
      <c r="FS80" s="21">
        <f>EXP(-LN(2)/2)*FS79+(1-EXP(-LN(2)/2))/(LN(2)/2)*FM80*FP80*VLOOKUP('Données projet'!$B$16,Paramètres!$A$1:$I$89,3,0)*0.475*44/12</f>
        <v>1.2710001056944287</v>
      </c>
      <c r="FT80" s="22">
        <f t="shared" si="78"/>
        <v>26.489100989341328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4</v>
      </c>
      <c r="FZ80" s="12">
        <f>IF('Données projet'!$A$244&gt;35,FZ79+FY80-GH79,IF(A80&lt;'Données projet'!$A$244,$FW$205^A80,IF(A80='Données projet'!$A$244,'Données projet'!$B$244,FZ79+FY80-GH79)))</f>
        <v>368.99999999999972</v>
      </c>
      <c r="GA80" s="17">
        <f>FZ80*VLOOKUP('Données projet'!$B$17,Paramètres!$A$1:$I$89,3,0)*VLOOKUP('Données projet'!$B$17,Paramètres!$A$1:$I$89,5,0)</f>
        <v>293.57639999999981</v>
      </c>
      <c r="GB80" s="13">
        <f t="shared" si="103"/>
        <v>69.828138511965548</v>
      </c>
      <c r="GC80" s="20">
        <f t="shared" si="79"/>
        <v>632.92957124167299</v>
      </c>
      <c r="GD80" s="59">
        <f t="shared" si="80"/>
        <v>926.26290457500636</v>
      </c>
      <c r="GE80" s="59">
        <f ca="1">AVERAGE(OFFSET($GD$3,0,0,'Données projet'!$E$17+1,1))-AVERAGE(OFFSET($H$3,0,0,'Données projet'!$E$17+1,1))</f>
        <v>325.72928944930294</v>
      </c>
      <c r="GF80" s="59">
        <f t="shared" si="104"/>
        <v>318.38876834819752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26.221255000165442</v>
      </c>
      <c r="GM80" s="21">
        <f>EXP(-LN(2)/25)*GM79+(1-EXP(-LN(2)/25))/(LN(2)/25)*Calculateur!GH80*Calculateur!GJ80*VLOOKUP('Données projet'!$B$17,Paramètres!$A$1:$I$89,3,0)*0.475*44/12</f>
        <v>5.4831760177404103</v>
      </c>
      <c r="GN80" s="21">
        <f>EXP(-LN(2)/2)*GN79+(1-EXP(-LN(2)/2))/(LN(2)/2)*GH80*GK80*VLOOKUP('Données projet'!$B$17,Paramètres!$A$1:$I$89,3,0)*0.475*44/12</f>
        <v>1.2964201078083173</v>
      </c>
      <c r="GO80" s="21">
        <f t="shared" si="81"/>
        <v>33.000851125714171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4</v>
      </c>
      <c r="GU80" s="12">
        <f>IF('Données projet'!$A$270&gt;35,GU79+GT80-HC79,IF(A80&lt;'Données projet'!$A$270,$GR$205^A80,IF(A80='Données projet'!$A$270,'Données projet'!$B$270,GU79+GT80-HC79)))</f>
        <v>368.99999999999972</v>
      </c>
      <c r="GV80" s="17">
        <f>GU80*VLOOKUP('Données projet'!$B$18,Paramètres!$A$1:$I$89,3,0)*VLOOKUP('Données projet'!$B$18,Paramètres!$A$1:$I$89,5,0)</f>
        <v>247.52519999999981</v>
      </c>
      <c r="GW80" s="13">
        <f t="shared" si="105"/>
        <v>60.055693232205705</v>
      </c>
      <c r="GX80" s="20">
        <f t="shared" si="82"/>
        <v>535.70338904609127</v>
      </c>
      <c r="GY80" s="59">
        <f t="shared" si="83"/>
        <v>829.03672237942465</v>
      </c>
      <c r="GZ80" s="59">
        <f ca="1">AVERAGE(OFFSET($GY$3,0,0,'Données projet'!$E$18+1,1))-AVERAGE(OFFSET($H$3,0,0,'Données projet'!$E$18+1,1))</f>
        <v>268.04554291387961</v>
      </c>
      <c r="HA80" s="59">
        <f t="shared" si="106"/>
        <v>263.70463099437148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22.108116960923795</v>
      </c>
      <c r="HH80" s="21">
        <f>EXP(-LN(2)/25)*HH79+(1-EXP(-LN(2)/25))/(LN(2)/25)*Calculateur!HC80*Calculateur!HE80*VLOOKUP('Données projet'!$B$18,Paramètres!$A$1:$I$89,3,0)*0.475*44/12</f>
        <v>4.6230699757419176</v>
      </c>
      <c r="HI80" s="21">
        <f>EXP(-LN(2)/2)*HI79+(1-EXP(-LN(2)/2))/(LN(2)/2)*HC80*HF80*VLOOKUP('Données projet'!$B$18,Paramètres!$A$1:$I$89,3,0)*0.475*44/12</f>
        <v>1.0930600908972088</v>
      </c>
      <c r="HJ80" s="22">
        <f t="shared" si="84"/>
        <v>27.824247027562919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8.6</v>
      </c>
      <c r="N81" s="13">
        <f>IF('Données projet'!$A$36&gt;35,N80+M81-V80,IF(A81&lt;'Données projet'!$A$36,$K$205^A81,IF(A81='Données projet'!$A$36,'Données projet'!$B$36,N80+M81-V80)))</f>
        <v>272.7999999999999</v>
      </c>
      <c r="O81" s="13">
        <f>N81*VLOOKUP('Données projet'!$B$9,Paramètres!$A$1:$I$89,3,0)*VLOOKUP('Données projet'!$B$9,Paramètres!$A$1:$I$89,5,0)</f>
        <v>120.57759999999996</v>
      </c>
      <c r="P81" s="13">
        <f t="shared" si="87"/>
        <v>31.809677337558792</v>
      </c>
      <c r="Q81" s="20">
        <f t="shared" si="54"/>
        <v>265.40784136291478</v>
      </c>
      <c r="R81" s="59">
        <f t="shared" si="55"/>
        <v>558.74117469624809</v>
      </c>
      <c r="S81" s="59">
        <f ca="1">AVERAGE(OFFSET($R$3,0,0,'Données projet'!$E$9+1,1))-AVERAGE(OFFSET($H$3,0,0,'Données projet'!$E$9+1,1))</f>
        <v>46.095319339746538</v>
      </c>
      <c r="T81" s="59">
        <f t="shared" si="88"/>
        <v>48.158174304064403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7.1145212056023963</v>
      </c>
      <c r="AA81" s="21">
        <f>EXP(-LN(2)/25)*AA80+(1-EXP(-LN(2)/25))/(LN(2)/25)*Calculateur!V81*Calculateur!X81*VLOOKUP('Données projet'!$B$9,Paramètres!$A$1:$I$89,3,0)*0.475*44/12</f>
        <v>12.850259427843922</v>
      </c>
      <c r="AB81" s="21">
        <f>EXP(-LN(2)/2)*AB80+(1-EXP(-LN(2)/2))/(LN(2)/2)*V81*Y81*VLOOKUP('Données projet'!$B$9,Paramètres!$A$1:$I$89,3,0)*0.475*44/12</f>
        <v>0.50970464767471135</v>
      </c>
      <c r="AC81" s="22">
        <f t="shared" si="57"/>
        <v>20.474485281121027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-6.7984728957526396E-14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408.84545509668794</v>
      </c>
      <c r="AO81" s="59">
        <f t="shared" si="90"/>
        <v>409.9253979841132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131.68628983292078</v>
      </c>
      <c r="AV81" s="21">
        <f>EXP(-LN(2)/25)*AV80+(1-EXP(-LN(2)/25))/(LN(2)/25)*Calculateur!AQ81*Calculateur!AS81*VLOOKUP('Données projet'!$B$10,Paramètres!$A$1:$I$89,3,0)*0.475*44/12</f>
        <v>46.290738812438015</v>
      </c>
      <c r="AW81" s="21">
        <f>EXP(-LN(2)/2)*AW80+(1-EXP(-LN(2)/2))/(LN(2)/2)*AQ81*AT81*VLOOKUP('Données projet'!$B$10,Paramètres!$A$1:$I$89,3,0)*0.475*44/12</f>
        <v>0.18335331204864377</v>
      </c>
      <c r="AX81" s="21">
        <f t="shared" si="60"/>
        <v>178.16038195740742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-1.1368683772161603E-13</v>
      </c>
      <c r="BE81" s="13">
        <f>BD81*VLOOKUP('Données projet'!$B$11,Paramètres!$A$1:$I$89,3,0)*VLOOKUP('Données projet'!$B$11,Paramètres!$A$1:$I$89,5,0)</f>
        <v>-6.7984728957526396E-14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279.69031306919914</v>
      </c>
      <c r="BJ81" s="59">
        <f t="shared" si="92"/>
        <v>297.01680128882509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119.47332834861147</v>
      </c>
      <c r="BQ81" s="21">
        <f>EXP(-LN(2)/25)*BQ80+(1-EXP(-LN(2)/25))/(LN(2)/25)*Calculateur!BL81*Calculateur!BN81*VLOOKUP('Données projet'!$B$11,Paramètres!$A$1:$I$89,3,0)*0.475*44/12</f>
        <v>52.507610520848317</v>
      </c>
      <c r="BR81" s="21">
        <f>EXP(-LN(2)/2)*BR80+(1-EXP(-LN(2)/2))/(LN(2)/2)*BL81*BO81*VLOOKUP('Données projet'!$B$11,Paramètres!$A$1:$I$89,3,0)*0.475*44/12</f>
        <v>0.4277879103991386</v>
      </c>
      <c r="BS81" s="22">
        <f t="shared" si="63"/>
        <v>172.40872677985894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81.299024916151723</v>
      </c>
      <c r="CE81" s="59">
        <f t="shared" si="94"/>
        <v>88.106373324240167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35.337392970728999</v>
      </c>
      <c r="CL81" s="21">
        <f>EXP(-LN(2)/25)*CL80+(1-EXP(-LN(2)/25))/(LN(2)/25)*Calculateur!CG81*Calculateur!CI81*VLOOKUP('Données projet'!$B$12,Paramètres!$A$1:$I$89,3,0)*0.475*44/12</f>
        <v>14.046427664693496</v>
      </c>
      <c r="CM81" s="21">
        <f>EXP(-LN(2)/2)*CM80+(1-EXP(-LN(2)/2))/(LN(2)/2)*CG81*CJ81*VLOOKUP('Données projet'!$B$12,Paramètres!$A$1:$I$89,3,0)*0.475*44/12</f>
        <v>4.6885898862791799E-2</v>
      </c>
      <c r="CN81" s="22">
        <f t="shared" si="66"/>
        <v>49.430706534285285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-3.4106051316484809E-13</v>
      </c>
      <c r="CU81" s="17">
        <f>CT81*VLOOKUP('Données projet'!$B$13,Paramètres!$A$1:$I$89,3,0)*VLOOKUP('Données projet'!$B$13,Paramètres!$A$1:$I$89,5,0)</f>
        <v>-1.9065282685915009E-13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475.42482703895411</v>
      </c>
      <c r="CZ81" s="59">
        <f t="shared" si="96"/>
        <v>593.51433014569966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241.3917375249481</v>
      </c>
      <c r="DG81" s="21">
        <f>EXP(-LN(2)/25)*DG80+(1-EXP(-LN(2)/25))/(LN(2)/25)*Calculateur!DB81*Calculateur!DD81*VLOOKUP('Données projet'!$B$13,Paramètres!$A$1:$I$89,3,0)*0.475*44/12</f>
        <v>45.152219997565233</v>
      </c>
      <c r="DH81" s="21">
        <f>EXP(-LN(2)/2)*DH80+(1-EXP(-LN(2)/2))/(LN(2)/2)*DB81*DE81*VLOOKUP('Données projet'!$B$13,Paramètres!$A$1:$I$89,3,0)*0.475*44/12</f>
        <v>0.5436708589232111</v>
      </c>
      <c r="DI81" s="22">
        <f t="shared" si="69"/>
        <v>287.08762838143656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>
        <f>VLOOKUP(A81,'Données projet'!$A$165:$I$185,2,0)</f>
        <v>296</v>
      </c>
      <c r="DM81" s="12">
        <f>VLOOKUP(A81,'Données projet'!$A$165:$I$185,9,0)</f>
        <v>8.1111111111111107</v>
      </c>
      <c r="DN81" s="12">
        <f t="array" ref="DN81">INDEX(DM:DM,MIN(IF(ISNUMBER(DM81:DM277),ROW(DM81:DM277),"")))</f>
        <v>8.1111111111111107</v>
      </c>
      <c r="DO81" s="12">
        <f>IF('Données projet'!$A$166&gt;35,DO80+DN81-DW80,IF(A81&lt;'Données projet'!$A$166,$DL$205^A81,IF(A81='Données projet'!$A$166,'Données projet'!$B$166,DO80+DN81-DW80)))</f>
        <v>295.99999999999989</v>
      </c>
      <c r="DP81" s="17">
        <f>DO81*VLOOKUP('Données projet'!$B$14,Paramètres!$A$1:$I$89,3,0)*VLOOKUP('Données projet'!$B$14,Paramètres!$A$1:$I$89,5,0)</f>
        <v>267.82079999999991</v>
      </c>
      <c r="DQ81" s="13">
        <f t="shared" si="97"/>
        <v>64.386570147897302</v>
      </c>
      <c r="DR81" s="20">
        <f t="shared" si="70"/>
        <v>578.5945030075876</v>
      </c>
      <c r="DS81" s="59">
        <f t="shared" si="71"/>
        <v>871.92783634092098</v>
      </c>
      <c r="DT81" s="59">
        <f ca="1">AVERAGE(OFFSET($DS$3,0,0,'Données projet'!$E$14+1,1))-AVERAGE(OFFSET($H$3,0,0,'Données projet'!$E$14+1,1))</f>
        <v>401.17301323870578</v>
      </c>
      <c r="DU81" s="59">
        <f t="shared" si="98"/>
        <v>201.57993789149754</v>
      </c>
      <c r="DV81" s="15">
        <f>IF(ISNA(VLOOKUP(A81,'Données projet'!$A$165:$I$185,3,0)),0,VLOOKUP(A81,'Données projet'!$A$165:$I$185,3,0))</f>
        <v>6</v>
      </c>
      <c r="DW81" s="15">
        <f>IF(ISNA(VLOOKUP(A81,'Données projet'!$A$165:$I$185,4,0)),0,VLOOKUP(A81,'Données projet'!$A$165:$I$185,4,0))</f>
        <v>49</v>
      </c>
      <c r="DX81" s="16">
        <f>IF(ISNA(VLOOKUP(A81,'Données projet'!$A$165:$I$185,5,0)),0%,VLOOKUP(A81,'Données projet'!$A$165:$I$185,5,0)*VLOOKUP('Données projet'!$B$14,Paramètres!$A$1:$I$89,7,0))</f>
        <v>4.3000000000000003E-2</v>
      </c>
      <c r="DY81" s="16">
        <f>IF(ISNA(VLOOKUP(A81,'Données projet'!$A$165:$I$185,6,0)),0%,VLOOKUP(A81,'Données projet'!$A$165:$I$185,6,0)*VLOOKUP('Données projet'!$B$14,Paramètres!$A$1:$I$89,7,0))</f>
        <v>0.215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2.107483765938778</v>
      </c>
      <c r="EB81" s="21">
        <f>EXP(-LN(2)/25)*EB80+(1-EXP(-LN(2)/25))/(LN(2)/25)*Calculateur!DW81*Calculateur!DY81*VLOOKUP('Données projet'!$B$14,Paramètres!$A$1:$I$89,3,0)*0.475*44/12</f>
        <v>36.431599090700111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38.539082856638892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1.7053025658242404E-13</v>
      </c>
      <c r="EK81" s="17">
        <f>EJ81*VLOOKUP('Données projet'!$B$15,Paramètres!$A$1:$I$89,3,0)*VLOOKUP('Données projet'!$B$15,Paramètres!$A$1:$I$89,5,0)</f>
        <v>1.4897523215040567E-13</v>
      </c>
      <c r="EL81" s="13">
        <f t="shared" si="99"/>
        <v>2.136562777003313E-12</v>
      </c>
      <c r="EM81" s="20">
        <f t="shared" si="73"/>
        <v>3.9806453659427267E-12</v>
      </c>
      <c r="EN81" s="59">
        <f t="shared" si="74"/>
        <v>293.33333333333729</v>
      </c>
      <c r="EO81" s="59">
        <f ca="1">AVERAGE(OFFSET($EN$3,0,0,'Données projet'!$E$15+1,1))-AVERAGE(OFFSET($H$3,0,0,'Données projet'!$E$15+1,1))</f>
        <v>237.8483058552178</v>
      </c>
      <c r="EP81" s="59">
        <f t="shared" si="100"/>
        <v>313.36201272119723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69.442899765795829</v>
      </c>
      <c r="EW81" s="21">
        <f>EXP(-LN(2)/25)*EW80+(1-EXP(-LN(2)/25))/(LN(2)/25)*Calculateur!ER81*Calculateur!ET81*VLOOKUP('Données projet'!$B$15,Paramètres!$A$1:$I$89,3,0)*0.475*44/12</f>
        <v>4.2493109461479577</v>
      </c>
      <c r="EX81" s="21">
        <f>EXP(-LN(2)/2)*EX80+(1-EXP(-LN(2)/2))/(LN(2)/2)*ER81*EU81*VLOOKUP('Données projet'!$B$15,Paramètres!$A$1:$I$89,3,0)*0.475*44/12</f>
        <v>2.5744130603823985</v>
      </c>
      <c r="EY81" s="22">
        <f t="shared" si="75"/>
        <v>76.266623772326184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4</v>
      </c>
      <c r="FE81" s="12">
        <f>IF('Données projet'!$A$218&gt;35,FE80+FD81-FM80,IF(A81&lt;'Données projet'!$A$218,$FB$205^A81,IF(A81='Données projet'!$A$218,'Données projet'!$B$218,FE80+FD81-FM80)))</f>
        <v>372.99999999999972</v>
      </c>
      <c r="FF81" s="17">
        <f>FE81*VLOOKUP('Données projet'!$B$16,Paramètres!$A$1:$I$89,3,0)*VLOOKUP('Données projet'!$B$16,Paramètres!$A$1:$I$89,5,0)</f>
        <v>290.93999999999977</v>
      </c>
      <c r="FG81" s="13">
        <f t="shared" si="101"/>
        <v>69.273763020854659</v>
      </c>
      <c r="FH81" s="20">
        <f t="shared" si="76"/>
        <v>627.37230392798813</v>
      </c>
      <c r="FI81" s="59">
        <f t="shared" si="77"/>
        <v>920.7056372613215</v>
      </c>
      <c r="FJ81" s="59">
        <f ca="1">AVERAGE(OFFSET($FI$3,0,0,'Données projet'!$E$16+1,1))-AVERAGE(OFFSET($H$3,0,0,'Données projet'!$E$16+1,1))</f>
        <v>318.52984981739411</v>
      </c>
      <c r="FK81" s="59">
        <f t="shared" si="102"/>
        <v>311.56398336941714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20.447726671641444</v>
      </c>
      <c r="FR81" s="21">
        <f>EXP(-LN(2)/25)*FR80+(1-EXP(-LN(2)/25))/(LN(2)/25)*Calculateur!FM81*Calculateur!FO81*VLOOKUP('Données projet'!$B$16,Paramètres!$A$1:$I$89,3,0)*0.475*44/12</f>
        <v>4.2421244189986504</v>
      </c>
      <c r="FS81" s="21">
        <f>EXP(-LN(2)/2)*FS80+(1-EXP(-LN(2)/2))/(LN(2)/2)*FM81*FP81*VLOOKUP('Données projet'!$B$16,Paramètres!$A$1:$I$89,3,0)*0.475*44/12</f>
        <v>0.89873279362534919</v>
      </c>
      <c r="FT81" s="22">
        <f t="shared" si="78"/>
        <v>25.588583884265443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4</v>
      </c>
      <c r="FZ81" s="12">
        <f>IF('Données projet'!$A$244&gt;35,FZ80+FY81-GH80,IF(A81&lt;'Données projet'!$A$244,$FW$205^A81,IF(A81='Données projet'!$A$244,'Données projet'!$B$244,FZ80+FY81-GH80)))</f>
        <v>372.99999999999972</v>
      </c>
      <c r="GA81" s="17">
        <f>FZ81*VLOOKUP('Données projet'!$B$17,Paramètres!$A$1:$I$89,3,0)*VLOOKUP('Données projet'!$B$17,Paramètres!$A$1:$I$89,5,0)</f>
        <v>296.75879999999978</v>
      </c>
      <c r="GB81" s="13">
        <f t="shared" si="103"/>
        <v>70.496554480015604</v>
      </c>
      <c r="GC81" s="20">
        <f t="shared" si="79"/>
        <v>639.63640905269347</v>
      </c>
      <c r="GD81" s="59">
        <f t="shared" si="80"/>
        <v>932.96974238602684</v>
      </c>
      <c r="GE81" s="59">
        <f ca="1">AVERAGE(OFFSET($GD$3,0,0,'Données projet'!$E$17+1,1))-AVERAGE(OFFSET($H$3,0,0,'Données projet'!$E$17+1,1))</f>
        <v>325.72928944930294</v>
      </c>
      <c r="GF81" s="59">
        <f t="shared" si="104"/>
        <v>318.38876834819752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25.707072182998534</v>
      </c>
      <c r="GM81" s="21">
        <f>EXP(-LN(2)/25)*GM80+(1-EXP(-LN(2)/25))/(LN(2)/25)*Calculateur!GH81*Calculateur!GJ81*VLOOKUP('Données projet'!$B$17,Paramètres!$A$1:$I$89,3,0)*0.475*44/12</f>
        <v>5.3332382811876036</v>
      </c>
      <c r="GN81" s="21">
        <f>EXP(-LN(2)/2)*GN80+(1-EXP(-LN(2)/2))/(LN(2)/2)*GH81*GK81*VLOOKUP('Données projet'!$B$17,Paramètres!$A$1:$I$89,3,0)*0.475*44/12</f>
        <v>0.91670744949785621</v>
      </c>
      <c r="GO81" s="21">
        <f t="shared" si="81"/>
        <v>31.957017913683995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4</v>
      </c>
      <c r="GU81" s="12">
        <f>IF('Données projet'!$A$270&gt;35,GU80+GT81-HC80,IF(A81&lt;'Données projet'!$A$270,$GR$205^A81,IF(A81='Données projet'!$A$270,'Données projet'!$B$270,GU80+GT81-HC80)))</f>
        <v>372.99999999999972</v>
      </c>
      <c r="GV81" s="17">
        <f>GU81*VLOOKUP('Données projet'!$B$18,Paramètres!$A$1:$I$89,3,0)*VLOOKUP('Données projet'!$B$18,Paramètres!$A$1:$I$89,5,0)</f>
        <v>250.20839999999981</v>
      </c>
      <c r="GW81" s="13">
        <f t="shared" si="105"/>
        <v>60.630564411420075</v>
      </c>
      <c r="GX81" s="20">
        <f t="shared" si="82"/>
        <v>541.37786301655638</v>
      </c>
      <c r="GY81" s="59">
        <f t="shared" si="83"/>
        <v>834.71119634988963</v>
      </c>
      <c r="GZ81" s="59">
        <f ca="1">AVERAGE(OFFSET($GY$3,0,0,'Données projet'!$E$18+1,1))-AVERAGE(OFFSET($H$3,0,0,'Données projet'!$E$18+1,1))</f>
        <v>268.04554291387961</v>
      </c>
      <c r="HA81" s="59">
        <f t="shared" si="106"/>
        <v>263.70463099437148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21.67459027193993</v>
      </c>
      <c r="HH81" s="21">
        <f>EXP(-LN(2)/25)*HH80+(1-EXP(-LN(2)/25))/(LN(2)/25)*Calculateur!HC81*Calculateur!HE81*VLOOKUP('Données projet'!$B$18,Paramètres!$A$1:$I$89,3,0)*0.475*44/12</f>
        <v>4.4966518841385712</v>
      </c>
      <c r="HI81" s="21">
        <f>EXP(-LN(2)/2)*HI80+(1-EXP(-LN(2)/2))/(LN(2)/2)*HC81*HF81*VLOOKUP('Données projet'!$B$18,Paramètres!$A$1:$I$89,3,0)*0.475*44/12</f>
        <v>0.7729102025178004</v>
      </c>
      <c r="HJ81" s="22">
        <f t="shared" si="84"/>
        <v>26.944152358596302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8.6</v>
      </c>
      <c r="N82" s="13">
        <f>IF('Données projet'!$A$36&gt;35,N81+M82-V81,IF(A82&lt;'Données projet'!$A$36,$K$205^A82,IF(A82='Données projet'!$A$36,'Données projet'!$B$36,N81+M82-V81)))</f>
        <v>281.39999999999992</v>
      </c>
      <c r="O82" s="13">
        <f>N82*VLOOKUP('Données projet'!$B$9,Paramètres!$A$1:$I$89,3,0)*VLOOKUP('Données projet'!$B$9,Paramètres!$A$1:$I$89,5,0)</f>
        <v>124.37879999999997</v>
      </c>
      <c r="P82" s="13">
        <f t="shared" si="87"/>
        <v>32.69414246460255</v>
      </c>
      <c r="Q82" s="20">
        <f t="shared" si="54"/>
        <v>273.56870812584941</v>
      </c>
      <c r="R82" s="59">
        <f t="shared" si="55"/>
        <v>566.90204145918278</v>
      </c>
      <c r="S82" s="59">
        <f ca="1">AVERAGE(OFFSET($R$3,0,0,'Données projet'!$E$9+1,1))-AVERAGE(OFFSET($H$3,0,0,'Données projet'!$E$9+1,1))</f>
        <v>46.095319339746538</v>
      </c>
      <c r="T82" s="59">
        <f t="shared" si="88"/>
        <v>48.158174304064403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6.9750097841899859</v>
      </c>
      <c r="AA82" s="21">
        <f>EXP(-LN(2)/25)*AA81+(1-EXP(-LN(2)/25))/(LN(2)/25)*Calculateur!V82*Calculateur!X82*VLOOKUP('Données projet'!$B$9,Paramètres!$A$1:$I$89,3,0)*0.475*44/12</f>
        <v>12.498868408023755</v>
      </c>
      <c r="AB82" s="21">
        <f>EXP(-LN(2)/2)*AB81+(1-EXP(-LN(2)/2))/(LN(2)/2)*V82*Y82*VLOOKUP('Données projet'!$B$9,Paramètres!$A$1:$I$89,3,0)*0.475*44/12</f>
        <v>0.36041561277308842</v>
      </c>
      <c r="AC82" s="22">
        <f t="shared" si="57"/>
        <v>19.834293804986828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-6.7984728957526396E-14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408.84545509668794</v>
      </c>
      <c r="AO82" s="59">
        <f t="shared" si="90"/>
        <v>409.9253979841132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129.104002010003</v>
      </c>
      <c r="AV82" s="21">
        <f>EXP(-LN(2)/25)*AV81+(1-EXP(-LN(2)/25))/(LN(2)/25)*Calculateur!AQ82*Calculateur!AS82*VLOOKUP('Données projet'!$B$10,Paramètres!$A$1:$I$89,3,0)*0.475*44/12</f>
        <v>45.024916125287739</v>
      </c>
      <c r="AW82" s="21">
        <f>EXP(-LN(2)/2)*AW81+(1-EXP(-LN(2)/2))/(LN(2)/2)*AQ82*AT82*VLOOKUP('Données projet'!$B$10,Paramètres!$A$1:$I$89,3,0)*0.475*44/12</f>
        <v>0.12965037030260912</v>
      </c>
      <c r="AX82" s="21">
        <f t="shared" si="60"/>
        <v>174.25856850559336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-1.1368683772161603E-13</v>
      </c>
      <c r="BE82" s="13">
        <f>BD82*VLOOKUP('Données projet'!$B$11,Paramètres!$A$1:$I$89,3,0)*VLOOKUP('Données projet'!$B$11,Paramètres!$A$1:$I$89,5,0)</f>
        <v>-6.7984728957526396E-14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279.69031306919914</v>
      </c>
      <c r="BJ82" s="59">
        <f t="shared" si="92"/>
        <v>297.01680128882509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117.13052925123003</v>
      </c>
      <c r="BQ82" s="21">
        <f>EXP(-LN(2)/25)*BQ81+(1-EXP(-LN(2)/25))/(LN(2)/25)*Calculateur!BL82*Calculateur!BN82*VLOOKUP('Données projet'!$B$11,Paramètres!$A$1:$I$89,3,0)*0.475*44/12</f>
        <v>51.071787149900487</v>
      </c>
      <c r="BR82" s="21">
        <f>EXP(-LN(2)/2)*BR81+(1-EXP(-LN(2)/2))/(LN(2)/2)*BL82*BO82*VLOOKUP('Données projet'!$B$11,Paramètres!$A$1:$I$89,3,0)*0.475*44/12</f>
        <v>0.30249173235285409</v>
      </c>
      <c r="BS82" s="22">
        <f t="shared" si="63"/>
        <v>168.50480813348338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81.299024916151723</v>
      </c>
      <c r="CE82" s="59">
        <f t="shared" si="94"/>
        <v>88.106373324240167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34.644448248254463</v>
      </c>
      <c r="CL82" s="21">
        <f>EXP(-LN(2)/25)*CL81+(1-EXP(-LN(2)/25))/(LN(2)/25)*Calculateur!CG82*Calculateur!CI82*VLOOKUP('Données projet'!$B$12,Paramètres!$A$1:$I$89,3,0)*0.475*44/12</f>
        <v>13.662327361532926</v>
      </c>
      <c r="CM82" s="21">
        <f>EXP(-LN(2)/2)*CM81+(1-EXP(-LN(2)/2))/(LN(2)/2)*CG82*CJ82*VLOOKUP('Données projet'!$B$12,Paramètres!$A$1:$I$89,3,0)*0.475*44/12</f>
        <v>3.3153337027906717E-2</v>
      </c>
      <c r="CN82" s="22">
        <f t="shared" si="66"/>
        <v>48.339928946815292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-3.4106051316484809E-13</v>
      </c>
      <c r="CU82" s="17">
        <f>CT82*VLOOKUP('Données projet'!$B$13,Paramètres!$A$1:$I$89,3,0)*VLOOKUP('Données projet'!$B$13,Paramètres!$A$1:$I$89,5,0)</f>
        <v>-1.9065282685915009E-13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475.42482703895411</v>
      </c>
      <c r="CZ82" s="59">
        <f t="shared" si="96"/>
        <v>593.51433014569966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236.65819278650557</v>
      </c>
      <c r="DG82" s="21">
        <f>EXP(-LN(2)/25)*DG81+(1-EXP(-LN(2)/25))/(LN(2)/25)*Calculateur!DB82*Calculateur!DD82*VLOOKUP('Données projet'!$B$13,Paramètres!$A$1:$I$89,3,0)*0.475*44/12</f>
        <v>43.917530167279757</v>
      </c>
      <c r="DH82" s="21">
        <f>EXP(-LN(2)/2)*DH81+(1-EXP(-LN(2)/2))/(LN(2)/2)*DB82*DE82*VLOOKUP('Données projet'!$B$13,Paramètres!$A$1:$I$89,3,0)*0.475*44/12</f>
        <v>0.38443335107811738</v>
      </c>
      <c r="DI82" s="22">
        <f t="shared" si="69"/>
        <v>280.96015630486346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7.7777777777777777</v>
      </c>
      <c r="DO82" s="12">
        <f>IF('Données projet'!$A$166&gt;35,DO81+DN82-DW81,IF(A82&lt;'Données projet'!$A$166,$DL$205^A82,IF(A82='Données projet'!$A$166,'Données projet'!$B$166,DO81+DN82-DW81)))</f>
        <v>254.77777777777766</v>
      </c>
      <c r="DP82" s="17">
        <f>DO82*VLOOKUP('Données projet'!$B$14,Paramètres!$A$1:$I$89,3,0)*VLOOKUP('Données projet'!$B$14,Paramètres!$A$1:$I$89,5,0)</f>
        <v>230.52293333333321</v>
      </c>
      <c r="DQ82" s="13">
        <f t="shared" si="97"/>
        <v>56.395736994607496</v>
      </c>
      <c r="DR82" s="20">
        <f t="shared" si="70"/>
        <v>499.71668415449676</v>
      </c>
      <c r="DS82" s="59">
        <f t="shared" si="71"/>
        <v>793.05001748783002</v>
      </c>
      <c r="DT82" s="59">
        <f ca="1">AVERAGE(OFFSET($DS$3,0,0,'Données projet'!$E$14+1,1))-AVERAGE(OFFSET($H$3,0,0,'Données projet'!$E$14+1,1))</f>
        <v>401.17301323870578</v>
      </c>
      <c r="DU82" s="59">
        <f t="shared" si="98"/>
        <v>201.57993789149754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2.0661572947268891</v>
      </c>
      <c r="EB82" s="21">
        <f>EXP(-LN(2)/25)*EB81+(1-EXP(-LN(2)/25))/(LN(2)/25)*Calculateur!DW82*Calculateur!DY82*VLOOKUP('Données projet'!$B$14,Paramètres!$A$1:$I$89,3,0)*0.475*44/12</f>
        <v>35.435375097710384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37.501532392437277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1.7053025658242404E-13</v>
      </c>
      <c r="EK82" s="17">
        <f>EJ82*VLOOKUP('Données projet'!$B$15,Paramètres!$A$1:$I$89,3,0)*VLOOKUP('Données projet'!$B$15,Paramètres!$A$1:$I$89,5,0)</f>
        <v>1.4897523215040567E-13</v>
      </c>
      <c r="EL82" s="13">
        <f t="shared" si="99"/>
        <v>2.136562777003313E-12</v>
      </c>
      <c r="EM82" s="20">
        <f t="shared" si="73"/>
        <v>3.9806453659427267E-12</v>
      </c>
      <c r="EN82" s="59">
        <f t="shared" si="74"/>
        <v>293.33333333333729</v>
      </c>
      <c r="EO82" s="59">
        <f ca="1">AVERAGE(OFFSET($EN$3,0,0,'Données projet'!$E$15+1,1))-AVERAGE(OFFSET($H$3,0,0,'Données projet'!$E$15+1,1))</f>
        <v>237.8483058552178</v>
      </c>
      <c r="EP82" s="59">
        <f t="shared" si="100"/>
        <v>313.36201272119723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68.081166857375123</v>
      </c>
      <c r="EW82" s="21">
        <f>EXP(-LN(2)/25)*EW81+(1-EXP(-LN(2)/25))/(LN(2)/25)*Calculateur!ER82*Calculateur!ET82*VLOOKUP('Données projet'!$B$15,Paramètres!$A$1:$I$89,3,0)*0.475*44/12</f>
        <v>4.1331133148639907</v>
      </c>
      <c r="EX82" s="21">
        <f>EXP(-LN(2)/2)*EX81+(1-EXP(-LN(2)/2))/(LN(2)/2)*ER82*EU82*VLOOKUP('Données projet'!$B$15,Paramètres!$A$1:$I$89,3,0)*0.475*44/12</f>
        <v>1.8203849325716068</v>
      </c>
      <c r="EY82" s="22">
        <f t="shared" si="75"/>
        <v>74.034665104810728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4</v>
      </c>
      <c r="FE82" s="12">
        <f>IF('Données projet'!$A$218&gt;35,FE81+FD82-FM81,IF(A82&lt;'Données projet'!$A$218,$FB$205^A82,IF(A82='Données projet'!$A$218,'Données projet'!$B$218,FE81+FD82-FM81)))</f>
        <v>376.99999999999972</v>
      </c>
      <c r="FF82" s="17">
        <f>FE82*VLOOKUP('Données projet'!$B$16,Paramètres!$A$1:$I$89,3,0)*VLOOKUP('Données projet'!$B$16,Paramètres!$A$1:$I$89,5,0)</f>
        <v>294.05999999999977</v>
      </c>
      <c r="FG82" s="13">
        <f t="shared" si="101"/>
        <v>69.929765653573313</v>
      </c>
      <c r="FH82" s="20">
        <f t="shared" si="76"/>
        <v>633.94884184663977</v>
      </c>
      <c r="FI82" s="59">
        <f t="shared" si="77"/>
        <v>927.28217517997314</v>
      </c>
      <c r="FJ82" s="59">
        <f ca="1">AVERAGE(OFFSET($FI$3,0,0,'Données projet'!$E$16+1,1))-AVERAGE(OFFSET($H$3,0,0,'Données projet'!$E$16+1,1))</f>
        <v>318.52984981739411</v>
      </c>
      <c r="FK82" s="59">
        <f t="shared" si="102"/>
        <v>311.56398336941714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20.04675922349233</v>
      </c>
      <c r="FR82" s="21">
        <f>EXP(-LN(2)/25)*FR81+(1-EXP(-LN(2)/25))/(LN(2)/25)*Calculateur!FM82*Calculateur!FO82*VLOOKUP('Données projet'!$B$16,Paramètres!$A$1:$I$89,3,0)*0.475*44/12</f>
        <v>4.1261233036775042</v>
      </c>
      <c r="FS82" s="21">
        <f>EXP(-LN(2)/2)*FS81+(1-EXP(-LN(2)/2))/(LN(2)/2)*FM82*FP82*VLOOKUP('Données projet'!$B$16,Paramètres!$A$1:$I$89,3,0)*0.475*44/12</f>
        <v>0.63550005284721445</v>
      </c>
      <c r="FT82" s="22">
        <f t="shared" si="78"/>
        <v>24.808382580017046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4</v>
      </c>
      <c r="FZ82" s="12">
        <f>IF('Données projet'!$A$244&gt;35,FZ81+FY82-GH81,IF(A82&lt;'Données projet'!$A$244,$FW$205^A82,IF(A82='Données projet'!$A$244,'Données projet'!$B$244,FZ81+FY82-GH81)))</f>
        <v>376.99999999999972</v>
      </c>
      <c r="GA82" s="17">
        <f>FZ82*VLOOKUP('Données projet'!$B$17,Paramètres!$A$1:$I$89,3,0)*VLOOKUP('Données projet'!$B$17,Paramètres!$A$1:$I$89,5,0)</f>
        <v>299.94119999999981</v>
      </c>
      <c r="GB82" s="13">
        <f t="shared" si="103"/>
        <v>71.164136596531506</v>
      </c>
      <c r="GC82" s="20">
        <f t="shared" si="79"/>
        <v>646.34179457229197</v>
      </c>
      <c r="GD82" s="59">
        <f t="shared" si="80"/>
        <v>939.67512790562523</v>
      </c>
      <c r="GE82" s="59">
        <f ca="1">AVERAGE(OFFSET($GD$3,0,0,'Données projet'!$E$17+1,1))-AVERAGE(OFFSET($H$3,0,0,'Données projet'!$E$17+1,1))</f>
        <v>325.72928944930294</v>
      </c>
      <c r="GF82" s="59">
        <f t="shared" si="104"/>
        <v>318.38876834819752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25.202972177255717</v>
      </c>
      <c r="GM82" s="21">
        <f>EXP(-LN(2)/25)*GM81+(1-EXP(-LN(2)/25))/(LN(2)/25)*Calculateur!GH82*Calculateur!GJ82*VLOOKUP('Données projet'!$B$17,Paramètres!$A$1:$I$89,3,0)*0.475*44/12</f>
        <v>5.1874005999257164</v>
      </c>
      <c r="GN82" s="21">
        <f>EXP(-LN(2)/2)*GN81+(1-EXP(-LN(2)/2))/(LN(2)/2)*GH82*GK82*VLOOKUP('Données projet'!$B$17,Paramètres!$A$1:$I$89,3,0)*0.475*44/12</f>
        <v>0.64821005390415876</v>
      </c>
      <c r="GO82" s="21">
        <f t="shared" si="81"/>
        <v>31.038582831085591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4</v>
      </c>
      <c r="GU82" s="12">
        <f>IF('Données projet'!$A$270&gt;35,GU81+GT82-HC81,IF(A82&lt;'Données projet'!$A$270,$GR$205^A82,IF(A82='Données projet'!$A$270,'Données projet'!$B$270,GU81+GT82-HC81)))</f>
        <v>376.99999999999972</v>
      </c>
      <c r="GV82" s="17">
        <f>GU82*VLOOKUP('Données projet'!$B$18,Paramètres!$A$1:$I$89,3,0)*VLOOKUP('Données projet'!$B$18,Paramètres!$A$1:$I$89,5,0)</f>
        <v>252.89159999999981</v>
      </c>
      <c r="GW82" s="13">
        <f t="shared" si="105"/>
        <v>61.204718436590262</v>
      </c>
      <c r="GX82" s="20">
        <f t="shared" si="82"/>
        <v>547.05108794372779</v>
      </c>
      <c r="GY82" s="59">
        <f t="shared" si="83"/>
        <v>840.38442127706116</v>
      </c>
      <c r="GZ82" s="59">
        <f ca="1">AVERAGE(OFFSET($GY$3,0,0,'Données projet'!$E$18+1,1))-AVERAGE(OFFSET($H$3,0,0,'Données projet'!$E$18+1,1))</f>
        <v>268.04554291387961</v>
      </c>
      <c r="HA82" s="59">
        <f t="shared" si="106"/>
        <v>263.70463099437148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21.249564776901867</v>
      </c>
      <c r="HH82" s="21">
        <f>EXP(-LN(2)/25)*HH81+(1-EXP(-LN(2)/25))/(LN(2)/25)*Calculateur!HC82*Calculateur!HE82*VLOOKUP('Données projet'!$B$18,Paramètres!$A$1:$I$89,3,0)*0.475*44/12</f>
        <v>4.3736907018981563</v>
      </c>
      <c r="HI82" s="21">
        <f>EXP(-LN(2)/2)*HI81+(1-EXP(-LN(2)/2))/(LN(2)/2)*HC82*HF82*VLOOKUP('Données projet'!$B$18,Paramètres!$A$1:$I$89,3,0)*0.475*44/12</f>
        <v>0.54653004544860451</v>
      </c>
      <c r="HJ82" s="22">
        <f t="shared" si="84"/>
        <v>26.169785524248628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290</v>
      </c>
      <c r="L83" s="12">
        <f>VLOOKUP(A83,'Données projet'!$A$35:$I$55,9,0)</f>
        <v>8.6</v>
      </c>
      <c r="M83" s="12">
        <f t="array" ref="M83">INDEX(L:L,MIN(IF(ISNUMBER(L83:L279),ROW(L83:L279),"")))</f>
        <v>8.6</v>
      </c>
      <c r="N83" s="13">
        <f>IF('Données projet'!$A$36&gt;35,N82+M83-V82,IF(A83&lt;'Données projet'!$A$36,$K$205^A83,IF(A83='Données projet'!$A$36,'Données projet'!$B$36,N82+M83-V82)))</f>
        <v>289.99999999999994</v>
      </c>
      <c r="O83" s="13">
        <f>N83*VLOOKUP('Données projet'!$B$9,Paramètres!$A$1:$I$89,3,0)*VLOOKUP('Données projet'!$B$9,Paramètres!$A$1:$I$89,5,0)</f>
        <v>128.18</v>
      </c>
      <c r="P83" s="13">
        <f t="shared" si="87"/>
        <v>33.575466307326536</v>
      </c>
      <c r="Q83" s="20">
        <f t="shared" si="54"/>
        <v>281.72410381859368</v>
      </c>
      <c r="R83" s="59">
        <f t="shared" si="55"/>
        <v>575.05743715192693</v>
      </c>
      <c r="S83" s="59">
        <f ca="1">AVERAGE(OFFSET($R$3,0,0,'Données projet'!$E$9+1,1))-AVERAGE(OFFSET($H$3,0,0,'Données projet'!$E$9+1,1))</f>
        <v>46.095319339746538</v>
      </c>
      <c r="T83" s="59">
        <f t="shared" si="88"/>
        <v>48.158174304064403</v>
      </c>
      <c r="U83" s="15" t="str">
        <f>IF(ISNA(VLOOKUP(A83,'Données projet'!$A$35:$I$55,3,0)),0,VLOOKUP(A83,'Données projet'!$A$35:$I$55,3,0))</f>
        <v>CR</v>
      </c>
      <c r="V83" s="15">
        <f>IF(ISNA(VLOOKUP(A83,'Données projet'!$A$35:$I$55,4,0)),0,VLOOKUP(A83,'Données projet'!$A$35:$I$55,4,0))</f>
        <v>290</v>
      </c>
      <c r="W83" s="16">
        <f>IF(ISNA(VLOOKUP(A83,'Données projet'!$A$35:$I$55,5,0)),0%,VLOOKUP(A83,'Données projet'!$A$35:$I$55,5,0)*VLOOKUP('Données projet'!$B$9,Paramètres!$A$1:$I$89,7,0))</f>
        <v>0.315</v>
      </c>
      <c r="X83" s="16">
        <f>IF(ISNA(VLOOKUP(A83,'Données projet'!$A$35:$I$55,6,0)),0%,VLOOKUP(A83,'Données projet'!$A$35:$I$55,6,0)*VLOOKUP('Données projet'!$B$9,Paramètres!$A$1:$I$89,7,0))</f>
        <v>9.0000000000000011E-2</v>
      </c>
      <c r="Y83" s="16">
        <f>IF(ISNA(VLOOKUP(A83,'Données projet'!$A$35:$I$55,7,0)),0%,VLOOKUP(A83,'Données projet'!$A$35:$I$55,7,0))</f>
        <v>0.1</v>
      </c>
      <c r="Z83" s="21">
        <f>EXP(-LN(2)/35)*Z82+(1-EXP(-LN(2)/35))/(LN(2)/35)*V83*W83*VLOOKUP('Données projet'!$B$9,Paramètres!$A$1:$I$89,3,0)*0.475*44/12</f>
        <v>60.400529144603595</v>
      </c>
      <c r="AA83" s="21">
        <f>EXP(-LN(2)/25)*AA82+(1-EXP(-LN(2)/25))/(LN(2)/25)*Calculateur!V83*Calculateur!X83*VLOOKUP('Données projet'!$B$9,Paramètres!$A$1:$I$89,3,0)*0.475*44/12</f>
        <v>27.400343303692992</v>
      </c>
      <c r="AB83" s="21">
        <f>EXP(-LN(2)/2)*AB82+(1-EXP(-LN(2)/2))/(LN(2)/2)*V83*Y83*VLOOKUP('Données projet'!$B$9,Paramètres!$A$1:$I$89,3,0)*0.475*44/12</f>
        <v>14.767805913531596</v>
      </c>
      <c r="AC83" s="22">
        <f t="shared" si="57"/>
        <v>102.56867836182818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-6.7984728957526396E-14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408.84545509668794</v>
      </c>
      <c r="AO83" s="59">
        <f t="shared" si="90"/>
        <v>409.9253979841132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126.57235127625258</v>
      </c>
      <c r="AV83" s="21">
        <f>EXP(-LN(2)/25)*AV82+(1-EXP(-LN(2)/25))/(LN(2)/25)*Calculateur!AQ83*Calculateur!AS83*VLOOKUP('Données projet'!$B$10,Paramètres!$A$1:$I$89,3,0)*0.475*44/12</f>
        <v>43.79370742608431</v>
      </c>
      <c r="AW83" s="21">
        <f>EXP(-LN(2)/2)*AW82+(1-EXP(-LN(2)/2))/(LN(2)/2)*AQ83*AT83*VLOOKUP('Données projet'!$B$10,Paramètres!$A$1:$I$89,3,0)*0.475*44/12</f>
        <v>9.1676656024321887E-2</v>
      </c>
      <c r="AX83" s="21">
        <f t="shared" si="60"/>
        <v>170.45773535836122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-1.1368683772161603E-13</v>
      </c>
      <c r="BE83" s="13">
        <f>BD83*VLOOKUP('Données projet'!$B$11,Paramètres!$A$1:$I$89,3,0)*VLOOKUP('Données projet'!$B$11,Paramètres!$A$1:$I$89,5,0)</f>
        <v>-6.7984728957526396E-14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279.69031306919914</v>
      </c>
      <c r="BJ83" s="59">
        <f t="shared" si="92"/>
        <v>297.01680128882509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114.83367101518188</v>
      </c>
      <c r="BQ83" s="21">
        <f>EXP(-LN(2)/25)*BQ82+(1-EXP(-LN(2)/25))/(LN(2)/25)*Calculateur!BL83*Calculateur!BN83*VLOOKUP('Données projet'!$B$11,Paramètres!$A$1:$I$89,3,0)*0.475*44/12</f>
        <v>49.675226444537898</v>
      </c>
      <c r="BR83" s="21">
        <f>EXP(-LN(2)/2)*BR82+(1-EXP(-LN(2)/2))/(LN(2)/2)*BL83*BO83*VLOOKUP('Données projet'!$B$11,Paramètres!$A$1:$I$89,3,0)*0.475*44/12</f>
        <v>0.2138939551995693</v>
      </c>
      <c r="BS83" s="22">
        <f t="shared" si="63"/>
        <v>164.72279141491936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81.299024916151723</v>
      </c>
      <c r="CE83" s="59">
        <f t="shared" si="94"/>
        <v>88.106373324240167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33.965091749133109</v>
      </c>
      <c r="CL83" s="21">
        <f>EXP(-LN(2)/25)*CL82+(1-EXP(-LN(2)/25))/(LN(2)/25)*Calculateur!CG83*Calculateur!CI83*VLOOKUP('Données projet'!$B$12,Paramètres!$A$1:$I$89,3,0)*0.475*44/12</f>
        <v>13.288730301361237</v>
      </c>
      <c r="CM83" s="21">
        <f>EXP(-LN(2)/2)*CM82+(1-EXP(-LN(2)/2))/(LN(2)/2)*CG83*CJ83*VLOOKUP('Données projet'!$B$12,Paramètres!$A$1:$I$89,3,0)*0.475*44/12</f>
        <v>2.3442949431395899E-2</v>
      </c>
      <c r="CN83" s="22">
        <f t="shared" si="66"/>
        <v>47.277264999925748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-3.4106051316484809E-13</v>
      </c>
      <c r="CU83" s="17">
        <f>CT83*VLOOKUP('Données projet'!$B$13,Paramètres!$A$1:$I$89,3,0)*VLOOKUP('Données projet'!$B$13,Paramètres!$A$1:$I$89,5,0)</f>
        <v>-1.9065282685915009E-13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475.42482703895411</v>
      </c>
      <c r="CZ83" s="59">
        <f t="shared" si="96"/>
        <v>593.51433014569966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232.01746997320669</v>
      </c>
      <c r="DG83" s="21">
        <f>EXP(-LN(2)/25)*DG82+(1-EXP(-LN(2)/25))/(LN(2)/25)*Calculateur!DB83*Calculateur!DD83*VLOOKUP('Données projet'!$B$13,Paramètres!$A$1:$I$89,3,0)*0.475*44/12</f>
        <v>42.716602995332956</v>
      </c>
      <c r="DH83" s="21">
        <f>EXP(-LN(2)/2)*DH82+(1-EXP(-LN(2)/2))/(LN(2)/2)*DB83*DE83*VLOOKUP('Données projet'!$B$13,Paramètres!$A$1:$I$89,3,0)*0.475*44/12</f>
        <v>0.27183542946160555</v>
      </c>
      <c r="DI83" s="22">
        <f t="shared" si="69"/>
        <v>275.00590839800122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7.7777777777777777</v>
      </c>
      <c r="DO83" s="12">
        <f>IF('Données projet'!$A$166&gt;35,DO82+DN83-DW82,IF(A83&lt;'Données projet'!$A$166,$DL$205^A83,IF(A83='Données projet'!$A$166,'Données projet'!$B$166,DO82+DN83-DW82)))</f>
        <v>262.55555555555543</v>
      </c>
      <c r="DP83" s="17">
        <f>DO83*VLOOKUP('Données projet'!$B$14,Paramètres!$A$1:$I$89,3,0)*VLOOKUP('Données projet'!$B$14,Paramètres!$A$1:$I$89,5,0)</f>
        <v>237.56026666666656</v>
      </c>
      <c r="DQ83" s="13">
        <f t="shared" si="97"/>
        <v>57.914298227932981</v>
      </c>
      <c r="DR83" s="20">
        <f t="shared" si="70"/>
        <v>514.61820052476094</v>
      </c>
      <c r="DS83" s="59">
        <f t="shared" si="71"/>
        <v>807.95153385809431</v>
      </c>
      <c r="DT83" s="59">
        <f ca="1">AVERAGE(OFFSET($DS$3,0,0,'Données projet'!$E$14+1,1))-AVERAGE(OFFSET($H$3,0,0,'Données projet'!$E$14+1,1))</f>
        <v>401.17301323870578</v>
      </c>
      <c r="DU83" s="59">
        <f t="shared" si="98"/>
        <v>201.57993789149754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2.0256412104088071</v>
      </c>
      <c r="EB83" s="21">
        <f>EXP(-LN(2)/25)*EB82+(1-EXP(-LN(2)/25))/(LN(2)/25)*Calculateur!DW83*Calculateur!DY83*VLOOKUP('Données projet'!$B$14,Paramètres!$A$1:$I$89,3,0)*0.475*44/12</f>
        <v>34.466392902198109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36.492034112606916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1.7053025658242404E-13</v>
      </c>
      <c r="EK83" s="17">
        <f>EJ83*VLOOKUP('Données projet'!$B$15,Paramètres!$A$1:$I$89,3,0)*VLOOKUP('Données projet'!$B$15,Paramètres!$A$1:$I$89,5,0)</f>
        <v>1.4897523215040567E-13</v>
      </c>
      <c r="EL83" s="13">
        <f t="shared" si="99"/>
        <v>2.136562777003313E-12</v>
      </c>
      <c r="EM83" s="20">
        <f t="shared" si="73"/>
        <v>3.9806453659427267E-12</v>
      </c>
      <c r="EN83" s="59">
        <f t="shared" si="74"/>
        <v>293.33333333333729</v>
      </c>
      <c r="EO83" s="59">
        <f ca="1">AVERAGE(OFFSET($EN$3,0,0,'Données projet'!$E$15+1,1))-AVERAGE(OFFSET($H$3,0,0,'Données projet'!$E$15+1,1))</f>
        <v>237.8483058552178</v>
      </c>
      <c r="EP83" s="59">
        <f t="shared" si="100"/>
        <v>313.36201272119723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66.746136700713492</v>
      </c>
      <c r="EW83" s="21">
        <f>EXP(-LN(2)/25)*EW82+(1-EXP(-LN(2)/25))/(LN(2)/25)*Calculateur!ER83*Calculateur!ET83*VLOOKUP('Données projet'!$B$15,Paramètres!$A$1:$I$89,3,0)*0.475*44/12</f>
        <v>4.020093113918052</v>
      </c>
      <c r="EX83" s="21">
        <f>EXP(-LN(2)/2)*EX82+(1-EXP(-LN(2)/2))/(LN(2)/2)*ER83*EU83*VLOOKUP('Données projet'!$B$15,Paramètres!$A$1:$I$89,3,0)*0.475*44/12</f>
        <v>1.2872065301911992</v>
      </c>
      <c r="EY83" s="22">
        <f t="shared" si="75"/>
        <v>72.053436344822742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381</v>
      </c>
      <c r="FC83" s="12">
        <f>VLOOKUP(A83,'Données projet'!$A$217:$I$237,9,0)</f>
        <v>4</v>
      </c>
      <c r="FD83" s="12">
        <f t="array" ref="FD83">INDEX(FC:FC,MIN(IF(ISNUMBER(FC83:FC279),ROW(FC83:FC279),"")))</f>
        <v>4</v>
      </c>
      <c r="FE83" s="12">
        <f>IF('Données projet'!$A$218&gt;35,FE82+FD83-FM82,IF(A83&lt;'Données projet'!$A$218,$FB$205^A83,IF(A83='Données projet'!$A$218,'Données projet'!$B$218,FE82+FD83-FM82)))</f>
        <v>380.99999999999972</v>
      </c>
      <c r="FF83" s="17">
        <f>FE83*VLOOKUP('Données projet'!$B$16,Paramètres!$A$1:$I$89,3,0)*VLOOKUP('Données projet'!$B$16,Paramètres!$A$1:$I$89,5,0)</f>
        <v>297.17999999999978</v>
      </c>
      <c r="FG83" s="13">
        <f t="shared" si="101"/>
        <v>70.584958598354604</v>
      </c>
      <c r="FH83" s="20">
        <f t="shared" si="76"/>
        <v>640.52396955880056</v>
      </c>
      <c r="FI83" s="59">
        <f t="shared" si="77"/>
        <v>933.85730289213393</v>
      </c>
      <c r="FJ83" s="59">
        <f ca="1">AVERAGE(OFFSET($FI$3,0,0,'Données projet'!$E$16+1,1))-AVERAGE(OFFSET($H$3,0,0,'Données projet'!$E$16+1,1))</f>
        <v>318.52984981739411</v>
      </c>
      <c r="FK83" s="59">
        <f t="shared" si="102"/>
        <v>311.56398336941714</v>
      </c>
      <c r="FL83" s="15" t="str">
        <f>IF(ISNA(VLOOKUP(A83,'Données projet'!$A$217:$I$237,3,0)),0,VLOOKUP(A83,'Données projet'!$A$217:$I$237,3,0))</f>
        <v>CR</v>
      </c>
      <c r="FM83" s="15">
        <f>IF(ISNA(VLOOKUP(A83,'Données projet'!$A$217:$I$237,4,0)),0,VLOOKUP(A83,'Données projet'!$A$217:$I$237,4,0))</f>
        <v>381</v>
      </c>
      <c r="FN83" s="16">
        <f>IF(ISNA(VLOOKUP(A83,'Données projet'!$A$217:$I$237,5,0)),0%,VLOOKUP(A83,'Données projet'!$A$217:$I$237,5,0)*VLOOKUP('Données projet'!$B$16,Paramètres!$A$1:$I$89,7,0))</f>
        <v>0.30099999999999999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0.2</v>
      </c>
      <c r="FQ83" s="21">
        <f>EXP(-LN(2)/35)*FQ82+(1-EXP(-LN(2)/35))/(LN(2)/35)*FM83*FN83*VLOOKUP('Données projet'!$B$16,Paramètres!$A$1:$I$89,3,0)*0.475*44/12</f>
        <v>118.53928440670566</v>
      </c>
      <c r="FR83" s="21">
        <f>EXP(-LN(2)/25)*FR82+(1-EXP(-LN(2)/25))/(LN(2)/25)*Calculateur!FM83*Calculateur!FO83*VLOOKUP('Données projet'!$B$16,Paramètres!$A$1:$I$89,3,0)*0.475*44/12</f>
        <v>4.0132942449550484</v>
      </c>
      <c r="FS83" s="21">
        <f>EXP(-LN(2)/2)*FS82+(1-EXP(-LN(2)/2))/(LN(2)/2)*FM83*FP83*VLOOKUP('Données projet'!$B$16,Paramètres!$A$1:$I$89,3,0)*0.475*44/12</f>
        <v>56.52883209329854</v>
      </c>
      <c r="FT83" s="22">
        <f t="shared" si="78"/>
        <v>179.08141074495924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381</v>
      </c>
      <c r="FX83" s="12">
        <f>VLOOKUP(A83,'Données projet'!$A$243:$I$263,9,0)</f>
        <v>4</v>
      </c>
      <c r="FY83" s="12">
        <f t="array" ref="FY83">INDEX(FX:FX,MIN(IF(ISNUMBER(FX83:FX279),ROW(FX83:FX279),"")))</f>
        <v>4</v>
      </c>
      <c r="FZ83" s="12">
        <f>IF('Données projet'!$A$244&gt;35,FZ82+FY83-GH82,IF(A83&lt;'Données projet'!$A$244,$FW$205^A83,IF(A83='Données projet'!$A$244,'Données projet'!$B$244,FZ82+FY83-GH82)))</f>
        <v>380.99999999999972</v>
      </c>
      <c r="GA83" s="17">
        <f>FZ83*VLOOKUP('Données projet'!$B$17,Paramètres!$A$1:$I$89,3,0)*VLOOKUP('Données projet'!$B$17,Paramètres!$A$1:$I$89,5,0)</f>
        <v>303.12359999999978</v>
      </c>
      <c r="GB83" s="13">
        <f t="shared" si="103"/>
        <v>71.830894732837621</v>
      </c>
      <c r="GC83" s="20">
        <f t="shared" si="79"/>
        <v>653.0457449930251</v>
      </c>
      <c r="GD83" s="59">
        <f t="shared" si="80"/>
        <v>946.37907832635847</v>
      </c>
      <c r="GE83" s="59">
        <f ca="1">AVERAGE(OFFSET($GD$3,0,0,'Données projet'!$E$17+1,1))-AVERAGE(OFFSET($H$3,0,0,'Données projet'!$E$17+1,1))</f>
        <v>325.72928944930294</v>
      </c>
      <c r="GF83" s="59">
        <f t="shared" si="104"/>
        <v>318.38876834819752</v>
      </c>
      <c r="GG83" s="15" t="str">
        <f>IF(ISNA(VLOOKUP(A83,'Données projet'!$A$243:$I$263,3,0)),0,VLOOKUP(A83,'Données projet'!$A$243:$I$263,3,0))</f>
        <v>CR</v>
      </c>
      <c r="GH83" s="15">
        <f>IF(ISNA(VLOOKUP(A83,'Données projet'!$A$243:$I$263,4,0)),0,VLOOKUP(A83,'Données projet'!$A$243:$I$263,4,0))</f>
        <v>381</v>
      </c>
      <c r="GI83" s="16">
        <f>IF(ISNA(VLOOKUP(A83,'Données projet'!$A$243:$I$263,5,0)),0%,VLOOKUP(A83,'Données projet'!$A$243:$I$263,5,0)*VLOOKUP('Données projet'!$B$17,Paramètres!$A$1:$I$89,7,0))</f>
        <v>0.371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0.2</v>
      </c>
      <c r="GL83" s="21">
        <f>EXP(-LN(2)/35)*GL82+(1-EXP(-LN(2)/35))/(LN(2)/35)*GH83*GI83*VLOOKUP('Données projet'!$B$17,Paramètres!$A$1:$I$89,3,0)*0.475*44/12</f>
        <v>149.02869104712812</v>
      </c>
      <c r="GM83" s="21">
        <f>EXP(-LN(2)/25)*GM82+(1-EXP(-LN(2)/25))/(LN(2)/25)*Calculateur!GH83*Calculateur!GJ83*VLOOKUP('Données projet'!$B$17,Paramètres!$A$1:$I$89,3,0)*0.475*44/12</f>
        <v>5.0455508577272061</v>
      </c>
      <c r="GN83" s="21">
        <f>EXP(-LN(2)/2)*GN82+(1-EXP(-LN(2)/2))/(LN(2)/2)*GH83*GK83*VLOOKUP('Données projet'!$B$17,Paramètres!$A$1:$I$89,3,0)*0.475*44/12</f>
        <v>57.659408735164504</v>
      </c>
      <c r="GO83" s="21">
        <f t="shared" si="81"/>
        <v>211.73365064001982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381</v>
      </c>
      <c r="GS83" s="12">
        <f>VLOOKUP(A83,'Données projet'!$A$269:$I$289,9,0)</f>
        <v>4</v>
      </c>
      <c r="GT83" s="12">
        <f t="array" ref="GT83">INDEX(GS:GS,MIN(IF(ISNUMBER(GS83:GS279),ROW(GS83:GS279),"")))</f>
        <v>4</v>
      </c>
      <c r="GU83" s="12">
        <f>IF('Données projet'!$A$270&gt;35,GU82+GT83-HC82,IF(A83&lt;'Données projet'!$A$270,$GR$205^A83,IF(A83='Données projet'!$A$270,'Données projet'!$B$270,GU82+GT83-HC82)))</f>
        <v>380.99999999999972</v>
      </c>
      <c r="GV83" s="17">
        <f>GU83*VLOOKUP('Données projet'!$B$18,Paramètres!$A$1:$I$89,3,0)*VLOOKUP('Données projet'!$B$18,Paramètres!$A$1:$I$89,5,0)</f>
        <v>255.57479999999981</v>
      </c>
      <c r="GW83" s="13">
        <f t="shared" si="105"/>
        <v>61.778163797549141</v>
      </c>
      <c r="GX83" s="20">
        <f t="shared" si="82"/>
        <v>552.72307861406443</v>
      </c>
      <c r="GY83" s="59">
        <f t="shared" si="83"/>
        <v>846.05641194739769</v>
      </c>
      <c r="GZ83" s="59">
        <f ca="1">AVERAGE(OFFSET($GY$3,0,0,'Données projet'!$E$18+1,1))-AVERAGE(OFFSET($H$3,0,0,'Données projet'!$E$18+1,1))</f>
        <v>268.04554291387961</v>
      </c>
      <c r="HA83" s="59">
        <f t="shared" si="106"/>
        <v>263.70463099437148</v>
      </c>
      <c r="HB83" s="15" t="str">
        <f>IF(ISNA(VLOOKUP(A83,'Données projet'!$A$269:$I$289,3,0)),0,VLOOKUP(A83,'Données projet'!$A$269:$I$289,3,0))</f>
        <v>CR</v>
      </c>
      <c r="HC83" s="15">
        <f>IF(ISNA(VLOOKUP(A83,'Données projet'!$A$269:$I$289,4,0)),0,VLOOKUP(A83,'Données projet'!$A$269:$I$289,4,0))</f>
        <v>381</v>
      </c>
      <c r="HD83" s="16">
        <f>IF(ISNA(VLOOKUP(A83,'Données projet'!$A$269:$I$289,5,0)),0%,VLOOKUP(A83,'Données projet'!$A$269:$I$289,5,0)*VLOOKUP('Données projet'!$B$18,Paramètres!$A$1:$I$89,7,0))</f>
        <v>0.371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0.2</v>
      </c>
      <c r="HG83" s="21">
        <f>EXP(-LN(2)/35)*HG82+(1-EXP(-LN(2)/35))/(LN(2)/35)*HC83*HD83*VLOOKUP('Données projet'!$B$18,Paramètres!$A$1:$I$89,3,0)*0.475*44/12</f>
        <v>125.65164147110801</v>
      </c>
      <c r="HH83" s="21">
        <f>EXP(-LN(2)/25)*HH82+(1-EXP(-LN(2)/25))/(LN(2)/25)*Calculateur!HC83*Calculateur!HE83*VLOOKUP('Données projet'!$B$18,Paramètres!$A$1:$I$89,3,0)*0.475*44/12</f>
        <v>4.2540918996523533</v>
      </c>
      <c r="HI83" s="21">
        <f>EXP(-LN(2)/2)*HI82+(1-EXP(-LN(2)/2))/(LN(2)/2)*HC83*HF83*VLOOKUP('Données projet'!$B$18,Paramètres!$A$1:$I$89,3,0)*0.475*44/12</f>
        <v>48.614795600236739</v>
      </c>
      <c r="HJ83" s="22">
        <f t="shared" si="84"/>
        <v>178.52052897099711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-2.5124791136477146E-14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46.095319339746538</v>
      </c>
      <c r="T84" s="59">
        <f t="shared" si="88"/>
        <v>48.158174304064403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59.216111608762979</v>
      </c>
      <c r="AA84" s="21">
        <f>EXP(-LN(2)/25)*AA83+(1-EXP(-LN(2)/25))/(LN(2)/25)*Calculateur!V84*Calculateur!X84*VLOOKUP('Données projet'!$B$9,Paramètres!$A$1:$I$89,3,0)*0.475*44/12</f>
        <v>26.651079475132079</v>
      </c>
      <c r="AB84" s="21">
        <f>EXP(-LN(2)/2)*AB83+(1-EXP(-LN(2)/2))/(LN(2)/2)*V84*Y84*VLOOKUP('Données projet'!$B$9,Paramètres!$A$1:$I$89,3,0)*0.475*44/12</f>
        <v>10.44241570470499</v>
      </c>
      <c r="AC84" s="22">
        <f t="shared" si="57"/>
        <v>96.309606788600036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-6.7984728957526396E-14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408.84545509668794</v>
      </c>
      <c r="AO84" s="59">
        <f t="shared" si="90"/>
        <v>409.9253979841132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124.09034466923653</v>
      </c>
      <c r="AV84" s="21">
        <f>EXP(-LN(2)/25)*AV83+(1-EXP(-LN(2)/25))/(LN(2)/25)*Calculateur!AQ84*Calculateur!AS84*VLOOKUP('Données projet'!$B$10,Paramètres!$A$1:$I$89,3,0)*0.475*44/12</f>
        <v>42.596166193507052</v>
      </c>
      <c r="AW84" s="21">
        <f>EXP(-LN(2)/2)*AW83+(1-EXP(-LN(2)/2))/(LN(2)/2)*AQ84*AT84*VLOOKUP('Données projet'!$B$10,Paramètres!$A$1:$I$89,3,0)*0.475*44/12</f>
        <v>6.482518515130456E-2</v>
      </c>
      <c r="AX84" s="21">
        <f t="shared" si="60"/>
        <v>166.75133604789488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-1.1368683772161603E-13</v>
      </c>
      <c r="BE84" s="13">
        <f>BD84*VLOOKUP('Données projet'!$B$11,Paramètres!$A$1:$I$89,3,0)*VLOOKUP('Données projet'!$B$11,Paramètres!$A$1:$I$89,5,0)</f>
        <v>-6.7984728957526396E-14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279.69031306919914</v>
      </c>
      <c r="BJ84" s="59">
        <f t="shared" si="92"/>
        <v>297.01680128882509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112.58185276819745</v>
      </c>
      <c r="BQ84" s="21">
        <f>EXP(-LN(2)/25)*BQ83+(1-EXP(-LN(2)/25))/(LN(2)/25)*Calculateur!BL84*Calculateur!BN84*VLOOKUP('Données projet'!$B$11,Paramètres!$A$1:$I$89,3,0)*0.475*44/12</f>
        <v>48.316854765105383</v>
      </c>
      <c r="BR84" s="21">
        <f>EXP(-LN(2)/2)*BR83+(1-EXP(-LN(2)/2))/(LN(2)/2)*BL84*BO84*VLOOKUP('Données projet'!$B$11,Paramètres!$A$1:$I$89,3,0)*0.475*44/12</f>
        <v>0.15124586617642705</v>
      </c>
      <c r="BS84" s="22">
        <f t="shared" si="63"/>
        <v>161.04995339947925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81.299024916151723</v>
      </c>
      <c r="CE84" s="59">
        <f t="shared" si="94"/>
        <v>88.106373324240167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33.299057016592975</v>
      </c>
      <c r="CL84" s="21">
        <f>EXP(-LN(2)/25)*CL83+(1-EXP(-LN(2)/25))/(LN(2)/25)*Calculateur!CG84*Calculateur!CI84*VLOOKUP('Données projet'!$B$12,Paramètres!$A$1:$I$89,3,0)*0.475*44/12</f>
        <v>12.92534927244656</v>
      </c>
      <c r="CM84" s="21">
        <f>EXP(-LN(2)/2)*CM83+(1-EXP(-LN(2)/2))/(LN(2)/2)*CG84*CJ84*VLOOKUP('Données projet'!$B$12,Paramètres!$A$1:$I$89,3,0)*0.475*44/12</f>
        <v>1.6576668513953358E-2</v>
      </c>
      <c r="CN84" s="22">
        <f t="shared" si="66"/>
        <v>46.240982957553491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-3.4106051316484809E-13</v>
      </c>
      <c r="CU84" s="17">
        <f>CT84*VLOOKUP('Données projet'!$B$13,Paramètres!$A$1:$I$89,3,0)*VLOOKUP('Données projet'!$B$13,Paramètres!$A$1:$I$89,5,0)</f>
        <v>-1.9065282685915009E-13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475.42482703895411</v>
      </c>
      <c r="CZ84" s="59">
        <f t="shared" si="96"/>
        <v>593.51433014569966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227.46774890371518</v>
      </c>
      <c r="DG84" s="21">
        <f>EXP(-LN(2)/25)*DG83+(1-EXP(-LN(2)/25))/(LN(2)/25)*Calculateur!DB84*Calculateur!DD84*VLOOKUP('Données projet'!$B$13,Paramètres!$A$1:$I$89,3,0)*0.475*44/12</f>
        <v>41.548515240057057</v>
      </c>
      <c r="DH84" s="21">
        <f>EXP(-LN(2)/2)*DH83+(1-EXP(-LN(2)/2))/(LN(2)/2)*DB84*DE84*VLOOKUP('Données projet'!$B$13,Paramètres!$A$1:$I$89,3,0)*0.475*44/12</f>
        <v>0.19221667553905869</v>
      </c>
      <c r="DI84" s="22">
        <f t="shared" si="69"/>
        <v>269.20848081931126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7.7777777777777777</v>
      </c>
      <c r="DO84" s="12">
        <f>IF('Données projet'!$A$166&gt;35,DO83+DN84-DW83,IF(A84&lt;'Données projet'!$A$166,$DL$205^A84,IF(A84='Données projet'!$A$166,'Données projet'!$B$166,DO83+DN84-DW83)))</f>
        <v>270.3333333333332</v>
      </c>
      <c r="DP84" s="17">
        <f>DO84*VLOOKUP('Données projet'!$B$14,Paramètres!$A$1:$I$89,3,0)*VLOOKUP('Données projet'!$B$14,Paramètres!$A$1:$I$89,5,0)</f>
        <v>244.59759999999986</v>
      </c>
      <c r="DQ84" s="13">
        <f t="shared" si="97"/>
        <v>59.427631429904153</v>
      </c>
      <c r="DR84" s="20">
        <f t="shared" si="70"/>
        <v>529.51061140708282</v>
      </c>
      <c r="DS84" s="59">
        <f t="shared" si="71"/>
        <v>822.84394474041619</v>
      </c>
      <c r="DT84" s="59">
        <f ca="1">AVERAGE(OFFSET($DS$3,0,0,'Données projet'!$E$14+1,1))-AVERAGE(OFFSET($H$3,0,0,'Données projet'!$E$14+1,1))</f>
        <v>401.17301323870578</v>
      </c>
      <c r="DU84" s="59">
        <f t="shared" si="98"/>
        <v>201.57993789149754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1.9859196217918313</v>
      </c>
      <c r="EB84" s="21">
        <f>EXP(-LN(2)/25)*EB83+(1-EXP(-LN(2)/25))/(LN(2)/25)*Calculateur!DW84*Calculateur!DY84*VLOOKUP('Données projet'!$B$14,Paramètres!$A$1:$I$89,3,0)*0.475*44/12</f>
        <v>33.523907575778672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35.509827197570502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1.7053025658242404E-13</v>
      </c>
      <c r="EK84" s="17">
        <f>EJ84*VLOOKUP('Données projet'!$B$15,Paramètres!$A$1:$I$89,3,0)*VLOOKUP('Données projet'!$B$15,Paramètres!$A$1:$I$89,5,0)</f>
        <v>1.4897523215040567E-13</v>
      </c>
      <c r="EL84" s="13">
        <f t="shared" si="99"/>
        <v>2.136562777003313E-12</v>
      </c>
      <c r="EM84" s="20">
        <f t="shared" si="73"/>
        <v>3.9806453659427267E-12</v>
      </c>
      <c r="EN84" s="59">
        <f t="shared" si="74"/>
        <v>293.33333333333729</v>
      </c>
      <c r="EO84" s="59">
        <f ca="1">AVERAGE(OFFSET($EN$3,0,0,'Données projet'!$E$15+1,1))-AVERAGE(OFFSET($H$3,0,0,'Données projet'!$E$15+1,1))</f>
        <v>237.8483058552178</v>
      </c>
      <c r="EP84" s="59">
        <f t="shared" si="100"/>
        <v>313.36201272119723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65.437285671135996</v>
      </c>
      <c r="EW84" s="21">
        <f>EXP(-LN(2)/25)*EW83+(1-EXP(-LN(2)/25))/(LN(2)/25)*Calculateur!ER84*Calculateur!ET84*VLOOKUP('Données projet'!$B$15,Paramètres!$A$1:$I$89,3,0)*0.475*44/12</f>
        <v>3.9101634563104541</v>
      </c>
      <c r="EX84" s="21">
        <f>EXP(-LN(2)/2)*EX83+(1-EXP(-LN(2)/2))/(LN(2)/2)*ER84*EU84*VLOOKUP('Données projet'!$B$15,Paramètres!$A$1:$I$89,3,0)*0.475*44/12</f>
        <v>0.91019246628580341</v>
      </c>
      <c r="EY84" s="22">
        <f t="shared" si="75"/>
        <v>70.257641593732259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-2.8421709430404007E-13</v>
      </c>
      <c r="FF84" s="17">
        <f>FE84*VLOOKUP('Données projet'!$B$16,Paramètres!$A$1:$I$89,3,0)*VLOOKUP('Données projet'!$B$16,Paramètres!$A$1:$I$89,5,0)</f>
        <v>-2.2168933355715128E-13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318.52984981739411</v>
      </c>
      <c r="FK84" s="59">
        <f t="shared" si="102"/>
        <v>311.56398336941714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116.21480134131444</v>
      </c>
      <c r="FR84" s="21">
        <f>EXP(-LN(2)/25)*FR83+(1-EXP(-LN(2)/25))/(LN(2)/25)*Calculateur!FM84*Calculateur!FO84*VLOOKUP('Données projet'!$B$16,Paramètres!$A$1:$I$89,3,0)*0.475*44/12</f>
        <v>3.9035505027767807</v>
      </c>
      <c r="FS84" s="21">
        <f>EXP(-LN(2)/2)*FS83+(1-EXP(-LN(2)/2))/(LN(2)/2)*FM84*FP84*VLOOKUP('Données projet'!$B$16,Paramètres!$A$1:$I$89,3,0)*0.475*44/12</f>
        <v>39.971920505727141</v>
      </c>
      <c r="FT84" s="22">
        <f t="shared" si="78"/>
        <v>160.09027234981835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-2.8421709430404007E-13</v>
      </c>
      <c r="GA84" s="17">
        <f>FZ84*VLOOKUP('Données projet'!$B$17,Paramètres!$A$1:$I$89,3,0)*VLOOKUP('Données projet'!$B$17,Paramètres!$A$1:$I$89,5,0)</f>
        <v>-2.2612312022829427E-13</v>
      </c>
      <c r="GB84" s="13" t="e">
        <f t="shared" si="103"/>
        <v>#NUM!</v>
      </c>
      <c r="GC84" s="20" t="e">
        <f t="shared" si="79"/>
        <v>#NUM!</v>
      </c>
      <c r="GD84" s="59" t="e">
        <f t="shared" si="80"/>
        <v>#NUM!</v>
      </c>
      <c r="GE84" s="59">
        <f ca="1">AVERAGE(OFFSET($GD$3,0,0,'Données projet'!$E$17+1,1))-AVERAGE(OFFSET($H$3,0,0,'Données projet'!$E$17+1,1))</f>
        <v>325.72928944930294</v>
      </c>
      <c r="GF84" s="59">
        <f t="shared" si="104"/>
        <v>318.38876834819752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146.10632931422001</v>
      </c>
      <c r="GM84" s="21">
        <f>EXP(-LN(2)/25)*GM83+(1-EXP(-LN(2)/25))/(LN(2)/25)*Calculateur!GH84*Calculateur!GJ84*VLOOKUP('Données projet'!$B$17,Paramètres!$A$1:$I$89,3,0)*0.475*44/12</f>
        <v>4.9075800041886675</v>
      </c>
      <c r="GN84" s="21">
        <f>EXP(-LN(2)/2)*GN83+(1-EXP(-LN(2)/2))/(LN(2)/2)*GH84*GK84*VLOOKUP('Données projet'!$B$17,Paramètres!$A$1:$I$89,3,0)*0.475*44/12</f>
        <v>40.771358915841674</v>
      </c>
      <c r="GO84" s="21">
        <f t="shared" si="81"/>
        <v>191.78526823425034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-2.8421709430404007E-13</v>
      </c>
      <c r="GV84" s="17">
        <f>GU84*VLOOKUP('Données projet'!$B$18,Paramètres!$A$1:$I$89,3,0)*VLOOKUP('Données projet'!$B$18,Paramètres!$A$1:$I$89,5,0)</f>
        <v>-1.9065282685915009E-13</v>
      </c>
      <c r="GW84" s="13" t="e">
        <f t="shared" si="105"/>
        <v>#NUM!</v>
      </c>
      <c r="GX84" s="20" t="e">
        <f t="shared" si="82"/>
        <v>#NUM!</v>
      </c>
      <c r="GY84" s="59" t="e">
        <f t="shared" si="83"/>
        <v>#NUM!</v>
      </c>
      <c r="GZ84" s="59">
        <f ca="1">AVERAGE(OFFSET($GY$3,0,0,'Données projet'!$E$18+1,1))-AVERAGE(OFFSET($H$3,0,0,'Données projet'!$E$18+1,1))</f>
        <v>268.04554291387961</v>
      </c>
      <c r="HA84" s="59">
        <f t="shared" si="106"/>
        <v>263.70463099437148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123.18768942179331</v>
      </c>
      <c r="HH84" s="21">
        <f>EXP(-LN(2)/25)*HH83+(1-EXP(-LN(2)/25))/(LN(2)/25)*Calculateur!HC84*Calculateur!HE84*VLOOKUP('Données projet'!$B$18,Paramètres!$A$1:$I$89,3,0)*0.475*44/12</f>
        <v>4.1377635329433895</v>
      </c>
      <c r="HI84" s="21">
        <f>EXP(-LN(2)/2)*HI83+(1-EXP(-LN(2)/2))/(LN(2)/2)*HC84*HF84*VLOOKUP('Données projet'!$B$18,Paramètres!$A$1:$I$89,3,0)*0.475*44/12</f>
        <v>34.375851634925333</v>
      </c>
      <c r="HJ84" s="22">
        <f t="shared" si="84"/>
        <v>161.70130458966204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-2.5124791136477146E-14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46.095319339746538</v>
      </c>
      <c r="T85" s="59">
        <f t="shared" si="88"/>
        <v>48.158174304064403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58.054919778376835</v>
      </c>
      <c r="AA85" s="21">
        <f>EXP(-LN(2)/25)*AA84+(1-EXP(-LN(2)/25))/(LN(2)/25)*Calculateur!V85*Calculateur!X85*VLOOKUP('Données projet'!$B$9,Paramètres!$A$1:$I$89,3,0)*0.475*44/12</f>
        <v>25.922304305365234</v>
      </c>
      <c r="AB85" s="21">
        <f>EXP(-LN(2)/2)*AB84+(1-EXP(-LN(2)/2))/(LN(2)/2)*V85*Y85*VLOOKUP('Données projet'!$B$9,Paramètres!$A$1:$I$89,3,0)*0.475*44/12</f>
        <v>7.383902956765799</v>
      </c>
      <c r="AC85" s="22">
        <f t="shared" si="57"/>
        <v>91.361127040507867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-6.7984728957526396E-14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408.84545509668794</v>
      </c>
      <c r="AO85" s="59">
        <f t="shared" si="90"/>
        <v>409.9253979841132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121.65700869790952</v>
      </c>
      <c r="AV85" s="21">
        <f>EXP(-LN(2)/25)*AV84+(1-EXP(-LN(2)/25))/(LN(2)/25)*Calculateur!AQ85*Calculateur!AS85*VLOOKUP('Données projet'!$B$10,Paramètres!$A$1:$I$89,3,0)*0.475*44/12</f>
        <v>41.431371788910575</v>
      </c>
      <c r="AW85" s="21">
        <f>EXP(-LN(2)/2)*AW84+(1-EXP(-LN(2)/2))/(LN(2)/2)*AQ85*AT85*VLOOKUP('Données projet'!$B$10,Paramètres!$A$1:$I$89,3,0)*0.475*44/12</f>
        <v>4.5838328012160943E-2</v>
      </c>
      <c r="AX85" s="21">
        <f t="shared" si="60"/>
        <v>163.13421881483225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-1.1368683772161603E-13</v>
      </c>
      <c r="BE85" s="13">
        <f>BD85*VLOOKUP('Données projet'!$B$11,Paramètres!$A$1:$I$89,3,0)*VLOOKUP('Données projet'!$B$11,Paramètres!$A$1:$I$89,5,0)</f>
        <v>-6.7984728957526396E-14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279.69031306919914</v>
      </c>
      <c r="BJ85" s="59">
        <f t="shared" si="92"/>
        <v>297.01680128882509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110.37419130356287</v>
      </c>
      <c r="BQ85" s="21">
        <f>EXP(-LN(2)/25)*BQ84+(1-EXP(-LN(2)/25))/(LN(2)/25)*Calculateur!BL85*Calculateur!BN85*VLOOKUP('Données projet'!$B$11,Paramètres!$A$1:$I$89,3,0)*0.475*44/12</f>
        <v>46.995627830680611</v>
      </c>
      <c r="BR85" s="21">
        <f>EXP(-LN(2)/2)*BR84+(1-EXP(-LN(2)/2))/(LN(2)/2)*BL85*BO85*VLOOKUP('Données projet'!$B$11,Paramètres!$A$1:$I$89,3,0)*0.475*44/12</f>
        <v>0.10694697759978465</v>
      </c>
      <c r="BS85" s="22">
        <f t="shared" si="63"/>
        <v>157.47676611184326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81.299024916151723</v>
      </c>
      <c r="CE85" s="59">
        <f t="shared" si="94"/>
        <v>88.106373324240167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32.646082818916881</v>
      </c>
      <c r="CL85" s="21">
        <f>EXP(-LN(2)/25)*CL84+(1-EXP(-LN(2)/25))/(LN(2)/25)*Calculateur!CG85*Calculateur!CI85*VLOOKUP('Données projet'!$B$12,Paramètres!$A$1:$I$89,3,0)*0.475*44/12</f>
        <v>12.571904916876932</v>
      </c>
      <c r="CM85" s="21">
        <f>EXP(-LN(2)/2)*CM84+(1-EXP(-LN(2)/2))/(LN(2)/2)*CG85*CJ85*VLOOKUP('Données projet'!$B$12,Paramètres!$A$1:$I$89,3,0)*0.475*44/12</f>
        <v>1.172147471569795E-2</v>
      </c>
      <c r="CN85" s="22">
        <f t="shared" si="66"/>
        <v>45.229709210509512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-3.4106051316484809E-13</v>
      </c>
      <c r="CU85" s="17">
        <f>CT85*VLOOKUP('Données projet'!$B$13,Paramètres!$A$1:$I$89,3,0)*VLOOKUP('Données projet'!$B$13,Paramètres!$A$1:$I$89,5,0)</f>
        <v>-1.9065282685915009E-13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475.42482703895411</v>
      </c>
      <c r="CZ85" s="59">
        <f t="shared" si="96"/>
        <v>593.51433014569966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223.00724508934056</v>
      </c>
      <c r="DG85" s="21">
        <f>EXP(-LN(2)/25)*DG84+(1-EXP(-LN(2)/25))/(LN(2)/25)*Calculateur!DB85*Calculateur!DD85*VLOOKUP('Données projet'!$B$13,Paramètres!$A$1:$I$89,3,0)*0.475*44/12</f>
        <v>40.412368905876242</v>
      </c>
      <c r="DH85" s="21">
        <f>EXP(-LN(2)/2)*DH84+(1-EXP(-LN(2)/2))/(LN(2)/2)*DB85*DE85*VLOOKUP('Données projet'!$B$13,Paramètres!$A$1:$I$89,3,0)*0.475*44/12</f>
        <v>0.13591771473080277</v>
      </c>
      <c r="DI85" s="22">
        <f t="shared" si="69"/>
        <v>263.55553170994762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7.7777777777777777</v>
      </c>
      <c r="DO85" s="12">
        <f>IF('Données projet'!$A$166&gt;35,DO84+DN85-DW84,IF(A85&lt;'Données projet'!$A$166,$DL$205^A85,IF(A85='Données projet'!$A$166,'Données projet'!$B$166,DO84+DN85-DW84)))</f>
        <v>278.11111111111097</v>
      </c>
      <c r="DP85" s="17">
        <f>DO85*VLOOKUP('Données projet'!$B$14,Paramètres!$A$1:$I$89,3,0)*VLOOKUP('Données projet'!$B$14,Paramètres!$A$1:$I$89,5,0)</f>
        <v>251.63493333333321</v>
      </c>
      <c r="DQ85" s="13">
        <f t="shared" si="97"/>
        <v>60.935904290989214</v>
      </c>
      <c r="DR85" s="20">
        <f t="shared" si="70"/>
        <v>544.39420886236155</v>
      </c>
      <c r="DS85" s="59">
        <f t="shared" si="71"/>
        <v>837.72754219569492</v>
      </c>
      <c r="DT85" s="59">
        <f ca="1">AVERAGE(OFFSET($DS$3,0,0,'Données projet'!$E$14+1,1))-AVERAGE(OFFSET($H$3,0,0,'Données projet'!$E$14+1,1))</f>
        <v>401.17301323870578</v>
      </c>
      <c r="DU85" s="59">
        <f t="shared" si="98"/>
        <v>201.57993789149754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1.9469769492998577</v>
      </c>
      <c r="EB85" s="21">
        <f>EXP(-LN(2)/25)*EB84+(1-EXP(-LN(2)/25))/(LN(2)/25)*Calculateur!DW85*Calculateur!DY85*VLOOKUP('Données projet'!$B$14,Paramètres!$A$1:$I$89,3,0)*0.475*44/12</f>
        <v>32.607194560173326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34.554171509473186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1.7053025658242404E-13</v>
      </c>
      <c r="EK85" s="17">
        <f>EJ85*VLOOKUP('Données projet'!$B$15,Paramètres!$A$1:$I$89,3,0)*VLOOKUP('Données projet'!$B$15,Paramètres!$A$1:$I$89,5,0)</f>
        <v>1.4897523215040567E-13</v>
      </c>
      <c r="EL85" s="13">
        <f t="shared" si="99"/>
        <v>2.136562777003313E-12</v>
      </c>
      <c r="EM85" s="20">
        <f t="shared" si="73"/>
        <v>3.9806453659427267E-12</v>
      </c>
      <c r="EN85" s="59">
        <f t="shared" si="74"/>
        <v>293.33333333333729</v>
      </c>
      <c r="EO85" s="59">
        <f ca="1">AVERAGE(OFFSET($EN$3,0,0,'Données projet'!$E$15+1,1))-AVERAGE(OFFSET($H$3,0,0,'Données projet'!$E$15+1,1))</f>
        <v>237.8483058552178</v>
      </c>
      <c r="EP85" s="59">
        <f t="shared" si="100"/>
        <v>313.36201272119723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64.154100411928212</v>
      </c>
      <c r="EW85" s="21">
        <f>EXP(-LN(2)/25)*EW84+(1-EXP(-LN(2)/25))/(LN(2)/25)*Calculateur!ER85*Calculateur!ET85*VLOOKUP('Données projet'!$B$15,Paramètres!$A$1:$I$89,3,0)*0.475*44/12</f>
        <v>3.8032398309710853</v>
      </c>
      <c r="EX85" s="21">
        <f>EXP(-LN(2)/2)*EX84+(1-EXP(-LN(2)/2))/(LN(2)/2)*ER85*EU85*VLOOKUP('Données projet'!$B$15,Paramètres!$A$1:$I$89,3,0)*0.475*44/12</f>
        <v>0.64360326509559962</v>
      </c>
      <c r="EY85" s="22">
        <f t="shared" si="75"/>
        <v>68.600943507994899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-2.8421709430404007E-13</v>
      </c>
      <c r="FF85" s="17">
        <f>FE85*VLOOKUP('Données projet'!$B$16,Paramètres!$A$1:$I$89,3,0)*VLOOKUP('Données projet'!$B$16,Paramètres!$A$1:$I$89,5,0)</f>
        <v>-2.2168933355715128E-13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318.52984981739411</v>
      </c>
      <c r="FK85" s="59">
        <f t="shared" si="102"/>
        <v>311.56398336941714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113.93589997104087</v>
      </c>
      <c r="FR85" s="21">
        <f>EXP(-LN(2)/25)*FR84+(1-EXP(-LN(2)/25))/(LN(2)/25)*Calculateur!FM85*Calculateur!FO85*VLOOKUP('Données projet'!$B$16,Paramètres!$A$1:$I$89,3,0)*0.475*44/12</f>
        <v>3.7968077089995504</v>
      </c>
      <c r="FS85" s="21">
        <f>EXP(-LN(2)/2)*FS84+(1-EXP(-LN(2)/2))/(LN(2)/2)*FM85*FP85*VLOOKUP('Données projet'!$B$16,Paramètres!$A$1:$I$89,3,0)*0.475*44/12</f>
        <v>28.264416046649277</v>
      </c>
      <c r="FT85" s="22">
        <f t="shared" si="78"/>
        <v>145.99712372668969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-2.8421709430404007E-13</v>
      </c>
      <c r="GA85" s="17">
        <f>FZ85*VLOOKUP('Données projet'!$B$17,Paramètres!$A$1:$I$89,3,0)*VLOOKUP('Données projet'!$B$17,Paramètres!$A$1:$I$89,5,0)</f>
        <v>-2.2612312022829427E-13</v>
      </c>
      <c r="GB85" s="13" t="e">
        <f t="shared" si="103"/>
        <v>#NUM!</v>
      </c>
      <c r="GC85" s="20" t="e">
        <f t="shared" si="79"/>
        <v>#NUM!</v>
      </c>
      <c r="GD85" s="59" t="e">
        <f t="shared" si="80"/>
        <v>#NUM!</v>
      </c>
      <c r="GE85" s="59">
        <f ca="1">AVERAGE(OFFSET($GD$3,0,0,'Données projet'!$E$17+1,1))-AVERAGE(OFFSET($H$3,0,0,'Données projet'!$E$17+1,1))</f>
        <v>325.72928944930294</v>
      </c>
      <c r="GF85" s="59">
        <f t="shared" si="104"/>
        <v>318.38876834819752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143.24127331242954</v>
      </c>
      <c r="GM85" s="21">
        <f>EXP(-LN(2)/25)*GM84+(1-EXP(-LN(2)/25))/(LN(2)/25)*Calculateur!GH85*Calculateur!GJ85*VLOOKUP('Données projet'!$B$17,Paramètres!$A$1:$I$89,3,0)*0.475*44/12</f>
        <v>4.7733819708957119</v>
      </c>
      <c r="GN85" s="21">
        <f>EXP(-LN(2)/2)*GN84+(1-EXP(-LN(2)/2))/(LN(2)/2)*GH85*GK85*VLOOKUP('Données projet'!$B$17,Paramètres!$A$1:$I$89,3,0)*0.475*44/12</f>
        <v>28.829704367582252</v>
      </c>
      <c r="GO85" s="21">
        <f t="shared" si="81"/>
        <v>176.84435965090751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-2.8421709430404007E-13</v>
      </c>
      <c r="GV85" s="17">
        <f>GU85*VLOOKUP('Données projet'!$B$18,Paramètres!$A$1:$I$89,3,0)*VLOOKUP('Données projet'!$B$18,Paramètres!$A$1:$I$89,5,0)</f>
        <v>-1.9065282685915009E-13</v>
      </c>
      <c r="GW85" s="13" t="e">
        <f t="shared" si="105"/>
        <v>#NUM!</v>
      </c>
      <c r="GX85" s="20" t="e">
        <f t="shared" si="82"/>
        <v>#NUM!</v>
      </c>
      <c r="GY85" s="59" t="e">
        <f t="shared" si="83"/>
        <v>#NUM!</v>
      </c>
      <c r="GZ85" s="59">
        <f ca="1">AVERAGE(OFFSET($GY$3,0,0,'Données projet'!$E$18+1,1))-AVERAGE(OFFSET($H$3,0,0,'Données projet'!$E$18+1,1))</f>
        <v>268.04554291387961</v>
      </c>
      <c r="HA85" s="59">
        <f t="shared" si="106"/>
        <v>263.70463099437148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120.77205396930331</v>
      </c>
      <c r="HH85" s="21">
        <f>EXP(-LN(2)/25)*HH84+(1-EXP(-LN(2)/25))/(LN(2)/25)*Calculateur!HC85*Calculateur!HE85*VLOOKUP('Données projet'!$B$18,Paramètres!$A$1:$I$89,3,0)*0.475*44/12</f>
        <v>4.0246161715395257</v>
      </c>
      <c r="HI85" s="21">
        <f>EXP(-LN(2)/2)*HI84+(1-EXP(-LN(2)/2))/(LN(2)/2)*HC85*HF85*VLOOKUP('Données projet'!$B$18,Paramètres!$A$1:$I$89,3,0)*0.475*44/12</f>
        <v>24.30739780011837</v>
      </c>
      <c r="HJ85" s="22">
        <f t="shared" si="84"/>
        <v>149.10406794096122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-2.5124791136477146E-14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46.095319339746538</v>
      </c>
      <c r="T86" s="59">
        <f t="shared" si="88"/>
        <v>48.158174304064403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56.916498211527482</v>
      </c>
      <c r="AA86" s="21">
        <f>EXP(-LN(2)/25)*AA85+(1-EXP(-LN(2)/25))/(LN(2)/25)*Calculateur!V86*Calculateur!X86*VLOOKUP('Données projet'!$B$9,Paramètres!$A$1:$I$89,3,0)*0.475*44/12</f>
        <v>25.213457530940286</v>
      </c>
      <c r="AB86" s="21">
        <f>EXP(-LN(2)/2)*AB85+(1-EXP(-LN(2)/2))/(LN(2)/2)*V86*Y86*VLOOKUP('Données projet'!$B$9,Paramètres!$A$1:$I$89,3,0)*0.475*44/12</f>
        <v>5.2212078523524958</v>
      </c>
      <c r="AC86" s="22">
        <f t="shared" si="57"/>
        <v>87.351163594820264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-6.7984728957526396E-14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408.84545509668794</v>
      </c>
      <c r="AO86" s="59">
        <f t="shared" si="90"/>
        <v>409.9253979841132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119.27138896079184</v>
      </c>
      <c r="AV86" s="21">
        <f>EXP(-LN(2)/25)*AV85+(1-EXP(-LN(2)/25))/(LN(2)/25)*Calculateur!AQ86*Calculateur!AS86*VLOOKUP('Données projet'!$B$10,Paramètres!$A$1:$I$89,3,0)*0.475*44/12</f>
        <v>40.298428748561662</v>
      </c>
      <c r="AW86" s="21">
        <f>EXP(-LN(2)/2)*AW85+(1-EXP(-LN(2)/2))/(LN(2)/2)*AQ86*AT86*VLOOKUP('Données projet'!$B$10,Paramètres!$A$1:$I$89,3,0)*0.475*44/12</f>
        <v>3.241259257565228E-2</v>
      </c>
      <c r="AX86" s="21">
        <f t="shared" si="60"/>
        <v>159.60223030192915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-1.1368683772161603E-13</v>
      </c>
      <c r="BE86" s="13">
        <f>BD86*VLOOKUP('Données projet'!$B$11,Paramètres!$A$1:$I$89,3,0)*VLOOKUP('Données projet'!$B$11,Paramètres!$A$1:$I$89,5,0)</f>
        <v>-6.7984728957526396E-14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279.69031306919914</v>
      </c>
      <c r="BJ86" s="59">
        <f t="shared" si="92"/>
        <v>297.01680128882509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108.20982073370924</v>
      </c>
      <c r="BQ86" s="21">
        <f>EXP(-LN(2)/25)*BQ85+(1-EXP(-LN(2)/25))/(LN(2)/25)*Calculateur!BL86*Calculateur!BN86*VLOOKUP('Données projet'!$B$11,Paramètres!$A$1:$I$89,3,0)*0.475*44/12</f>
        <v>45.71052991625799</v>
      </c>
      <c r="BR86" s="21">
        <f>EXP(-LN(2)/2)*BR85+(1-EXP(-LN(2)/2))/(LN(2)/2)*BL86*BO86*VLOOKUP('Données projet'!$B$11,Paramètres!$A$1:$I$89,3,0)*0.475*44/12</f>
        <v>7.5622933088213523E-2</v>
      </c>
      <c r="BS86" s="22">
        <f t="shared" si="63"/>
        <v>153.99597358305545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81.299024916151723</v>
      </c>
      <c r="CE86" s="59">
        <f t="shared" si="94"/>
        <v>88.106373324240167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32.005913046982279</v>
      </c>
      <c r="CL86" s="21">
        <f>EXP(-LN(2)/25)*CL85+(1-EXP(-LN(2)/25))/(LN(2)/25)*Calculateur!CG86*Calculateur!CI86*VLOOKUP('Données projet'!$B$12,Paramètres!$A$1:$I$89,3,0)*0.475*44/12</f>
        <v>12.228125515797187</v>
      </c>
      <c r="CM86" s="21">
        <f>EXP(-LN(2)/2)*CM85+(1-EXP(-LN(2)/2))/(LN(2)/2)*CG86*CJ86*VLOOKUP('Données projet'!$B$12,Paramètres!$A$1:$I$89,3,0)*0.475*44/12</f>
        <v>8.2883342569766792E-3</v>
      </c>
      <c r="CN86" s="22">
        <f t="shared" si="66"/>
        <v>44.242326897036442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-3.4106051316484809E-13</v>
      </c>
      <c r="CU86" s="17">
        <f>CT86*VLOOKUP('Données projet'!$B$13,Paramètres!$A$1:$I$89,3,0)*VLOOKUP('Données projet'!$B$13,Paramètres!$A$1:$I$89,5,0)</f>
        <v>-1.9065282685915009E-13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475.42482703895411</v>
      </c>
      <c r="CZ86" s="59">
        <f t="shared" si="96"/>
        <v>593.51433014569966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218.63420903412714</v>
      </c>
      <c r="DG86" s="21">
        <f>EXP(-LN(2)/25)*DG85+(1-EXP(-LN(2)/25))/(LN(2)/25)*Calculateur!DB86*Calculateur!DD86*VLOOKUP('Données projet'!$B$13,Paramètres!$A$1:$I$89,3,0)*0.475*44/12</f>
        <v>39.307290552950938</v>
      </c>
      <c r="DH86" s="21">
        <f>EXP(-LN(2)/2)*DH85+(1-EXP(-LN(2)/2))/(LN(2)/2)*DB86*DE86*VLOOKUP('Données projet'!$B$13,Paramètres!$A$1:$I$89,3,0)*0.475*44/12</f>
        <v>9.6108337769529345E-2</v>
      </c>
      <c r="DI86" s="22">
        <f t="shared" si="69"/>
        <v>258.03760792484758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7.7777777777777777</v>
      </c>
      <c r="DO86" s="12">
        <f>IF('Données projet'!$A$166&gt;35,DO85+DN86-DW85,IF(A86&lt;'Données projet'!$A$166,$DL$205^A86,IF(A86='Données projet'!$A$166,'Données projet'!$B$166,DO85+DN86-DW85)))</f>
        <v>285.88888888888874</v>
      </c>
      <c r="DP86" s="17">
        <f>DO86*VLOOKUP('Données projet'!$B$14,Paramètres!$A$1:$I$89,3,0)*VLOOKUP('Données projet'!$B$14,Paramètres!$A$1:$I$89,5,0)</f>
        <v>258.67226666666653</v>
      </c>
      <c r="DQ86" s="13">
        <f t="shared" si="97"/>
        <v>62.439274588593669</v>
      </c>
      <c r="DR86" s="20">
        <f t="shared" si="70"/>
        <v>559.2692676862448</v>
      </c>
      <c r="DS86" s="59">
        <f t="shared" si="71"/>
        <v>852.60260101957806</v>
      </c>
      <c r="DT86" s="59">
        <f ca="1">AVERAGE(OFFSET($DS$3,0,0,'Données projet'!$E$14+1,1))-AVERAGE(OFFSET($H$3,0,0,'Données projet'!$E$14+1,1))</f>
        <v>401.17301323870578</v>
      </c>
      <c r="DU86" s="59">
        <f t="shared" si="98"/>
        <v>201.57993789149754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1.9087979188627668</v>
      </c>
      <c r="EB86" s="21">
        <f>EXP(-LN(2)/25)*EB85+(1-EXP(-LN(2)/25))/(LN(2)/25)*Calculateur!DW86*Calculateur!DY86*VLOOKUP('Données projet'!$B$14,Paramètres!$A$1:$I$89,3,0)*0.475*44/12</f>
        <v>31.715549110187549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33.624347029050313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1.7053025658242404E-13</v>
      </c>
      <c r="EK86" s="17">
        <f>EJ86*VLOOKUP('Données projet'!$B$15,Paramètres!$A$1:$I$89,3,0)*VLOOKUP('Données projet'!$B$15,Paramètres!$A$1:$I$89,5,0)</f>
        <v>1.4897523215040567E-13</v>
      </c>
      <c r="EL86" s="13">
        <f t="shared" si="99"/>
        <v>2.136562777003313E-12</v>
      </c>
      <c r="EM86" s="20">
        <f t="shared" si="73"/>
        <v>3.9806453659427267E-12</v>
      </c>
      <c r="EN86" s="59">
        <f t="shared" si="74"/>
        <v>293.33333333333729</v>
      </c>
      <c r="EO86" s="59">
        <f ca="1">AVERAGE(OFFSET($EN$3,0,0,'Données projet'!$E$15+1,1))-AVERAGE(OFFSET($H$3,0,0,'Données projet'!$E$15+1,1))</f>
        <v>237.8483058552178</v>
      </c>
      <c r="EP86" s="59">
        <f t="shared" si="100"/>
        <v>313.36201272119723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62.896077632987769</v>
      </c>
      <c r="EW86" s="21">
        <f>EXP(-LN(2)/25)*EW85+(1-EXP(-LN(2)/25))/(LN(2)/25)*Calculateur!ER86*Calculateur!ET86*VLOOKUP('Données projet'!$B$15,Paramètres!$A$1:$I$89,3,0)*0.475*44/12</f>
        <v>3.6992400377894907</v>
      </c>
      <c r="EX86" s="21">
        <f>EXP(-LN(2)/2)*EX85+(1-EXP(-LN(2)/2))/(LN(2)/2)*ER86*EU86*VLOOKUP('Données projet'!$B$15,Paramètres!$A$1:$I$89,3,0)*0.475*44/12</f>
        <v>0.45509623314290171</v>
      </c>
      <c r="EY86" s="22">
        <f t="shared" si="75"/>
        <v>67.050413903920159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-2.8421709430404007E-13</v>
      </c>
      <c r="FF86" s="17">
        <f>FE86*VLOOKUP('Données projet'!$B$16,Paramètres!$A$1:$I$89,3,0)*VLOOKUP('Données projet'!$B$16,Paramètres!$A$1:$I$89,5,0)</f>
        <v>-2.2168933355715128E-13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318.52984981739411</v>
      </c>
      <c r="FK86" s="59">
        <f t="shared" si="102"/>
        <v>311.56398336941714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111.70168646664577</v>
      </c>
      <c r="FR86" s="21">
        <f>EXP(-LN(2)/25)*FR85+(1-EXP(-LN(2)/25))/(LN(2)/25)*Calculateur!FM86*Calculateur!FO86*VLOOKUP('Données projet'!$B$16,Paramètres!$A$1:$I$89,3,0)*0.475*44/12</f>
        <v>3.692983802531518</v>
      </c>
      <c r="FS86" s="21">
        <f>EXP(-LN(2)/2)*FS85+(1-EXP(-LN(2)/2))/(LN(2)/2)*FM86*FP86*VLOOKUP('Données projet'!$B$16,Paramètres!$A$1:$I$89,3,0)*0.475*44/12</f>
        <v>19.985960252863574</v>
      </c>
      <c r="FT86" s="22">
        <f t="shared" si="78"/>
        <v>135.38063052204086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-2.8421709430404007E-13</v>
      </c>
      <c r="GA86" s="17">
        <f>FZ86*VLOOKUP('Données projet'!$B$17,Paramètres!$A$1:$I$89,3,0)*VLOOKUP('Données projet'!$B$17,Paramètres!$A$1:$I$89,5,0)</f>
        <v>-2.2612312022829427E-13</v>
      </c>
      <c r="GB86" s="13" t="e">
        <f t="shared" si="103"/>
        <v>#NUM!</v>
      </c>
      <c r="GC86" s="20" t="e">
        <f t="shared" si="79"/>
        <v>#NUM!</v>
      </c>
      <c r="GD86" s="59" t="e">
        <f t="shared" si="80"/>
        <v>#NUM!</v>
      </c>
      <c r="GE86" s="59">
        <f ca="1">AVERAGE(OFFSET($GD$3,0,0,'Données projet'!$E$17+1,1))-AVERAGE(OFFSET($H$3,0,0,'Données projet'!$E$17+1,1))</f>
        <v>325.72928944930294</v>
      </c>
      <c r="GF86" s="59">
        <f t="shared" si="104"/>
        <v>318.38876834819752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140.4323993113226</v>
      </c>
      <c r="GM86" s="21">
        <f>EXP(-LN(2)/25)*GM85+(1-EXP(-LN(2)/25))/(LN(2)/25)*Calculateur!GH86*Calculateur!GJ86*VLOOKUP('Données projet'!$B$17,Paramètres!$A$1:$I$89,3,0)*0.475*44/12</f>
        <v>4.6428535898803203</v>
      </c>
      <c r="GN86" s="21">
        <f>EXP(-LN(2)/2)*GN85+(1-EXP(-LN(2)/2))/(LN(2)/2)*GH86*GK86*VLOOKUP('Données projet'!$B$17,Paramètres!$A$1:$I$89,3,0)*0.475*44/12</f>
        <v>20.385679457920837</v>
      </c>
      <c r="GO86" s="21">
        <f t="shared" si="81"/>
        <v>165.46093235912377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-2.8421709430404007E-13</v>
      </c>
      <c r="GV86" s="17">
        <f>GU86*VLOOKUP('Données projet'!$B$18,Paramètres!$A$1:$I$89,3,0)*VLOOKUP('Données projet'!$B$18,Paramètres!$A$1:$I$89,5,0)</f>
        <v>-1.9065282685915009E-13</v>
      </c>
      <c r="GW86" s="13" t="e">
        <f t="shared" si="105"/>
        <v>#NUM!</v>
      </c>
      <c r="GX86" s="20" t="e">
        <f t="shared" si="82"/>
        <v>#NUM!</v>
      </c>
      <c r="GY86" s="59" t="e">
        <f t="shared" si="83"/>
        <v>#NUM!</v>
      </c>
      <c r="GZ86" s="59">
        <f ca="1">AVERAGE(OFFSET($GY$3,0,0,'Données projet'!$E$18+1,1))-AVERAGE(OFFSET($H$3,0,0,'Données projet'!$E$18+1,1))</f>
        <v>268.04554291387961</v>
      </c>
      <c r="HA86" s="59">
        <f t="shared" si="106"/>
        <v>263.70463099437148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118.40378765464452</v>
      </c>
      <c r="HH86" s="21">
        <f>EXP(-LN(2)/25)*HH85+(1-EXP(-LN(2)/25))/(LN(2)/25)*Calculateur!HC86*Calculateur!HE86*VLOOKUP('Données projet'!$B$18,Paramètres!$A$1:$I$89,3,0)*0.475*44/12</f>
        <v>3.914562830683411</v>
      </c>
      <c r="HI86" s="21">
        <f>EXP(-LN(2)/2)*HI85+(1-EXP(-LN(2)/2))/(LN(2)/2)*HC86*HF86*VLOOKUP('Données projet'!$B$18,Paramètres!$A$1:$I$89,3,0)*0.475*44/12</f>
        <v>17.187925817462666</v>
      </c>
      <c r="HJ86" s="22">
        <f t="shared" si="84"/>
        <v>139.50627630279058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-2.5124791136477146E-14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46.095319339746538</v>
      </c>
      <c r="T87" s="59">
        <f t="shared" si="88"/>
        <v>48.158174304064403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55.800400397235457</v>
      </c>
      <c r="AA87" s="21">
        <f>EXP(-LN(2)/25)*AA86+(1-EXP(-LN(2)/25))/(LN(2)/25)*Calculateur!V87*Calculateur!X87*VLOOKUP('Données projet'!$B$9,Paramètres!$A$1:$I$89,3,0)*0.475*44/12</f>
        <v>24.523994208838619</v>
      </c>
      <c r="AB87" s="21">
        <f>EXP(-LN(2)/2)*AB86+(1-EXP(-LN(2)/2))/(LN(2)/2)*V87*Y87*VLOOKUP('Données projet'!$B$9,Paramètres!$A$1:$I$89,3,0)*0.475*44/12</f>
        <v>3.6919514783829004</v>
      </c>
      <c r="AC87" s="22">
        <f t="shared" si="57"/>
        <v>84.016346084456984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-6.7984728957526396E-14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408.84545509668794</v>
      </c>
      <c r="AO87" s="59">
        <f t="shared" si="90"/>
        <v>409.9253979841132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116.93254977163467</v>
      </c>
      <c r="AV87" s="21">
        <f>EXP(-LN(2)/25)*AV86+(1-EXP(-LN(2)/25))/(LN(2)/25)*Calculateur!AQ87*Calculateur!AS87*VLOOKUP('Données projet'!$B$10,Paramètres!$A$1:$I$89,3,0)*0.475*44/12</f>
        <v>39.196466095229979</v>
      </c>
      <c r="AW87" s="21">
        <f>EXP(-LN(2)/2)*AW86+(1-EXP(-LN(2)/2))/(LN(2)/2)*AQ87*AT87*VLOOKUP('Données projet'!$B$10,Paramètres!$A$1:$I$89,3,0)*0.475*44/12</f>
        <v>2.2919164006080472E-2</v>
      </c>
      <c r="AX87" s="21">
        <f t="shared" si="60"/>
        <v>156.15193503087073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-1.1368683772161603E-13</v>
      </c>
      <c r="BE87" s="13">
        <f>BD87*VLOOKUP('Données projet'!$B$11,Paramètres!$A$1:$I$89,3,0)*VLOOKUP('Données projet'!$B$11,Paramètres!$A$1:$I$89,5,0)</f>
        <v>-6.7984728957526396E-14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279.69031306919914</v>
      </c>
      <c r="BJ87" s="59">
        <f t="shared" si="92"/>
        <v>297.01680128882509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106.08789215059474</v>
      </c>
      <c r="BQ87" s="21">
        <f>EXP(-LN(2)/25)*BQ86+(1-EXP(-LN(2)/25))/(LN(2)/25)*Calculateur!BL87*Calculateur!BN87*VLOOKUP('Données projet'!$B$11,Paramètres!$A$1:$I$89,3,0)*0.475*44/12</f>
        <v>44.460573071885619</v>
      </c>
      <c r="BR87" s="21">
        <f>EXP(-LN(2)/2)*BR86+(1-EXP(-LN(2)/2))/(LN(2)/2)*BL87*BO87*VLOOKUP('Données projet'!$B$11,Paramètres!$A$1:$I$89,3,0)*0.475*44/12</f>
        <v>5.3473488799892326E-2</v>
      </c>
      <c r="BS87" s="22">
        <f t="shared" si="63"/>
        <v>150.60193871128024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81.299024916151723</v>
      </c>
      <c r="CE87" s="59">
        <f t="shared" si="94"/>
        <v>88.106373324240167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31.37829661381031</v>
      </c>
      <c r="CL87" s="21">
        <f>EXP(-LN(2)/25)*CL86+(1-EXP(-LN(2)/25))/(LN(2)/25)*Calculateur!CG87*Calculateur!CI87*VLOOKUP('Données projet'!$B$12,Paramètres!$A$1:$I$89,3,0)*0.475*44/12</f>
        <v>11.893746780518539</v>
      </c>
      <c r="CM87" s="21">
        <f>EXP(-LN(2)/2)*CM86+(1-EXP(-LN(2)/2))/(LN(2)/2)*CG87*CJ87*VLOOKUP('Données projet'!$B$12,Paramètres!$A$1:$I$89,3,0)*0.475*44/12</f>
        <v>5.8607373578489748E-3</v>
      </c>
      <c r="CN87" s="22">
        <f t="shared" si="66"/>
        <v>43.277904131686697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-3.4106051316484809E-13</v>
      </c>
      <c r="CU87" s="17">
        <f>CT87*VLOOKUP('Données projet'!$B$13,Paramètres!$A$1:$I$89,3,0)*VLOOKUP('Données projet'!$B$13,Paramètres!$A$1:$I$89,5,0)</f>
        <v>-1.9065282685915009E-13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475.42482703895411</v>
      </c>
      <c r="CZ87" s="59">
        <f t="shared" si="96"/>
        <v>593.51433014569966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214.34692554866783</v>
      </c>
      <c r="DG87" s="21">
        <f>EXP(-LN(2)/25)*DG86+(1-EXP(-LN(2)/25))/(LN(2)/25)*Calculateur!DB87*Calculateur!DD87*VLOOKUP('Données projet'!$B$13,Paramètres!$A$1:$I$89,3,0)*0.475*44/12</f>
        <v>38.232430625699919</v>
      </c>
      <c r="DH87" s="21">
        <f>EXP(-LN(2)/2)*DH86+(1-EXP(-LN(2)/2))/(LN(2)/2)*DB87*DE87*VLOOKUP('Données projet'!$B$13,Paramètres!$A$1:$I$89,3,0)*0.475*44/12</f>
        <v>6.7958857365401387E-2</v>
      </c>
      <c r="DI87" s="22">
        <f t="shared" si="69"/>
        <v>252.64731503173314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7.7777777777777777</v>
      </c>
      <c r="DO87" s="12">
        <f>IF('Données projet'!$A$166&gt;35,DO86+DN87-DW86,IF(A87&lt;'Données projet'!$A$166,$DL$205^A87,IF(A87='Données projet'!$A$166,'Données projet'!$B$166,DO86+DN87-DW86)))</f>
        <v>293.66666666666652</v>
      </c>
      <c r="DP87" s="17">
        <f>DO87*VLOOKUP('Données projet'!$B$14,Paramètres!$A$1:$I$89,3,0)*VLOOKUP('Données projet'!$B$14,Paramètres!$A$1:$I$89,5,0)</f>
        <v>265.70959999999985</v>
      </c>
      <c r="DQ87" s="13">
        <f t="shared" si="97"/>
        <v>63.937891026614295</v>
      </c>
      <c r="DR87" s="20">
        <f t="shared" si="70"/>
        <v>574.13604687135296</v>
      </c>
      <c r="DS87" s="59">
        <f t="shared" si="71"/>
        <v>867.46938020468633</v>
      </c>
      <c r="DT87" s="59">
        <f ca="1">AVERAGE(OFFSET($DS$3,0,0,'Données projet'!$E$14+1,1))-AVERAGE(OFFSET($H$3,0,0,'Données projet'!$E$14+1,1))</f>
        <v>401.17301323870578</v>
      </c>
      <c r="DU87" s="59">
        <f t="shared" si="98"/>
        <v>201.57993789149754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1.8713675559256382</v>
      </c>
      <c r="EB87" s="21">
        <f>EXP(-LN(2)/25)*EB86+(1-EXP(-LN(2)/25))/(LN(2)/25)*Calculateur!DW87*Calculateur!DY87*VLOOKUP('Données projet'!$B$14,Paramètres!$A$1:$I$89,3,0)*0.475*44/12</f>
        <v>30.848285751921228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32.719653307846869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1.7053025658242404E-13</v>
      </c>
      <c r="EK87" s="17">
        <f>EJ87*VLOOKUP('Données projet'!$B$15,Paramètres!$A$1:$I$89,3,0)*VLOOKUP('Données projet'!$B$15,Paramètres!$A$1:$I$89,5,0)</f>
        <v>1.4897523215040567E-13</v>
      </c>
      <c r="EL87" s="13">
        <f t="shared" si="99"/>
        <v>2.136562777003313E-12</v>
      </c>
      <c r="EM87" s="20">
        <f t="shared" si="73"/>
        <v>3.9806453659427267E-12</v>
      </c>
      <c r="EN87" s="59">
        <f t="shared" si="74"/>
        <v>293.33333333333729</v>
      </c>
      <c r="EO87" s="59">
        <f ca="1">AVERAGE(OFFSET($EN$3,0,0,'Données projet'!$E$15+1,1))-AVERAGE(OFFSET($H$3,0,0,'Données projet'!$E$15+1,1))</f>
        <v>237.8483058552178</v>
      </c>
      <c r="EP87" s="59">
        <f t="shared" si="100"/>
        <v>313.36201272119723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61.662723913424223</v>
      </c>
      <c r="EW87" s="21">
        <f>EXP(-LN(2)/25)*EW86+(1-EXP(-LN(2)/25))/(LN(2)/25)*Calculateur!ER87*Calculateur!ET87*VLOOKUP('Données projet'!$B$15,Paramètres!$A$1:$I$89,3,0)*0.475*44/12</f>
        <v>3.5980841244215584</v>
      </c>
      <c r="EX87" s="21">
        <f>EXP(-LN(2)/2)*EX86+(1-EXP(-LN(2)/2))/(LN(2)/2)*ER87*EU87*VLOOKUP('Données projet'!$B$15,Paramètres!$A$1:$I$89,3,0)*0.475*44/12</f>
        <v>0.32180163254779981</v>
      </c>
      <c r="EY87" s="22">
        <f t="shared" si="75"/>
        <v>65.58260967039358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-2.8421709430404007E-13</v>
      </c>
      <c r="FF87" s="17">
        <f>FE87*VLOOKUP('Données projet'!$B$16,Paramètres!$A$1:$I$89,3,0)*VLOOKUP('Données projet'!$B$16,Paramètres!$A$1:$I$89,5,0)</f>
        <v>-2.2168933355715128E-13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318.52984981739411</v>
      </c>
      <c r="FK87" s="59">
        <f t="shared" si="102"/>
        <v>311.56398336941714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109.51128452633618</v>
      </c>
      <c r="FR87" s="21">
        <f>EXP(-LN(2)/25)*FR86+(1-EXP(-LN(2)/25))/(LN(2)/25)*Calculateur!FM87*Calculateur!FO87*VLOOKUP('Données projet'!$B$16,Paramètres!$A$1:$I$89,3,0)*0.475*44/12</f>
        <v>3.5919989662457161</v>
      </c>
      <c r="FS87" s="21">
        <f>EXP(-LN(2)/2)*FS86+(1-EXP(-LN(2)/2))/(LN(2)/2)*FM87*FP87*VLOOKUP('Données projet'!$B$16,Paramètres!$A$1:$I$89,3,0)*0.475*44/12</f>
        <v>14.13220802332464</v>
      </c>
      <c r="FT87" s="22">
        <f t="shared" si="78"/>
        <v>127.23549151590653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-2.8421709430404007E-13</v>
      </c>
      <c r="GA87" s="17">
        <f>FZ87*VLOOKUP('Données projet'!$B$17,Paramètres!$A$1:$I$89,3,0)*VLOOKUP('Données projet'!$B$17,Paramètres!$A$1:$I$89,5,0)</f>
        <v>-2.2612312022829427E-13</v>
      </c>
      <c r="GB87" s="13" t="e">
        <f t="shared" si="103"/>
        <v>#NUM!</v>
      </c>
      <c r="GC87" s="20" t="e">
        <f t="shared" si="79"/>
        <v>#NUM!</v>
      </c>
      <c r="GD87" s="59" t="e">
        <f t="shared" si="80"/>
        <v>#NUM!</v>
      </c>
      <c r="GE87" s="59">
        <f ca="1">AVERAGE(OFFSET($GD$3,0,0,'Données projet'!$E$17+1,1))-AVERAGE(OFFSET($H$3,0,0,'Données projet'!$E$17+1,1))</f>
        <v>325.72928944930294</v>
      </c>
      <c r="GF87" s="59">
        <f t="shared" si="104"/>
        <v>318.38876834819752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137.67860561613338</v>
      </c>
      <c r="GM87" s="21">
        <f>EXP(-LN(2)/25)*GM86+(1-EXP(-LN(2)/25))/(LN(2)/25)*Calculateur!GH87*Calculateur!GJ87*VLOOKUP('Données projet'!$B$17,Paramètres!$A$1:$I$89,3,0)*0.475*44/12</f>
        <v>4.5158945143079841</v>
      </c>
      <c r="GN87" s="21">
        <f>EXP(-LN(2)/2)*GN86+(1-EXP(-LN(2)/2))/(LN(2)/2)*GH87*GK87*VLOOKUP('Données projet'!$B$17,Paramètres!$A$1:$I$89,3,0)*0.475*44/12</f>
        <v>14.414852183791126</v>
      </c>
      <c r="GO87" s="21">
        <f t="shared" si="81"/>
        <v>156.60935231423247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-2.8421709430404007E-13</v>
      </c>
      <c r="GV87" s="17">
        <f>GU87*VLOOKUP('Données projet'!$B$18,Paramètres!$A$1:$I$89,3,0)*VLOOKUP('Données projet'!$B$18,Paramètres!$A$1:$I$89,5,0)</f>
        <v>-1.9065282685915009E-13</v>
      </c>
      <c r="GW87" s="13" t="e">
        <f t="shared" si="105"/>
        <v>#NUM!</v>
      </c>
      <c r="GX87" s="20" t="e">
        <f t="shared" si="82"/>
        <v>#NUM!</v>
      </c>
      <c r="GY87" s="59" t="e">
        <f t="shared" si="83"/>
        <v>#NUM!</v>
      </c>
      <c r="GZ87" s="59">
        <f ca="1">AVERAGE(OFFSET($GY$3,0,0,'Données projet'!$E$18+1,1))-AVERAGE(OFFSET($H$3,0,0,'Données projet'!$E$18+1,1))</f>
        <v>268.04554291387961</v>
      </c>
      <c r="HA87" s="59">
        <f t="shared" si="106"/>
        <v>263.70463099437148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116.08196159791636</v>
      </c>
      <c r="HH87" s="21">
        <f>EXP(-LN(2)/25)*HH86+(1-EXP(-LN(2)/25))/(LN(2)/25)*Calculateur!HC87*Calculateur!HE87*VLOOKUP('Données projet'!$B$18,Paramètres!$A$1:$I$89,3,0)*0.475*44/12</f>
        <v>3.8075189042204607</v>
      </c>
      <c r="HI87" s="21">
        <f>EXP(-LN(2)/2)*HI86+(1-EXP(-LN(2)/2))/(LN(2)/2)*HC87*HF87*VLOOKUP('Données projet'!$B$18,Paramètres!$A$1:$I$89,3,0)*0.475*44/12</f>
        <v>12.153698900059185</v>
      </c>
      <c r="HJ87" s="22">
        <f t="shared" si="84"/>
        <v>132.04317940219602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-2.5124791136477146E-14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46.095319339746538</v>
      </c>
      <c r="T88" s="59">
        <f t="shared" si="88"/>
        <v>48.158174304064403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54.706188580329247</v>
      </c>
      <c r="AA88" s="21">
        <f>EXP(-LN(2)/25)*AA87+(1-EXP(-LN(2)/25))/(LN(2)/25)*Calculateur!V88*Calculateur!X88*VLOOKUP('Données projet'!$B$9,Paramètres!$A$1:$I$89,3,0)*0.475*44/12</f>
        <v>23.853384297537122</v>
      </c>
      <c r="AB88" s="21">
        <f>EXP(-LN(2)/2)*AB87+(1-EXP(-LN(2)/2))/(LN(2)/2)*V88*Y88*VLOOKUP('Données projet'!$B$9,Paramètres!$A$1:$I$89,3,0)*0.475*44/12</f>
        <v>2.6106039261762484</v>
      </c>
      <c r="AC88" s="22">
        <f t="shared" si="57"/>
        <v>81.170176804042626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-6.7984728957526396E-14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408.84545509668794</v>
      </c>
      <c r="AO88" s="59">
        <f t="shared" si="90"/>
        <v>409.9253979841132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114.63957379242584</v>
      </c>
      <c r="AV88" s="21">
        <f>EXP(-LN(2)/25)*AV87+(1-EXP(-LN(2)/25))/(LN(2)/25)*Calculateur!AQ88*Calculateur!AS88*VLOOKUP('Données projet'!$B$10,Paramètres!$A$1:$I$89,3,0)*0.475*44/12</f>
        <v>38.124636668603351</v>
      </c>
      <c r="AW88" s="21">
        <f>EXP(-LN(2)/2)*AW87+(1-EXP(-LN(2)/2))/(LN(2)/2)*AQ88*AT88*VLOOKUP('Données projet'!$B$10,Paramètres!$A$1:$I$89,3,0)*0.475*44/12</f>
        <v>1.620629628782614E-2</v>
      </c>
      <c r="AX88" s="21">
        <f t="shared" si="60"/>
        <v>152.78041675731703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-1.1368683772161603E-13</v>
      </c>
      <c r="BE88" s="13">
        <f>BD88*VLOOKUP('Données projet'!$B$11,Paramètres!$A$1:$I$89,3,0)*VLOOKUP('Données projet'!$B$11,Paramètres!$A$1:$I$89,5,0)</f>
        <v>-6.7984728957526396E-14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279.69031306919914</v>
      </c>
      <c r="BJ88" s="59">
        <f t="shared" si="92"/>
        <v>297.01680128882509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104.00757329274649</v>
      </c>
      <c r="BQ88" s="21">
        <f>EXP(-LN(2)/25)*BQ87+(1-EXP(-LN(2)/25))/(LN(2)/25)*Calculateur!BL88*Calculateur!BN88*VLOOKUP('Données projet'!$B$11,Paramètres!$A$1:$I$89,3,0)*0.475*44/12</f>
        <v>43.244796363154983</v>
      </c>
      <c r="BR88" s="21">
        <f>EXP(-LN(2)/2)*BR87+(1-EXP(-LN(2)/2))/(LN(2)/2)*BL88*BO88*VLOOKUP('Données projet'!$B$11,Paramètres!$A$1:$I$89,3,0)*0.475*44/12</f>
        <v>3.7811466544106762E-2</v>
      </c>
      <c r="BS88" s="22">
        <f t="shared" si="63"/>
        <v>147.29018112244557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81.299024916151723</v>
      </c>
      <c r="CE88" s="59">
        <f t="shared" si="94"/>
        <v>88.106373324240167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30.762987356084619</v>
      </c>
      <c r="CL88" s="21">
        <f>EXP(-LN(2)/25)*CL87+(1-EXP(-LN(2)/25))/(LN(2)/25)*Calculateur!CG88*Calculateur!CI88*VLOOKUP('Données projet'!$B$12,Paramètres!$A$1:$I$89,3,0)*0.475*44/12</f>
        <v>11.5685116493403</v>
      </c>
      <c r="CM88" s="21">
        <f>EXP(-LN(2)/2)*CM87+(1-EXP(-LN(2)/2))/(LN(2)/2)*CG88*CJ88*VLOOKUP('Données projet'!$B$12,Paramètres!$A$1:$I$89,3,0)*0.475*44/12</f>
        <v>4.1441671284883396E-3</v>
      </c>
      <c r="CN88" s="22">
        <f t="shared" si="66"/>
        <v>42.335643172553404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-3.4106051316484809E-13</v>
      </c>
      <c r="CU88" s="17">
        <f>CT88*VLOOKUP('Données projet'!$B$13,Paramètres!$A$1:$I$89,3,0)*VLOOKUP('Données projet'!$B$13,Paramètres!$A$1:$I$89,5,0)</f>
        <v>-1.9065282685915009E-13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475.42482703895411</v>
      </c>
      <c r="CZ88" s="59">
        <f t="shared" si="96"/>
        <v>593.51433014569966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210.14371307737366</v>
      </c>
      <c r="DG88" s="21">
        <f>EXP(-LN(2)/25)*DG87+(1-EXP(-LN(2)/25))/(LN(2)/25)*Calculateur!DB88*Calculateur!DD88*VLOOKUP('Données projet'!$B$13,Paramètres!$A$1:$I$89,3,0)*0.475*44/12</f>
        <v>37.186962799684011</v>
      </c>
      <c r="DH88" s="21">
        <f>EXP(-LN(2)/2)*DH87+(1-EXP(-LN(2)/2))/(LN(2)/2)*DB88*DE88*VLOOKUP('Données projet'!$B$13,Paramètres!$A$1:$I$89,3,0)*0.475*44/12</f>
        <v>4.8054168884764673E-2</v>
      </c>
      <c r="DI88" s="22">
        <f t="shared" si="69"/>
        <v>247.37873004594243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7.7777777777777777</v>
      </c>
      <c r="DO88" s="12">
        <f>IF('Données projet'!$A$166&gt;35,DO87+DN88-DW87,IF(A88&lt;'Données projet'!$A$166,$DL$205^A88,IF(A88='Données projet'!$A$166,'Données projet'!$B$166,DO87+DN88-DW87)))</f>
        <v>301.44444444444429</v>
      </c>
      <c r="DP88" s="17">
        <f>DO88*VLOOKUP('Données projet'!$B$14,Paramètres!$A$1:$I$89,3,0)*VLOOKUP('Données projet'!$B$14,Paramètres!$A$1:$I$89,5,0)</f>
        <v>272.74693333333317</v>
      </c>
      <c r="DQ88" s="13">
        <f t="shared" si="97"/>
        <v>65.431893983549415</v>
      </c>
      <c r="DR88" s="20">
        <f t="shared" si="70"/>
        <v>588.99479091023716</v>
      </c>
      <c r="DS88" s="59">
        <f t="shared" si="71"/>
        <v>882.32812424357053</v>
      </c>
      <c r="DT88" s="59">
        <f ca="1">AVERAGE(OFFSET($DS$3,0,0,'Données projet'!$E$14+1,1))-AVERAGE(OFFSET($H$3,0,0,'Données projet'!$E$14+1,1))</f>
        <v>401.17301323870578</v>
      </c>
      <c r="DU88" s="59">
        <f t="shared" si="98"/>
        <v>201.57993789149754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1.8346711795754396</v>
      </c>
      <c r="EB88" s="21">
        <f>EXP(-LN(2)/25)*EB87+(1-EXP(-LN(2)/25))/(LN(2)/25)*Calculateur!DW88*Calculateur!DY88*VLOOKUP('Données projet'!$B$14,Paramètres!$A$1:$I$89,3,0)*0.475*44/12</f>
        <v>30.0047377557941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31.839408935369541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1.7053025658242404E-13</v>
      </c>
      <c r="EK88" s="17">
        <f>EJ88*VLOOKUP('Données projet'!$B$15,Paramètres!$A$1:$I$89,3,0)*VLOOKUP('Données projet'!$B$15,Paramètres!$A$1:$I$89,5,0)</f>
        <v>1.4897523215040567E-13</v>
      </c>
      <c r="EL88" s="13">
        <f t="shared" si="99"/>
        <v>2.136562777003313E-12</v>
      </c>
      <c r="EM88" s="20">
        <f t="shared" si="73"/>
        <v>3.9806453659427267E-12</v>
      </c>
      <c r="EN88" s="59">
        <f t="shared" si="74"/>
        <v>293.33333333333729</v>
      </c>
      <c r="EO88" s="59">
        <f ca="1">AVERAGE(OFFSET($EN$3,0,0,'Données projet'!$E$15+1,1))-AVERAGE(OFFSET($H$3,0,0,'Données projet'!$E$15+1,1))</f>
        <v>237.8483058552178</v>
      </c>
      <c r="EP88" s="59">
        <f t="shared" si="100"/>
        <v>313.36201272119723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60.453555508029829</v>
      </c>
      <c r="EW88" s="21">
        <f>EXP(-LN(2)/25)*EW87+(1-EXP(-LN(2)/25))/(LN(2)/25)*Calculateur!ER88*Calculateur!ET88*VLOOKUP('Données projet'!$B$15,Paramètres!$A$1:$I$89,3,0)*0.475*44/12</f>
        <v>3.4996943248242305</v>
      </c>
      <c r="EX88" s="21">
        <f>EXP(-LN(2)/2)*EX87+(1-EXP(-LN(2)/2))/(LN(2)/2)*ER88*EU88*VLOOKUP('Données projet'!$B$15,Paramètres!$A$1:$I$89,3,0)*0.475*44/12</f>
        <v>0.22754811657145085</v>
      </c>
      <c r="EY88" s="22">
        <f t="shared" si="75"/>
        <v>64.180797949425511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-2.8421709430404007E-13</v>
      </c>
      <c r="FF88" s="17">
        <f>FE88*VLOOKUP('Données projet'!$B$16,Paramètres!$A$1:$I$89,3,0)*VLOOKUP('Données projet'!$B$16,Paramètres!$A$1:$I$89,5,0)</f>
        <v>-2.2168933355715128E-13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318.52984981739411</v>
      </c>
      <c r="FK88" s="59">
        <f t="shared" si="102"/>
        <v>311.56398336941714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107.36383503206281</v>
      </c>
      <c r="FR88" s="21">
        <f>EXP(-LN(2)/25)*FR87+(1-EXP(-LN(2)/25))/(LN(2)/25)*Calculateur!FM88*Calculateur!FO88*VLOOKUP('Données projet'!$B$16,Paramètres!$A$1:$I$89,3,0)*0.475*44/12</f>
        <v>3.4937755656187108</v>
      </c>
      <c r="FS88" s="21">
        <f>EXP(-LN(2)/2)*FS87+(1-EXP(-LN(2)/2))/(LN(2)/2)*FM88*FP88*VLOOKUP('Données projet'!$B$16,Paramètres!$A$1:$I$89,3,0)*0.475*44/12</f>
        <v>9.9929801264317888</v>
      </c>
      <c r="FT88" s="22">
        <f t="shared" si="78"/>
        <v>120.8505907241133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-2.8421709430404007E-13</v>
      </c>
      <c r="GA88" s="17">
        <f>FZ88*VLOOKUP('Données projet'!$B$17,Paramètres!$A$1:$I$89,3,0)*VLOOKUP('Données projet'!$B$17,Paramètres!$A$1:$I$89,5,0)</f>
        <v>-2.2612312022829427E-13</v>
      </c>
      <c r="GB88" s="13" t="e">
        <f t="shared" si="103"/>
        <v>#NUM!</v>
      </c>
      <c r="GC88" s="20" t="e">
        <f t="shared" si="79"/>
        <v>#NUM!</v>
      </c>
      <c r="GD88" s="59" t="e">
        <f t="shared" si="80"/>
        <v>#NUM!</v>
      </c>
      <c r="GE88" s="59">
        <f ca="1">AVERAGE(OFFSET($GD$3,0,0,'Données projet'!$E$17+1,1))-AVERAGE(OFFSET($H$3,0,0,'Données projet'!$E$17+1,1))</f>
        <v>325.72928944930294</v>
      </c>
      <c r="GF88" s="59">
        <f t="shared" si="104"/>
        <v>318.38876834819752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134.97881213565853</v>
      </c>
      <c r="GM88" s="21">
        <f>EXP(-LN(2)/25)*GM87+(1-EXP(-LN(2)/25))/(LN(2)/25)*Calculateur!GH88*Calculateur!GJ88*VLOOKUP('Données projet'!$B$17,Paramètres!$A$1:$I$89,3,0)*0.475*44/12</f>
        <v>4.3924071413336607</v>
      </c>
      <c r="GN88" s="21">
        <f>EXP(-LN(2)/2)*GN87+(1-EXP(-LN(2)/2))/(LN(2)/2)*GH88*GK88*VLOOKUP('Données projet'!$B$17,Paramètres!$A$1:$I$89,3,0)*0.475*44/12</f>
        <v>10.192839728960418</v>
      </c>
      <c r="GO88" s="21">
        <f t="shared" si="81"/>
        <v>149.5640590059526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-2.8421709430404007E-13</v>
      </c>
      <c r="GV88" s="17">
        <f>GU88*VLOOKUP('Données projet'!$B$18,Paramètres!$A$1:$I$89,3,0)*VLOOKUP('Données projet'!$B$18,Paramètres!$A$1:$I$89,5,0)</f>
        <v>-1.9065282685915009E-13</v>
      </c>
      <c r="GW88" s="13" t="e">
        <f t="shared" si="105"/>
        <v>#NUM!</v>
      </c>
      <c r="GX88" s="20" t="e">
        <f t="shared" si="82"/>
        <v>#NUM!</v>
      </c>
      <c r="GY88" s="59" t="e">
        <f t="shared" si="83"/>
        <v>#NUM!</v>
      </c>
      <c r="GZ88" s="59">
        <f ca="1">AVERAGE(OFFSET($GY$3,0,0,'Données projet'!$E$18+1,1))-AVERAGE(OFFSET($H$3,0,0,'Données projet'!$E$18+1,1))</f>
        <v>268.04554291387961</v>
      </c>
      <c r="HA88" s="59">
        <f t="shared" si="106"/>
        <v>263.70463099437148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113.80566513398658</v>
      </c>
      <c r="HH88" s="21">
        <f>EXP(-LN(2)/25)*HH87+(1-EXP(-LN(2)/25))/(LN(2)/25)*Calculateur!HC88*Calculateur!HE88*VLOOKUP('Données projet'!$B$18,Paramètres!$A$1:$I$89,3,0)*0.475*44/12</f>
        <v>3.7034020995558352</v>
      </c>
      <c r="HI88" s="21">
        <f>EXP(-LN(2)/2)*HI87+(1-EXP(-LN(2)/2))/(LN(2)/2)*HC88*HF88*VLOOKUP('Données projet'!$B$18,Paramètres!$A$1:$I$89,3,0)*0.475*44/12</f>
        <v>8.5939629087313332</v>
      </c>
      <c r="HJ88" s="22">
        <f t="shared" si="84"/>
        <v>126.10303014227374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-2.5124791136477146E-14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46.095319339746538</v>
      </c>
      <c r="T89" s="59">
        <f t="shared" si="88"/>
        <v>48.158174304064403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53.633433589749259</v>
      </c>
      <c r="AA89" s="21">
        <f>EXP(-LN(2)/25)*AA88+(1-EXP(-LN(2)/25))/(LN(2)/25)*Calculateur!V89*Calculateur!X89*VLOOKUP('Données projet'!$B$9,Paramètres!$A$1:$I$89,3,0)*0.475*44/12</f>
        <v>23.201112249526005</v>
      </c>
      <c r="AB89" s="21">
        <f>EXP(-LN(2)/2)*AB88+(1-EXP(-LN(2)/2))/(LN(2)/2)*V89*Y89*VLOOKUP('Données projet'!$B$9,Paramètres!$A$1:$I$89,3,0)*0.475*44/12</f>
        <v>1.8459757391914504</v>
      </c>
      <c r="AC89" s="22">
        <f t="shared" si="57"/>
        <v>78.68052157846671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-6.7984728957526396E-14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408.84545509668794</v>
      </c>
      <c r="AO89" s="59">
        <f t="shared" si="90"/>
        <v>409.9253979841132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112.39156167359204</v>
      </c>
      <c r="AV89" s="21">
        <f>EXP(-LN(2)/25)*AV88+(1-EXP(-LN(2)/25))/(LN(2)/25)*Calculateur!AQ89*Calculateur!AS89*VLOOKUP('Données projet'!$B$10,Paramètres!$A$1:$I$89,3,0)*0.475*44/12</f>
        <v>37.082116474012885</v>
      </c>
      <c r="AW89" s="21">
        <f>EXP(-LN(2)/2)*AW88+(1-EXP(-LN(2)/2))/(LN(2)/2)*AQ89*AT89*VLOOKUP('Données projet'!$B$10,Paramètres!$A$1:$I$89,3,0)*0.475*44/12</f>
        <v>1.1459582003040236E-2</v>
      </c>
      <c r="AX89" s="21">
        <f t="shared" si="60"/>
        <v>149.48513772960794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-1.1368683772161603E-13</v>
      </c>
      <c r="BE89" s="13">
        <f>BD89*VLOOKUP('Données projet'!$B$11,Paramètres!$A$1:$I$89,3,0)*VLOOKUP('Données projet'!$B$11,Paramètres!$A$1:$I$89,5,0)</f>
        <v>-6.7984728957526396E-14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279.69031306919914</v>
      </c>
      <c r="BJ89" s="59">
        <f t="shared" si="92"/>
        <v>297.01680128882509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101.96804821883141</v>
      </c>
      <c r="BQ89" s="21">
        <f>EXP(-LN(2)/25)*BQ88+(1-EXP(-LN(2)/25))/(LN(2)/25)*Calculateur!BL89*Calculateur!BN89*VLOOKUP('Données projet'!$B$11,Paramètres!$A$1:$I$89,3,0)*0.475*44/12</f>
        <v>42.062265132459508</v>
      </c>
      <c r="BR89" s="21">
        <f>EXP(-LN(2)/2)*BR88+(1-EXP(-LN(2)/2))/(LN(2)/2)*BL89*BO89*VLOOKUP('Données projet'!$B$11,Paramètres!$A$1:$I$89,3,0)*0.475*44/12</f>
        <v>2.6736744399946163E-2</v>
      </c>
      <c r="BS89" s="22">
        <f t="shared" si="63"/>
        <v>144.05705009569087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81.299024916151723</v>
      </c>
      <c r="CE89" s="59">
        <f t="shared" si="94"/>
        <v>88.106373324240167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30.159743937601338</v>
      </c>
      <c r="CL89" s="21">
        <f>EXP(-LN(2)/25)*CL88+(1-EXP(-LN(2)/25))/(LN(2)/25)*Calculateur!CG89*Calculateur!CI89*VLOOKUP('Données projet'!$B$12,Paramètres!$A$1:$I$89,3,0)*0.475*44/12</f>
        <v>11.252170089927501</v>
      </c>
      <c r="CM89" s="21">
        <f>EXP(-LN(2)/2)*CM88+(1-EXP(-LN(2)/2))/(LN(2)/2)*CG89*CJ89*VLOOKUP('Données projet'!$B$12,Paramètres!$A$1:$I$89,3,0)*0.475*44/12</f>
        <v>2.9303686789244874E-3</v>
      </c>
      <c r="CN89" s="22">
        <f t="shared" si="66"/>
        <v>41.414844396207762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-3.4106051316484809E-13</v>
      </c>
      <c r="CU89" s="17">
        <f>CT89*VLOOKUP('Données projet'!$B$13,Paramètres!$A$1:$I$89,3,0)*VLOOKUP('Données projet'!$B$13,Paramètres!$A$1:$I$89,5,0)</f>
        <v>-1.9065282685915009E-13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475.42482703895411</v>
      </c>
      <c r="CZ89" s="59">
        <f t="shared" si="96"/>
        <v>593.51433014569966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206.02292303893512</v>
      </c>
      <c r="DG89" s="21">
        <f>EXP(-LN(2)/25)*DG88+(1-EXP(-LN(2)/25))/(LN(2)/25)*Calculateur!DB89*Calculateur!DD89*VLOOKUP('Données projet'!$B$13,Paramètres!$A$1:$I$89,3,0)*0.475*44/12</f>
        <v>36.170083346349273</v>
      </c>
      <c r="DH89" s="21">
        <f>EXP(-LN(2)/2)*DH88+(1-EXP(-LN(2)/2))/(LN(2)/2)*DB89*DE89*VLOOKUP('Données projet'!$B$13,Paramètres!$A$1:$I$89,3,0)*0.475*44/12</f>
        <v>3.3979428682700694E-2</v>
      </c>
      <c r="DI89" s="22">
        <f t="shared" si="69"/>
        <v>242.22698581396708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7.7777777777777777</v>
      </c>
      <c r="DO89" s="12">
        <f>IF('Données projet'!$A$166&gt;35,DO88+DN89-DW88,IF(A89&lt;'Données projet'!$A$166,$DL$205^A89,IF(A89='Données projet'!$A$166,'Données projet'!$B$166,DO88+DN89-DW88)))</f>
        <v>309.22222222222206</v>
      </c>
      <c r="DP89" s="17">
        <f>DO89*VLOOKUP('Données projet'!$B$14,Paramètres!$A$1:$I$89,3,0)*VLOOKUP('Données projet'!$B$14,Paramètres!$A$1:$I$89,5,0)</f>
        <v>279.7842666666665</v>
      </c>
      <c r="DQ89" s="13">
        <f t="shared" si="97"/>
        <v>66.921416181225794</v>
      </c>
      <c r="DR89" s="20">
        <f t="shared" si="70"/>
        <v>603.84573096007898</v>
      </c>
      <c r="DS89" s="59">
        <f t="shared" si="71"/>
        <v>897.17906429341224</v>
      </c>
      <c r="DT89" s="59">
        <f ca="1">AVERAGE(OFFSET($DS$3,0,0,'Données projet'!$E$14+1,1))-AVERAGE(OFFSET($H$3,0,0,'Données projet'!$E$14+1,1))</f>
        <v>401.17301323870578</v>
      </c>
      <c r="DU89" s="59">
        <f t="shared" si="98"/>
        <v>201.57993789149754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1.7986943967828888</v>
      </c>
      <c r="EB89" s="21">
        <f>EXP(-LN(2)/25)*EB88+(1-EXP(-LN(2)/25))/(LN(2)/25)*Calculateur!DW89*Calculateur!DY89*VLOOKUP('Données projet'!$B$14,Paramètres!$A$1:$I$89,3,0)*0.475*44/12</f>
        <v>29.184256623981327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30.982951020764215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1.7053025658242404E-13</v>
      </c>
      <c r="EK89" s="17">
        <f>EJ89*VLOOKUP('Données projet'!$B$15,Paramètres!$A$1:$I$89,3,0)*VLOOKUP('Données projet'!$B$15,Paramètres!$A$1:$I$89,5,0)</f>
        <v>1.4897523215040567E-13</v>
      </c>
      <c r="EL89" s="13">
        <f t="shared" si="99"/>
        <v>2.136562777003313E-12</v>
      </c>
      <c r="EM89" s="20">
        <f t="shared" si="73"/>
        <v>3.9806453659427267E-12</v>
      </c>
      <c r="EN89" s="59">
        <f t="shared" si="74"/>
        <v>293.33333333333729</v>
      </c>
      <c r="EO89" s="59">
        <f ca="1">AVERAGE(OFFSET($EN$3,0,0,'Données projet'!$E$15+1,1))-AVERAGE(OFFSET($H$3,0,0,'Données projet'!$E$15+1,1))</f>
        <v>237.8483058552178</v>
      </c>
      <c r="EP89" s="59">
        <f t="shared" si="100"/>
        <v>313.36201272119723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59.268098157545317</v>
      </c>
      <c r="EW89" s="21">
        <f>EXP(-LN(2)/25)*EW88+(1-EXP(-LN(2)/25))/(LN(2)/25)*Calculateur!ER89*Calculateur!ET89*VLOOKUP('Données projet'!$B$15,Paramètres!$A$1:$I$89,3,0)*0.475*44/12</f>
        <v>3.4039949994709859</v>
      </c>
      <c r="EX89" s="21">
        <f>EXP(-LN(2)/2)*EX88+(1-EXP(-LN(2)/2))/(LN(2)/2)*ER89*EU89*VLOOKUP('Données projet'!$B$15,Paramètres!$A$1:$I$89,3,0)*0.475*44/12</f>
        <v>0.1609008162738999</v>
      </c>
      <c r="EY89" s="22">
        <f t="shared" si="75"/>
        <v>62.832993973290208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-2.8421709430404007E-13</v>
      </c>
      <c r="FF89" s="17">
        <f>FE89*VLOOKUP('Données projet'!$B$16,Paramètres!$A$1:$I$89,3,0)*VLOOKUP('Données projet'!$B$16,Paramètres!$A$1:$I$89,5,0)</f>
        <v>-2.2168933355715128E-13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318.52984981739411</v>
      </c>
      <c r="FK89" s="59">
        <f t="shared" si="102"/>
        <v>311.56398336941714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105.25849571255728</v>
      </c>
      <c r="FR89" s="21">
        <f>EXP(-LN(2)/25)*FR88+(1-EXP(-LN(2)/25))/(LN(2)/25)*Calculateur!FM89*Calculateur!FO89*VLOOKUP('Données projet'!$B$16,Paramètres!$A$1:$I$89,3,0)*0.475*44/12</f>
        <v>3.3982380890471955</v>
      </c>
      <c r="FS89" s="21">
        <f>EXP(-LN(2)/2)*FS88+(1-EXP(-LN(2)/2))/(LN(2)/2)*FM89*FP89*VLOOKUP('Données projet'!$B$16,Paramètres!$A$1:$I$89,3,0)*0.475*44/12</f>
        <v>7.066104011662321</v>
      </c>
      <c r="FT89" s="22">
        <f t="shared" si="78"/>
        <v>115.72283781326679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-2.8421709430404007E-13</v>
      </c>
      <c r="GA89" s="17">
        <f>FZ89*VLOOKUP('Données projet'!$B$17,Paramètres!$A$1:$I$89,3,0)*VLOOKUP('Données projet'!$B$17,Paramètres!$A$1:$I$89,5,0)</f>
        <v>-2.2612312022829427E-13</v>
      </c>
      <c r="GB89" s="13" t="e">
        <f t="shared" si="103"/>
        <v>#NUM!</v>
      </c>
      <c r="GC89" s="20" t="e">
        <f t="shared" si="79"/>
        <v>#NUM!</v>
      </c>
      <c r="GD89" s="59" t="e">
        <f t="shared" si="80"/>
        <v>#NUM!</v>
      </c>
      <c r="GE89" s="59">
        <f ca="1">AVERAGE(OFFSET($GD$3,0,0,'Données projet'!$E$17+1,1))-AVERAGE(OFFSET($H$3,0,0,'Données projet'!$E$17+1,1))</f>
        <v>325.72928944930294</v>
      </c>
      <c r="GF89" s="59">
        <f t="shared" si="104"/>
        <v>318.38876834819752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132.33195995862437</v>
      </c>
      <c r="GM89" s="21">
        <f>EXP(-LN(2)/25)*GM88+(1-EXP(-LN(2)/25))/(LN(2)/25)*Calculateur!GH89*Calculateur!GJ89*VLOOKUP('Données projet'!$B$17,Paramètres!$A$1:$I$89,3,0)*0.475*44/12</f>
        <v>4.2722965370672394</v>
      </c>
      <c r="GN89" s="21">
        <f>EXP(-LN(2)/2)*GN88+(1-EXP(-LN(2)/2))/(LN(2)/2)*GH89*GK89*VLOOKUP('Données projet'!$B$17,Paramètres!$A$1:$I$89,3,0)*0.475*44/12</f>
        <v>7.207426091895563</v>
      </c>
      <c r="GO89" s="21">
        <f t="shared" si="81"/>
        <v>143.81168258758717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-2.8421709430404007E-13</v>
      </c>
      <c r="GV89" s="17">
        <f>GU89*VLOOKUP('Données projet'!$B$18,Paramètres!$A$1:$I$89,3,0)*VLOOKUP('Données projet'!$B$18,Paramètres!$A$1:$I$89,5,0)</f>
        <v>-1.9065282685915009E-13</v>
      </c>
      <c r="GW89" s="13" t="e">
        <f t="shared" si="105"/>
        <v>#NUM!</v>
      </c>
      <c r="GX89" s="20" t="e">
        <f t="shared" si="82"/>
        <v>#NUM!</v>
      </c>
      <c r="GY89" s="59" t="e">
        <f t="shared" si="83"/>
        <v>#NUM!</v>
      </c>
      <c r="GZ89" s="59">
        <f ca="1">AVERAGE(OFFSET($GY$3,0,0,'Données projet'!$E$18+1,1))-AVERAGE(OFFSET($H$3,0,0,'Données projet'!$E$18+1,1))</f>
        <v>268.04554291387961</v>
      </c>
      <c r="HA89" s="59">
        <f t="shared" si="106"/>
        <v>263.70463099437148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111.57400545531071</v>
      </c>
      <c r="HH89" s="21">
        <f>EXP(-LN(2)/25)*HH88+(1-EXP(-LN(2)/25))/(LN(2)/25)*Calculateur!HC89*Calculateur!HE89*VLOOKUP('Données projet'!$B$18,Paramètres!$A$1:$I$89,3,0)*0.475*44/12</f>
        <v>3.6021323743900289</v>
      </c>
      <c r="HI89" s="21">
        <f>EXP(-LN(2)/2)*HI88+(1-EXP(-LN(2)/2))/(LN(2)/2)*HC89*HF89*VLOOKUP('Données projet'!$B$18,Paramètres!$A$1:$I$89,3,0)*0.475*44/12</f>
        <v>6.0768494500295924</v>
      </c>
      <c r="HJ89" s="22">
        <f t="shared" si="84"/>
        <v>121.25298727973033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-2.5124791136477146E-14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46.095319339746538</v>
      </c>
      <c r="T90" s="59">
        <f t="shared" si="88"/>
        <v>48.158174304064403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52.581714670218609</v>
      </c>
      <c r="AA90" s="21">
        <f>EXP(-LN(2)/25)*AA89+(1-EXP(-LN(2)/25))/(LN(2)/25)*Calculateur!V90*Calculateur!X90*VLOOKUP('Données projet'!$B$9,Paramètres!$A$1:$I$89,3,0)*0.475*44/12</f>
        <v>22.56667661496925</v>
      </c>
      <c r="AB90" s="21">
        <f>EXP(-LN(2)/2)*AB89+(1-EXP(-LN(2)/2))/(LN(2)/2)*V90*Y90*VLOOKUP('Données projet'!$B$9,Paramètres!$A$1:$I$89,3,0)*0.475*44/12</f>
        <v>1.3053019630881244</v>
      </c>
      <c r="AC90" s="22">
        <f t="shared" si="57"/>
        <v>76.453693248275982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-6.7984728957526396E-14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408.84545509668794</v>
      </c>
      <c r="AO90" s="59">
        <f t="shared" si="90"/>
        <v>409.9253979841132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110.18763170125656</v>
      </c>
      <c r="AV90" s="21">
        <f>EXP(-LN(2)/25)*AV89+(1-EXP(-LN(2)/25))/(LN(2)/25)*Calculateur!AQ90*Calculateur!AS90*VLOOKUP('Données projet'!$B$10,Paramètres!$A$1:$I$89,3,0)*0.475*44/12</f>
        <v>36.06810404896725</v>
      </c>
      <c r="AW90" s="21">
        <f>EXP(-LN(2)/2)*AW89+(1-EXP(-LN(2)/2))/(LN(2)/2)*AQ90*AT90*VLOOKUP('Données projet'!$B$10,Paramètres!$A$1:$I$89,3,0)*0.475*44/12</f>
        <v>8.10314814391307E-3</v>
      </c>
      <c r="AX90" s="21">
        <f t="shared" si="60"/>
        <v>146.26383889836771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-1.1368683772161603E-13</v>
      </c>
      <c r="BE90" s="13">
        <f>BD90*VLOOKUP('Données projet'!$B$11,Paramètres!$A$1:$I$89,3,0)*VLOOKUP('Données projet'!$B$11,Paramètres!$A$1:$I$89,5,0)</f>
        <v>-6.7984728957526396E-14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279.69031306919914</v>
      </c>
      <c r="BJ90" s="59">
        <f t="shared" si="92"/>
        <v>297.01680128882509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99.968516987628362</v>
      </c>
      <c r="BQ90" s="21">
        <f>EXP(-LN(2)/25)*BQ89+(1-EXP(-LN(2)/25))/(LN(2)/25)*Calculateur!BL90*Calculateur!BN90*VLOOKUP('Données projet'!$B$11,Paramètres!$A$1:$I$89,3,0)*0.475*44/12</f>
        <v>40.912070280454017</v>
      </c>
      <c r="BR90" s="21">
        <f>EXP(-LN(2)/2)*BR89+(1-EXP(-LN(2)/2))/(LN(2)/2)*BL90*BO90*VLOOKUP('Données projet'!$B$11,Paramètres!$A$1:$I$89,3,0)*0.475*44/12</f>
        <v>1.8905733272053381E-2</v>
      </c>
      <c r="BS90" s="22">
        <f t="shared" si="63"/>
        <v>140.89949300135441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81.299024916151723</v>
      </c>
      <c r="CE90" s="59">
        <f t="shared" si="94"/>
        <v>88.106373324240167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29.56832975461236</v>
      </c>
      <c r="CL90" s="21">
        <f>EXP(-LN(2)/25)*CL89+(1-EXP(-LN(2)/25))/(LN(2)/25)*Calculateur!CG90*Calculateur!CI90*VLOOKUP('Données projet'!$B$12,Paramètres!$A$1:$I$89,3,0)*0.475*44/12</f>
        <v>10.944478907092526</v>
      </c>
      <c r="CM90" s="21">
        <f>EXP(-LN(2)/2)*CM89+(1-EXP(-LN(2)/2))/(LN(2)/2)*CG90*CJ90*VLOOKUP('Données projet'!$B$12,Paramètres!$A$1:$I$89,3,0)*0.475*44/12</f>
        <v>2.0720835642441698E-3</v>
      </c>
      <c r="CN90" s="22">
        <f t="shared" si="66"/>
        <v>40.514880745269132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-3.4106051316484809E-13</v>
      </c>
      <c r="CU90" s="17">
        <f>CT90*VLOOKUP('Données projet'!$B$13,Paramètres!$A$1:$I$89,3,0)*VLOOKUP('Données projet'!$B$13,Paramètres!$A$1:$I$89,5,0)</f>
        <v>-1.9065282685915009E-13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475.42482703895411</v>
      </c>
      <c r="CZ90" s="59">
        <f t="shared" si="96"/>
        <v>593.51433014569966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201.9829391797166</v>
      </c>
      <c r="DG90" s="21">
        <f>EXP(-LN(2)/25)*DG89+(1-EXP(-LN(2)/25))/(LN(2)/25)*Calculateur!DB90*Calculateur!DD90*VLOOKUP('Données projet'!$B$13,Paramètres!$A$1:$I$89,3,0)*0.475*44/12</f>
        <v>35.181010515141338</v>
      </c>
      <c r="DH90" s="21">
        <f>EXP(-LN(2)/2)*DH89+(1-EXP(-LN(2)/2))/(LN(2)/2)*DB90*DE90*VLOOKUP('Données projet'!$B$13,Paramètres!$A$1:$I$89,3,0)*0.475*44/12</f>
        <v>2.4027084442382336E-2</v>
      </c>
      <c r="DI90" s="22">
        <f t="shared" si="69"/>
        <v>237.18797677930033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>
        <f>VLOOKUP(A90,'Données projet'!$A$165:$I$185,2,0)</f>
        <v>317</v>
      </c>
      <c r="DM90" s="12">
        <f>VLOOKUP(A90,'Données projet'!$A$165:$I$185,9,0)</f>
        <v>7.7777777777777777</v>
      </c>
      <c r="DN90" s="12">
        <f t="array" ref="DN90">INDEX(DM:DM,MIN(IF(ISNUMBER(DM90:DM286),ROW(DM90:DM286),"")))</f>
        <v>7.7777777777777777</v>
      </c>
      <c r="DO90" s="12">
        <f>IF('Données projet'!$A$166&gt;35,DO89+DN90-DW89,IF(A90&lt;'Données projet'!$A$166,$DL$205^A90,IF(A90='Données projet'!$A$166,'Données projet'!$B$166,DO89+DN90-DW89)))</f>
        <v>316.99999999999983</v>
      </c>
      <c r="DP90" s="17">
        <f>DO90*VLOOKUP('Données projet'!$B$14,Paramètres!$A$1:$I$89,3,0)*VLOOKUP('Données projet'!$B$14,Paramètres!$A$1:$I$89,5,0)</f>
        <v>286.82159999999988</v>
      </c>
      <c r="DQ90" s="13">
        <f t="shared" si="97"/>
        <v>68.406583284351413</v>
      </c>
      <c r="DR90" s="20">
        <f t="shared" si="70"/>
        <v>618.68908588691181</v>
      </c>
      <c r="DS90" s="59">
        <f t="shared" si="71"/>
        <v>912.02241922024518</v>
      </c>
      <c r="DT90" s="59">
        <f ca="1">AVERAGE(OFFSET($DS$3,0,0,'Données projet'!$E$14+1,1))-AVERAGE(OFFSET($H$3,0,0,'Données projet'!$E$14+1,1))</f>
        <v>401.17301323870578</v>
      </c>
      <c r="DU90" s="59">
        <f t="shared" si="98"/>
        <v>201.57993789149754</v>
      </c>
      <c r="DV90" s="15">
        <f>IF(ISNA(VLOOKUP(A90,'Données projet'!$A$165:$I$185,3,0)),0,VLOOKUP(A90,'Données projet'!$A$165:$I$185,3,0))</f>
        <v>7</v>
      </c>
      <c r="DW90" s="15">
        <f>IF(ISNA(VLOOKUP(A90,'Données projet'!$A$165:$I$185,4,0)),0,VLOOKUP(A90,'Données projet'!$A$165:$I$185,4,0))</f>
        <v>45</v>
      </c>
      <c r="DX90" s="16">
        <f>IF(ISNA(VLOOKUP(A90,'Données projet'!$A$165:$I$185,5,0)),0%,VLOOKUP(A90,'Données projet'!$A$165:$I$185,5,0)*VLOOKUP('Données projet'!$B$14,Paramètres!$A$1:$I$89,7,0))</f>
        <v>0.129</v>
      </c>
      <c r="DY90" s="16">
        <f>IF(ISNA(VLOOKUP(A90,'Données projet'!$A$165:$I$185,6,0)),0%,VLOOKUP(A90,'Données projet'!$A$165:$I$185,6,0)*VLOOKUP('Données projet'!$B$14,Paramètres!$A$1:$I$89,7,0))</f>
        <v>0.15049999999999999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7.5697559212824324</v>
      </c>
      <c r="EB90" s="21">
        <f>EXP(-LN(2)/25)*EB89+(1-EXP(-LN(2)/25))/(LN(2)/25)*Calculateur!DW90*Calculateur!DY90*VLOOKUP('Données projet'!$B$14,Paramètres!$A$1:$I$89,3,0)*0.475*44/12</f>
        <v>35.133594518308797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42.703350439591233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1.7053025658242404E-13</v>
      </c>
      <c r="EK90" s="17">
        <f>EJ90*VLOOKUP('Données projet'!$B$15,Paramètres!$A$1:$I$89,3,0)*VLOOKUP('Données projet'!$B$15,Paramètres!$A$1:$I$89,5,0)</f>
        <v>1.4897523215040567E-13</v>
      </c>
      <c r="EL90" s="13">
        <f t="shared" si="99"/>
        <v>2.136562777003313E-12</v>
      </c>
      <c r="EM90" s="20">
        <f t="shared" si="73"/>
        <v>3.9806453659427267E-12</v>
      </c>
      <c r="EN90" s="59">
        <f t="shared" si="74"/>
        <v>293.33333333333729</v>
      </c>
      <c r="EO90" s="59">
        <f ca="1">AVERAGE(OFFSET($EN$3,0,0,'Données projet'!$E$15+1,1))-AVERAGE(OFFSET($H$3,0,0,'Données projet'!$E$15+1,1))</f>
        <v>237.8483058552178</v>
      </c>
      <c r="EP90" s="59">
        <f t="shared" si="100"/>
        <v>313.36201272119723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58.105886902646219</v>
      </c>
      <c r="EW90" s="21">
        <f>EXP(-LN(2)/25)*EW89+(1-EXP(-LN(2)/25))/(LN(2)/25)*Calculateur!ER90*Calculateur!ET90*VLOOKUP('Données projet'!$B$15,Paramètres!$A$1:$I$89,3,0)*0.475*44/12</f>
        <v>3.3109125772021346</v>
      </c>
      <c r="EX90" s="21">
        <f>EXP(-LN(2)/2)*EX89+(1-EXP(-LN(2)/2))/(LN(2)/2)*ER90*EU90*VLOOKUP('Données projet'!$B$15,Paramètres!$A$1:$I$89,3,0)*0.475*44/12</f>
        <v>0.11377405828572543</v>
      </c>
      <c r="EY90" s="22">
        <f t="shared" si="75"/>
        <v>61.530573538134078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-2.8421709430404007E-13</v>
      </c>
      <c r="FF90" s="17">
        <f>FE90*VLOOKUP('Données projet'!$B$16,Paramètres!$A$1:$I$89,3,0)*VLOOKUP('Données projet'!$B$16,Paramètres!$A$1:$I$89,5,0)</f>
        <v>-2.2168933355715128E-13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318.52984981739411</v>
      </c>
      <c r="FK90" s="59">
        <f t="shared" si="102"/>
        <v>311.56398336941714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103.19444081297706</v>
      </c>
      <c r="FR90" s="21">
        <f>EXP(-LN(2)/25)*FR89+(1-EXP(-LN(2)/25))/(LN(2)/25)*Calculateur!FM90*Calculateur!FO90*VLOOKUP('Données projet'!$B$16,Paramètres!$A$1:$I$89,3,0)*0.475*44/12</f>
        <v>3.3053130897966256</v>
      </c>
      <c r="FS90" s="21">
        <f>EXP(-LN(2)/2)*FS89+(1-EXP(-LN(2)/2))/(LN(2)/2)*FM90*FP90*VLOOKUP('Données projet'!$B$16,Paramètres!$A$1:$I$89,3,0)*0.475*44/12</f>
        <v>4.9964900632158953</v>
      </c>
      <c r="FT90" s="22">
        <f t="shared" si="78"/>
        <v>111.49624396598959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-2.8421709430404007E-13</v>
      </c>
      <c r="GA90" s="17">
        <f>FZ90*VLOOKUP('Données projet'!$B$17,Paramètres!$A$1:$I$89,3,0)*VLOOKUP('Données projet'!$B$17,Paramètres!$A$1:$I$89,5,0)</f>
        <v>-2.2612312022829427E-13</v>
      </c>
      <c r="GB90" s="13" t="e">
        <f t="shared" si="103"/>
        <v>#NUM!</v>
      </c>
      <c r="GC90" s="20" t="e">
        <f t="shared" si="79"/>
        <v>#NUM!</v>
      </c>
      <c r="GD90" s="59" t="e">
        <f t="shared" si="80"/>
        <v>#NUM!</v>
      </c>
      <c r="GE90" s="59">
        <f ca="1">AVERAGE(OFFSET($GD$3,0,0,'Données projet'!$E$17+1,1))-AVERAGE(OFFSET($H$3,0,0,'Données projet'!$E$17+1,1))</f>
        <v>325.72928944930294</v>
      </c>
      <c r="GF90" s="59">
        <f t="shared" si="104"/>
        <v>318.38876834819752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129.73701093836141</v>
      </c>
      <c r="GM90" s="21">
        <f>EXP(-LN(2)/25)*GM89+(1-EXP(-LN(2)/25))/(LN(2)/25)*Calculateur!GH90*Calculateur!GJ90*VLOOKUP('Données projet'!$B$17,Paramètres!$A$1:$I$89,3,0)*0.475*44/12</f>
        <v>4.1554703635908252</v>
      </c>
      <c r="GN90" s="21">
        <f>EXP(-LN(2)/2)*GN89+(1-EXP(-LN(2)/2))/(LN(2)/2)*GH90*GK90*VLOOKUP('Données projet'!$B$17,Paramètres!$A$1:$I$89,3,0)*0.475*44/12</f>
        <v>5.0964198644802092</v>
      </c>
      <c r="GO90" s="21">
        <f t="shared" si="81"/>
        <v>138.98890116643244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-2.8421709430404007E-13</v>
      </c>
      <c r="GV90" s="17">
        <f>GU90*VLOOKUP('Données projet'!$B$18,Paramètres!$A$1:$I$89,3,0)*VLOOKUP('Données projet'!$B$18,Paramètres!$A$1:$I$89,5,0)</f>
        <v>-1.9065282685915009E-13</v>
      </c>
      <c r="GW90" s="13" t="e">
        <f t="shared" si="105"/>
        <v>#NUM!</v>
      </c>
      <c r="GX90" s="20" t="e">
        <f t="shared" si="82"/>
        <v>#NUM!</v>
      </c>
      <c r="GY90" s="59" t="e">
        <f t="shared" si="83"/>
        <v>#NUM!</v>
      </c>
      <c r="GZ90" s="59">
        <f ca="1">AVERAGE(OFFSET($GY$3,0,0,'Données projet'!$E$18+1,1))-AVERAGE(OFFSET($H$3,0,0,'Données projet'!$E$18+1,1))</f>
        <v>268.04554291387961</v>
      </c>
      <c r="HA90" s="59">
        <f t="shared" si="106"/>
        <v>263.70463099437148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109.38610726175568</v>
      </c>
      <c r="HH90" s="21">
        <f>EXP(-LN(2)/25)*HH89+(1-EXP(-LN(2)/25))/(LN(2)/25)*Calculateur!HC90*Calculateur!HE90*VLOOKUP('Données projet'!$B$18,Paramètres!$A$1:$I$89,3,0)*0.475*44/12</f>
        <v>3.5036318751844249</v>
      </c>
      <c r="HI90" s="21">
        <f>EXP(-LN(2)/2)*HI89+(1-EXP(-LN(2)/2))/(LN(2)/2)*HC90*HF90*VLOOKUP('Données projet'!$B$18,Paramètres!$A$1:$I$89,3,0)*0.475*44/12</f>
        <v>4.2969814543656666</v>
      </c>
      <c r="HJ90" s="22">
        <f t="shared" si="84"/>
        <v>117.18672059130577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-2.5124791136477146E-14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46.095319339746538</v>
      </c>
      <c r="T91" s="59">
        <f t="shared" si="88"/>
        <v>48.158174304064403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51.550619317214753</v>
      </c>
      <c r="AA91" s="21">
        <f>EXP(-LN(2)/25)*AA90+(1-EXP(-LN(2)/25))/(LN(2)/25)*Calculateur!V91*Calculateur!X91*VLOOKUP('Données projet'!$B$9,Paramètres!$A$1:$I$89,3,0)*0.475*44/12</f>
        <v>21.949589656202971</v>
      </c>
      <c r="AB91" s="21">
        <f>EXP(-LN(2)/2)*AB90+(1-EXP(-LN(2)/2))/(LN(2)/2)*V91*Y91*VLOOKUP('Données projet'!$B$9,Paramètres!$A$1:$I$89,3,0)*0.475*44/12</f>
        <v>0.92298786959572543</v>
      </c>
      <c r="AC91" s="22">
        <f t="shared" si="57"/>
        <v>74.423196843013457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-6.7984728957526396E-14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408.84545509668794</v>
      </c>
      <c r="AO91" s="59">
        <f t="shared" si="90"/>
        <v>409.9253979841132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108.02691945141405</v>
      </c>
      <c r="AV91" s="21">
        <f>EXP(-LN(2)/25)*AV90+(1-EXP(-LN(2)/25))/(LN(2)/25)*Calculateur!AQ91*Calculateur!AS91*VLOOKUP('Données projet'!$B$10,Paramètres!$A$1:$I$89,3,0)*0.475*44/12</f>
        <v>35.081819847009086</v>
      </c>
      <c r="AW91" s="21">
        <f>EXP(-LN(2)/2)*AW90+(1-EXP(-LN(2)/2))/(LN(2)/2)*AQ91*AT91*VLOOKUP('Données projet'!$B$10,Paramètres!$A$1:$I$89,3,0)*0.475*44/12</f>
        <v>5.7297910015201179E-3</v>
      </c>
      <c r="AX91" s="21">
        <f t="shared" si="60"/>
        <v>143.11446908942466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-1.1368683772161603E-13</v>
      </c>
      <c r="BE91" s="13">
        <f>BD91*VLOOKUP('Données projet'!$B$11,Paramètres!$A$1:$I$89,3,0)*VLOOKUP('Données projet'!$B$11,Paramètres!$A$1:$I$89,5,0)</f>
        <v>-6.7984728957526396E-14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279.69031306919914</v>
      </c>
      <c r="BJ91" s="59">
        <f t="shared" si="92"/>
        <v>297.01680128882509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98.008195344275578</v>
      </c>
      <c r="BQ91" s="21">
        <f>EXP(-LN(2)/25)*BQ90+(1-EXP(-LN(2)/25))/(LN(2)/25)*Calculateur!BL91*Calculateur!BN91*VLOOKUP('Données projet'!$B$11,Paramètres!$A$1:$I$89,3,0)*0.475*44/12</f>
        <v>39.793327567162734</v>
      </c>
      <c r="BR91" s="21">
        <f>EXP(-LN(2)/2)*BR90+(1-EXP(-LN(2)/2))/(LN(2)/2)*BL91*BO91*VLOOKUP('Données projet'!$B$11,Paramètres!$A$1:$I$89,3,0)*0.475*44/12</f>
        <v>1.3368372199973081E-2</v>
      </c>
      <c r="BS91" s="22">
        <f t="shared" si="63"/>
        <v>137.8148912836383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81.299024916151723</v>
      </c>
      <c r="CE91" s="59">
        <f t="shared" si="94"/>
        <v>88.106373324240167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28.988512843024765</v>
      </c>
      <c r="CL91" s="21">
        <f>EXP(-LN(2)/25)*CL90+(1-EXP(-LN(2)/25))/(LN(2)/25)*Calculateur!CG91*Calculateur!CI91*VLOOKUP('Données projet'!$B$12,Paramètres!$A$1:$I$89,3,0)*0.475*44/12</f>
        <v>10.64520155583295</v>
      </c>
      <c r="CM91" s="21">
        <f>EXP(-LN(2)/2)*CM90+(1-EXP(-LN(2)/2))/(LN(2)/2)*CG91*CJ91*VLOOKUP('Données projet'!$B$12,Paramètres!$A$1:$I$89,3,0)*0.475*44/12</f>
        <v>1.4651843394622437E-3</v>
      </c>
      <c r="CN91" s="22">
        <f t="shared" si="66"/>
        <v>39.635179583197171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-3.4106051316484809E-13</v>
      </c>
      <c r="CU91" s="17">
        <f>CT91*VLOOKUP('Données projet'!$B$13,Paramètres!$A$1:$I$89,3,0)*VLOOKUP('Données projet'!$B$13,Paramètres!$A$1:$I$89,5,0)</f>
        <v>-1.9065282685915009E-13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475.42482703895411</v>
      </c>
      <c r="CZ91" s="59">
        <f t="shared" si="96"/>
        <v>593.51433014569966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198.02217693983053</v>
      </c>
      <c r="DG91" s="21">
        <f>EXP(-LN(2)/25)*DG90+(1-EXP(-LN(2)/25))/(LN(2)/25)*Calculateur!DB91*Calculateur!DD91*VLOOKUP('Données projet'!$B$13,Paramètres!$A$1:$I$89,3,0)*0.475*44/12</f>
        <v>34.218983932515862</v>
      </c>
      <c r="DH91" s="21">
        <f>EXP(-LN(2)/2)*DH90+(1-EXP(-LN(2)/2))/(LN(2)/2)*DB91*DE91*VLOOKUP('Données projet'!$B$13,Paramètres!$A$1:$I$89,3,0)*0.475*44/12</f>
        <v>1.6989714341350347E-2</v>
      </c>
      <c r="DI91" s="22">
        <f t="shared" si="69"/>
        <v>232.25815058668775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7.333333333333333</v>
      </c>
      <c r="DO91" s="12">
        <f>IF('Données projet'!$A$166&gt;35,DO90+DN91-DW90,IF(A91&lt;'Données projet'!$A$166,$DL$205^A91,IF(A91='Données projet'!$A$166,'Données projet'!$B$166,DO90+DN91-DW90)))</f>
        <v>279.33333333333314</v>
      </c>
      <c r="DP91" s="17">
        <f>DO91*VLOOKUP('Données projet'!$B$14,Paramètres!$A$1:$I$89,3,0)*VLOOKUP('Données projet'!$B$14,Paramètres!$A$1:$I$89,5,0)</f>
        <v>252.74079999999981</v>
      </c>
      <c r="DQ91" s="13">
        <f t="shared" si="97"/>
        <v>61.172468963435016</v>
      </c>
      <c r="DR91" s="20">
        <f t="shared" si="70"/>
        <v>546.73227677798229</v>
      </c>
      <c r="DS91" s="59">
        <f t="shared" si="71"/>
        <v>840.06561011131566</v>
      </c>
      <c r="DT91" s="59">
        <f ca="1">AVERAGE(OFFSET($DS$3,0,0,'Données projet'!$E$14+1,1))-AVERAGE(OFFSET($H$3,0,0,'Données projet'!$E$14+1,1))</f>
        <v>401.17301323870578</v>
      </c>
      <c r="DU91" s="59">
        <f t="shared" si="98"/>
        <v>201.57993789149754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7.4213176247612953</v>
      </c>
      <c r="EB91" s="21">
        <f>EXP(-LN(2)/25)*EB90+(1-EXP(-LN(2)/25))/(LN(2)/25)*Calculateur!DW91*Calculateur!DY91*VLOOKUP('Données projet'!$B$14,Paramètres!$A$1:$I$89,3,0)*0.475*44/12</f>
        <v>34.172864528610205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41.594182153371499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1.7053025658242404E-13</v>
      </c>
      <c r="EK91" s="17">
        <f>EJ91*VLOOKUP('Données projet'!$B$15,Paramètres!$A$1:$I$89,3,0)*VLOOKUP('Données projet'!$B$15,Paramètres!$A$1:$I$89,5,0)</f>
        <v>1.4897523215040567E-13</v>
      </c>
      <c r="EL91" s="13">
        <f t="shared" si="99"/>
        <v>2.136562777003313E-12</v>
      </c>
      <c r="EM91" s="20">
        <f t="shared" si="73"/>
        <v>3.9806453659427267E-12</v>
      </c>
      <c r="EN91" s="59">
        <f t="shared" si="74"/>
        <v>293.33333333333729</v>
      </c>
      <c r="EO91" s="59">
        <f ca="1">AVERAGE(OFFSET($EN$3,0,0,'Données projet'!$E$15+1,1))-AVERAGE(OFFSET($H$3,0,0,'Données projet'!$E$15+1,1))</f>
        <v>237.8483058552178</v>
      </c>
      <c r="EP91" s="59">
        <f t="shared" si="100"/>
        <v>313.36201272119723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56.966465901576818</v>
      </c>
      <c r="EW91" s="21">
        <f>EXP(-LN(2)/25)*EW90+(1-EXP(-LN(2)/25))/(LN(2)/25)*Calculateur!ER91*Calculateur!ET91*VLOOKUP('Données projet'!$B$15,Paramètres!$A$1:$I$89,3,0)*0.475*44/12</f>
        <v>3.2203754986652169</v>
      </c>
      <c r="EX91" s="21">
        <f>EXP(-LN(2)/2)*EX90+(1-EXP(-LN(2)/2))/(LN(2)/2)*ER91*EU91*VLOOKUP('Données projet'!$B$15,Paramètres!$A$1:$I$89,3,0)*0.475*44/12</f>
        <v>8.0450408136949952E-2</v>
      </c>
      <c r="EY91" s="22">
        <f t="shared" si="75"/>
        <v>60.267291808378985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-2.8421709430404007E-13</v>
      </c>
      <c r="FF91" s="17">
        <f>FE91*VLOOKUP('Données projet'!$B$16,Paramètres!$A$1:$I$89,3,0)*VLOOKUP('Données projet'!$B$16,Paramètres!$A$1:$I$89,5,0)</f>
        <v>-2.2168933355715128E-13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318.52984981739411</v>
      </c>
      <c r="FK91" s="59">
        <f t="shared" si="102"/>
        <v>311.56398336941714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101.17086077102843</v>
      </c>
      <c r="FR91" s="21">
        <f>EXP(-LN(2)/25)*FR90+(1-EXP(-LN(2)/25))/(LN(2)/25)*Calculateur!FM91*Calculateur!FO91*VLOOKUP('Données projet'!$B$16,Paramètres!$A$1:$I$89,3,0)*0.475*44/12</f>
        <v>3.2149291295372757</v>
      </c>
      <c r="FS91" s="21">
        <f>EXP(-LN(2)/2)*FS90+(1-EXP(-LN(2)/2))/(LN(2)/2)*FM91*FP91*VLOOKUP('Données projet'!$B$16,Paramètres!$A$1:$I$89,3,0)*0.475*44/12</f>
        <v>3.5330520058311614</v>
      </c>
      <c r="FT91" s="22">
        <f t="shared" si="78"/>
        <v>107.91884190639688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-2.8421709430404007E-13</v>
      </c>
      <c r="GA91" s="17">
        <f>FZ91*VLOOKUP('Données projet'!$B$17,Paramètres!$A$1:$I$89,3,0)*VLOOKUP('Données projet'!$B$17,Paramètres!$A$1:$I$89,5,0)</f>
        <v>-2.2612312022829427E-13</v>
      </c>
      <c r="GB91" s="13" t="e">
        <f t="shared" si="103"/>
        <v>#NUM!</v>
      </c>
      <c r="GC91" s="20" t="e">
        <f t="shared" si="79"/>
        <v>#NUM!</v>
      </c>
      <c r="GD91" s="59" t="e">
        <f t="shared" si="80"/>
        <v>#NUM!</v>
      </c>
      <c r="GE91" s="59">
        <f ca="1">AVERAGE(OFFSET($GD$3,0,0,'Données projet'!$E$17+1,1))-AVERAGE(OFFSET($H$3,0,0,'Données projet'!$E$17+1,1))</f>
        <v>325.72928944930294</v>
      </c>
      <c r="GF91" s="59">
        <f t="shared" si="104"/>
        <v>318.38876834819752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127.19294728562321</v>
      </c>
      <c r="GM91" s="21">
        <f>EXP(-LN(2)/25)*GM90+(1-EXP(-LN(2)/25))/(LN(2)/25)*Calculateur!GH91*Calculateur!GJ91*VLOOKUP('Données projet'!$B$17,Paramètres!$A$1:$I$89,3,0)*0.475*44/12</f>
        <v>4.0418388079717449</v>
      </c>
      <c r="GN91" s="21">
        <f>EXP(-LN(2)/2)*GN90+(1-EXP(-LN(2)/2))/(LN(2)/2)*GH91*GK91*VLOOKUP('Données projet'!$B$17,Paramètres!$A$1:$I$89,3,0)*0.475*44/12</f>
        <v>3.6037130459477815</v>
      </c>
      <c r="GO91" s="21">
        <f t="shared" si="81"/>
        <v>134.83849913954273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-2.8421709430404007E-13</v>
      </c>
      <c r="GV91" s="17">
        <f>GU91*VLOOKUP('Données projet'!$B$18,Paramètres!$A$1:$I$89,3,0)*VLOOKUP('Données projet'!$B$18,Paramètres!$A$1:$I$89,5,0)</f>
        <v>-1.9065282685915009E-13</v>
      </c>
      <c r="GW91" s="13" t="e">
        <f t="shared" si="105"/>
        <v>#NUM!</v>
      </c>
      <c r="GX91" s="20" t="e">
        <f t="shared" si="82"/>
        <v>#NUM!</v>
      </c>
      <c r="GY91" s="59" t="e">
        <f t="shared" si="83"/>
        <v>#NUM!</v>
      </c>
      <c r="GZ91" s="59">
        <f ca="1">AVERAGE(OFFSET($GY$3,0,0,'Données projet'!$E$18+1,1))-AVERAGE(OFFSET($H$3,0,0,'Données projet'!$E$18+1,1))</f>
        <v>268.04554291387961</v>
      </c>
      <c r="HA91" s="59">
        <f t="shared" si="106"/>
        <v>263.70463099437148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107.24111241729014</v>
      </c>
      <c r="HH91" s="21">
        <f>EXP(-LN(2)/25)*HH90+(1-EXP(-LN(2)/25))/(LN(2)/25)*Calculateur!HC91*Calculateur!HE91*VLOOKUP('Données projet'!$B$18,Paramètres!$A$1:$I$89,3,0)*0.475*44/12</f>
        <v>3.4078248773095141</v>
      </c>
      <c r="HI91" s="21">
        <f>EXP(-LN(2)/2)*HI90+(1-EXP(-LN(2)/2))/(LN(2)/2)*HC91*HF91*VLOOKUP('Données projet'!$B$18,Paramètres!$A$1:$I$89,3,0)*0.475*44/12</f>
        <v>3.0384247250147962</v>
      </c>
      <c r="HJ91" s="22">
        <f t="shared" si="84"/>
        <v>113.68736201961444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-2.5124791136477146E-14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46.095319339746538</v>
      </c>
      <c r="T92" s="59">
        <f t="shared" si="88"/>
        <v>48.158174304064403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50.539743115177238</v>
      </c>
      <c r="AA92" s="21">
        <f>EXP(-LN(2)/25)*AA91+(1-EXP(-LN(2)/25))/(LN(2)/25)*Calculateur!V92*Calculateur!X92*VLOOKUP('Données projet'!$B$9,Paramètres!$A$1:$I$89,3,0)*0.475*44/12</f>
        <v>21.349376972775346</v>
      </c>
      <c r="AB92" s="21">
        <f>EXP(-LN(2)/2)*AB91+(1-EXP(-LN(2)/2))/(LN(2)/2)*V92*Y92*VLOOKUP('Données projet'!$B$9,Paramètres!$A$1:$I$89,3,0)*0.475*44/12</f>
        <v>0.65265098154406231</v>
      </c>
      <c r="AC92" s="22">
        <f t="shared" si="57"/>
        <v>72.541771069496647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-6.7984728957526396E-14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408.84545509668794</v>
      </c>
      <c r="AO92" s="59">
        <f t="shared" si="90"/>
        <v>409.9253979841132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105.9085774508866</v>
      </c>
      <c r="AV92" s="21">
        <f>EXP(-LN(2)/25)*AV91+(1-EXP(-LN(2)/25))/(LN(2)/25)*Calculateur!AQ92*Calculateur!AS92*VLOOKUP('Données projet'!$B$10,Paramètres!$A$1:$I$89,3,0)*0.475*44/12</f>
        <v>34.122505638419895</v>
      </c>
      <c r="AW92" s="21">
        <f>EXP(-LN(2)/2)*AW91+(1-EXP(-LN(2)/2))/(LN(2)/2)*AQ92*AT92*VLOOKUP('Données projet'!$B$10,Paramètres!$A$1:$I$89,3,0)*0.475*44/12</f>
        <v>4.051574071956535E-3</v>
      </c>
      <c r="AX92" s="21">
        <f t="shared" si="60"/>
        <v>140.03513466337844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-1.1368683772161603E-13</v>
      </c>
      <c r="BE92" s="13">
        <f>BD92*VLOOKUP('Données projet'!$B$11,Paramètres!$A$1:$I$89,3,0)*VLOOKUP('Données projet'!$B$11,Paramètres!$A$1:$I$89,5,0)</f>
        <v>-6.7984728957526396E-14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279.69031306919914</v>
      </c>
      <c r="BJ92" s="59">
        <f t="shared" si="92"/>
        <v>297.01680128882509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96.086314412670802</v>
      </c>
      <c r="BQ92" s="21">
        <f>EXP(-LN(2)/25)*BQ91+(1-EXP(-LN(2)/25))/(LN(2)/25)*Calculateur!BL92*Calculateur!BN92*VLOOKUP('Données projet'!$B$11,Paramètres!$A$1:$I$89,3,0)*0.475*44/12</f>
        <v>38.705176932198519</v>
      </c>
      <c r="BR92" s="21">
        <f>EXP(-LN(2)/2)*BR91+(1-EXP(-LN(2)/2))/(LN(2)/2)*BL92*BO92*VLOOKUP('Données projet'!$B$11,Paramètres!$A$1:$I$89,3,0)*0.475*44/12</f>
        <v>9.4528666360266904E-3</v>
      </c>
      <c r="BS92" s="22">
        <f t="shared" si="63"/>
        <v>134.80094421150534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81.299024916151723</v>
      </c>
      <c r="CE92" s="59">
        <f t="shared" si="94"/>
        <v>88.106373324240167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28.420065787420004</v>
      </c>
      <c r="CL92" s="21">
        <f>EXP(-LN(2)/25)*CL91+(1-EXP(-LN(2)/25))/(LN(2)/25)*Calculateur!CG92*Calculateur!CI92*VLOOKUP('Données projet'!$B$12,Paramètres!$A$1:$I$89,3,0)*0.475*44/12</f>
        <v>10.354107959481878</v>
      </c>
      <c r="CM92" s="21">
        <f>EXP(-LN(2)/2)*CM91+(1-EXP(-LN(2)/2))/(LN(2)/2)*CG92*CJ92*VLOOKUP('Données projet'!$B$12,Paramètres!$A$1:$I$89,3,0)*0.475*44/12</f>
        <v>1.0360417821220849E-3</v>
      </c>
      <c r="CN92" s="22">
        <f t="shared" si="66"/>
        <v>38.775209788684002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-3.4106051316484809E-13</v>
      </c>
      <c r="CU92" s="17">
        <f>CT92*VLOOKUP('Données projet'!$B$13,Paramètres!$A$1:$I$89,3,0)*VLOOKUP('Données projet'!$B$13,Paramètres!$A$1:$I$89,5,0)</f>
        <v>-1.9065282685915009E-13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475.42482703895411</v>
      </c>
      <c r="CZ92" s="59">
        <f t="shared" si="96"/>
        <v>593.51433014569966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194.13908283164218</v>
      </c>
      <c r="DG92" s="21">
        <f>EXP(-LN(2)/25)*DG91+(1-EXP(-LN(2)/25))/(LN(2)/25)*Calculateur!DB92*Calculateur!DD92*VLOOKUP('Données projet'!$B$13,Paramètres!$A$1:$I$89,3,0)*0.475*44/12</f>
        <v>33.283264017383061</v>
      </c>
      <c r="DH92" s="21">
        <f>EXP(-LN(2)/2)*DH91+(1-EXP(-LN(2)/2))/(LN(2)/2)*DB92*DE92*VLOOKUP('Données projet'!$B$13,Paramètres!$A$1:$I$89,3,0)*0.475*44/12</f>
        <v>1.2013542221191168E-2</v>
      </c>
      <c r="DI92" s="22">
        <f t="shared" si="69"/>
        <v>227.43436039124643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7.333333333333333</v>
      </c>
      <c r="DO92" s="12">
        <f>IF('Données projet'!$A$166&gt;35,DO91+DN92-DW91,IF(A92&lt;'Données projet'!$A$166,$DL$205^A92,IF(A92='Données projet'!$A$166,'Données projet'!$B$166,DO91+DN92-DW91)))</f>
        <v>286.66666666666646</v>
      </c>
      <c r="DP92" s="17">
        <f>DO92*VLOOKUP('Données projet'!$B$14,Paramètres!$A$1:$I$89,3,0)*VLOOKUP('Données projet'!$B$14,Paramètres!$A$1:$I$89,5,0)</f>
        <v>259.37599999999981</v>
      </c>
      <c r="DQ92" s="13">
        <f t="shared" si="97"/>
        <v>62.58934777690127</v>
      </c>
      <c r="DR92" s="20">
        <f t="shared" si="70"/>
        <v>560.7563140447694</v>
      </c>
      <c r="DS92" s="59">
        <f t="shared" si="71"/>
        <v>854.08964737810265</v>
      </c>
      <c r="DT92" s="59">
        <f ca="1">AVERAGE(OFFSET($DS$3,0,0,'Données projet'!$E$14+1,1))-AVERAGE(OFFSET($H$3,0,0,'Données projet'!$E$14+1,1))</f>
        <v>401.17301323870578</v>
      </c>
      <c r="DU92" s="59">
        <f t="shared" si="98"/>
        <v>201.57993789149754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7.2757901126965168</v>
      </c>
      <c r="EB92" s="21">
        <f>EXP(-LN(2)/25)*EB91+(1-EXP(-LN(2)/25))/(LN(2)/25)*Calculateur!DW92*Calculateur!DY92*VLOOKUP('Données projet'!$B$14,Paramètres!$A$1:$I$89,3,0)*0.475*44/12</f>
        <v>33.238405751002517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40.514195863699037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1.7053025658242404E-13</v>
      </c>
      <c r="EK92" s="17">
        <f>EJ92*VLOOKUP('Données projet'!$B$15,Paramètres!$A$1:$I$89,3,0)*VLOOKUP('Données projet'!$B$15,Paramètres!$A$1:$I$89,5,0)</f>
        <v>1.4897523215040567E-13</v>
      </c>
      <c r="EL92" s="13">
        <f t="shared" si="99"/>
        <v>2.136562777003313E-12</v>
      </c>
      <c r="EM92" s="20">
        <f t="shared" si="73"/>
        <v>3.9806453659427267E-12</v>
      </c>
      <c r="EN92" s="59">
        <f t="shared" si="74"/>
        <v>293.33333333333729</v>
      </c>
      <c r="EO92" s="59">
        <f ca="1">AVERAGE(OFFSET($EN$3,0,0,'Données projet'!$E$15+1,1))-AVERAGE(OFFSET($H$3,0,0,'Données projet'!$E$15+1,1))</f>
        <v>237.8483058552178</v>
      </c>
      <c r="EP92" s="59">
        <f t="shared" si="100"/>
        <v>313.36201272119723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55.849388251360203</v>
      </c>
      <c r="EW92" s="21">
        <f>EXP(-LN(2)/25)*EW91+(1-EXP(-LN(2)/25))/(LN(2)/25)*Calculateur!ER92*Calculateur!ET92*VLOOKUP('Données projet'!$B$15,Paramètres!$A$1:$I$89,3,0)*0.475*44/12</f>
        <v>3.1323141613020291</v>
      </c>
      <c r="EX92" s="21">
        <f>EXP(-LN(2)/2)*EX91+(1-EXP(-LN(2)/2))/(LN(2)/2)*ER92*EU92*VLOOKUP('Données projet'!$B$15,Paramètres!$A$1:$I$89,3,0)*0.475*44/12</f>
        <v>5.6887029142862713E-2</v>
      </c>
      <c r="EY92" s="22">
        <f t="shared" si="75"/>
        <v>59.038589441805094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-2.8421709430404007E-13</v>
      </c>
      <c r="FF92" s="17">
        <f>FE92*VLOOKUP('Données projet'!$B$16,Paramètres!$A$1:$I$89,3,0)*VLOOKUP('Données projet'!$B$16,Paramètres!$A$1:$I$89,5,0)</f>
        <v>-2.2168933355715128E-13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318.52984981739411</v>
      </c>
      <c r="FK92" s="59">
        <f t="shared" si="102"/>
        <v>311.56398336941714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99.186961899440462</v>
      </c>
      <c r="FR92" s="21">
        <f>EXP(-LN(2)/25)*FR91+(1-EXP(-LN(2)/25))/(LN(2)/25)*Calculateur!FM92*Calculateur!FO92*VLOOKUP('Données projet'!$B$16,Paramètres!$A$1:$I$89,3,0)*0.475*44/12</f>
        <v>3.1270167234243038</v>
      </c>
      <c r="FS92" s="21">
        <f>EXP(-LN(2)/2)*FS91+(1-EXP(-LN(2)/2))/(LN(2)/2)*FM92*FP92*VLOOKUP('Données projet'!$B$16,Paramètres!$A$1:$I$89,3,0)*0.475*44/12</f>
        <v>2.4982450316079481</v>
      </c>
      <c r="FT92" s="22">
        <f t="shared" si="78"/>
        <v>104.81222365447272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-2.8421709430404007E-13</v>
      </c>
      <c r="GA92" s="17">
        <f>FZ92*VLOOKUP('Données projet'!$B$17,Paramètres!$A$1:$I$89,3,0)*VLOOKUP('Données projet'!$B$17,Paramètres!$A$1:$I$89,5,0)</f>
        <v>-2.2612312022829427E-13</v>
      </c>
      <c r="GB92" s="13" t="e">
        <f t="shared" si="103"/>
        <v>#NUM!</v>
      </c>
      <c r="GC92" s="20" t="e">
        <f t="shared" si="79"/>
        <v>#NUM!</v>
      </c>
      <c r="GD92" s="59" t="e">
        <f t="shared" si="80"/>
        <v>#NUM!</v>
      </c>
      <c r="GE92" s="59">
        <f ca="1">AVERAGE(OFFSET($GD$3,0,0,'Données projet'!$E$17+1,1))-AVERAGE(OFFSET($H$3,0,0,'Données projet'!$E$17+1,1))</f>
        <v>325.72928944930294</v>
      </c>
      <c r="GF92" s="59">
        <f t="shared" si="104"/>
        <v>318.38876834819752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124.69877116938959</v>
      </c>
      <c r="GM92" s="21">
        <f>EXP(-LN(2)/25)*GM91+(1-EXP(-LN(2)/25))/(LN(2)/25)*Calculateur!GH92*Calculateur!GJ92*VLOOKUP('Données projet'!$B$17,Paramètres!$A$1:$I$89,3,0)*0.475*44/12</f>
        <v>3.9313145132166922</v>
      </c>
      <c r="GN92" s="21">
        <f>EXP(-LN(2)/2)*GN91+(1-EXP(-LN(2)/2))/(LN(2)/2)*GH92*GK92*VLOOKUP('Données projet'!$B$17,Paramètres!$A$1:$I$89,3,0)*0.475*44/12</f>
        <v>2.5482099322401046</v>
      </c>
      <c r="GO92" s="21">
        <f t="shared" si="81"/>
        <v>131.17829561484638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-2.8421709430404007E-13</v>
      </c>
      <c r="GV92" s="17">
        <f>GU92*VLOOKUP('Données projet'!$B$18,Paramètres!$A$1:$I$89,3,0)*VLOOKUP('Données projet'!$B$18,Paramètres!$A$1:$I$89,5,0)</f>
        <v>-1.9065282685915009E-13</v>
      </c>
      <c r="GW92" s="13" t="e">
        <f t="shared" si="105"/>
        <v>#NUM!</v>
      </c>
      <c r="GX92" s="20" t="e">
        <f t="shared" si="82"/>
        <v>#NUM!</v>
      </c>
      <c r="GY92" s="59" t="e">
        <f t="shared" si="83"/>
        <v>#NUM!</v>
      </c>
      <c r="GZ92" s="59">
        <f ca="1">AVERAGE(OFFSET($GY$3,0,0,'Données projet'!$E$18+1,1))-AVERAGE(OFFSET($H$3,0,0,'Données projet'!$E$18+1,1))</f>
        <v>268.04554291387961</v>
      </c>
      <c r="HA92" s="59">
        <f t="shared" si="106"/>
        <v>263.70463099437148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105.13817961340689</v>
      </c>
      <c r="HH92" s="21">
        <f>EXP(-LN(2)/25)*HH91+(1-EXP(-LN(2)/25))/(LN(2)/25)*Calculateur!HC92*Calculateur!HE92*VLOOKUP('Données projet'!$B$18,Paramètres!$A$1:$I$89,3,0)*0.475*44/12</f>
        <v>3.3146377268297638</v>
      </c>
      <c r="HI92" s="21">
        <f>EXP(-LN(2)/2)*HI91+(1-EXP(-LN(2)/2))/(LN(2)/2)*HC92*HF92*VLOOKUP('Données projet'!$B$18,Paramètres!$A$1:$I$89,3,0)*0.475*44/12</f>
        <v>2.1484907271828333</v>
      </c>
      <c r="HJ92" s="22">
        <f t="shared" si="84"/>
        <v>110.60130806741948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-2.5124791136477146E-14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46.095319339746538</v>
      </c>
      <c r="T93" s="59">
        <f t="shared" si="88"/>
        <v>48.158174304064403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49.54868957888808</v>
      </c>
      <c r="AA93" s="21">
        <f>EXP(-LN(2)/25)*AA92+(1-EXP(-LN(2)/25))/(LN(2)/25)*Calculateur!V93*Calculateur!X93*VLOOKUP('Données projet'!$B$9,Paramètres!$A$1:$I$89,3,0)*0.475*44/12</f>
        <v>20.765577136739864</v>
      </c>
      <c r="AB93" s="21">
        <f>EXP(-LN(2)/2)*AB92+(1-EXP(-LN(2)/2))/(LN(2)/2)*V93*Y93*VLOOKUP('Données projet'!$B$9,Paramètres!$A$1:$I$89,3,0)*0.475*44/12</f>
        <v>0.46149393479786277</v>
      </c>
      <c r="AC93" s="22">
        <f t="shared" si="57"/>
        <v>70.775760650425809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-6.7984728957526396E-14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408.84545509668794</v>
      </c>
      <c r="AO93" s="59">
        <f t="shared" si="90"/>
        <v>409.9253979841132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103.83177484492845</v>
      </c>
      <c r="AV93" s="21">
        <f>EXP(-LN(2)/25)*AV92+(1-EXP(-LN(2)/25))/(LN(2)/25)*Calculateur!AQ93*Calculateur!AS93*VLOOKUP('Données projet'!$B$10,Paramètres!$A$1:$I$89,3,0)*0.475*44/12</f>
        <v>33.189423927312717</v>
      </c>
      <c r="AW93" s="21">
        <f>EXP(-LN(2)/2)*AW92+(1-EXP(-LN(2)/2))/(LN(2)/2)*AQ93*AT93*VLOOKUP('Données projet'!$B$10,Paramètres!$A$1:$I$89,3,0)*0.475*44/12</f>
        <v>2.864895500760059E-3</v>
      </c>
      <c r="AX93" s="21">
        <f t="shared" si="60"/>
        <v>137.02406366774193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-1.1368683772161603E-13</v>
      </c>
      <c r="BE93" s="13">
        <f>BD93*VLOOKUP('Données projet'!$B$11,Paramètres!$A$1:$I$89,3,0)*VLOOKUP('Données projet'!$B$11,Paramètres!$A$1:$I$89,5,0)</f>
        <v>-6.7984728957526396E-14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279.69031306919914</v>
      </c>
      <c r="BJ93" s="59">
        <f t="shared" si="92"/>
        <v>297.01680128882509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94.202120393903172</v>
      </c>
      <c r="BQ93" s="21">
        <f>EXP(-LN(2)/25)*BQ92+(1-EXP(-LN(2)/25))/(LN(2)/25)*Calculateur!BL93*Calculateur!BN93*VLOOKUP('Données projet'!$B$11,Paramètres!$A$1:$I$89,3,0)*0.475*44/12</f>
        <v>37.646781833570756</v>
      </c>
      <c r="BR93" s="21">
        <f>EXP(-LN(2)/2)*BR92+(1-EXP(-LN(2)/2))/(LN(2)/2)*BL93*BO93*VLOOKUP('Données projet'!$B$11,Paramètres!$A$1:$I$89,3,0)*0.475*44/12</f>
        <v>6.6841860999865407E-3</v>
      </c>
      <c r="BS93" s="22">
        <f t="shared" si="63"/>
        <v>131.85558641357392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81.299024916151723</v>
      </c>
      <c r="CE93" s="59">
        <f t="shared" si="94"/>
        <v>88.106373324240167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27.862765631857187</v>
      </c>
      <c r="CL93" s="21">
        <f>EXP(-LN(2)/25)*CL92+(1-EXP(-LN(2)/25))/(LN(2)/25)*Calculateur!CG93*Calculateur!CI93*VLOOKUP('Données projet'!$B$12,Paramètres!$A$1:$I$89,3,0)*0.475*44/12</f>
        <v>10.070974332830973</v>
      </c>
      <c r="CM93" s="21">
        <f>EXP(-LN(2)/2)*CM92+(1-EXP(-LN(2)/2))/(LN(2)/2)*CG93*CJ93*VLOOKUP('Données projet'!$B$12,Paramètres!$A$1:$I$89,3,0)*0.475*44/12</f>
        <v>7.3259216973112185E-4</v>
      </c>
      <c r="CN93" s="22">
        <f t="shared" si="66"/>
        <v>37.934472556857891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-3.4106051316484809E-13</v>
      </c>
      <c r="CU93" s="17">
        <f>CT93*VLOOKUP('Données projet'!$B$13,Paramètres!$A$1:$I$89,3,0)*VLOOKUP('Données projet'!$B$13,Paramètres!$A$1:$I$89,5,0)</f>
        <v>-1.9065282685915009E-13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475.42482703895411</v>
      </c>
      <c r="CZ93" s="59">
        <f t="shared" si="96"/>
        <v>593.51433014569966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190.33213383046188</v>
      </c>
      <c r="DG93" s="21">
        <f>EXP(-LN(2)/25)*DG92+(1-EXP(-LN(2)/25))/(LN(2)/25)*Calculateur!DB93*Calculateur!DD93*VLOOKUP('Données projet'!$B$13,Paramètres!$A$1:$I$89,3,0)*0.475*44/12</f>
        <v>32.373131412536935</v>
      </c>
      <c r="DH93" s="21">
        <f>EXP(-LN(2)/2)*DH92+(1-EXP(-LN(2)/2))/(LN(2)/2)*DB93*DE93*VLOOKUP('Données projet'!$B$13,Paramètres!$A$1:$I$89,3,0)*0.475*44/12</f>
        <v>8.4948571706751734E-3</v>
      </c>
      <c r="DI93" s="22">
        <f t="shared" si="69"/>
        <v>222.71376010016951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7.333333333333333</v>
      </c>
      <c r="DO93" s="12">
        <f>IF('Données projet'!$A$166&gt;35,DO92+DN93-DW92,IF(A93&lt;'Données projet'!$A$166,$DL$205^A93,IF(A93='Données projet'!$A$166,'Données projet'!$B$166,DO92+DN93-DW92)))</f>
        <v>293.99999999999977</v>
      </c>
      <c r="DP93" s="17">
        <f>DO93*VLOOKUP('Données projet'!$B$14,Paramètres!$A$1:$I$89,3,0)*VLOOKUP('Données projet'!$B$14,Paramètres!$A$1:$I$89,5,0)</f>
        <v>266.0111999999998</v>
      </c>
      <c r="DQ93" s="13">
        <f t="shared" si="97"/>
        <v>64.00201337612566</v>
      </c>
      <c r="DR93" s="20">
        <f t="shared" si="70"/>
        <v>574.77301329675186</v>
      </c>
      <c r="DS93" s="59">
        <f t="shared" si="71"/>
        <v>868.10634663008523</v>
      </c>
      <c r="DT93" s="59">
        <f ca="1">AVERAGE(OFFSET($DS$3,0,0,'Données projet'!$E$14+1,1))-AVERAGE(OFFSET($H$3,0,0,'Données projet'!$E$14+1,1))</f>
        <v>401.17301323870578</v>
      </c>
      <c r="DU93" s="59">
        <f t="shared" si="98"/>
        <v>201.57993789149754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7.1331163063803107</v>
      </c>
      <c r="EB93" s="21">
        <f>EXP(-LN(2)/25)*EB92+(1-EXP(-LN(2)/25))/(LN(2)/25)*Calculateur!DW93*Calculateur!DY93*VLOOKUP('Données projet'!$B$14,Paramètres!$A$1:$I$89,3,0)*0.475*44/12</f>
        <v>32.329499797809561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39.46261610418987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1.7053025658242404E-13</v>
      </c>
      <c r="EK93" s="17">
        <f>EJ93*VLOOKUP('Données projet'!$B$15,Paramètres!$A$1:$I$89,3,0)*VLOOKUP('Données projet'!$B$15,Paramètres!$A$1:$I$89,5,0)</f>
        <v>1.4897523215040567E-13</v>
      </c>
      <c r="EL93" s="13">
        <f t="shared" si="99"/>
        <v>2.136562777003313E-12</v>
      </c>
      <c r="EM93" s="20">
        <f t="shared" si="73"/>
        <v>3.9806453659427267E-12</v>
      </c>
      <c r="EN93" s="59">
        <f t="shared" si="74"/>
        <v>293.33333333333729</v>
      </c>
      <c r="EO93" s="59">
        <f ca="1">AVERAGE(OFFSET($EN$3,0,0,'Données projet'!$E$15+1,1))-AVERAGE(OFFSET($H$3,0,0,'Données projet'!$E$15+1,1))</f>
        <v>237.8483058552178</v>
      </c>
      <c r="EP93" s="59">
        <f t="shared" si="100"/>
        <v>313.36201272119723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54.754215812514246</v>
      </c>
      <c r="EW93" s="21">
        <f>EXP(-LN(2)/25)*EW92+(1-EXP(-LN(2)/25))/(LN(2)/25)*Calculateur!ER93*Calculateur!ET93*VLOOKUP('Données projet'!$B$15,Paramètres!$A$1:$I$89,3,0)*0.475*44/12</f>
        <v>3.0466608658399825</v>
      </c>
      <c r="EX93" s="21">
        <f>EXP(-LN(2)/2)*EX92+(1-EXP(-LN(2)/2))/(LN(2)/2)*ER93*EU93*VLOOKUP('Données projet'!$B$15,Paramètres!$A$1:$I$89,3,0)*0.475*44/12</f>
        <v>4.0225204068474976E-2</v>
      </c>
      <c r="EY93" s="22">
        <f t="shared" si="75"/>
        <v>57.841101882422706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-2.8421709430404007E-13</v>
      </c>
      <c r="FF93" s="17">
        <f>FE93*VLOOKUP('Données projet'!$B$16,Paramètres!$A$1:$I$89,3,0)*VLOOKUP('Données projet'!$B$16,Paramètres!$A$1:$I$89,5,0)</f>
        <v>-2.2168933355715128E-13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318.52984981739411</v>
      </c>
      <c r="FK93" s="59">
        <f t="shared" si="102"/>
        <v>311.56398336941714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97.241966074665498</v>
      </c>
      <c r="FR93" s="21">
        <f>EXP(-LN(2)/25)*FR92+(1-EXP(-LN(2)/25))/(LN(2)/25)*Calculateur!FM93*Calculateur!FO93*VLOOKUP('Données projet'!$B$16,Paramètres!$A$1:$I$89,3,0)*0.475*44/12</f>
        <v>3.0415082866796035</v>
      </c>
      <c r="FS93" s="21">
        <f>EXP(-LN(2)/2)*FS92+(1-EXP(-LN(2)/2))/(LN(2)/2)*FM93*FP93*VLOOKUP('Données projet'!$B$16,Paramètres!$A$1:$I$89,3,0)*0.475*44/12</f>
        <v>1.7665260029155809</v>
      </c>
      <c r="FT93" s="22">
        <f t="shared" si="78"/>
        <v>102.05000036426068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-2.8421709430404007E-13</v>
      </c>
      <c r="GA93" s="17">
        <f>FZ93*VLOOKUP('Données projet'!$B$17,Paramètres!$A$1:$I$89,3,0)*VLOOKUP('Données projet'!$B$17,Paramètres!$A$1:$I$89,5,0)</f>
        <v>-2.2612312022829427E-13</v>
      </c>
      <c r="GB93" s="13" t="e">
        <f t="shared" si="103"/>
        <v>#NUM!</v>
      </c>
      <c r="GC93" s="20" t="e">
        <f t="shared" si="79"/>
        <v>#NUM!</v>
      </c>
      <c r="GD93" s="59" t="e">
        <f t="shared" si="80"/>
        <v>#NUM!</v>
      </c>
      <c r="GE93" s="59">
        <f ca="1">AVERAGE(OFFSET($GD$3,0,0,'Données projet'!$E$17+1,1))-AVERAGE(OFFSET($H$3,0,0,'Données projet'!$E$17+1,1))</f>
        <v>325.72928944930294</v>
      </c>
      <c r="GF93" s="59">
        <f t="shared" si="104"/>
        <v>318.38876834819752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122.2535043254981</v>
      </c>
      <c r="GM93" s="21">
        <f>EXP(-LN(2)/25)*GM92+(1-EXP(-LN(2)/25))/(LN(2)/25)*Calculateur!GH93*Calculateur!GJ93*VLOOKUP('Données projet'!$B$17,Paramètres!$A$1:$I$89,3,0)*0.475*44/12</f>
        <v>3.8238125111139367</v>
      </c>
      <c r="GN93" s="21">
        <f>EXP(-LN(2)/2)*GN92+(1-EXP(-LN(2)/2))/(LN(2)/2)*GH93*GK93*VLOOKUP('Données projet'!$B$17,Paramètres!$A$1:$I$89,3,0)*0.475*44/12</f>
        <v>1.8018565229738908</v>
      </c>
      <c r="GO93" s="21">
        <f t="shared" si="81"/>
        <v>127.87917335958593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-2.8421709430404007E-13</v>
      </c>
      <c r="GV93" s="17">
        <f>GU93*VLOOKUP('Données projet'!$B$18,Paramètres!$A$1:$I$89,3,0)*VLOOKUP('Données projet'!$B$18,Paramètres!$A$1:$I$89,5,0)</f>
        <v>-1.9065282685915009E-13</v>
      </c>
      <c r="GW93" s="13" t="e">
        <f t="shared" si="105"/>
        <v>#NUM!</v>
      </c>
      <c r="GX93" s="20" t="e">
        <f t="shared" si="82"/>
        <v>#NUM!</v>
      </c>
      <c r="GY93" s="59" t="e">
        <f t="shared" si="83"/>
        <v>#NUM!</v>
      </c>
      <c r="GZ93" s="59">
        <f ca="1">AVERAGE(OFFSET($GY$3,0,0,'Données projet'!$E$18+1,1))-AVERAGE(OFFSET($H$3,0,0,'Données projet'!$E$18+1,1))</f>
        <v>268.04554291387961</v>
      </c>
      <c r="HA93" s="59">
        <f t="shared" si="106"/>
        <v>263.70463099437148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103.07648403914544</v>
      </c>
      <c r="HH93" s="21">
        <f>EXP(-LN(2)/25)*HH92+(1-EXP(-LN(2)/25))/(LN(2)/25)*Calculateur!HC93*Calculateur!HE93*VLOOKUP('Données projet'!$B$18,Paramètres!$A$1:$I$89,3,0)*0.475*44/12</f>
        <v>3.2239987838803814</v>
      </c>
      <c r="HI93" s="21">
        <f>EXP(-LN(2)/2)*HI92+(1-EXP(-LN(2)/2))/(LN(2)/2)*HC93*HF93*VLOOKUP('Données projet'!$B$18,Paramètres!$A$1:$I$89,3,0)*0.475*44/12</f>
        <v>1.5192123625073981</v>
      </c>
      <c r="HJ93" s="22">
        <f t="shared" si="84"/>
        <v>107.81969518553322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-2.5124791136477146E-14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46.095319339746538</v>
      </c>
      <c r="T94" s="59">
        <f t="shared" si="88"/>
        <v>48.158174304064403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48.577069997962582</v>
      </c>
      <c r="AA94" s="21">
        <f>EXP(-LN(2)/25)*AA93+(1-EXP(-LN(2)/25))/(LN(2)/25)*Calculateur!V94*Calculateur!X94*VLOOKUP('Données projet'!$B$9,Paramètres!$A$1:$I$89,3,0)*0.475*44/12</f>
        <v>20.197741337921471</v>
      </c>
      <c r="AB94" s="21">
        <f>EXP(-LN(2)/2)*AB93+(1-EXP(-LN(2)/2))/(LN(2)/2)*V94*Y94*VLOOKUP('Données projet'!$B$9,Paramètres!$A$1:$I$89,3,0)*0.475*44/12</f>
        <v>0.32632549077203121</v>
      </c>
      <c r="AC94" s="22">
        <f t="shared" si="57"/>
        <v>69.101136826656088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-6.7984728957526396E-14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408.84545509668794</v>
      </c>
      <c r="AO94" s="59">
        <f t="shared" si="90"/>
        <v>409.9253979841132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101.79569707134863</v>
      </c>
      <c r="AV94" s="21">
        <f>EXP(-LN(2)/25)*AV93+(1-EXP(-LN(2)/25))/(LN(2)/25)*Calculateur!AQ94*Calculateur!AS94*VLOOKUP('Données projet'!$B$10,Paramètres!$A$1:$I$89,3,0)*0.475*44/12</f>
        <v>32.281857384664399</v>
      </c>
      <c r="AW94" s="21">
        <f>EXP(-LN(2)/2)*AW93+(1-EXP(-LN(2)/2))/(LN(2)/2)*AQ94*AT94*VLOOKUP('Données projet'!$B$10,Paramètres!$A$1:$I$89,3,0)*0.475*44/12</f>
        <v>2.0257870359782675E-3</v>
      </c>
      <c r="AX94" s="21">
        <f t="shared" si="60"/>
        <v>134.07958024304901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-1.1368683772161603E-13</v>
      </c>
      <c r="BE94" s="13">
        <f>BD94*VLOOKUP('Données projet'!$B$11,Paramètres!$A$1:$I$89,3,0)*VLOOKUP('Données projet'!$B$11,Paramètres!$A$1:$I$89,5,0)</f>
        <v>-6.7984728957526396E-14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279.69031306919914</v>
      </c>
      <c r="BJ94" s="59">
        <f t="shared" si="92"/>
        <v>297.01680128882509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92.3548742705987</v>
      </c>
      <c r="BQ94" s="21">
        <f>EXP(-LN(2)/25)*BQ93+(1-EXP(-LN(2)/25))/(LN(2)/25)*Calculateur!BL94*Calculateur!BN94*VLOOKUP('Données projet'!$B$11,Paramètres!$A$1:$I$89,3,0)*0.475*44/12</f>
        <v>36.617328604573551</v>
      </c>
      <c r="BR94" s="21">
        <f>EXP(-LN(2)/2)*BR93+(1-EXP(-LN(2)/2))/(LN(2)/2)*BL94*BO94*VLOOKUP('Données projet'!$B$11,Paramètres!$A$1:$I$89,3,0)*0.475*44/12</f>
        <v>4.7264333180133452E-3</v>
      </c>
      <c r="BS94" s="22">
        <f t="shared" si="63"/>
        <v>128.97692930849027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81.299024916151723</v>
      </c>
      <c r="CE94" s="59">
        <f t="shared" si="94"/>
        <v>88.106373324240167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27.316393792425423</v>
      </c>
      <c r="CL94" s="21">
        <f>EXP(-LN(2)/25)*CL93+(1-EXP(-LN(2)/25))/(LN(2)/25)*Calculateur!CG94*Calculateur!CI94*VLOOKUP('Données projet'!$B$12,Paramètres!$A$1:$I$89,3,0)*0.475*44/12</f>
        <v>9.7955830100901871</v>
      </c>
      <c r="CM94" s="21">
        <f>EXP(-LN(2)/2)*CM93+(1-EXP(-LN(2)/2))/(LN(2)/2)*CG94*CJ94*VLOOKUP('Données projet'!$B$12,Paramètres!$A$1:$I$89,3,0)*0.475*44/12</f>
        <v>5.1802089106104245E-4</v>
      </c>
      <c r="CN94" s="22">
        <f t="shared" si="66"/>
        <v>37.112494823406678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-3.4106051316484809E-13</v>
      </c>
      <c r="CU94" s="17">
        <f>CT94*VLOOKUP('Données projet'!$B$13,Paramètres!$A$1:$I$89,3,0)*VLOOKUP('Données projet'!$B$13,Paramètres!$A$1:$I$89,5,0)</f>
        <v>-1.9065282685915009E-13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475.42482703895411</v>
      </c>
      <c r="CZ94" s="59">
        <f t="shared" si="96"/>
        <v>593.51433014569966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186.59983677718512</v>
      </c>
      <c r="DG94" s="21">
        <f>EXP(-LN(2)/25)*DG93+(1-EXP(-LN(2)/25))/(LN(2)/25)*Calculateur!DB94*Calculateur!DD94*VLOOKUP('Données projet'!$B$13,Paramètres!$A$1:$I$89,3,0)*0.475*44/12</f>
        <v>31.48788643163212</v>
      </c>
      <c r="DH94" s="21">
        <f>EXP(-LN(2)/2)*DH93+(1-EXP(-LN(2)/2))/(LN(2)/2)*DB94*DE94*VLOOKUP('Données projet'!$B$13,Paramètres!$A$1:$I$89,3,0)*0.475*44/12</f>
        <v>6.0067711105955841E-3</v>
      </c>
      <c r="DI94" s="22">
        <f t="shared" si="69"/>
        <v>218.09372997992784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7.333333333333333</v>
      </c>
      <c r="DO94" s="12">
        <f>IF('Données projet'!$A$166&gt;35,DO93+DN94-DW93,IF(A94&lt;'Données projet'!$A$166,$DL$205^A94,IF(A94='Données projet'!$A$166,'Données projet'!$B$166,DO93+DN94-DW93)))</f>
        <v>301.33333333333309</v>
      </c>
      <c r="DP94" s="17">
        <f>DO94*VLOOKUP('Données projet'!$B$14,Paramètres!$A$1:$I$89,3,0)*VLOOKUP('Données projet'!$B$14,Paramètres!$A$1:$I$89,5,0)</f>
        <v>272.64639999999974</v>
      </c>
      <c r="DQ94" s="13">
        <f t="shared" si="97"/>
        <v>65.41058293969752</v>
      </c>
      <c r="DR94" s="20">
        <f t="shared" si="70"/>
        <v>588.7825786199727</v>
      </c>
      <c r="DS94" s="59">
        <f t="shared" si="71"/>
        <v>882.11591195330607</v>
      </c>
      <c r="DT94" s="59">
        <f ca="1">AVERAGE(OFFSET($DS$3,0,0,'Données projet'!$E$14+1,1))-AVERAGE(OFFSET($H$3,0,0,'Données projet'!$E$14+1,1))</f>
        <v>401.17301323870578</v>
      </c>
      <c r="DU94" s="59">
        <f t="shared" si="98"/>
        <v>201.57993789149754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6.9932402463835368</v>
      </c>
      <c r="EB94" s="21">
        <f>EXP(-LN(2)/25)*EB93+(1-EXP(-LN(2)/25))/(LN(2)/25)*Calculateur!DW94*Calculateur!DY94*VLOOKUP('Données projet'!$B$14,Paramètres!$A$1:$I$89,3,0)*0.475*44/12</f>
        <v>31.445447925703956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38.438688172087495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1.7053025658242404E-13</v>
      </c>
      <c r="EK94" s="17">
        <f>EJ94*VLOOKUP('Données projet'!$B$15,Paramètres!$A$1:$I$89,3,0)*VLOOKUP('Données projet'!$B$15,Paramètres!$A$1:$I$89,5,0)</f>
        <v>1.4897523215040567E-13</v>
      </c>
      <c r="EL94" s="13">
        <f t="shared" si="99"/>
        <v>2.136562777003313E-12</v>
      </c>
      <c r="EM94" s="20">
        <f t="shared" si="73"/>
        <v>3.9806453659427267E-12</v>
      </c>
      <c r="EN94" s="59">
        <f t="shared" si="74"/>
        <v>293.33333333333729</v>
      </c>
      <c r="EO94" s="59">
        <f ca="1">AVERAGE(OFFSET($EN$3,0,0,'Données projet'!$E$15+1,1))-AVERAGE(OFFSET($H$3,0,0,'Données projet'!$E$15+1,1))</f>
        <v>237.8483058552178</v>
      </c>
      <c r="EP94" s="59">
        <f t="shared" si="100"/>
        <v>313.36201272119723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53.680519037204832</v>
      </c>
      <c r="EW94" s="21">
        <f>EXP(-LN(2)/25)*EW93+(1-EXP(-LN(2)/25))/(LN(2)/25)*Calculateur!ER94*Calculateur!ET94*VLOOKUP('Données projet'!$B$15,Paramètres!$A$1:$I$89,3,0)*0.475*44/12</f>
        <v>2.9633497642466566</v>
      </c>
      <c r="EX94" s="21">
        <f>EXP(-LN(2)/2)*EX93+(1-EXP(-LN(2)/2))/(LN(2)/2)*ER94*EU94*VLOOKUP('Données projet'!$B$15,Paramètres!$A$1:$I$89,3,0)*0.475*44/12</f>
        <v>2.8443514571431357E-2</v>
      </c>
      <c r="EY94" s="22">
        <f t="shared" si="75"/>
        <v>56.672312316022918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-2.8421709430404007E-13</v>
      </c>
      <c r="FF94" s="17">
        <f>FE94*VLOOKUP('Données projet'!$B$16,Paramètres!$A$1:$I$89,3,0)*VLOOKUP('Données projet'!$B$16,Paramètres!$A$1:$I$89,5,0)</f>
        <v>-2.2168933355715128E-13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318.52984981739411</v>
      </c>
      <c r="FK94" s="59">
        <f t="shared" si="102"/>
        <v>311.56398336941714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95.335110431684072</v>
      </c>
      <c r="FR94" s="21">
        <f>EXP(-LN(2)/25)*FR93+(1-EXP(-LN(2)/25))/(LN(2)/25)*Calculateur!FM94*Calculateur!FO94*VLOOKUP('Données projet'!$B$16,Paramètres!$A$1:$I$89,3,0)*0.475*44/12</f>
        <v>2.9583380826343806</v>
      </c>
      <c r="FS94" s="21">
        <f>EXP(-LN(2)/2)*FS93+(1-EXP(-LN(2)/2))/(LN(2)/2)*FM94*FP94*VLOOKUP('Données projet'!$B$16,Paramètres!$A$1:$I$89,3,0)*0.475*44/12</f>
        <v>1.2491225158039743</v>
      </c>
      <c r="FT94" s="22">
        <f t="shared" si="78"/>
        <v>99.542571030122431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-2.8421709430404007E-13</v>
      </c>
      <c r="GA94" s="17">
        <f>FZ94*VLOOKUP('Données projet'!$B$17,Paramètres!$A$1:$I$89,3,0)*VLOOKUP('Données projet'!$B$17,Paramètres!$A$1:$I$89,5,0)</f>
        <v>-2.2612312022829427E-13</v>
      </c>
      <c r="GB94" s="13" t="e">
        <f t="shared" si="103"/>
        <v>#NUM!</v>
      </c>
      <c r="GC94" s="20" t="e">
        <f t="shared" si="79"/>
        <v>#NUM!</v>
      </c>
      <c r="GD94" s="59" t="e">
        <f t="shared" si="80"/>
        <v>#NUM!</v>
      </c>
      <c r="GE94" s="59">
        <f ca="1">AVERAGE(OFFSET($GD$3,0,0,'Données projet'!$E$17+1,1))-AVERAGE(OFFSET($H$3,0,0,'Données projet'!$E$17+1,1))</f>
        <v>325.72928944930294</v>
      </c>
      <c r="GF94" s="59">
        <f t="shared" si="104"/>
        <v>318.38876834819752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119.85618767294982</v>
      </c>
      <c r="GM94" s="21">
        <f>EXP(-LN(2)/25)*GM93+(1-EXP(-LN(2)/25))/(LN(2)/25)*Calculateur!GH94*Calculateur!GJ94*VLOOKUP('Données projet'!$B$17,Paramètres!$A$1:$I$89,3,0)*0.475*44/12</f>
        <v>3.7192501569119658</v>
      </c>
      <c r="GN94" s="21">
        <f>EXP(-LN(2)/2)*GN93+(1-EXP(-LN(2)/2))/(LN(2)/2)*GH94*GK94*VLOOKUP('Données projet'!$B$17,Paramètres!$A$1:$I$89,3,0)*0.475*44/12</f>
        <v>1.2741049661200523</v>
      </c>
      <c r="GO94" s="21">
        <f t="shared" si="81"/>
        <v>124.84954279598183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-2.8421709430404007E-13</v>
      </c>
      <c r="GV94" s="17">
        <f>GU94*VLOOKUP('Données projet'!$B$18,Paramètres!$A$1:$I$89,3,0)*VLOOKUP('Données projet'!$B$18,Paramètres!$A$1:$I$89,5,0)</f>
        <v>-1.9065282685915009E-13</v>
      </c>
      <c r="GW94" s="13" t="e">
        <f t="shared" si="105"/>
        <v>#NUM!</v>
      </c>
      <c r="GX94" s="20" t="e">
        <f t="shared" si="82"/>
        <v>#NUM!</v>
      </c>
      <c r="GY94" s="59" t="e">
        <f t="shared" si="83"/>
        <v>#NUM!</v>
      </c>
      <c r="GZ94" s="59">
        <f ca="1">AVERAGE(OFFSET($GY$3,0,0,'Données projet'!$E$18+1,1))-AVERAGE(OFFSET($H$3,0,0,'Données projet'!$E$18+1,1))</f>
        <v>268.04554291387961</v>
      </c>
      <c r="HA94" s="59">
        <f t="shared" si="106"/>
        <v>263.70463099437148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101.05521705758512</v>
      </c>
      <c r="HH94" s="21">
        <f>EXP(-LN(2)/25)*HH93+(1-EXP(-LN(2)/25))/(LN(2)/25)*Calculateur!HC94*Calculateur!HE94*VLOOKUP('Données projet'!$B$18,Paramètres!$A$1:$I$89,3,0)*0.475*44/12</f>
        <v>3.1358383675924451</v>
      </c>
      <c r="HI94" s="21">
        <f>EXP(-LN(2)/2)*HI93+(1-EXP(-LN(2)/2))/(LN(2)/2)*HC94*HF94*VLOOKUP('Données projet'!$B$18,Paramètres!$A$1:$I$89,3,0)*0.475*44/12</f>
        <v>1.0742453635914166</v>
      </c>
      <c r="HJ94" s="22">
        <f t="shared" si="84"/>
        <v>105.26530078876898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-2.5124791136477146E-14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46.095319339746538</v>
      </c>
      <c r="T95" s="59">
        <f t="shared" si="88"/>
        <v>48.158174304064403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47.624503284389604</v>
      </c>
      <c r="AA95" s="21">
        <f>EXP(-LN(2)/25)*AA94+(1-EXP(-LN(2)/25))/(LN(2)/25)*Calculateur!V95*Calculateur!X95*VLOOKUP('Données projet'!$B$9,Paramètres!$A$1:$I$89,3,0)*0.475*44/12</f>
        <v>19.645433038882953</v>
      </c>
      <c r="AB95" s="21">
        <f>EXP(-LN(2)/2)*AB94+(1-EXP(-LN(2)/2))/(LN(2)/2)*V95*Y95*VLOOKUP('Données projet'!$B$9,Paramètres!$A$1:$I$89,3,0)*0.475*44/12</f>
        <v>0.23074696739893141</v>
      </c>
      <c r="AC95" s="22">
        <f t="shared" si="57"/>
        <v>67.500683290671489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-6.7984728957526396E-14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408.84545509668794</v>
      </c>
      <c r="AO95" s="59">
        <f t="shared" si="90"/>
        <v>409.9253979841132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99.799545541023889</v>
      </c>
      <c r="AV95" s="21">
        <f>EXP(-LN(2)/25)*AV94+(1-EXP(-LN(2)/25))/(LN(2)/25)*Calculateur!AQ95*Calculateur!AS95*VLOOKUP('Données projet'!$B$10,Paramètres!$A$1:$I$89,3,0)*0.475*44/12</f>
        <v>31.399108296851651</v>
      </c>
      <c r="AW95" s="21">
        <f>EXP(-LN(2)/2)*AW94+(1-EXP(-LN(2)/2))/(LN(2)/2)*AQ95*AT95*VLOOKUP('Données projet'!$B$10,Paramètres!$A$1:$I$89,3,0)*0.475*44/12</f>
        <v>1.4324477503800295E-3</v>
      </c>
      <c r="AX95" s="21">
        <f t="shared" si="60"/>
        <v>131.20008628562593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-1.1368683772161603E-13</v>
      </c>
      <c r="BE95" s="13">
        <f>BD95*VLOOKUP('Données projet'!$B$11,Paramètres!$A$1:$I$89,3,0)*VLOOKUP('Données projet'!$B$11,Paramètres!$A$1:$I$89,5,0)</f>
        <v>-6.7984728957526396E-14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279.69031306919914</v>
      </c>
      <c r="BJ95" s="59">
        <f t="shared" si="92"/>
        <v>297.01680128882509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90.543851517063345</v>
      </c>
      <c r="BQ95" s="21">
        <f>EXP(-LN(2)/25)*BQ94+(1-EXP(-LN(2)/25))/(LN(2)/25)*Calculateur!BL95*Calculateur!BN95*VLOOKUP('Données projet'!$B$11,Paramètres!$A$1:$I$89,3,0)*0.475*44/12</f>
        <v>35.616025828259865</v>
      </c>
      <c r="BR95" s="21">
        <f>EXP(-LN(2)/2)*BR94+(1-EXP(-LN(2)/2))/(LN(2)/2)*BL95*BO95*VLOOKUP('Données projet'!$B$11,Paramètres!$A$1:$I$89,3,0)*0.475*44/12</f>
        <v>3.3420930499932703E-3</v>
      </c>
      <c r="BS95" s="22">
        <f t="shared" si="63"/>
        <v>126.1632194383732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81.299024916151723</v>
      </c>
      <c r="CE95" s="59">
        <f t="shared" si="94"/>
        <v>88.106373324240167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26.780735971511003</v>
      </c>
      <c r="CL95" s="21">
        <f>EXP(-LN(2)/25)*CL94+(1-EXP(-LN(2)/25))/(LN(2)/25)*Calculateur!CG95*Calculateur!CI95*VLOOKUP('Données projet'!$B$12,Paramètres!$A$1:$I$89,3,0)*0.475*44/12</f>
        <v>9.5277222775519483</v>
      </c>
      <c r="CM95" s="21">
        <f>EXP(-LN(2)/2)*CM94+(1-EXP(-LN(2)/2))/(LN(2)/2)*CG95*CJ95*VLOOKUP('Données projet'!$B$12,Paramètres!$A$1:$I$89,3,0)*0.475*44/12</f>
        <v>3.6629608486556093E-4</v>
      </c>
      <c r="CN95" s="22">
        <f t="shared" si="66"/>
        <v>36.308824545147814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-3.4106051316484809E-13</v>
      </c>
      <c r="CU95" s="17">
        <f>CT95*VLOOKUP('Données projet'!$B$13,Paramètres!$A$1:$I$89,3,0)*VLOOKUP('Données projet'!$B$13,Paramètres!$A$1:$I$89,5,0)</f>
        <v>-1.9065282685915009E-13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475.42482703895411</v>
      </c>
      <c r="CZ95" s="59">
        <f t="shared" si="96"/>
        <v>593.51433014569966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182.9407277926467</v>
      </c>
      <c r="DG95" s="21">
        <f>EXP(-LN(2)/25)*DG94+(1-EXP(-LN(2)/25))/(LN(2)/25)*Calculateur!DB95*Calculateur!DD95*VLOOKUP('Données projet'!$B$13,Paramètres!$A$1:$I$89,3,0)*0.475*44/12</f>
        <v>30.626848521283158</v>
      </c>
      <c r="DH95" s="21">
        <f>EXP(-LN(2)/2)*DH94+(1-EXP(-LN(2)/2))/(LN(2)/2)*DB95*DE95*VLOOKUP('Données projet'!$B$13,Paramètres!$A$1:$I$89,3,0)*0.475*44/12</f>
        <v>4.2474285853375867E-3</v>
      </c>
      <c r="DI95" s="22">
        <f t="shared" si="69"/>
        <v>213.57182374251519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7.333333333333333</v>
      </c>
      <c r="DO95" s="12">
        <f>IF('Données projet'!$A$166&gt;35,DO94+DN95-DW94,IF(A95&lt;'Données projet'!$A$166,$DL$205^A95,IF(A95='Données projet'!$A$166,'Données projet'!$B$166,DO94+DN95-DW94)))</f>
        <v>308.6666666666664</v>
      </c>
      <c r="DP95" s="17">
        <f>DO95*VLOOKUP('Données projet'!$B$14,Paramètres!$A$1:$I$89,3,0)*VLOOKUP('Données projet'!$B$14,Paramètres!$A$1:$I$89,5,0)</f>
        <v>279.28159999999974</v>
      </c>
      <c r="DQ95" s="13">
        <f t="shared" si="97"/>
        <v>66.815167617634344</v>
      </c>
      <c r="DR95" s="20">
        <f t="shared" si="70"/>
        <v>602.78520360071263</v>
      </c>
      <c r="DS95" s="59">
        <f t="shared" si="71"/>
        <v>896.11853693404601</v>
      </c>
      <c r="DT95" s="59">
        <f ca="1">AVERAGE(OFFSET($DS$3,0,0,'Données projet'!$E$14+1,1))-AVERAGE(OFFSET($H$3,0,0,'Données projet'!$E$14+1,1))</f>
        <v>401.17301323870578</v>
      </c>
      <c r="DU95" s="59">
        <f t="shared" si="98"/>
        <v>201.57993789149754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6.8561070706073268</v>
      </c>
      <c r="EB95" s="21">
        <f>EXP(-LN(2)/25)*EB94+(1-EXP(-LN(2)/25))/(LN(2)/25)*Calculateur!DW95*Calculateur!DY95*VLOOKUP('Données projet'!$B$14,Paramètres!$A$1:$I$89,3,0)*0.475*44/12</f>
        <v>30.585570498531343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37.441677569138669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1.7053025658242404E-13</v>
      </c>
      <c r="EK95" s="17">
        <f>EJ95*VLOOKUP('Données projet'!$B$15,Paramètres!$A$1:$I$89,3,0)*VLOOKUP('Données projet'!$B$15,Paramètres!$A$1:$I$89,5,0)</f>
        <v>1.4897523215040567E-13</v>
      </c>
      <c r="EL95" s="13">
        <f t="shared" si="99"/>
        <v>2.136562777003313E-12</v>
      </c>
      <c r="EM95" s="20">
        <f t="shared" si="73"/>
        <v>3.9806453659427267E-12</v>
      </c>
      <c r="EN95" s="59">
        <f t="shared" si="74"/>
        <v>293.33333333333729</v>
      </c>
      <c r="EO95" s="59">
        <f ca="1">AVERAGE(OFFSET($EN$3,0,0,'Données projet'!$E$15+1,1))-AVERAGE(OFFSET($H$3,0,0,'Données projet'!$E$15+1,1))</f>
        <v>237.8483058552178</v>
      </c>
      <c r="EP95" s="59">
        <f t="shared" si="100"/>
        <v>313.36201272119723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52.627876800768867</v>
      </c>
      <c r="EW95" s="21">
        <f>EXP(-LN(2)/25)*EW94+(1-EXP(-LN(2)/25))/(LN(2)/25)*Calculateur!ER95*Calculateur!ET95*VLOOKUP('Données projet'!$B$15,Paramètres!$A$1:$I$89,3,0)*0.475*44/12</f>
        <v>2.8823168091075404</v>
      </c>
      <c r="EX95" s="21">
        <f>EXP(-LN(2)/2)*EX94+(1-EXP(-LN(2)/2))/(LN(2)/2)*ER95*EU95*VLOOKUP('Données projet'!$B$15,Paramètres!$A$1:$I$89,3,0)*0.475*44/12</f>
        <v>2.0112602034237488E-2</v>
      </c>
      <c r="EY95" s="22">
        <f t="shared" si="75"/>
        <v>55.530306211910649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-2.8421709430404007E-13</v>
      </c>
      <c r="FF95" s="17">
        <f>FE95*VLOOKUP('Données projet'!$B$16,Paramètres!$A$1:$I$89,3,0)*VLOOKUP('Données projet'!$B$16,Paramètres!$A$1:$I$89,5,0)</f>
        <v>-2.2168933355715128E-13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318.52984981739411</v>
      </c>
      <c r="FK95" s="59">
        <f t="shared" si="102"/>
        <v>311.56398336941714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93.46564706479441</v>
      </c>
      <c r="FR95" s="21">
        <f>EXP(-LN(2)/25)*FR94+(1-EXP(-LN(2)/25))/(LN(2)/25)*Calculateur!FM95*Calculateur!FO95*VLOOKUP('Données projet'!$B$16,Paramètres!$A$1:$I$89,3,0)*0.475*44/12</f>
        <v>2.877442172192505</v>
      </c>
      <c r="FS95" s="21">
        <f>EXP(-LN(2)/2)*FS94+(1-EXP(-LN(2)/2))/(LN(2)/2)*FM95*FP95*VLOOKUP('Données projet'!$B$16,Paramètres!$A$1:$I$89,3,0)*0.475*44/12</f>
        <v>0.88326300145779069</v>
      </c>
      <c r="FT95" s="22">
        <f t="shared" si="78"/>
        <v>97.226352238444704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-2.8421709430404007E-13</v>
      </c>
      <c r="GA95" s="17">
        <f>FZ95*VLOOKUP('Données projet'!$B$17,Paramètres!$A$1:$I$89,3,0)*VLOOKUP('Données projet'!$B$17,Paramètres!$A$1:$I$89,5,0)</f>
        <v>-2.2612312022829427E-13</v>
      </c>
      <c r="GB95" s="13" t="e">
        <f t="shared" si="103"/>
        <v>#NUM!</v>
      </c>
      <c r="GC95" s="20" t="e">
        <f t="shared" si="79"/>
        <v>#NUM!</v>
      </c>
      <c r="GD95" s="59" t="e">
        <f t="shared" si="80"/>
        <v>#NUM!</v>
      </c>
      <c r="GE95" s="59">
        <f ca="1">AVERAGE(OFFSET($GD$3,0,0,'Données projet'!$E$17+1,1))-AVERAGE(OFFSET($H$3,0,0,'Données projet'!$E$17+1,1))</f>
        <v>325.72928944930294</v>
      </c>
      <c r="GF95" s="59">
        <f t="shared" si="104"/>
        <v>318.38876834819752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117.50588093773922</v>
      </c>
      <c r="GM95" s="21">
        <f>EXP(-LN(2)/25)*GM94+(1-EXP(-LN(2)/25))/(LN(2)/25)*Calculateur!GH95*Calculateur!GJ95*VLOOKUP('Données projet'!$B$17,Paramètres!$A$1:$I$89,3,0)*0.475*44/12</f>
        <v>3.6175470657843429</v>
      </c>
      <c r="GN95" s="21">
        <f>EXP(-LN(2)/2)*GN94+(1-EXP(-LN(2)/2))/(LN(2)/2)*GH95*GK95*VLOOKUP('Données projet'!$B$17,Paramètres!$A$1:$I$89,3,0)*0.475*44/12</f>
        <v>0.90092826148694538</v>
      </c>
      <c r="GO95" s="21">
        <f t="shared" si="81"/>
        <v>122.0243562650105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-2.8421709430404007E-13</v>
      </c>
      <c r="GV95" s="17">
        <f>GU95*VLOOKUP('Données projet'!$B$18,Paramètres!$A$1:$I$89,3,0)*VLOOKUP('Données projet'!$B$18,Paramètres!$A$1:$I$89,5,0)</f>
        <v>-1.9065282685915009E-13</v>
      </c>
      <c r="GW95" s="13" t="e">
        <f t="shared" si="105"/>
        <v>#NUM!</v>
      </c>
      <c r="GX95" s="20" t="e">
        <f t="shared" si="82"/>
        <v>#NUM!</v>
      </c>
      <c r="GY95" s="59" t="e">
        <f t="shared" si="83"/>
        <v>#NUM!</v>
      </c>
      <c r="GZ95" s="59">
        <f ca="1">AVERAGE(OFFSET($GY$3,0,0,'Données projet'!$E$18+1,1))-AVERAGE(OFFSET($H$3,0,0,'Données projet'!$E$18+1,1))</f>
        <v>268.04554291387961</v>
      </c>
      <c r="HA95" s="59">
        <f t="shared" si="106"/>
        <v>263.70463099437148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99.073585888682075</v>
      </c>
      <c r="HH95" s="21">
        <f>EXP(-LN(2)/25)*HH94+(1-EXP(-LN(2)/25))/(LN(2)/25)*Calculateur!HC95*Calculateur!HE95*VLOOKUP('Données projet'!$B$18,Paramètres!$A$1:$I$89,3,0)*0.475*44/12</f>
        <v>3.0500887025240568</v>
      </c>
      <c r="HI95" s="21">
        <f>EXP(-LN(2)/2)*HI94+(1-EXP(-LN(2)/2))/(LN(2)/2)*HC95*HF95*VLOOKUP('Données projet'!$B$18,Paramètres!$A$1:$I$89,3,0)*0.475*44/12</f>
        <v>0.75960618125369905</v>
      </c>
      <c r="HJ95" s="22">
        <f t="shared" si="84"/>
        <v>102.88328077245983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-2.5124791136477146E-14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46.095319339746538</v>
      </c>
      <c r="T96" s="59">
        <f t="shared" si="88"/>
        <v>48.158174304064403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46.690615823061471</v>
      </c>
      <c r="AA96" s="21">
        <f>EXP(-LN(2)/25)*AA95+(1-EXP(-LN(2)/25))/(LN(2)/25)*Calculateur!V96*Calculateur!X96*VLOOKUP('Données projet'!$B$9,Paramètres!$A$1:$I$89,3,0)*0.475*44/12</f>
        <v>19.108227639326277</v>
      </c>
      <c r="AB96" s="21">
        <f>EXP(-LN(2)/2)*AB95+(1-EXP(-LN(2)/2))/(LN(2)/2)*V96*Y96*VLOOKUP('Données projet'!$B$9,Paramètres!$A$1:$I$89,3,0)*0.475*44/12</f>
        <v>0.16316274538601563</v>
      </c>
      <c r="AC96" s="22">
        <f t="shared" si="57"/>
        <v>65.962006207773769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-6.7984728957526396E-14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408.84545509668794</v>
      </c>
      <c r="AO96" s="59">
        <f t="shared" si="90"/>
        <v>409.9253979841132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97.842537324676613</v>
      </c>
      <c r="AV96" s="21">
        <f>EXP(-LN(2)/25)*AV95+(1-EXP(-LN(2)/25))/(LN(2)/25)*Calculateur!AQ96*Calculateur!AS96*VLOOKUP('Données projet'!$B$10,Paramètres!$A$1:$I$89,3,0)*0.475*44/12</f>
        <v>30.540498029266899</v>
      </c>
      <c r="AW96" s="21">
        <f>EXP(-LN(2)/2)*AW95+(1-EXP(-LN(2)/2))/(LN(2)/2)*AQ96*AT96*VLOOKUP('Données projet'!$B$10,Paramètres!$A$1:$I$89,3,0)*0.475*44/12</f>
        <v>1.0128935179891337E-3</v>
      </c>
      <c r="AX96" s="21">
        <f t="shared" si="60"/>
        <v>128.38404824746149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-1.1368683772161603E-13</v>
      </c>
      <c r="BE96" s="13">
        <f>BD96*VLOOKUP('Données projet'!$B$11,Paramètres!$A$1:$I$89,3,0)*VLOOKUP('Données projet'!$B$11,Paramètres!$A$1:$I$89,5,0)</f>
        <v>-6.7984728957526396E-14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279.69031306919914</v>
      </c>
      <c r="BJ96" s="59">
        <f t="shared" si="92"/>
        <v>297.01680128882509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88.76834181511002</v>
      </c>
      <c r="BQ96" s="21">
        <f>EXP(-LN(2)/25)*BQ95+(1-EXP(-LN(2)/25))/(LN(2)/25)*Calculateur!BL96*Calculateur!BN96*VLOOKUP('Données projet'!$B$11,Paramètres!$A$1:$I$89,3,0)*0.475*44/12</f>
        <v>34.642103729020704</v>
      </c>
      <c r="BR96" s="21">
        <f>EXP(-LN(2)/2)*BR95+(1-EXP(-LN(2)/2))/(LN(2)/2)*BL96*BO96*VLOOKUP('Données projet'!$B$11,Paramètres!$A$1:$I$89,3,0)*0.475*44/12</f>
        <v>2.3632166590066726E-3</v>
      </c>
      <c r="BS96" s="22">
        <f t="shared" si="63"/>
        <v>123.41280876078973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81.299024916151723</v>
      </c>
      <c r="CE96" s="59">
        <f t="shared" si="94"/>
        <v>88.106373324240167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26.255582073745703</v>
      </c>
      <c r="CL96" s="21">
        <f>EXP(-LN(2)/25)*CL95+(1-EXP(-LN(2)/25))/(LN(2)/25)*Calculateur!CG96*Calculateur!CI96*VLOOKUP('Données projet'!$B$12,Paramètres!$A$1:$I$89,3,0)*0.475*44/12</f>
        <v>9.2671862108311522</v>
      </c>
      <c r="CM96" s="21">
        <f>EXP(-LN(2)/2)*CM95+(1-EXP(-LN(2)/2))/(LN(2)/2)*CG96*CJ96*VLOOKUP('Données projet'!$B$12,Paramètres!$A$1:$I$89,3,0)*0.475*44/12</f>
        <v>2.5901044553052122E-4</v>
      </c>
      <c r="CN96" s="22">
        <f t="shared" si="66"/>
        <v>35.523027295022388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-3.4106051316484809E-13</v>
      </c>
      <c r="CU96" s="17">
        <f>CT96*VLOOKUP('Données projet'!$B$13,Paramètres!$A$1:$I$89,3,0)*VLOOKUP('Données projet'!$B$13,Paramètres!$A$1:$I$89,5,0)</f>
        <v>-1.9065282685915009E-13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475.42482703895411</v>
      </c>
      <c r="CZ96" s="59">
        <f t="shared" si="96"/>
        <v>593.51433014569966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179.35337170345895</v>
      </c>
      <c r="DG96" s="21">
        <f>EXP(-LN(2)/25)*DG95+(1-EXP(-LN(2)/25))/(LN(2)/25)*Calculateur!DB96*Calculateur!DD96*VLOOKUP('Données projet'!$B$13,Paramètres!$A$1:$I$89,3,0)*0.475*44/12</f>
        <v>29.789355737872704</v>
      </c>
      <c r="DH96" s="21">
        <f>EXP(-LN(2)/2)*DH95+(1-EXP(-LN(2)/2))/(LN(2)/2)*DB96*DE96*VLOOKUP('Données projet'!$B$13,Paramètres!$A$1:$I$89,3,0)*0.475*44/12</f>
        <v>3.003385555297792E-3</v>
      </c>
      <c r="DI96" s="22">
        <f t="shared" si="69"/>
        <v>209.14573082688696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7.333333333333333</v>
      </c>
      <c r="DO96" s="12">
        <f>IF('Données projet'!$A$166&gt;35,DO95+DN96-DW95,IF(A96&lt;'Données projet'!$A$166,$DL$205^A96,IF(A96='Données projet'!$A$166,'Données projet'!$B$166,DO95+DN96-DW95)))</f>
        <v>315.99999999999972</v>
      </c>
      <c r="DP96" s="17">
        <f>DO96*VLOOKUP('Données projet'!$B$14,Paramètres!$A$1:$I$89,3,0)*VLOOKUP('Données projet'!$B$14,Paramètres!$A$1:$I$89,5,0)</f>
        <v>285.91679999999974</v>
      </c>
      <c r="DQ96" s="13">
        <f t="shared" si="97"/>
        <v>68.215872977287475</v>
      </c>
      <c r="DR96" s="20">
        <f t="shared" si="70"/>
        <v>616.7810721021084</v>
      </c>
      <c r="DS96" s="59">
        <f t="shared" si="71"/>
        <v>910.11440543544177</v>
      </c>
      <c r="DT96" s="59">
        <f ca="1">AVERAGE(OFFSET($DS$3,0,0,'Données projet'!$E$14+1,1))-AVERAGE(OFFSET($H$3,0,0,'Données projet'!$E$14+1,1))</f>
        <v>401.17301323870578</v>
      </c>
      <c r="DU96" s="59">
        <f t="shared" si="98"/>
        <v>201.57993789149754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6.7216629927651104</v>
      </c>
      <c r="EB96" s="21">
        <f>EXP(-LN(2)/25)*EB95+(1-EXP(-LN(2)/25))/(LN(2)/25)*Calculateur!DW96*Calculateur!DY96*VLOOKUP('Données projet'!$B$14,Paramètres!$A$1:$I$89,3,0)*0.475*44/12</f>
        <v>29.749206464823754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36.470869457588861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1.7053025658242404E-13</v>
      </c>
      <c r="EK96" s="17">
        <f>EJ96*VLOOKUP('Données projet'!$B$15,Paramètres!$A$1:$I$89,3,0)*VLOOKUP('Données projet'!$B$15,Paramètres!$A$1:$I$89,5,0)</f>
        <v>1.4897523215040567E-13</v>
      </c>
      <c r="EL96" s="13">
        <f t="shared" si="99"/>
        <v>2.136562777003313E-12</v>
      </c>
      <c r="EM96" s="20">
        <f t="shared" si="73"/>
        <v>3.9806453659427267E-12</v>
      </c>
      <c r="EN96" s="59">
        <f t="shared" si="74"/>
        <v>293.33333333333729</v>
      </c>
      <c r="EO96" s="59">
        <f ca="1">AVERAGE(OFFSET($EN$3,0,0,'Données projet'!$E$15+1,1))-AVERAGE(OFFSET($H$3,0,0,'Données projet'!$E$15+1,1))</f>
        <v>237.8483058552178</v>
      </c>
      <c r="EP96" s="59">
        <f t="shared" si="100"/>
        <v>313.36201272119723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51.595876236541045</v>
      </c>
      <c r="EW96" s="21">
        <f>EXP(-LN(2)/25)*EW95+(1-EXP(-LN(2)/25))/(LN(2)/25)*Calculateur!ER96*Calculateur!ET96*VLOOKUP('Données projet'!$B$15,Paramètres!$A$1:$I$89,3,0)*0.475*44/12</f>
        <v>2.8034997043880412</v>
      </c>
      <c r="EX96" s="21">
        <f>EXP(-LN(2)/2)*EX95+(1-EXP(-LN(2)/2))/(LN(2)/2)*ER96*EU96*VLOOKUP('Données projet'!$B$15,Paramètres!$A$1:$I$89,3,0)*0.475*44/12</f>
        <v>1.4221757285715678E-2</v>
      </c>
      <c r="EY96" s="22">
        <f t="shared" si="75"/>
        <v>54.413597698214801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-2.8421709430404007E-13</v>
      </c>
      <c r="FF96" s="17">
        <f>FE96*VLOOKUP('Données projet'!$B$16,Paramètres!$A$1:$I$89,3,0)*VLOOKUP('Données projet'!$B$16,Paramètres!$A$1:$I$89,5,0)</f>
        <v>-2.2168933355715128E-13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318.52984981739411</v>
      </c>
      <c r="FK96" s="59">
        <f t="shared" si="102"/>
        <v>311.56398336941714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91.632842734269389</v>
      </c>
      <c r="FR96" s="21">
        <f>EXP(-LN(2)/25)*FR95+(1-EXP(-LN(2)/25))/(LN(2)/25)*Calculateur!FM96*Calculateur!FO96*VLOOKUP('Données projet'!$B$16,Paramètres!$A$1:$I$89,3,0)*0.475*44/12</f>
        <v>2.7987583646757934</v>
      </c>
      <c r="FS96" s="21">
        <f>EXP(-LN(2)/2)*FS95+(1-EXP(-LN(2)/2))/(LN(2)/2)*FM96*FP96*VLOOKUP('Données projet'!$B$16,Paramètres!$A$1:$I$89,3,0)*0.475*44/12</f>
        <v>0.62456125790198724</v>
      </c>
      <c r="FT96" s="22">
        <f t="shared" si="78"/>
        <v>95.056162356847167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-2.8421709430404007E-13</v>
      </c>
      <c r="GA96" s="17">
        <f>FZ96*VLOOKUP('Données projet'!$B$17,Paramètres!$A$1:$I$89,3,0)*VLOOKUP('Données projet'!$B$17,Paramètres!$A$1:$I$89,5,0)</f>
        <v>-2.2612312022829427E-13</v>
      </c>
      <c r="GB96" s="13" t="e">
        <f t="shared" si="103"/>
        <v>#NUM!</v>
      </c>
      <c r="GC96" s="20" t="e">
        <f t="shared" si="79"/>
        <v>#NUM!</v>
      </c>
      <c r="GD96" s="59" t="e">
        <f t="shared" si="80"/>
        <v>#NUM!</v>
      </c>
      <c r="GE96" s="59">
        <f ca="1">AVERAGE(OFFSET($GD$3,0,0,'Données projet'!$E$17+1,1))-AVERAGE(OFFSET($H$3,0,0,'Données projet'!$E$17+1,1))</f>
        <v>325.72928944930294</v>
      </c>
      <c r="GF96" s="59">
        <f t="shared" si="104"/>
        <v>318.38876834819752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115.20166228406055</v>
      </c>
      <c r="GM96" s="21">
        <f>EXP(-LN(2)/25)*GM95+(1-EXP(-LN(2)/25))/(LN(2)/25)*Calculateur!GH96*Calculateur!GJ96*VLOOKUP('Données projet'!$B$17,Paramètres!$A$1:$I$89,3,0)*0.475*44/12</f>
        <v>3.5186250510319379</v>
      </c>
      <c r="GN96" s="21">
        <f>EXP(-LN(2)/2)*GN95+(1-EXP(-LN(2)/2))/(LN(2)/2)*GH96*GK96*VLOOKUP('Données projet'!$B$17,Paramètres!$A$1:$I$89,3,0)*0.475*44/12</f>
        <v>0.63705248306002615</v>
      </c>
      <c r="GO96" s="21">
        <f t="shared" si="81"/>
        <v>119.35733981815251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-2.8421709430404007E-13</v>
      </c>
      <c r="GV96" s="17">
        <f>GU96*VLOOKUP('Données projet'!$B$18,Paramètres!$A$1:$I$89,3,0)*VLOOKUP('Données projet'!$B$18,Paramètres!$A$1:$I$89,5,0)</f>
        <v>-1.9065282685915009E-13</v>
      </c>
      <c r="GW96" s="13" t="e">
        <f t="shared" si="105"/>
        <v>#NUM!</v>
      </c>
      <c r="GX96" s="20" t="e">
        <f t="shared" si="82"/>
        <v>#NUM!</v>
      </c>
      <c r="GY96" s="59" t="e">
        <f t="shared" si="83"/>
        <v>#NUM!</v>
      </c>
      <c r="GZ96" s="59">
        <f ca="1">AVERAGE(OFFSET($GY$3,0,0,'Données projet'!$E$18+1,1))-AVERAGE(OFFSET($H$3,0,0,'Données projet'!$E$18+1,1))</f>
        <v>268.04554291387961</v>
      </c>
      <c r="HA96" s="59">
        <f t="shared" si="106"/>
        <v>263.70463099437148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97.130813298325549</v>
      </c>
      <c r="HH96" s="21">
        <f>EXP(-LN(2)/25)*HH95+(1-EXP(-LN(2)/25))/(LN(2)/25)*Calculateur!HC96*Calculateur!HE96*VLOOKUP('Données projet'!$B$18,Paramètres!$A$1:$I$89,3,0)*0.475*44/12</f>
        <v>2.9666838665563429</v>
      </c>
      <c r="HI96" s="21">
        <f>EXP(-LN(2)/2)*HI95+(1-EXP(-LN(2)/2))/(LN(2)/2)*HC96*HF96*VLOOKUP('Données projet'!$B$18,Paramètres!$A$1:$I$89,3,0)*0.475*44/12</f>
        <v>0.53712268179570832</v>
      </c>
      <c r="HJ96" s="22">
        <f t="shared" si="84"/>
        <v>100.63461984667759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-2.5124791136477146E-14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46.095319339746538</v>
      </c>
      <c r="T97" s="59">
        <f t="shared" si="88"/>
        <v>48.158174304064403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45.775041325234874</v>
      </c>
      <c r="AA97" s="21">
        <f>EXP(-LN(2)/25)*AA96+(1-EXP(-LN(2)/25))/(LN(2)/25)*Calculateur!V97*Calculateur!X97*VLOOKUP('Données projet'!$B$9,Paramètres!$A$1:$I$89,3,0)*0.475*44/12</f>
        <v>18.585712149670879</v>
      </c>
      <c r="AB97" s="21">
        <f>EXP(-LN(2)/2)*AB96+(1-EXP(-LN(2)/2))/(LN(2)/2)*V97*Y97*VLOOKUP('Données projet'!$B$9,Paramètres!$A$1:$I$89,3,0)*0.475*44/12</f>
        <v>0.11537348369946573</v>
      </c>
      <c r="AC97" s="22">
        <f t="shared" si="57"/>
        <v>64.476126958605221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-6.7984728957526396E-14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408.84545509668794</v>
      </c>
      <c r="AO97" s="59">
        <f t="shared" si="90"/>
        <v>409.9253979841132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95.923904845794752</v>
      </c>
      <c r="AV97" s="21">
        <f>EXP(-LN(2)/25)*AV96+(1-EXP(-LN(2)/25))/(LN(2)/25)*Calculateur!AQ97*Calculateur!AS97*VLOOKUP('Données projet'!$B$10,Paramètres!$A$1:$I$89,3,0)*0.475*44/12</f>
        <v>29.705366504601606</v>
      </c>
      <c r="AW97" s="21">
        <f>EXP(-LN(2)/2)*AW96+(1-EXP(-LN(2)/2))/(LN(2)/2)*AQ97*AT97*VLOOKUP('Données projet'!$B$10,Paramètres!$A$1:$I$89,3,0)*0.475*44/12</f>
        <v>7.1622387519001474E-4</v>
      </c>
      <c r="AX97" s="21">
        <f t="shared" si="60"/>
        <v>125.62998757427154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-1.1368683772161603E-13</v>
      </c>
      <c r="BE97" s="13">
        <f>BD97*VLOOKUP('Données projet'!$B$11,Paramètres!$A$1:$I$89,3,0)*VLOOKUP('Données projet'!$B$11,Paramètres!$A$1:$I$89,5,0)</f>
        <v>-6.7984728957526396E-14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279.69031306919914</v>
      </c>
      <c r="BJ97" s="59">
        <f t="shared" si="92"/>
        <v>297.01680128882509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87.027648775458005</v>
      </c>
      <c r="BQ97" s="21">
        <f>EXP(-LN(2)/25)*BQ96+(1-EXP(-LN(2)/25))/(LN(2)/25)*Calculateur!BL97*Calculateur!BN97*VLOOKUP('Données projet'!$B$11,Paramètres!$A$1:$I$89,3,0)*0.475*44/12</f>
        <v>33.694813580801572</v>
      </c>
      <c r="BR97" s="21">
        <f>EXP(-LN(2)/2)*BR96+(1-EXP(-LN(2)/2))/(LN(2)/2)*BL97*BO97*VLOOKUP('Données projet'!$B$11,Paramètres!$A$1:$I$89,3,0)*0.475*44/12</f>
        <v>1.6710465249966352E-3</v>
      </c>
      <c r="BS97" s="22">
        <f t="shared" si="63"/>
        <v>120.72413340278456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81.299024916151723</v>
      </c>
      <c r="CE97" s="59">
        <f t="shared" si="94"/>
        <v>88.106373324240167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25.740726123603331</v>
      </c>
      <c r="CL97" s="21">
        <f>EXP(-LN(2)/25)*CL96+(1-EXP(-LN(2)/25))/(LN(2)/25)*Calculateur!CG97*Calculateur!CI97*VLOOKUP('Données projet'!$B$12,Paramètres!$A$1:$I$89,3,0)*0.475*44/12</f>
        <v>9.0137745165558325</v>
      </c>
      <c r="CM97" s="21">
        <f>EXP(-LN(2)/2)*CM96+(1-EXP(-LN(2)/2))/(LN(2)/2)*CG97*CJ97*VLOOKUP('Données projet'!$B$12,Paramètres!$A$1:$I$89,3,0)*0.475*44/12</f>
        <v>1.8314804243278046E-4</v>
      </c>
      <c r="CN97" s="22">
        <f t="shared" si="66"/>
        <v>34.754683788201596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-3.4106051316484809E-13</v>
      </c>
      <c r="CU97" s="17">
        <f>CT97*VLOOKUP('Données projet'!$B$13,Paramètres!$A$1:$I$89,3,0)*VLOOKUP('Données projet'!$B$13,Paramètres!$A$1:$I$89,5,0)</f>
        <v>-1.9065282685915009E-13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475.42482703895411</v>
      </c>
      <c r="CZ97" s="59">
        <f t="shared" si="96"/>
        <v>593.51433014569966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175.83636147910903</v>
      </c>
      <c r="DG97" s="21">
        <f>EXP(-LN(2)/25)*DG96+(1-EXP(-LN(2)/25))/(LN(2)/25)*Calculateur!DB97*Calculateur!DD97*VLOOKUP('Données projet'!$B$13,Paramètres!$A$1:$I$89,3,0)*0.475*44/12</f>
        <v>28.974764238666442</v>
      </c>
      <c r="DH97" s="21">
        <f>EXP(-LN(2)/2)*DH96+(1-EXP(-LN(2)/2))/(LN(2)/2)*DB97*DE97*VLOOKUP('Données projet'!$B$13,Paramètres!$A$1:$I$89,3,0)*0.475*44/12</f>
        <v>2.1237142926687934E-3</v>
      </c>
      <c r="DI97" s="22">
        <f t="shared" si="69"/>
        <v>204.81324943206815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7.333333333333333</v>
      </c>
      <c r="DO97" s="12">
        <f>IF('Données projet'!$A$166&gt;35,DO96+DN97-DW96,IF(A97&lt;'Données projet'!$A$166,$DL$205^A97,IF(A97='Données projet'!$A$166,'Données projet'!$B$166,DO96+DN97-DW96)))</f>
        <v>323.33333333333303</v>
      </c>
      <c r="DP97" s="17">
        <f>DO97*VLOOKUP('Données projet'!$B$14,Paramètres!$A$1:$I$89,3,0)*VLOOKUP('Données projet'!$B$14,Paramètres!$A$1:$I$89,5,0)</f>
        <v>292.55199999999968</v>
      </c>
      <c r="DQ97" s="13">
        <f t="shared" si="97"/>
        <v>69.612799406689945</v>
      </c>
      <c r="DR97" s="20">
        <f t="shared" si="70"/>
        <v>630.77035896665097</v>
      </c>
      <c r="DS97" s="59">
        <f t="shared" si="71"/>
        <v>924.10369229998423</v>
      </c>
      <c r="DT97" s="59">
        <f ca="1">AVERAGE(OFFSET($DS$3,0,0,'Données projet'!$E$14+1,1))-AVERAGE(OFFSET($H$3,0,0,'Données projet'!$E$14+1,1))</f>
        <v>401.17301323870578</v>
      </c>
      <c r="DU97" s="59">
        <f t="shared" si="98"/>
        <v>201.57993789149754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6.5898552812865896</v>
      </c>
      <c r="EB97" s="21">
        <f>EXP(-LN(2)/25)*EB96+(1-EXP(-LN(2)/25))/(LN(2)/25)*Calculateur!DW97*Calculateur!DY97*VLOOKUP('Données projet'!$B$14,Paramètres!$A$1:$I$89,3,0)*0.475*44/12</f>
        <v>28.935712849600375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35.525568130886967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1.7053025658242404E-13</v>
      </c>
      <c r="EK97" s="17">
        <f>EJ97*VLOOKUP('Données projet'!$B$15,Paramètres!$A$1:$I$89,3,0)*VLOOKUP('Données projet'!$B$15,Paramètres!$A$1:$I$89,5,0)</f>
        <v>1.4897523215040567E-13</v>
      </c>
      <c r="EL97" s="13">
        <f t="shared" si="99"/>
        <v>2.136562777003313E-12</v>
      </c>
      <c r="EM97" s="20">
        <f t="shared" si="73"/>
        <v>3.9806453659427267E-12</v>
      </c>
      <c r="EN97" s="59">
        <f t="shared" si="74"/>
        <v>293.33333333333729</v>
      </c>
      <c r="EO97" s="59">
        <f ca="1">AVERAGE(OFFSET($EN$3,0,0,'Données projet'!$E$15+1,1))-AVERAGE(OFFSET($H$3,0,0,'Données projet'!$E$15+1,1))</f>
        <v>237.8483058552178</v>
      </c>
      <c r="EP97" s="59">
        <f t="shared" si="100"/>
        <v>313.36201272119723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50.584112573919541</v>
      </c>
      <c r="EW97" s="21">
        <f>EXP(-LN(2)/25)*EW96+(1-EXP(-LN(2)/25))/(LN(2)/25)*Calculateur!ER97*Calculateur!ET97*VLOOKUP('Données projet'!$B$15,Paramètres!$A$1:$I$89,3,0)*0.475*44/12</f>
        <v>2.7268378575419083</v>
      </c>
      <c r="EX97" s="21">
        <f>EXP(-LN(2)/2)*EX96+(1-EXP(-LN(2)/2))/(LN(2)/2)*ER97*EU97*VLOOKUP('Données projet'!$B$15,Paramètres!$A$1:$I$89,3,0)*0.475*44/12</f>
        <v>1.0056301017118744E-2</v>
      </c>
      <c r="EY97" s="22">
        <f t="shared" si="75"/>
        <v>53.321006732478565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-2.8421709430404007E-13</v>
      </c>
      <c r="FF97" s="17">
        <f>FE97*VLOOKUP('Données projet'!$B$16,Paramètres!$A$1:$I$89,3,0)*VLOOKUP('Données projet'!$B$16,Paramètres!$A$1:$I$89,5,0)</f>
        <v>-2.2168933355715128E-13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318.52984981739411</v>
      </c>
      <c r="FK97" s="59">
        <f t="shared" si="102"/>
        <v>311.56398336941714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89.835978578765705</v>
      </c>
      <c r="FR97" s="21">
        <f>EXP(-LN(2)/25)*FR96+(1-EXP(-LN(2)/25))/(LN(2)/25)*Calculateur!FM97*Calculateur!FO97*VLOOKUP('Données projet'!$B$16,Paramètres!$A$1:$I$89,3,0)*0.475*44/12</f>
        <v>2.7222261700134283</v>
      </c>
      <c r="FS97" s="21">
        <f>EXP(-LN(2)/2)*FS96+(1-EXP(-LN(2)/2))/(LN(2)/2)*FM97*FP97*VLOOKUP('Données projet'!$B$16,Paramètres!$A$1:$I$89,3,0)*0.475*44/12</f>
        <v>0.4416315007288954</v>
      </c>
      <c r="FT97" s="22">
        <f t="shared" si="78"/>
        <v>92.999836249508022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-2.8421709430404007E-13</v>
      </c>
      <c r="GA97" s="17">
        <f>FZ97*VLOOKUP('Données projet'!$B$17,Paramètres!$A$1:$I$89,3,0)*VLOOKUP('Données projet'!$B$17,Paramètres!$A$1:$I$89,5,0)</f>
        <v>-2.2612312022829427E-13</v>
      </c>
      <c r="GB97" s="13" t="e">
        <f t="shared" si="103"/>
        <v>#NUM!</v>
      </c>
      <c r="GC97" s="20" t="e">
        <f t="shared" si="79"/>
        <v>#NUM!</v>
      </c>
      <c r="GD97" s="59" t="e">
        <f t="shared" si="80"/>
        <v>#NUM!</v>
      </c>
      <c r="GE97" s="59">
        <f ca="1">AVERAGE(OFFSET($GD$3,0,0,'Données projet'!$E$17+1,1))-AVERAGE(OFFSET($H$3,0,0,'Données projet'!$E$17+1,1))</f>
        <v>325.72928944930294</v>
      </c>
      <c r="GF97" s="59">
        <f t="shared" si="104"/>
        <v>318.38876834819752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112.94262795274591</v>
      </c>
      <c r="GM97" s="21">
        <f>EXP(-LN(2)/25)*GM96+(1-EXP(-LN(2)/25))/(LN(2)/25)*Calculateur!GH97*Calculateur!GJ97*VLOOKUP('Données projet'!$B$17,Paramètres!$A$1:$I$89,3,0)*0.475*44/12</f>
        <v>3.4224080639750198</v>
      </c>
      <c r="GN97" s="21">
        <f>EXP(-LN(2)/2)*GN96+(1-EXP(-LN(2)/2))/(LN(2)/2)*GH97*GK97*VLOOKUP('Données projet'!$B$17,Paramètres!$A$1:$I$89,3,0)*0.475*44/12</f>
        <v>0.45046413074347269</v>
      </c>
      <c r="GO97" s="21">
        <f t="shared" si="81"/>
        <v>116.81550014746439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-2.8421709430404007E-13</v>
      </c>
      <c r="GV97" s="17">
        <f>GU97*VLOOKUP('Données projet'!$B$18,Paramètres!$A$1:$I$89,3,0)*VLOOKUP('Données projet'!$B$18,Paramètres!$A$1:$I$89,5,0)</f>
        <v>-1.9065282685915009E-13</v>
      </c>
      <c r="GW97" s="13" t="e">
        <f t="shared" si="105"/>
        <v>#NUM!</v>
      </c>
      <c r="GX97" s="20" t="e">
        <f t="shared" si="82"/>
        <v>#NUM!</v>
      </c>
      <c r="GY97" s="59" t="e">
        <f t="shared" si="83"/>
        <v>#NUM!</v>
      </c>
      <c r="GZ97" s="59">
        <f ca="1">AVERAGE(OFFSET($GY$3,0,0,'Données projet'!$E$18+1,1))-AVERAGE(OFFSET($H$3,0,0,'Données projet'!$E$18+1,1))</f>
        <v>268.04554291387961</v>
      </c>
      <c r="HA97" s="59">
        <f t="shared" si="106"/>
        <v>263.70463099437148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95.226137293491647</v>
      </c>
      <c r="HH97" s="21">
        <f>EXP(-LN(2)/25)*HH96+(1-EXP(-LN(2)/25))/(LN(2)/25)*Calculateur!HC97*Calculateur!HE97*VLOOKUP('Données projet'!$B$18,Paramètres!$A$1:$I$89,3,0)*0.475*44/12</f>
        <v>2.8855597402142354</v>
      </c>
      <c r="HI97" s="21">
        <f>EXP(-LN(2)/2)*HI96+(1-EXP(-LN(2)/2))/(LN(2)/2)*HC97*HF97*VLOOKUP('Données projet'!$B$18,Paramètres!$A$1:$I$89,3,0)*0.475*44/12</f>
        <v>0.37980309062684953</v>
      </c>
      <c r="HJ97" s="22">
        <f t="shared" si="84"/>
        <v>98.491500124332731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-2.5124791136477146E-14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46.095319339746538</v>
      </c>
      <c r="T98" s="59">
        <f t="shared" si="88"/>
        <v>48.158174304064403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44.877420684865356</v>
      </c>
      <c r="AA98" s="21">
        <f>EXP(-LN(2)/25)*AA97+(1-EXP(-LN(2)/25))/(LN(2)/25)*Calculateur!V98*Calculateur!X98*VLOOKUP('Données projet'!$B$9,Paramètres!$A$1:$I$89,3,0)*0.475*44/12</f>
        <v>18.077484873558006</v>
      </c>
      <c r="AB98" s="21">
        <f>EXP(-LN(2)/2)*AB97+(1-EXP(-LN(2)/2))/(LN(2)/2)*V98*Y98*VLOOKUP('Données projet'!$B$9,Paramètres!$A$1:$I$89,3,0)*0.475*44/12</f>
        <v>8.1581372693007831E-2</v>
      </c>
      <c r="AC98" s="22">
        <f t="shared" si="57"/>
        <v>63.036486931116372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-6.7984728957526396E-14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408.84545509668794</v>
      </c>
      <c r="AO98" s="59">
        <f t="shared" si="90"/>
        <v>409.9253979841132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94.042895579573511</v>
      </c>
      <c r="AV98" s="21">
        <f>EXP(-LN(2)/25)*AV97+(1-EXP(-LN(2)/25))/(LN(2)/25)*Calculateur!AQ98*Calculateur!AS98*VLOOKUP('Données projet'!$B$10,Paramètres!$A$1:$I$89,3,0)*0.475*44/12</f>
        <v>28.893071695395943</v>
      </c>
      <c r="AW98" s="21">
        <f>EXP(-LN(2)/2)*AW97+(1-EXP(-LN(2)/2))/(LN(2)/2)*AQ98*AT98*VLOOKUP('Données projet'!$B$10,Paramètres!$A$1:$I$89,3,0)*0.475*44/12</f>
        <v>5.0644675899456687E-4</v>
      </c>
      <c r="AX98" s="21">
        <f t="shared" si="60"/>
        <v>122.93647372172845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-1.1368683772161603E-13</v>
      </c>
      <c r="BE98" s="13">
        <f>BD98*VLOOKUP('Données projet'!$B$11,Paramètres!$A$1:$I$89,3,0)*VLOOKUP('Données projet'!$B$11,Paramètres!$A$1:$I$89,5,0)</f>
        <v>-6.7984728957526396E-14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279.69031306919914</v>
      </c>
      <c r="BJ98" s="59">
        <f t="shared" si="92"/>
        <v>297.01680128882509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85.321089664595647</v>
      </c>
      <c r="BQ98" s="21">
        <f>EXP(-LN(2)/25)*BQ97+(1-EXP(-LN(2)/25))/(LN(2)/25)*Calculateur!BL98*Calculateur!BN98*VLOOKUP('Données projet'!$B$11,Paramètres!$A$1:$I$89,3,0)*0.475*44/12</f>
        <v>32.773427131501315</v>
      </c>
      <c r="BR98" s="21">
        <f>EXP(-LN(2)/2)*BR97+(1-EXP(-LN(2)/2))/(LN(2)/2)*BL98*BO98*VLOOKUP('Données projet'!$B$11,Paramètres!$A$1:$I$89,3,0)*0.475*44/12</f>
        <v>1.1816083295033363E-3</v>
      </c>
      <c r="BS98" s="22">
        <f t="shared" si="63"/>
        <v>118.09569840442647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81.299024916151723</v>
      </c>
      <c r="CE98" s="59">
        <f t="shared" si="94"/>
        <v>88.106373324240167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25.235966184612131</v>
      </c>
      <c r="CL98" s="21">
        <f>EXP(-LN(2)/25)*CL97+(1-EXP(-LN(2)/25))/(LN(2)/25)*Calculateur!CG98*Calculateur!CI98*VLOOKUP('Données projet'!$B$12,Paramètres!$A$1:$I$89,3,0)*0.475*44/12</f>
        <v>8.7672923783868129</v>
      </c>
      <c r="CM98" s="21">
        <f>EXP(-LN(2)/2)*CM97+(1-EXP(-LN(2)/2))/(LN(2)/2)*CG98*CJ98*VLOOKUP('Données projet'!$B$12,Paramètres!$A$1:$I$89,3,0)*0.475*44/12</f>
        <v>1.2950522276526061E-4</v>
      </c>
      <c r="CN98" s="22">
        <f t="shared" si="66"/>
        <v>34.00338806822171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-3.4106051316484809E-13</v>
      </c>
      <c r="CU98" s="17">
        <f>CT98*VLOOKUP('Données projet'!$B$13,Paramètres!$A$1:$I$89,3,0)*VLOOKUP('Données projet'!$B$13,Paramètres!$A$1:$I$89,5,0)</f>
        <v>-1.9065282685915009E-13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475.42482703895411</v>
      </c>
      <c r="CZ98" s="59">
        <f t="shared" si="96"/>
        <v>593.51433014569966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172.38831768009419</v>
      </c>
      <c r="DG98" s="21">
        <f>EXP(-LN(2)/25)*DG97+(1-EXP(-LN(2)/25))/(LN(2)/25)*Calculateur!DB98*Calculateur!DD98*VLOOKUP('Données projet'!$B$13,Paramètres!$A$1:$I$89,3,0)*0.475*44/12</f>
        <v>28.182447786843479</v>
      </c>
      <c r="DH98" s="21">
        <f>EXP(-LN(2)/2)*DH97+(1-EXP(-LN(2)/2))/(LN(2)/2)*DB98*DE98*VLOOKUP('Données projet'!$B$13,Paramètres!$A$1:$I$89,3,0)*0.475*44/12</f>
        <v>1.501692777648896E-3</v>
      </c>
      <c r="DI98" s="22">
        <f t="shared" si="69"/>
        <v>200.57226715971532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7.333333333333333</v>
      </c>
      <c r="DO98" s="12">
        <f>IF('Données projet'!$A$166&gt;35,DO97+DN98-DW97,IF(A98&lt;'Données projet'!$A$166,$DL$205^A98,IF(A98='Données projet'!$A$166,'Données projet'!$B$166,DO97+DN98-DW97)))</f>
        <v>330.66666666666634</v>
      </c>
      <c r="DP98" s="17">
        <f>DO98*VLOOKUP('Données projet'!$B$14,Paramètres!$A$1:$I$89,3,0)*VLOOKUP('Données projet'!$B$14,Paramètres!$A$1:$I$89,5,0)</f>
        <v>299.18719999999968</v>
      </c>
      <c r="DQ98" s="13">
        <f t="shared" si="97"/>
        <v>71.00604248028047</v>
      </c>
      <c r="DR98" s="20">
        <f t="shared" si="70"/>
        <v>644.75323065315456</v>
      </c>
      <c r="DS98" s="59">
        <f t="shared" si="71"/>
        <v>938.08656398648782</v>
      </c>
      <c r="DT98" s="59">
        <f ca="1">AVERAGE(OFFSET($DS$3,0,0,'Données projet'!$E$14+1,1))-AVERAGE(OFFSET($H$3,0,0,'Données projet'!$E$14+1,1))</f>
        <v>401.17301323870578</v>
      </c>
      <c r="DU98" s="59">
        <f t="shared" si="98"/>
        <v>201.57993789149754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6.4606322386353972</v>
      </c>
      <c r="EB98" s="21">
        <f>EXP(-LN(2)/25)*EB97+(1-EXP(-LN(2)/25))/(LN(2)/25)*Calculateur!DW98*Calculateur!DY98*VLOOKUP('Données projet'!$B$14,Paramètres!$A$1:$I$89,3,0)*0.475*44/12</f>
        <v>28.144464260065046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34.605096498700441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1.7053025658242404E-13</v>
      </c>
      <c r="EK98" s="17">
        <f>EJ98*VLOOKUP('Données projet'!$B$15,Paramètres!$A$1:$I$89,3,0)*VLOOKUP('Données projet'!$B$15,Paramètres!$A$1:$I$89,5,0)</f>
        <v>1.4897523215040567E-13</v>
      </c>
      <c r="EL98" s="13">
        <f t="shared" si="99"/>
        <v>2.136562777003313E-12</v>
      </c>
      <c r="EM98" s="20">
        <f t="shared" si="73"/>
        <v>3.9806453659427267E-12</v>
      </c>
      <c r="EN98" s="59">
        <f t="shared" si="74"/>
        <v>293.33333333333729</v>
      </c>
      <c r="EO98" s="59">
        <f ca="1">AVERAGE(OFFSET($EN$3,0,0,'Données projet'!$E$15+1,1))-AVERAGE(OFFSET($H$3,0,0,'Données projet'!$E$15+1,1))</f>
        <v>237.8483058552178</v>
      </c>
      <c r="EP98" s="59">
        <f t="shared" si="100"/>
        <v>313.36201272119723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49.592188979607144</v>
      </c>
      <c r="EW98" s="21">
        <f>EXP(-LN(2)/25)*EW97+(1-EXP(-LN(2)/25))/(LN(2)/25)*Calculateur!ER98*Calculateur!ET98*VLOOKUP('Données projet'!$B$15,Paramètres!$A$1:$I$89,3,0)*0.475*44/12</f>
        <v>2.6522723329292544</v>
      </c>
      <c r="EX98" s="21">
        <f>EXP(-LN(2)/2)*EX97+(1-EXP(-LN(2)/2))/(LN(2)/2)*ER98*EU98*VLOOKUP('Données projet'!$B$15,Paramètres!$A$1:$I$89,3,0)*0.475*44/12</f>
        <v>7.1108786428578392E-3</v>
      </c>
      <c r="EY98" s="22">
        <f t="shared" si="75"/>
        <v>52.251572191179257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-2.8421709430404007E-13</v>
      </c>
      <c r="FF98" s="17">
        <f>FE98*VLOOKUP('Données projet'!$B$16,Paramètres!$A$1:$I$89,3,0)*VLOOKUP('Données projet'!$B$16,Paramètres!$A$1:$I$89,5,0)</f>
        <v>-2.2168933355715128E-13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318.52984981739411</v>
      </c>
      <c r="FK98" s="59">
        <f t="shared" si="102"/>
        <v>311.56398336941714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88.074349833372537</v>
      </c>
      <c r="FR98" s="21">
        <f>EXP(-LN(2)/25)*FR97+(1-EXP(-LN(2)/25))/(LN(2)/25)*Calculateur!FM98*Calculateur!FO98*VLOOKUP('Données projet'!$B$16,Paramètres!$A$1:$I$89,3,0)*0.475*44/12</f>
        <v>2.6477867522387584</v>
      </c>
      <c r="FS98" s="21">
        <f>EXP(-LN(2)/2)*FS97+(1-EXP(-LN(2)/2))/(LN(2)/2)*FM98*FP98*VLOOKUP('Données projet'!$B$16,Paramètres!$A$1:$I$89,3,0)*0.475*44/12</f>
        <v>0.31228062895099368</v>
      </c>
      <c r="FT98" s="22">
        <f t="shared" si="78"/>
        <v>91.034417214562282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-2.8421709430404007E-13</v>
      </c>
      <c r="GA98" s="17">
        <f>FZ98*VLOOKUP('Données projet'!$B$17,Paramètres!$A$1:$I$89,3,0)*VLOOKUP('Données projet'!$B$17,Paramètres!$A$1:$I$89,5,0)</f>
        <v>-2.2612312022829427E-13</v>
      </c>
      <c r="GB98" s="13" t="e">
        <f t="shared" si="103"/>
        <v>#NUM!</v>
      </c>
      <c r="GC98" s="20" t="e">
        <f t="shared" si="79"/>
        <v>#NUM!</v>
      </c>
      <c r="GD98" s="59" t="e">
        <f t="shared" si="80"/>
        <v>#NUM!</v>
      </c>
      <c r="GE98" s="59">
        <f ca="1">AVERAGE(OFFSET($GD$3,0,0,'Données projet'!$E$17+1,1))-AVERAGE(OFFSET($H$3,0,0,'Données projet'!$E$17+1,1))</f>
        <v>325.72928944930294</v>
      </c>
      <c r="GF98" s="59">
        <f t="shared" si="104"/>
        <v>318.38876834819752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110.72789190679347</v>
      </c>
      <c r="GM98" s="21">
        <f>EXP(-LN(2)/25)*GM97+(1-EXP(-LN(2)/25))/(LN(2)/25)*Calculateur!GH98*Calculateur!GJ98*VLOOKUP('Données projet'!$B$17,Paramètres!$A$1:$I$89,3,0)*0.475*44/12</f>
        <v>3.3288221354890051</v>
      </c>
      <c r="GN98" s="21">
        <f>EXP(-LN(2)/2)*GN97+(1-EXP(-LN(2)/2))/(LN(2)/2)*GH98*GK98*VLOOKUP('Données projet'!$B$17,Paramètres!$A$1:$I$89,3,0)*0.475*44/12</f>
        <v>0.31852624153001308</v>
      </c>
      <c r="GO98" s="21">
        <f t="shared" si="81"/>
        <v>114.37524028381249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-2.8421709430404007E-13</v>
      </c>
      <c r="GV98" s="17">
        <f>GU98*VLOOKUP('Données projet'!$B$18,Paramètres!$A$1:$I$89,3,0)*VLOOKUP('Données projet'!$B$18,Paramètres!$A$1:$I$89,5,0)</f>
        <v>-1.9065282685915009E-13</v>
      </c>
      <c r="GW98" s="13" t="e">
        <f t="shared" si="105"/>
        <v>#NUM!</v>
      </c>
      <c r="GX98" s="20" t="e">
        <f t="shared" si="82"/>
        <v>#NUM!</v>
      </c>
      <c r="GY98" s="59" t="e">
        <f t="shared" si="83"/>
        <v>#NUM!</v>
      </c>
      <c r="GZ98" s="59">
        <f ca="1">AVERAGE(OFFSET($GY$3,0,0,'Données projet'!$E$18+1,1))-AVERAGE(OFFSET($H$3,0,0,'Données projet'!$E$18+1,1))</f>
        <v>268.04554291387961</v>
      </c>
      <c r="HA98" s="59">
        <f t="shared" si="106"/>
        <v>263.70463099437148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93.358810823374881</v>
      </c>
      <c r="HH98" s="21">
        <f>EXP(-LN(2)/25)*HH97+(1-EXP(-LN(2)/25))/(LN(2)/25)*Calculateur!HC98*Calculateur!HE98*VLOOKUP('Données projet'!$B$18,Paramètres!$A$1:$I$89,3,0)*0.475*44/12</f>
        <v>2.8066539573730855</v>
      </c>
      <c r="HI98" s="21">
        <f>EXP(-LN(2)/2)*HI97+(1-EXP(-LN(2)/2))/(LN(2)/2)*HC98*HF98*VLOOKUP('Données projet'!$B$18,Paramètres!$A$1:$I$89,3,0)*0.475*44/12</f>
        <v>0.26856134089785416</v>
      </c>
      <c r="HJ98" s="22">
        <f t="shared" si="84"/>
        <v>96.434026121645829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-2.5124791136477146E-14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46.095319339746538</v>
      </c>
      <c r="T99" s="59">
        <f t="shared" si="88"/>
        <v>48.158174304064403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43.99740183775895</v>
      </c>
      <c r="AA99" s="21">
        <f>EXP(-LN(2)/25)*AA98+(1-EXP(-LN(2)/25))/(LN(2)/25)*Calculateur!V99*Calculateur!X99*VLOOKUP('Données projet'!$B$9,Paramètres!$A$1:$I$89,3,0)*0.475*44/12</f>
        <v>17.583155099036951</v>
      </c>
      <c r="AB99" s="21">
        <f>EXP(-LN(2)/2)*AB98+(1-EXP(-LN(2)/2))/(LN(2)/2)*V99*Y99*VLOOKUP('Données projet'!$B$9,Paramètres!$A$1:$I$89,3,0)*0.475*44/12</f>
        <v>5.7686741849732874E-2</v>
      </c>
      <c r="AC99" s="22">
        <f t="shared" si="57"/>
        <v>61.638243678645637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-6.7984728957526396E-14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408.84545509668794</v>
      </c>
      <c r="AO99" s="59">
        <f t="shared" si="90"/>
        <v>409.9253979841132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92.198771757760497</v>
      </c>
      <c r="AV99" s="21">
        <f>EXP(-LN(2)/25)*AV98+(1-EXP(-LN(2)/25))/(LN(2)/25)*Calculateur!AQ99*Calculateur!AS99*VLOOKUP('Données projet'!$B$10,Paramètres!$A$1:$I$89,3,0)*0.475*44/12</f>
        <v>28.102989130464735</v>
      </c>
      <c r="AW99" s="21">
        <f>EXP(-LN(2)/2)*AW98+(1-EXP(-LN(2)/2))/(LN(2)/2)*AQ99*AT99*VLOOKUP('Données projet'!$B$10,Paramètres!$A$1:$I$89,3,0)*0.475*44/12</f>
        <v>3.5811193759500737E-4</v>
      </c>
      <c r="AX99" s="21">
        <f t="shared" si="60"/>
        <v>120.30211900016283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-1.1368683772161603E-13</v>
      </c>
      <c r="BE99" s="13">
        <f>BD99*VLOOKUP('Données projet'!$B$11,Paramètres!$A$1:$I$89,3,0)*VLOOKUP('Données projet'!$B$11,Paramètres!$A$1:$I$89,5,0)</f>
        <v>-6.7984728957526396E-14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279.69031306919914</v>
      </c>
      <c r="BJ99" s="59">
        <f t="shared" si="92"/>
        <v>297.01680128882509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83.647995136999029</v>
      </c>
      <c r="BQ99" s="21">
        <f>EXP(-LN(2)/25)*BQ98+(1-EXP(-LN(2)/25))/(LN(2)/25)*Calculateur!BL99*Calculateur!BN99*VLOOKUP('Données projet'!$B$11,Paramètres!$A$1:$I$89,3,0)*0.475*44/12</f>
        <v>31.877236043110784</v>
      </c>
      <c r="BR99" s="21">
        <f>EXP(-LN(2)/2)*BR98+(1-EXP(-LN(2)/2))/(LN(2)/2)*BL99*BO99*VLOOKUP('Données projet'!$B$11,Paramètres!$A$1:$I$89,3,0)*0.475*44/12</f>
        <v>8.3552326249831759E-4</v>
      </c>
      <c r="BS99" s="22">
        <f t="shared" si="63"/>
        <v>115.52606670337231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81.299024916151723</v>
      </c>
      <c r="CE99" s="59">
        <f t="shared" si="94"/>
        <v>88.106373324240167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24.741104280151387</v>
      </c>
      <c r="CL99" s="21">
        <f>EXP(-LN(2)/25)*CL98+(1-EXP(-LN(2)/25))/(LN(2)/25)*Calculateur!CG99*Calculateur!CI99*VLOOKUP('Données projet'!$B$12,Paramètres!$A$1:$I$89,3,0)*0.475*44/12</f>
        <v>8.5275503072479566</v>
      </c>
      <c r="CM99" s="21">
        <f>EXP(-LN(2)/2)*CM98+(1-EXP(-LN(2)/2))/(LN(2)/2)*CG99*CJ99*VLOOKUP('Données projet'!$B$12,Paramètres!$A$1:$I$89,3,0)*0.475*44/12</f>
        <v>9.1574021216390232E-5</v>
      </c>
      <c r="CN99" s="22">
        <f t="shared" si="66"/>
        <v>33.268746161420559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-3.4106051316484809E-13</v>
      </c>
      <c r="CU99" s="17">
        <f>CT99*VLOOKUP('Données projet'!$B$13,Paramètres!$A$1:$I$89,3,0)*VLOOKUP('Données projet'!$B$13,Paramètres!$A$1:$I$89,5,0)</f>
        <v>-1.9065282685915009E-13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475.42482703895411</v>
      </c>
      <c r="CZ99" s="59">
        <f t="shared" si="96"/>
        <v>593.51433014569966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169.00788791687899</v>
      </c>
      <c r="DG99" s="21">
        <f>EXP(-LN(2)/25)*DG98+(1-EXP(-LN(2)/25))/(LN(2)/25)*Calculateur!DB99*Calculateur!DD99*VLOOKUP('Données projet'!$B$13,Paramètres!$A$1:$I$89,3,0)*0.475*44/12</f>
        <v>27.411797270061726</v>
      </c>
      <c r="DH99" s="21">
        <f>EXP(-LN(2)/2)*DH98+(1-EXP(-LN(2)/2))/(LN(2)/2)*DB99*DE99*VLOOKUP('Données projet'!$B$13,Paramètres!$A$1:$I$89,3,0)*0.475*44/12</f>
        <v>1.0618571463343967E-3</v>
      </c>
      <c r="DI99" s="22">
        <f t="shared" si="69"/>
        <v>196.42074704408705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>
        <f>VLOOKUP(A99,'Données projet'!$A$165:$I$185,2,0)</f>
        <v>338</v>
      </c>
      <c r="DM99" s="12">
        <f>VLOOKUP(A99,'Données projet'!$A$165:$I$185,9,0)</f>
        <v>7.333333333333333</v>
      </c>
      <c r="DN99" s="12">
        <f t="array" ref="DN99">INDEX(DM:DM,MIN(IF(ISNUMBER(DM99:DM295),ROW(DM99:DM295),"")))</f>
        <v>7.333333333333333</v>
      </c>
      <c r="DO99" s="12">
        <f>IF('Données projet'!$A$166&gt;35,DO98+DN99-DW98,IF(A99&lt;'Données projet'!$A$166,$DL$205^A99,IF(A99='Données projet'!$A$166,'Données projet'!$B$166,DO98+DN99-DW98)))</f>
        <v>337.99999999999966</v>
      </c>
      <c r="DP99" s="17">
        <f>DO99*VLOOKUP('Données projet'!$B$14,Paramètres!$A$1:$I$89,3,0)*VLOOKUP('Données projet'!$B$14,Paramètres!$A$1:$I$89,5,0)</f>
        <v>305.82239999999967</v>
      </c>
      <c r="DQ99" s="13">
        <f t="shared" si="97"/>
        <v>72.39569329126887</v>
      </c>
      <c r="DR99" s="20">
        <f t="shared" si="70"/>
        <v>658.72984581562605</v>
      </c>
      <c r="DS99" s="59">
        <f t="shared" si="71"/>
        <v>952.06317914895931</v>
      </c>
      <c r="DT99" s="59">
        <f ca="1">AVERAGE(OFFSET($DS$3,0,0,'Données projet'!$E$14+1,1))-AVERAGE(OFFSET($H$3,0,0,'Données projet'!$E$14+1,1))</f>
        <v>401.17301323870578</v>
      </c>
      <c r="DU99" s="59">
        <f t="shared" si="98"/>
        <v>201.57993789149754</v>
      </c>
      <c r="DV99" s="15">
        <f>IF(ISNA(VLOOKUP(A99,'Données projet'!$A$165:$I$185,3,0)),0,VLOOKUP(A99,'Données projet'!$A$165:$I$185,3,0))</f>
        <v>8</v>
      </c>
      <c r="DW99" s="15">
        <f>IF(ISNA(VLOOKUP(A99,'Données projet'!$A$165:$I$185,4,0)),0,VLOOKUP(A99,'Données projet'!$A$165:$I$185,4,0))</f>
        <v>44</v>
      </c>
      <c r="DX99" s="16">
        <f>IF(ISNA(VLOOKUP(A99,'Données projet'!$A$165:$I$185,5,0)),0%,VLOOKUP(A99,'Données projet'!$A$165:$I$185,5,0)*VLOOKUP('Données projet'!$B$14,Paramètres!$A$1:$I$89,7,0))</f>
        <v>0.17200000000000001</v>
      </c>
      <c r="DY99" s="16">
        <f>IF(ISNA(VLOOKUP(A99,'Données projet'!$A$165:$I$185,6,0)),0%,VLOOKUP(A99,'Données projet'!$A$165:$I$185,6,0)*VLOOKUP('Données projet'!$B$14,Paramètres!$A$1:$I$89,7,0))</f>
        <v>0.129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13.903680789302218</v>
      </c>
      <c r="EB99" s="21">
        <f>EXP(-LN(2)/25)*EB98+(1-EXP(-LN(2)/25))/(LN(2)/25)*Calculateur!DW99*Calculateur!DY99*VLOOKUP('Données projet'!$B$14,Paramètres!$A$1:$I$89,3,0)*0.475*44/12</f>
        <v>33.029801905078003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46.933482694380217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1.7053025658242404E-13</v>
      </c>
      <c r="EK99" s="17">
        <f>EJ99*VLOOKUP('Données projet'!$B$15,Paramètres!$A$1:$I$89,3,0)*VLOOKUP('Données projet'!$B$15,Paramètres!$A$1:$I$89,5,0)</f>
        <v>1.4897523215040567E-13</v>
      </c>
      <c r="EL99" s="13">
        <f t="shared" si="99"/>
        <v>2.136562777003313E-12</v>
      </c>
      <c r="EM99" s="20">
        <f t="shared" si="73"/>
        <v>3.9806453659427267E-12</v>
      </c>
      <c r="EN99" s="59">
        <f t="shared" si="74"/>
        <v>293.33333333333729</v>
      </c>
      <c r="EO99" s="59">
        <f ca="1">AVERAGE(OFFSET($EN$3,0,0,'Données projet'!$E$15+1,1))-AVERAGE(OFFSET($H$3,0,0,'Données projet'!$E$15+1,1))</f>
        <v>237.8483058552178</v>
      </c>
      <c r="EP99" s="59">
        <f t="shared" si="100"/>
        <v>313.36201272119723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48.619716401965562</v>
      </c>
      <c r="EW99" s="21">
        <f>EXP(-LN(2)/25)*EW98+(1-EXP(-LN(2)/25))/(LN(2)/25)*Calculateur!ER99*Calculateur!ET99*VLOOKUP('Données projet'!$B$15,Paramètres!$A$1:$I$89,3,0)*0.475*44/12</f>
        <v>2.5797458065083636</v>
      </c>
      <c r="EX99" s="21">
        <f>EXP(-LN(2)/2)*EX98+(1-EXP(-LN(2)/2))/(LN(2)/2)*ER99*EU99*VLOOKUP('Données projet'!$B$15,Paramètres!$A$1:$I$89,3,0)*0.475*44/12</f>
        <v>5.028150508559372E-3</v>
      </c>
      <c r="EY99" s="22">
        <f t="shared" si="75"/>
        <v>51.204490358982483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-2.8421709430404007E-13</v>
      </c>
      <c r="FF99" s="17">
        <f>FE99*VLOOKUP('Données projet'!$B$16,Paramètres!$A$1:$I$89,3,0)*VLOOKUP('Données projet'!$B$16,Paramètres!$A$1:$I$89,5,0)</f>
        <v>-2.2168933355715128E-13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318.52984981739411</v>
      </c>
      <c r="FK99" s="59">
        <f t="shared" si="102"/>
        <v>311.56398336941714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86.347265553189089</v>
      </c>
      <c r="FR99" s="21">
        <f>EXP(-LN(2)/25)*FR98+(1-EXP(-LN(2)/25))/(LN(2)/25)*Calculateur!FM99*Calculateur!FO99*VLOOKUP('Données projet'!$B$16,Paramètres!$A$1:$I$89,3,0)*0.475*44/12</f>
        <v>2.5753828842577358</v>
      </c>
      <c r="FS99" s="21">
        <f>EXP(-LN(2)/2)*FS98+(1-EXP(-LN(2)/2))/(LN(2)/2)*FM99*FP99*VLOOKUP('Données projet'!$B$16,Paramètres!$A$1:$I$89,3,0)*0.475*44/12</f>
        <v>0.22081575036444773</v>
      </c>
      <c r="FT99" s="22">
        <f t="shared" si="78"/>
        <v>89.143464187811276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-2.8421709430404007E-13</v>
      </c>
      <c r="GA99" s="17">
        <f>FZ99*VLOOKUP('Données projet'!$B$17,Paramètres!$A$1:$I$89,3,0)*VLOOKUP('Données projet'!$B$17,Paramètres!$A$1:$I$89,5,0)</f>
        <v>-2.2612312022829427E-13</v>
      </c>
      <c r="GB99" s="13" t="e">
        <f t="shared" si="103"/>
        <v>#NUM!</v>
      </c>
      <c r="GC99" s="20" t="e">
        <f t="shared" si="79"/>
        <v>#NUM!</v>
      </c>
      <c r="GD99" s="59" t="e">
        <f t="shared" si="80"/>
        <v>#NUM!</v>
      </c>
      <c r="GE99" s="59">
        <f ca="1">AVERAGE(OFFSET($GD$3,0,0,'Données projet'!$E$17+1,1))-AVERAGE(OFFSET($H$3,0,0,'Données projet'!$E$17+1,1))</f>
        <v>325.72928944930294</v>
      </c>
      <c r="GF99" s="59">
        <f t="shared" si="104"/>
        <v>318.38876834819752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108.55658548384656</v>
      </c>
      <c r="GM99" s="21">
        <f>EXP(-LN(2)/25)*GM98+(1-EXP(-LN(2)/25))/(LN(2)/25)*Calculateur!GH99*Calculateur!GJ99*VLOOKUP('Données projet'!$B$17,Paramètres!$A$1:$I$89,3,0)*0.475*44/12</f>
        <v>3.2377953191389102</v>
      </c>
      <c r="GN99" s="21">
        <f>EXP(-LN(2)/2)*GN98+(1-EXP(-LN(2)/2))/(LN(2)/2)*GH99*GK99*VLOOKUP('Données projet'!$B$17,Paramètres!$A$1:$I$89,3,0)*0.475*44/12</f>
        <v>0.22523206537173635</v>
      </c>
      <c r="GO99" s="21">
        <f t="shared" si="81"/>
        <v>112.01961286835721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-2.8421709430404007E-13</v>
      </c>
      <c r="GV99" s="17">
        <f>GU99*VLOOKUP('Données projet'!$B$18,Paramètres!$A$1:$I$89,3,0)*VLOOKUP('Données projet'!$B$18,Paramètres!$A$1:$I$89,5,0)</f>
        <v>-1.9065282685915009E-13</v>
      </c>
      <c r="GW99" s="13" t="e">
        <f t="shared" si="105"/>
        <v>#NUM!</v>
      </c>
      <c r="GX99" s="20" t="e">
        <f t="shared" si="82"/>
        <v>#NUM!</v>
      </c>
      <c r="GY99" s="59" t="e">
        <f t="shared" si="83"/>
        <v>#NUM!</v>
      </c>
      <c r="GZ99" s="59">
        <f ca="1">AVERAGE(OFFSET($GY$3,0,0,'Données projet'!$E$18+1,1))-AVERAGE(OFFSET($H$3,0,0,'Données projet'!$E$18+1,1))</f>
        <v>268.04554291387961</v>
      </c>
      <c r="HA99" s="59">
        <f t="shared" si="106"/>
        <v>263.70463099437148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91.528101486380422</v>
      </c>
      <c r="HH99" s="21">
        <f>EXP(-LN(2)/25)*HH98+(1-EXP(-LN(2)/25))/(LN(2)/25)*Calculateur!HC99*Calculateur!HE99*VLOOKUP('Données projet'!$B$18,Paramètres!$A$1:$I$89,3,0)*0.475*44/12</f>
        <v>2.7299058573132018</v>
      </c>
      <c r="HI99" s="21">
        <f>EXP(-LN(2)/2)*HI98+(1-EXP(-LN(2)/2))/(LN(2)/2)*HC99*HF99*VLOOKUP('Données projet'!$B$18,Paramètres!$A$1:$I$89,3,0)*0.475*44/12</f>
        <v>0.18990154531342476</v>
      </c>
      <c r="HJ99" s="22">
        <f t="shared" si="84"/>
        <v>94.447908889007039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-2.5124791136477146E-14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46.095319339746538</v>
      </c>
      <c r="T100" s="59">
        <f t="shared" si="88"/>
        <v>48.158174304064403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43.134639623485803</v>
      </c>
      <c r="AA100" s="21">
        <f>EXP(-LN(2)/25)*AA99+(1-EXP(-LN(2)/25))/(LN(2)/25)*Calculateur!V100*Calculateur!X100*VLOOKUP('Données projet'!$B$9,Paramètres!$A$1:$I$89,3,0)*0.475*44/12</f>
        <v>17.102342798195846</v>
      </c>
      <c r="AB100" s="21">
        <f>EXP(-LN(2)/2)*AB99+(1-EXP(-LN(2)/2))/(LN(2)/2)*V100*Y100*VLOOKUP('Données projet'!$B$9,Paramètres!$A$1:$I$89,3,0)*0.475*44/12</f>
        <v>4.0790686346503922E-2</v>
      </c>
      <c r="AC100" s="22">
        <f t="shared" si="57"/>
        <v>60.27777310802815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-6.7984728957526396E-14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408.84545509668794</v>
      </c>
      <c r="AO100" s="59">
        <f t="shared" si="90"/>
        <v>409.9253979841132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90.390810079288769</v>
      </c>
      <c r="AV100" s="21">
        <f>EXP(-LN(2)/25)*AV99+(1-EXP(-LN(2)/25))/(LN(2)/25)*Calculateur!AQ100*Calculateur!AS100*VLOOKUP('Données projet'!$B$10,Paramètres!$A$1:$I$89,3,0)*0.475*44/12</f>
        <v>27.334511414820209</v>
      </c>
      <c r="AW100" s="21">
        <f>EXP(-LN(2)/2)*AW99+(1-EXP(-LN(2)/2))/(LN(2)/2)*AQ100*AT100*VLOOKUP('Données projet'!$B$10,Paramètres!$A$1:$I$89,3,0)*0.475*44/12</f>
        <v>2.5322337949728344E-4</v>
      </c>
      <c r="AX100" s="21">
        <f t="shared" si="60"/>
        <v>117.72557471748848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-1.1368683772161603E-13</v>
      </c>
      <c r="BE100" s="13">
        <f>BD100*VLOOKUP('Données projet'!$B$11,Paramètres!$A$1:$I$89,3,0)*VLOOKUP('Données projet'!$B$11,Paramètres!$A$1:$I$89,5,0)</f>
        <v>-6.7984728957526396E-14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279.69031306919914</v>
      </c>
      <c r="BJ100" s="59">
        <f t="shared" si="92"/>
        <v>297.01680128882509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82.007708972601677</v>
      </c>
      <c r="BQ100" s="21">
        <f>EXP(-LN(2)/25)*BQ99+(1-EXP(-LN(2)/25))/(LN(2)/25)*Calculateur!BL100*Calculateur!BN100*VLOOKUP('Données projet'!$B$11,Paramètres!$A$1:$I$89,3,0)*0.475*44/12</f>
        <v>31.005551347160932</v>
      </c>
      <c r="BR100" s="21">
        <f>EXP(-LN(2)/2)*BR99+(1-EXP(-LN(2)/2))/(LN(2)/2)*BL100*BO100*VLOOKUP('Données projet'!$B$11,Paramètres!$A$1:$I$89,3,0)*0.475*44/12</f>
        <v>5.9080416475166815E-4</v>
      </c>
      <c r="BS100" s="22">
        <f t="shared" si="63"/>
        <v>113.01385112392737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81.299024916151723</v>
      </c>
      <c r="CE100" s="59">
        <f t="shared" si="94"/>
        <v>88.106373324240167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24.255946315801157</v>
      </c>
      <c r="CL100" s="21">
        <f>EXP(-LN(2)/25)*CL99+(1-EXP(-LN(2)/25))/(LN(2)/25)*Calculateur!CG100*Calculateur!CI100*VLOOKUP('Données projet'!$B$12,Paramètres!$A$1:$I$89,3,0)*0.475*44/12</f>
        <v>8.2943639956518798</v>
      </c>
      <c r="CM100" s="21">
        <f>EXP(-LN(2)/2)*CM99+(1-EXP(-LN(2)/2))/(LN(2)/2)*CG100*CJ100*VLOOKUP('Données projet'!$B$12,Paramètres!$A$1:$I$89,3,0)*0.475*44/12</f>
        <v>6.4752611382630306E-5</v>
      </c>
      <c r="CN100" s="22">
        <f t="shared" si="66"/>
        <v>32.550375064064418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-3.4106051316484809E-13</v>
      </c>
      <c r="CU100" s="17">
        <f>CT100*VLOOKUP('Données projet'!$B$13,Paramètres!$A$1:$I$89,3,0)*VLOOKUP('Données projet'!$B$13,Paramètres!$A$1:$I$89,5,0)</f>
        <v>-1.9065282685915009E-13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475.42482703895411</v>
      </c>
      <c r="CZ100" s="59">
        <f t="shared" si="96"/>
        <v>593.51433014569966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165.69374631946187</v>
      </c>
      <c r="DG100" s="21">
        <f>EXP(-LN(2)/25)*DG99+(1-EXP(-LN(2)/25))/(LN(2)/25)*Calculateur!DB100*Calculateur!DD100*VLOOKUP('Données projet'!$B$13,Paramètres!$A$1:$I$89,3,0)*0.475*44/12</f>
        <v>26.662220232188119</v>
      </c>
      <c r="DH100" s="21">
        <f>EXP(-LN(2)/2)*DH99+(1-EXP(-LN(2)/2))/(LN(2)/2)*DB100*DE100*VLOOKUP('Données projet'!$B$13,Paramètres!$A$1:$I$89,3,0)*0.475*44/12</f>
        <v>7.5084638882444801E-4</v>
      </c>
      <c r="DI100" s="22">
        <f t="shared" si="69"/>
        <v>192.35671739803882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7.1111111111111107</v>
      </c>
      <c r="DO100" s="12">
        <f>IF('Données projet'!$A$166&gt;35,DO99+DN100-DW99,IF(A100&lt;'Données projet'!$A$166,$DL$205^A100,IF(A100='Données projet'!$A$166,'Données projet'!$B$166,DO99+DN100-DW99)))</f>
        <v>301.11111111111074</v>
      </c>
      <c r="DP100" s="17">
        <f>DO100*VLOOKUP('Données projet'!$B$14,Paramètres!$A$1:$I$89,3,0)*VLOOKUP('Données projet'!$B$14,Paramètres!$A$1:$I$89,5,0)</f>
        <v>272.445333333333</v>
      </c>
      <c r="DQ100" s="13">
        <f t="shared" si="97"/>
        <v>65.367958107525453</v>
      </c>
      <c r="DR100" s="20">
        <f t="shared" si="70"/>
        <v>588.35814925949501</v>
      </c>
      <c r="DS100" s="59">
        <f t="shared" si="71"/>
        <v>881.69148259282838</v>
      </c>
      <c r="DT100" s="59">
        <f ca="1">AVERAGE(OFFSET($DS$3,0,0,'Données projet'!$E$14+1,1))-AVERAGE(OFFSET($H$3,0,0,'Données projet'!$E$14+1,1))</f>
        <v>401.17301323870578</v>
      </c>
      <c r="DU100" s="59">
        <f t="shared" si="98"/>
        <v>201.57993789149754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13.631038089431913</v>
      </c>
      <c r="EB100" s="21">
        <f>EXP(-LN(2)/25)*EB99+(1-EXP(-LN(2)/25))/(LN(2)/25)*Calculateur!DW100*Calculateur!DY100*VLOOKUP('Données projet'!$B$14,Paramètres!$A$1:$I$89,3,0)*0.475*44/12</f>
        <v>32.126600235021854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45.757638324453765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1.7053025658242404E-13</v>
      </c>
      <c r="EK100" s="17">
        <f>EJ100*VLOOKUP('Données projet'!$B$15,Paramètres!$A$1:$I$89,3,0)*VLOOKUP('Données projet'!$B$15,Paramètres!$A$1:$I$89,5,0)</f>
        <v>1.4897523215040567E-13</v>
      </c>
      <c r="EL100" s="13">
        <f t="shared" si="99"/>
        <v>2.136562777003313E-12</v>
      </c>
      <c r="EM100" s="20">
        <f t="shared" si="73"/>
        <v>3.9806453659427267E-12</v>
      </c>
      <c r="EN100" s="59">
        <f t="shared" si="74"/>
        <v>293.33333333333729</v>
      </c>
      <c r="EO100" s="59">
        <f ca="1">AVERAGE(OFFSET($EN$3,0,0,'Données projet'!$E$15+1,1))-AVERAGE(OFFSET($H$3,0,0,'Données projet'!$E$15+1,1))</f>
        <v>237.8483058552178</v>
      </c>
      <c r="EP100" s="59">
        <f t="shared" si="100"/>
        <v>313.36201272119723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47.666313418421822</v>
      </c>
      <c r="EW100" s="21">
        <f>EXP(-LN(2)/25)*EW99+(1-EXP(-LN(2)/25))/(LN(2)/25)*Calculateur!ER100*Calculateur!ET100*VLOOKUP('Données projet'!$B$15,Paramètres!$A$1:$I$89,3,0)*0.475*44/12</f>
        <v>2.5092025217664564</v>
      </c>
      <c r="EX100" s="21">
        <f>EXP(-LN(2)/2)*EX99+(1-EXP(-LN(2)/2))/(LN(2)/2)*ER100*EU100*VLOOKUP('Données projet'!$B$15,Paramètres!$A$1:$I$89,3,0)*0.475*44/12</f>
        <v>3.5554393214289196E-3</v>
      </c>
      <c r="EY100" s="22">
        <f t="shared" si="75"/>
        <v>50.179071379509708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-2.8421709430404007E-13</v>
      </c>
      <c r="FF100" s="17">
        <f>FE100*VLOOKUP('Données projet'!$B$16,Paramètres!$A$1:$I$89,3,0)*VLOOKUP('Données projet'!$B$16,Paramètres!$A$1:$I$89,5,0)</f>
        <v>-2.2168933355715128E-13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318.52984981739411</v>
      </c>
      <c r="FK100" s="59">
        <f t="shared" si="102"/>
        <v>311.56398336941714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84.654048342322639</v>
      </c>
      <c r="FR100" s="21">
        <f>EXP(-LN(2)/25)*FR99+(1-EXP(-LN(2)/25))/(LN(2)/25)*Calculateur!FM100*Calculateur!FO100*VLOOKUP('Données projet'!$B$16,Paramètres!$A$1:$I$89,3,0)*0.475*44/12</f>
        <v>2.5049589038542082</v>
      </c>
      <c r="FS100" s="21">
        <f>EXP(-LN(2)/2)*FS99+(1-EXP(-LN(2)/2))/(LN(2)/2)*FM100*FP100*VLOOKUP('Données projet'!$B$16,Paramètres!$A$1:$I$89,3,0)*0.475*44/12</f>
        <v>0.15614031447549684</v>
      </c>
      <c r="FT100" s="22">
        <f t="shared" si="78"/>
        <v>87.315147560652335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-2.8421709430404007E-13</v>
      </c>
      <c r="GA100" s="17">
        <f>FZ100*VLOOKUP('Données projet'!$B$17,Paramètres!$A$1:$I$89,3,0)*VLOOKUP('Données projet'!$B$17,Paramètres!$A$1:$I$89,5,0)</f>
        <v>-2.2612312022829427E-13</v>
      </c>
      <c r="GB100" s="13" t="e">
        <f t="shared" si="103"/>
        <v>#NUM!</v>
      </c>
      <c r="GC100" s="20" t="e">
        <f t="shared" si="79"/>
        <v>#NUM!</v>
      </c>
      <c r="GD100" s="59" t="e">
        <f t="shared" si="80"/>
        <v>#NUM!</v>
      </c>
      <c r="GE100" s="59">
        <f ca="1">AVERAGE(OFFSET($GD$3,0,0,'Données projet'!$E$17+1,1))-AVERAGE(OFFSET($H$3,0,0,'Données projet'!$E$17+1,1))</f>
        <v>325.72928944930294</v>
      </c>
      <c r="GF100" s="59">
        <f t="shared" si="104"/>
        <v>318.38876834819752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106.42785705548749</v>
      </c>
      <c r="GM100" s="21">
        <f>EXP(-LN(2)/25)*GM99+(1-EXP(-LN(2)/25))/(LN(2)/25)*Calculateur!GH100*Calculateur!GJ100*VLOOKUP('Données projet'!$B$17,Paramètres!$A$1:$I$89,3,0)*0.475*44/12</f>
        <v>3.1492576358688007</v>
      </c>
      <c r="GN100" s="21">
        <f>EXP(-LN(2)/2)*GN99+(1-EXP(-LN(2)/2))/(LN(2)/2)*GH100*GK100*VLOOKUP('Données projet'!$B$17,Paramètres!$A$1:$I$89,3,0)*0.475*44/12</f>
        <v>0.15926312076500654</v>
      </c>
      <c r="GO100" s="21">
        <f t="shared" si="81"/>
        <v>109.7363778121213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-2.8421709430404007E-13</v>
      </c>
      <c r="GV100" s="17">
        <f>GU100*VLOOKUP('Données projet'!$B$18,Paramètres!$A$1:$I$89,3,0)*VLOOKUP('Données projet'!$B$18,Paramètres!$A$1:$I$89,5,0)</f>
        <v>-1.9065282685915009E-13</v>
      </c>
      <c r="GW100" s="13" t="e">
        <f t="shared" si="105"/>
        <v>#NUM!</v>
      </c>
      <c r="GX100" s="20" t="e">
        <f t="shared" si="82"/>
        <v>#NUM!</v>
      </c>
      <c r="GY100" s="59" t="e">
        <f t="shared" si="83"/>
        <v>#NUM!</v>
      </c>
      <c r="GZ100" s="59">
        <f ca="1">AVERAGE(OFFSET($GY$3,0,0,'Données projet'!$E$18+1,1))-AVERAGE(OFFSET($H$3,0,0,'Données projet'!$E$18+1,1))</f>
        <v>268.04554291387961</v>
      </c>
      <c r="HA100" s="59">
        <f t="shared" si="106"/>
        <v>263.70463099437148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89.733291242861981</v>
      </c>
      <c r="HH100" s="21">
        <f>EXP(-LN(2)/25)*HH99+(1-EXP(-LN(2)/25))/(LN(2)/25)*Calculateur!HC100*Calculateur!HE100*VLOOKUP('Données projet'!$B$18,Paramètres!$A$1:$I$89,3,0)*0.475*44/12</f>
        <v>2.6552564380854626</v>
      </c>
      <c r="HI100" s="21">
        <f>EXP(-LN(2)/2)*HI99+(1-EXP(-LN(2)/2))/(LN(2)/2)*HC100*HF100*VLOOKUP('Données projet'!$B$18,Paramètres!$A$1:$I$89,3,0)*0.475*44/12</f>
        <v>0.13428067044892708</v>
      </c>
      <c r="HJ100" s="22">
        <f t="shared" si="84"/>
        <v>92.52282835139637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-2.5124791136477146E-14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46.095319339746538</v>
      </c>
      <c r="T101" s="59">
        <f t="shared" si="88"/>
        <v>48.158174304064403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42.288795650001568</v>
      </c>
      <c r="AA101" s="21">
        <f>EXP(-LN(2)/25)*AA100+(1-EXP(-LN(2)/25))/(LN(2)/25)*Calculateur!V101*Calculateur!X101*VLOOKUP('Données projet'!$B$9,Paramètres!$A$1:$I$89,3,0)*0.475*44/12</f>
        <v>16.634678335006061</v>
      </c>
      <c r="AB101" s="21">
        <f>EXP(-LN(2)/2)*AB100+(1-EXP(-LN(2)/2))/(LN(2)/2)*V101*Y101*VLOOKUP('Données projet'!$B$9,Paramètres!$A$1:$I$89,3,0)*0.475*44/12</f>
        <v>2.8843370924866444E-2</v>
      </c>
      <c r="AC101" s="22">
        <f t="shared" si="57"/>
        <v>58.9523173559325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-6.7984728957526396E-14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408.84545509668794</v>
      </c>
      <c r="AO101" s="59">
        <f t="shared" si="90"/>
        <v>409.9253979841132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88.618301426584139</v>
      </c>
      <c r="AV101" s="21">
        <f>EXP(-LN(2)/25)*AV100+(1-EXP(-LN(2)/25))/(LN(2)/25)*Calculateur!AQ101*Calculateur!AS101*VLOOKUP('Données projet'!$B$10,Paramètres!$A$1:$I$89,3,0)*0.475*44/12</f>
        <v>26.58704776272247</v>
      </c>
      <c r="AW101" s="21">
        <f>EXP(-LN(2)/2)*AW100+(1-EXP(-LN(2)/2))/(LN(2)/2)*AQ101*AT101*VLOOKUP('Données projet'!$B$10,Paramètres!$A$1:$I$89,3,0)*0.475*44/12</f>
        <v>1.7905596879750369E-4</v>
      </c>
      <c r="AX101" s="21">
        <f t="shared" si="60"/>
        <v>115.20552824527542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-1.1368683772161603E-13</v>
      </c>
      <c r="BE101" s="13">
        <f>BD101*VLOOKUP('Données projet'!$B$11,Paramètres!$A$1:$I$89,3,0)*VLOOKUP('Données projet'!$B$11,Paramètres!$A$1:$I$89,5,0)</f>
        <v>-6.7984728957526396E-14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279.69031306919914</v>
      </c>
      <c r="BJ101" s="59">
        <f t="shared" si="92"/>
        <v>297.01680128882509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80.399587819412389</v>
      </c>
      <c r="BQ101" s="21">
        <f>EXP(-LN(2)/25)*BQ100+(1-EXP(-LN(2)/25))/(LN(2)/25)*Calculateur!BL101*Calculateur!BN101*VLOOKUP('Données projet'!$B$11,Paramètres!$A$1:$I$89,3,0)*0.475*44/12</f>
        <v>30.157702915061734</v>
      </c>
      <c r="BR101" s="21">
        <f>EXP(-LN(2)/2)*BR100+(1-EXP(-LN(2)/2))/(LN(2)/2)*BL101*BO101*VLOOKUP('Données projet'!$B$11,Paramètres!$A$1:$I$89,3,0)*0.475*44/12</f>
        <v>4.1776163124915879E-4</v>
      </c>
      <c r="BS101" s="22">
        <f t="shared" si="63"/>
        <v>110.55770849610538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81.299024916151723</v>
      </c>
      <c r="CE101" s="59">
        <f t="shared" si="94"/>
        <v>88.106373324240167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23.780302003214697</v>
      </c>
      <c r="CL101" s="21">
        <f>EXP(-LN(2)/25)*CL100+(1-EXP(-LN(2)/25))/(LN(2)/25)*Calculateur!CG101*Calculateur!CI101*VLOOKUP('Données projet'!$B$12,Paramètres!$A$1:$I$89,3,0)*0.475*44/12</f>
        <v>8.0675541760091338</v>
      </c>
      <c r="CM101" s="21">
        <f>EXP(-LN(2)/2)*CM100+(1-EXP(-LN(2)/2))/(LN(2)/2)*CG101*CJ101*VLOOKUP('Données projet'!$B$12,Paramètres!$A$1:$I$89,3,0)*0.475*44/12</f>
        <v>4.5787010608195116E-5</v>
      </c>
      <c r="CN101" s="22">
        <f t="shared" si="66"/>
        <v>31.847901966234442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-3.4106051316484809E-13</v>
      </c>
      <c r="CU101" s="17">
        <f>CT101*VLOOKUP('Données projet'!$B$13,Paramètres!$A$1:$I$89,3,0)*VLOOKUP('Données projet'!$B$13,Paramètres!$A$1:$I$89,5,0)</f>
        <v>-1.9065282685915009E-13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475.42482703895411</v>
      </c>
      <c r="CZ101" s="59">
        <f t="shared" si="96"/>
        <v>593.51433014569966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162.44459301734332</v>
      </c>
      <c r="DG101" s="21">
        <f>EXP(-LN(2)/25)*DG100+(1-EXP(-LN(2)/25))/(LN(2)/25)*Calculateur!DB101*Calculateur!DD101*VLOOKUP('Données projet'!$B$13,Paramètres!$A$1:$I$89,3,0)*0.475*44/12</f>
        <v>25.933140417833709</v>
      </c>
      <c r="DH101" s="21">
        <f>EXP(-LN(2)/2)*DH100+(1-EXP(-LN(2)/2))/(LN(2)/2)*DB101*DE101*VLOOKUP('Données projet'!$B$13,Paramètres!$A$1:$I$89,3,0)*0.475*44/12</f>
        <v>5.3092857316719834E-4</v>
      </c>
      <c r="DI101" s="22">
        <f t="shared" si="69"/>
        <v>188.37826436375019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7.1111111111111107</v>
      </c>
      <c r="DO101" s="12">
        <f>IF('Données projet'!$A$166&gt;35,DO100+DN101-DW100,IF(A101&lt;'Données projet'!$A$166,$DL$205^A101,IF(A101='Données projet'!$A$166,'Données projet'!$B$166,DO100+DN101-DW100)))</f>
        <v>308.22222222222183</v>
      </c>
      <c r="DP101" s="17">
        <f>DO101*VLOOKUP('Données projet'!$B$14,Paramètres!$A$1:$I$89,3,0)*VLOOKUP('Données projet'!$B$14,Paramètres!$A$1:$I$89,5,0)</f>
        <v>278.8794666666663</v>
      </c>
      <c r="DQ101" s="13">
        <f t="shared" si="97"/>
        <v>66.730152740440701</v>
      </c>
      <c r="DR101" s="20">
        <f t="shared" si="70"/>
        <v>601.93675380071136</v>
      </c>
      <c r="DS101" s="59">
        <f t="shared" si="71"/>
        <v>895.27008713404462</v>
      </c>
      <c r="DT101" s="59">
        <f ca="1">AVERAGE(OFFSET($DS$3,0,0,'Données projet'!$E$14+1,1))-AVERAGE(OFFSET($H$3,0,0,'Données projet'!$E$14+1,1))</f>
        <v>401.17301323870578</v>
      </c>
      <c r="DU101" s="59">
        <f t="shared" si="98"/>
        <v>201.57993789149754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13.363741746610437</v>
      </c>
      <c r="EB101" s="21">
        <f>EXP(-LN(2)/25)*EB100+(1-EXP(-LN(2)/25))/(LN(2)/25)*Calculateur!DW101*Calculateur!DY101*VLOOKUP('Données projet'!$B$14,Paramètres!$A$1:$I$89,3,0)*0.475*44/12</f>
        <v>31.248096662130703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44.611838408741136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1.7053025658242404E-13</v>
      </c>
      <c r="EK101" s="17">
        <f>EJ101*VLOOKUP('Données projet'!$B$15,Paramètres!$A$1:$I$89,3,0)*VLOOKUP('Données projet'!$B$15,Paramètres!$A$1:$I$89,5,0)</f>
        <v>1.4897523215040567E-13</v>
      </c>
      <c r="EL101" s="13">
        <f t="shared" si="99"/>
        <v>2.136562777003313E-12</v>
      </c>
      <c r="EM101" s="20">
        <f t="shared" si="73"/>
        <v>3.9806453659427267E-12</v>
      </c>
      <c r="EN101" s="59">
        <f t="shared" si="74"/>
        <v>293.33333333333729</v>
      </c>
      <c r="EO101" s="59">
        <f ca="1">AVERAGE(OFFSET($EN$3,0,0,'Données projet'!$E$15+1,1))-AVERAGE(OFFSET($H$3,0,0,'Données projet'!$E$15+1,1))</f>
        <v>237.8483058552178</v>
      </c>
      <c r="EP101" s="59">
        <f t="shared" si="100"/>
        <v>313.36201272119723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46.731606085866979</v>
      </c>
      <c r="EW101" s="21">
        <f>EXP(-LN(2)/25)*EW100+(1-EXP(-LN(2)/25))/(LN(2)/25)*Calculateur!ER101*Calculateur!ET101*VLOOKUP('Données projet'!$B$15,Paramètres!$A$1:$I$89,3,0)*0.475*44/12</f>
        <v>2.4405882468555271</v>
      </c>
      <c r="EX101" s="21">
        <f>EXP(-LN(2)/2)*EX100+(1-EXP(-LN(2)/2))/(LN(2)/2)*ER101*EU101*VLOOKUP('Données projet'!$B$15,Paramètres!$A$1:$I$89,3,0)*0.475*44/12</f>
        <v>2.514075254279686E-3</v>
      </c>
      <c r="EY101" s="22">
        <f t="shared" si="75"/>
        <v>49.174708407976787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-2.8421709430404007E-13</v>
      </c>
      <c r="FF101" s="17">
        <f>FE101*VLOOKUP('Données projet'!$B$16,Paramètres!$A$1:$I$89,3,0)*VLOOKUP('Données projet'!$B$16,Paramètres!$A$1:$I$89,5,0)</f>
        <v>-2.2168933355715128E-13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318.52984981739411</v>
      </c>
      <c r="FK101" s="59">
        <f t="shared" si="102"/>
        <v>311.56398336941714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82.994034088200763</v>
      </c>
      <c r="FR101" s="21">
        <f>EXP(-LN(2)/25)*FR100+(1-EXP(-LN(2)/25))/(LN(2)/25)*Calculateur!FM101*Calculateur!FO101*VLOOKUP('Données projet'!$B$16,Paramètres!$A$1:$I$89,3,0)*0.475*44/12</f>
        <v>2.4364606708982515</v>
      </c>
      <c r="FS101" s="21">
        <f>EXP(-LN(2)/2)*FS100+(1-EXP(-LN(2)/2))/(LN(2)/2)*FM101*FP101*VLOOKUP('Données projet'!$B$16,Paramètres!$A$1:$I$89,3,0)*0.475*44/12</f>
        <v>0.11040787518222386</v>
      </c>
      <c r="FT101" s="22">
        <f t="shared" si="78"/>
        <v>85.540902634281238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-2.8421709430404007E-13</v>
      </c>
      <c r="GA101" s="17">
        <f>FZ101*VLOOKUP('Données projet'!$B$17,Paramètres!$A$1:$I$89,3,0)*VLOOKUP('Données projet'!$B$17,Paramètres!$A$1:$I$89,5,0)</f>
        <v>-2.2612312022829427E-13</v>
      </c>
      <c r="GB101" s="13" t="e">
        <f t="shared" si="103"/>
        <v>#NUM!</v>
      </c>
      <c r="GC101" s="20" t="e">
        <f t="shared" si="79"/>
        <v>#NUM!</v>
      </c>
      <c r="GD101" s="59" t="e">
        <f t="shared" si="80"/>
        <v>#NUM!</v>
      </c>
      <c r="GE101" s="59">
        <f ca="1">AVERAGE(OFFSET($GD$3,0,0,'Données projet'!$E$17+1,1))-AVERAGE(OFFSET($H$3,0,0,'Données projet'!$E$17+1,1))</f>
        <v>325.72928944930294</v>
      </c>
      <c r="GF101" s="59">
        <f t="shared" si="104"/>
        <v>318.38876834819752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104.34087169321241</v>
      </c>
      <c r="GM101" s="21">
        <f>EXP(-LN(2)/25)*GM100+(1-EXP(-LN(2)/25))/(LN(2)/25)*Calculateur!GH101*Calculateur!GJ101*VLOOKUP('Données projet'!$B$17,Paramètres!$A$1:$I$89,3,0)*0.475*44/12</f>
        <v>3.063141020203707</v>
      </c>
      <c r="GN101" s="21">
        <f>EXP(-LN(2)/2)*GN100+(1-EXP(-LN(2)/2))/(LN(2)/2)*GH101*GK101*VLOOKUP('Données projet'!$B$17,Paramètres!$A$1:$I$89,3,0)*0.475*44/12</f>
        <v>0.11261603268586817</v>
      </c>
      <c r="GO101" s="21">
        <f t="shared" si="81"/>
        <v>107.51662874610197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-2.8421709430404007E-13</v>
      </c>
      <c r="GV101" s="17">
        <f>GU101*VLOOKUP('Données projet'!$B$18,Paramètres!$A$1:$I$89,3,0)*VLOOKUP('Données projet'!$B$18,Paramètres!$A$1:$I$89,5,0)</f>
        <v>-1.9065282685915009E-13</v>
      </c>
      <c r="GW101" s="13" t="e">
        <f t="shared" si="105"/>
        <v>#NUM!</v>
      </c>
      <c r="GX101" s="20" t="e">
        <f t="shared" si="82"/>
        <v>#NUM!</v>
      </c>
      <c r="GY101" s="59" t="e">
        <f t="shared" si="83"/>
        <v>#NUM!</v>
      </c>
      <c r="GZ101" s="59">
        <f ca="1">AVERAGE(OFFSET($GY$3,0,0,'Données projet'!$E$18+1,1))-AVERAGE(OFFSET($H$3,0,0,'Données projet'!$E$18+1,1))</f>
        <v>268.04554291387961</v>
      </c>
      <c r="HA101" s="59">
        <f t="shared" si="106"/>
        <v>263.70463099437148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87.973676133492788</v>
      </c>
      <c r="HH101" s="21">
        <f>EXP(-LN(2)/25)*HH100+(1-EXP(-LN(2)/25))/(LN(2)/25)*Calculateur!HC101*Calculateur!HE101*VLOOKUP('Données projet'!$B$18,Paramètres!$A$1:$I$89,3,0)*0.475*44/12</f>
        <v>2.5826483111521483</v>
      </c>
      <c r="HI101" s="21">
        <f>EXP(-LN(2)/2)*HI100+(1-EXP(-LN(2)/2))/(LN(2)/2)*HC101*HF101*VLOOKUP('Données projet'!$B$18,Paramètres!$A$1:$I$89,3,0)*0.475*44/12</f>
        <v>9.4950772656712382E-2</v>
      </c>
      <c r="HJ101" s="22">
        <f t="shared" si="84"/>
        <v>90.651275217301645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-2.5124791136477146E-14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46.095319339746538</v>
      </c>
      <c r="T102" s="59">
        <f t="shared" si="88"/>
        <v>48.158174304064403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41.459538160923472</v>
      </c>
      <c r="AA102" s="21">
        <f>EXP(-LN(2)/25)*AA101+(1-EXP(-LN(2)/25))/(LN(2)/25)*Calculateur!V102*Calculateur!X102*VLOOKUP('Données projet'!$B$9,Paramètres!$A$1:$I$89,3,0)*0.475*44/12</f>
        <v>16.179802181155605</v>
      </c>
      <c r="AB102" s="21">
        <f>EXP(-LN(2)/2)*AB101+(1-EXP(-LN(2)/2))/(LN(2)/2)*V102*Y102*VLOOKUP('Données projet'!$B$9,Paramètres!$A$1:$I$89,3,0)*0.475*44/12</f>
        <v>2.0395343173251965E-2</v>
      </c>
      <c r="AC102" s="22">
        <f t="shared" si="57"/>
        <v>57.659735685252329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-6.7984728957526396E-14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408.84545509668794</v>
      </c>
      <c r="AO102" s="59">
        <f t="shared" si="90"/>
        <v>409.9253979841132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86.880550587435522</v>
      </c>
      <c r="AV102" s="21">
        <f>EXP(-LN(2)/25)*AV101+(1-EXP(-LN(2)/25))/(LN(2)/25)*Calculateur!AQ102*Calculateur!AS102*VLOOKUP('Données projet'!$B$10,Paramètres!$A$1:$I$89,3,0)*0.475*44/12</f>
        <v>25.860023543498748</v>
      </c>
      <c r="AW102" s="21">
        <f>EXP(-LN(2)/2)*AW101+(1-EXP(-LN(2)/2))/(LN(2)/2)*AQ102*AT102*VLOOKUP('Données projet'!$B$10,Paramètres!$A$1:$I$89,3,0)*0.475*44/12</f>
        <v>1.2661168974864172E-4</v>
      </c>
      <c r="AX102" s="21">
        <f t="shared" si="60"/>
        <v>112.74070074262403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-1.1368683772161603E-13</v>
      </c>
      <c r="BE102" s="13">
        <f>BD102*VLOOKUP('Données projet'!$B$11,Paramètres!$A$1:$I$89,3,0)*VLOOKUP('Données projet'!$B$11,Paramètres!$A$1:$I$89,5,0)</f>
        <v>-6.7984728957526396E-14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279.69031306919914</v>
      </c>
      <c r="BJ102" s="59">
        <f t="shared" si="92"/>
        <v>297.01680128882509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78.823000941180098</v>
      </c>
      <c r="BQ102" s="21">
        <f>EXP(-LN(2)/25)*BQ101+(1-EXP(-LN(2)/25))/(LN(2)/25)*Calculateur!BL102*Calculateur!BN102*VLOOKUP('Données projet'!$B$11,Paramètres!$A$1:$I$89,3,0)*0.475*44/12</f>
        <v>29.333038942924702</v>
      </c>
      <c r="BR102" s="21">
        <f>EXP(-LN(2)/2)*BR101+(1-EXP(-LN(2)/2))/(LN(2)/2)*BL102*BO102*VLOOKUP('Données projet'!$B$11,Paramètres!$A$1:$I$89,3,0)*0.475*44/12</f>
        <v>2.9540208237583407E-4</v>
      </c>
      <c r="BS102" s="22">
        <f t="shared" si="63"/>
        <v>108.15633528618717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81.299024916151723</v>
      </c>
      <c r="CE102" s="59">
        <f t="shared" si="94"/>
        <v>88.106373324240167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23.313984785483672</v>
      </c>
      <c r="CL102" s="21">
        <f>EXP(-LN(2)/25)*CL101+(1-EXP(-LN(2)/25))/(LN(2)/25)*Calculateur!CG102*Calculateur!CI102*VLOOKUP('Données projet'!$B$12,Paramètres!$A$1:$I$89,3,0)*0.475*44/12</f>
        <v>7.8469464828119282</v>
      </c>
      <c r="CM102" s="21">
        <f>EXP(-LN(2)/2)*CM101+(1-EXP(-LN(2)/2))/(LN(2)/2)*CG102*CJ102*VLOOKUP('Données projet'!$B$12,Paramètres!$A$1:$I$89,3,0)*0.475*44/12</f>
        <v>3.2376305691315153E-5</v>
      </c>
      <c r="CN102" s="22">
        <f t="shared" si="66"/>
        <v>31.160963644601289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-3.4106051316484809E-13</v>
      </c>
      <c r="CU102" s="17">
        <f>CT102*VLOOKUP('Données projet'!$B$13,Paramètres!$A$1:$I$89,3,0)*VLOOKUP('Données projet'!$B$13,Paramètres!$A$1:$I$89,5,0)</f>
        <v>-1.9065282685915009E-13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475.42482703895411</v>
      </c>
      <c r="CZ102" s="59">
        <f t="shared" si="96"/>
        <v>593.51433014569966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159.2591536296915</v>
      </c>
      <c r="DG102" s="21">
        <f>EXP(-LN(2)/25)*DG101+(1-EXP(-LN(2)/25))/(LN(2)/25)*Calculateur!DB102*Calculateur!DD102*VLOOKUP('Données projet'!$B$13,Paramètres!$A$1:$I$89,3,0)*0.475*44/12</f>
        <v>25.223997329343462</v>
      </c>
      <c r="DH102" s="21">
        <f>EXP(-LN(2)/2)*DH101+(1-EXP(-LN(2)/2))/(LN(2)/2)*DB102*DE102*VLOOKUP('Données projet'!$B$13,Paramètres!$A$1:$I$89,3,0)*0.475*44/12</f>
        <v>3.75423194412224E-4</v>
      </c>
      <c r="DI102" s="22">
        <f t="shared" si="69"/>
        <v>184.48352638222937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7.1111111111111107</v>
      </c>
      <c r="DO102" s="12">
        <f>IF('Données projet'!$A$166&gt;35,DO101+DN102-DW101,IF(A102&lt;'Données projet'!$A$166,$DL$205^A102,IF(A102='Données projet'!$A$166,'Données projet'!$B$166,DO101+DN102-DW101)))</f>
        <v>315.33333333333292</v>
      </c>
      <c r="DP102" s="17">
        <f>DO102*VLOOKUP('Données projet'!$B$14,Paramètres!$A$1:$I$89,3,0)*VLOOKUP('Données projet'!$B$14,Paramètres!$A$1:$I$89,5,0)</f>
        <v>285.31359999999961</v>
      </c>
      <c r="DQ102" s="13">
        <f t="shared" si="97"/>
        <v>68.088693753445611</v>
      </c>
      <c r="DR102" s="20">
        <f t="shared" si="70"/>
        <v>615.50899495391707</v>
      </c>
      <c r="DS102" s="59">
        <f t="shared" si="71"/>
        <v>908.84232828725044</v>
      </c>
      <c r="DT102" s="59">
        <f ca="1">AVERAGE(OFFSET($DS$3,0,0,'Données projet'!$E$14+1,1))-AVERAGE(OFFSET($H$3,0,0,'Données projet'!$E$14+1,1))</f>
        <v>401.17301323870578</v>
      </c>
      <c r="DU102" s="59">
        <f t="shared" si="98"/>
        <v>201.57993789149754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13.10168692203702</v>
      </c>
      <c r="EB102" s="21">
        <f>EXP(-LN(2)/25)*EB101+(1-EXP(-LN(2)/25))/(LN(2)/25)*Calculateur!DW102*Calculateur!DY102*VLOOKUP('Données projet'!$B$14,Paramètres!$A$1:$I$89,3,0)*0.475*44/12</f>
        <v>30.393615815638753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43.495302737675772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1.7053025658242404E-13</v>
      </c>
      <c r="EK102" s="17">
        <f>EJ102*VLOOKUP('Données projet'!$B$15,Paramètres!$A$1:$I$89,3,0)*VLOOKUP('Données projet'!$B$15,Paramètres!$A$1:$I$89,5,0)</f>
        <v>1.4897523215040567E-13</v>
      </c>
      <c r="EL102" s="13">
        <f t="shared" si="99"/>
        <v>2.136562777003313E-12</v>
      </c>
      <c r="EM102" s="20">
        <f t="shared" si="73"/>
        <v>3.9806453659427267E-12</v>
      </c>
      <c r="EN102" s="59">
        <f t="shared" si="74"/>
        <v>293.33333333333729</v>
      </c>
      <c r="EO102" s="59">
        <f ca="1">AVERAGE(OFFSET($EN$3,0,0,'Données projet'!$E$15+1,1))-AVERAGE(OFFSET($H$3,0,0,'Données projet'!$E$15+1,1))</f>
        <v>237.8483058552178</v>
      </c>
      <c r="EP102" s="59">
        <f t="shared" si="100"/>
        <v>313.36201272119723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45.815227793988356</v>
      </c>
      <c r="EW102" s="21">
        <f>EXP(-LN(2)/25)*EW101+(1-EXP(-LN(2)/25))/(LN(2)/25)*Calculateur!ER102*Calculateur!ET102*VLOOKUP('Données projet'!$B$15,Paramètres!$A$1:$I$89,3,0)*0.475*44/12</f>
        <v>2.3738502329003048</v>
      </c>
      <c r="EX102" s="21">
        <f>EXP(-LN(2)/2)*EX101+(1-EXP(-LN(2)/2))/(LN(2)/2)*ER102*EU102*VLOOKUP('Données projet'!$B$15,Paramètres!$A$1:$I$89,3,0)*0.475*44/12</f>
        <v>1.7777196607144598E-3</v>
      </c>
      <c r="EY102" s="22">
        <f t="shared" si="75"/>
        <v>48.190855746549374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-2.8421709430404007E-13</v>
      </c>
      <c r="FF102" s="17">
        <f>FE102*VLOOKUP('Données projet'!$B$16,Paramètres!$A$1:$I$89,3,0)*VLOOKUP('Données projet'!$B$16,Paramètres!$A$1:$I$89,5,0)</f>
        <v>-2.2168933355715128E-13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318.52984981739411</v>
      </c>
      <c r="FK102" s="59">
        <f t="shared" si="102"/>
        <v>311.56398336941714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81.366571701093491</v>
      </c>
      <c r="FR102" s="21">
        <f>EXP(-LN(2)/25)*FR101+(1-EXP(-LN(2)/25))/(LN(2)/25)*Calculateur!FM102*Calculateur!FO102*VLOOKUP('Données projet'!$B$16,Paramètres!$A$1:$I$89,3,0)*0.475*44/12</f>
        <v>2.3698355257246408</v>
      </c>
      <c r="FS102" s="21">
        <f>EXP(-LN(2)/2)*FS101+(1-EXP(-LN(2)/2))/(LN(2)/2)*FM102*FP102*VLOOKUP('Données projet'!$B$16,Paramètres!$A$1:$I$89,3,0)*0.475*44/12</f>
        <v>7.8070157237748419E-2</v>
      </c>
      <c r="FT102" s="22">
        <f t="shared" si="78"/>
        <v>83.814477384055877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-2.8421709430404007E-13</v>
      </c>
      <c r="GA102" s="17">
        <f>FZ102*VLOOKUP('Données projet'!$B$17,Paramètres!$A$1:$I$89,3,0)*VLOOKUP('Données projet'!$B$17,Paramètres!$A$1:$I$89,5,0)</f>
        <v>-2.2612312022829427E-13</v>
      </c>
      <c r="GB102" s="13" t="e">
        <f t="shared" si="103"/>
        <v>#NUM!</v>
      </c>
      <c r="GC102" s="20" t="e">
        <f t="shared" si="79"/>
        <v>#NUM!</v>
      </c>
      <c r="GD102" s="59" t="e">
        <f t="shared" si="80"/>
        <v>#NUM!</v>
      </c>
      <c r="GE102" s="59">
        <f ca="1">AVERAGE(OFFSET($GD$3,0,0,'Données projet'!$E$17+1,1))-AVERAGE(OFFSET($H$3,0,0,'Données projet'!$E$17+1,1))</f>
        <v>325.72928944930294</v>
      </c>
      <c r="GF102" s="59">
        <f t="shared" si="104"/>
        <v>318.38876834819752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102.29481084095616</v>
      </c>
      <c r="GM102" s="21">
        <f>EXP(-LN(2)/25)*GM101+(1-EXP(-LN(2)/25))/(LN(2)/25)*Calculateur!GH102*Calculateur!GJ102*VLOOKUP('Données projet'!$B$17,Paramètres!$A$1:$I$89,3,0)*0.475*44/12</f>
        <v>2.9793792679226514</v>
      </c>
      <c r="GN102" s="21">
        <f>EXP(-LN(2)/2)*GN101+(1-EXP(-LN(2)/2))/(LN(2)/2)*GH102*GK102*VLOOKUP('Données projet'!$B$17,Paramètres!$A$1:$I$89,3,0)*0.475*44/12</f>
        <v>7.9631560382503269E-2</v>
      </c>
      <c r="GO102" s="21">
        <f t="shared" si="81"/>
        <v>105.35382166926132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-2.8421709430404007E-13</v>
      </c>
      <c r="GV102" s="17">
        <f>GU102*VLOOKUP('Données projet'!$B$18,Paramètres!$A$1:$I$89,3,0)*VLOOKUP('Données projet'!$B$18,Paramètres!$A$1:$I$89,5,0)</f>
        <v>-1.9065282685915009E-13</v>
      </c>
      <c r="GW102" s="13" t="e">
        <f t="shared" si="105"/>
        <v>#NUM!</v>
      </c>
      <c r="GX102" s="20" t="e">
        <f t="shared" si="82"/>
        <v>#NUM!</v>
      </c>
      <c r="GY102" s="59" t="e">
        <f t="shared" si="83"/>
        <v>#NUM!</v>
      </c>
      <c r="GZ102" s="59">
        <f ca="1">AVERAGE(OFFSET($GY$3,0,0,'Données projet'!$E$18+1,1))-AVERAGE(OFFSET($H$3,0,0,'Données projet'!$E$18+1,1))</f>
        <v>268.04554291387961</v>
      </c>
      <c r="HA102" s="59">
        <f t="shared" si="106"/>
        <v>263.70463099437148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86.248566003159084</v>
      </c>
      <c r="HH102" s="21">
        <f>EXP(-LN(2)/25)*HH101+(1-EXP(-LN(2)/25))/(LN(2)/25)*Calculateur!HC102*Calculateur!HE102*VLOOKUP('Données projet'!$B$18,Paramètres!$A$1:$I$89,3,0)*0.475*44/12</f>
        <v>2.5120256572681208</v>
      </c>
      <c r="HI102" s="21">
        <f>EXP(-LN(2)/2)*HI101+(1-EXP(-LN(2)/2))/(LN(2)/2)*HC102*HF102*VLOOKUP('Données projet'!$B$18,Paramètres!$A$1:$I$89,3,0)*0.475*44/12</f>
        <v>6.714033522446354E-2</v>
      </c>
      <c r="HJ102" s="22">
        <f t="shared" si="84"/>
        <v>88.827731995651675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-2.5124791136477146E-14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46.095319339746538</v>
      </c>
      <c r="T103" s="59">
        <f t="shared" si="88"/>
        <v>48.158174304064403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40.646541905409073</v>
      </c>
      <c r="AA103" s="21">
        <f>EXP(-LN(2)/25)*AA102+(1-EXP(-LN(2)/25))/(LN(2)/25)*Calculateur!V103*Calculateur!X103*VLOOKUP('Données projet'!$B$9,Paramètres!$A$1:$I$89,3,0)*0.475*44/12</f>
        <v>15.737364639653087</v>
      </c>
      <c r="AB103" s="21">
        <f>EXP(-LN(2)/2)*AB102+(1-EXP(-LN(2)/2))/(LN(2)/2)*V103*Y103*VLOOKUP('Données projet'!$B$9,Paramètres!$A$1:$I$89,3,0)*0.475*44/12</f>
        <v>1.4421685462433224E-2</v>
      </c>
      <c r="AC103" s="22">
        <f t="shared" si="57"/>
        <v>56.398328230524591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-6.7984728957526396E-14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408.84545509668794</v>
      </c>
      <c r="AO103" s="59">
        <f t="shared" si="90"/>
        <v>409.9253979841132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85.17687598231926</v>
      </c>
      <c r="AV103" s="21">
        <f>EXP(-LN(2)/25)*AV102+(1-EXP(-LN(2)/25))/(LN(2)/25)*Calculateur!AQ103*Calculateur!AS103*VLOOKUP('Données projet'!$B$10,Paramètres!$A$1:$I$89,3,0)*0.475*44/12</f>
        <v>25.152879839782241</v>
      </c>
      <c r="AW103" s="21">
        <f>EXP(-LN(2)/2)*AW102+(1-EXP(-LN(2)/2))/(LN(2)/2)*AQ103*AT103*VLOOKUP('Données projet'!$B$10,Paramètres!$A$1:$I$89,3,0)*0.475*44/12</f>
        <v>8.9527984398751843E-5</v>
      </c>
      <c r="AX103" s="21">
        <f t="shared" si="60"/>
        <v>110.3298453500859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-1.1368683772161603E-13</v>
      </c>
      <c r="BE103" s="13">
        <f>BD103*VLOOKUP('Données projet'!$B$11,Paramètres!$A$1:$I$89,3,0)*VLOOKUP('Données projet'!$B$11,Paramètres!$A$1:$I$89,5,0)</f>
        <v>-6.7984728957526396E-14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279.69031306919914</v>
      </c>
      <c r="BJ103" s="59">
        <f t="shared" si="92"/>
        <v>297.01680128882509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77.277329970006889</v>
      </c>
      <c r="BQ103" s="21">
        <f>EXP(-LN(2)/25)*BQ102+(1-EXP(-LN(2)/25))/(LN(2)/25)*Calculateur!BL103*Calculateur!BN103*VLOOKUP('Données projet'!$B$11,Paramètres!$A$1:$I$89,3,0)*0.475*44/12</f>
        <v>28.530925450472949</v>
      </c>
      <c r="BR103" s="21">
        <f>EXP(-LN(2)/2)*BR102+(1-EXP(-LN(2)/2))/(LN(2)/2)*BL103*BO103*VLOOKUP('Données projet'!$B$11,Paramètres!$A$1:$I$89,3,0)*0.475*44/12</f>
        <v>2.088808156245794E-4</v>
      </c>
      <c r="BS103" s="22">
        <f t="shared" si="63"/>
        <v>105.80846430129546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81.299024916151723</v>
      </c>
      <c r="CE103" s="59">
        <f t="shared" si="94"/>
        <v>88.106373324240167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22.856811763966935</v>
      </c>
      <c r="CL103" s="21">
        <f>EXP(-LN(2)/25)*CL102+(1-EXP(-LN(2)/25))/(LN(2)/25)*Calculateur!CG103*Calculateur!CI103*VLOOKUP('Données projet'!$B$12,Paramètres!$A$1:$I$89,3,0)*0.475*44/12</f>
        <v>7.632371318586455</v>
      </c>
      <c r="CM103" s="21">
        <f>EXP(-LN(2)/2)*CM102+(1-EXP(-LN(2)/2))/(LN(2)/2)*CG103*CJ103*VLOOKUP('Données projet'!$B$12,Paramètres!$A$1:$I$89,3,0)*0.475*44/12</f>
        <v>2.2893505304097558E-5</v>
      </c>
      <c r="CN103" s="22">
        <f t="shared" si="66"/>
        <v>30.489205976058692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-3.4106051316484809E-13</v>
      </c>
      <c r="CU103" s="17">
        <f>CT103*VLOOKUP('Données projet'!$B$13,Paramètres!$A$1:$I$89,3,0)*VLOOKUP('Données projet'!$B$13,Paramètres!$A$1:$I$89,5,0)</f>
        <v>-1.9065282685915009E-13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475.42482703895411</v>
      </c>
      <c r="CZ103" s="59">
        <f t="shared" si="96"/>
        <v>593.51433014569966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156.13617876550532</v>
      </c>
      <c r="DG103" s="21">
        <f>EXP(-LN(2)/25)*DG102+(1-EXP(-LN(2)/25))/(LN(2)/25)*Calculateur!DB103*Calculateur!DD103*VLOOKUP('Données projet'!$B$13,Paramètres!$A$1:$I$89,3,0)*0.475*44/12</f>
        <v>24.534245795900194</v>
      </c>
      <c r="DH103" s="21">
        <f>EXP(-LN(2)/2)*DH102+(1-EXP(-LN(2)/2))/(LN(2)/2)*DB103*DE103*VLOOKUP('Données projet'!$B$13,Paramètres!$A$1:$I$89,3,0)*0.475*44/12</f>
        <v>2.6546428658359917E-4</v>
      </c>
      <c r="DI103" s="22">
        <f t="shared" si="69"/>
        <v>180.6706900256921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7.1111111111111107</v>
      </c>
      <c r="DO103" s="12">
        <f>IF('Données projet'!$A$166&gt;35,DO102+DN103-DW102,IF(A103&lt;'Données projet'!$A$166,$DL$205^A103,IF(A103='Données projet'!$A$166,'Données projet'!$B$166,DO102+DN103-DW102)))</f>
        <v>322.444444444444</v>
      </c>
      <c r="DP103" s="17">
        <f>DO103*VLOOKUP('Données projet'!$B$14,Paramètres!$A$1:$I$89,3,0)*VLOOKUP('Données projet'!$B$14,Paramètres!$A$1:$I$89,5,0)</f>
        <v>291.74773333333292</v>
      </c>
      <c r="DQ103" s="13">
        <f t="shared" si="97"/>
        <v>69.443673025334732</v>
      </c>
      <c r="DR103" s="20">
        <f t="shared" si="70"/>
        <v>629.07503274134626</v>
      </c>
      <c r="DS103" s="59">
        <f t="shared" si="71"/>
        <v>922.40836607467963</v>
      </c>
      <c r="DT103" s="59">
        <f ca="1">AVERAGE(OFFSET($DS$3,0,0,'Données projet'!$E$14+1,1))-AVERAGE(OFFSET($H$3,0,0,'Données projet'!$E$14+1,1))</f>
        <v>401.17301323870578</v>
      </c>
      <c r="DU103" s="59">
        <f t="shared" si="98"/>
        <v>201.57993789149754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12.844770832735827</v>
      </c>
      <c r="EB103" s="21">
        <f>EXP(-LN(2)/25)*EB102+(1-EXP(-LN(2)/25))/(LN(2)/25)*Calculateur!DW103*Calculateur!DY103*VLOOKUP('Données projet'!$B$14,Paramètres!$A$1:$I$89,3,0)*0.475*44/12</f>
        <v>29.562500792829322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42.407271625565151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1.7053025658242404E-13</v>
      </c>
      <c r="EK103" s="17">
        <f>EJ103*VLOOKUP('Données projet'!$B$15,Paramètres!$A$1:$I$89,3,0)*VLOOKUP('Données projet'!$B$15,Paramètres!$A$1:$I$89,5,0)</f>
        <v>1.4897523215040567E-13</v>
      </c>
      <c r="EL103" s="13">
        <f t="shared" si="99"/>
        <v>2.136562777003313E-12</v>
      </c>
      <c r="EM103" s="20">
        <f t="shared" si="73"/>
        <v>3.9806453659427267E-12</v>
      </c>
      <c r="EN103" s="59">
        <f t="shared" si="74"/>
        <v>293.33333333333729</v>
      </c>
      <c r="EO103" s="59">
        <f ca="1">AVERAGE(OFFSET($EN$3,0,0,'Données projet'!$E$15+1,1))-AVERAGE(OFFSET($H$3,0,0,'Données projet'!$E$15+1,1))</f>
        <v>237.8483058552178</v>
      </c>
      <c r="EP103" s="59">
        <f t="shared" si="100"/>
        <v>313.36201272119723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44.916819121477907</v>
      </c>
      <c r="EW103" s="21">
        <f>EXP(-LN(2)/25)*EW102+(1-EXP(-LN(2)/25))/(LN(2)/25)*Calculateur!ER103*Calculateur!ET103*VLOOKUP('Données projet'!$B$15,Paramètres!$A$1:$I$89,3,0)*0.475*44/12</f>
        <v>2.3089371734462878</v>
      </c>
      <c r="EX103" s="21">
        <f>EXP(-LN(2)/2)*EX102+(1-EXP(-LN(2)/2))/(LN(2)/2)*ER103*EU103*VLOOKUP('Données projet'!$B$15,Paramètres!$A$1:$I$89,3,0)*0.475*44/12</f>
        <v>1.257037627139843E-3</v>
      </c>
      <c r="EY103" s="22">
        <f t="shared" si="75"/>
        <v>47.227013332551337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-2.8421709430404007E-13</v>
      </c>
      <c r="FF103" s="17">
        <f>FE103*VLOOKUP('Données projet'!$B$16,Paramètres!$A$1:$I$89,3,0)*VLOOKUP('Données projet'!$B$16,Paramètres!$A$1:$I$89,5,0)</f>
        <v>-2.2168933355715128E-13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318.52984981739411</v>
      </c>
      <c r="FK103" s="59">
        <f t="shared" si="102"/>
        <v>311.56398336941714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79.771022858743351</v>
      </c>
      <c r="FR103" s="21">
        <f>EXP(-LN(2)/25)*FR102+(1-EXP(-LN(2)/25))/(LN(2)/25)*Calculateur!FM103*Calculateur!FO103*VLOOKUP('Données projet'!$B$16,Paramètres!$A$1:$I$89,3,0)*0.475*44/12</f>
        <v>2.3050322486494665</v>
      </c>
      <c r="FS103" s="21">
        <f>EXP(-LN(2)/2)*FS102+(1-EXP(-LN(2)/2))/(LN(2)/2)*FM103*FP103*VLOOKUP('Données projet'!$B$16,Paramètres!$A$1:$I$89,3,0)*0.475*44/12</f>
        <v>5.5203937591111932E-2</v>
      </c>
      <c r="FT103" s="22">
        <f t="shared" si="78"/>
        <v>82.131259044983935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-2.8421709430404007E-13</v>
      </c>
      <c r="GA103" s="17">
        <f>FZ103*VLOOKUP('Données projet'!$B$17,Paramètres!$A$1:$I$89,3,0)*VLOOKUP('Données projet'!$B$17,Paramètres!$A$1:$I$89,5,0)</f>
        <v>-2.2612312022829427E-13</v>
      </c>
      <c r="GB103" s="13" t="e">
        <f t="shared" si="103"/>
        <v>#NUM!</v>
      </c>
      <c r="GC103" s="20" t="e">
        <f t="shared" si="79"/>
        <v>#NUM!</v>
      </c>
      <c r="GD103" s="59" t="e">
        <f t="shared" si="80"/>
        <v>#NUM!</v>
      </c>
      <c r="GE103" s="59">
        <f ca="1">AVERAGE(OFFSET($GD$3,0,0,'Données projet'!$E$17+1,1))-AVERAGE(OFFSET($H$3,0,0,'Données projet'!$E$17+1,1))</f>
        <v>325.72928944930294</v>
      </c>
      <c r="GF103" s="59">
        <f t="shared" si="104"/>
        <v>318.38876834819752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100.28887199403876</v>
      </c>
      <c r="GM103" s="21">
        <f>EXP(-LN(2)/25)*GM102+(1-EXP(-LN(2)/25))/(LN(2)/25)*Calculateur!GH103*Calculateur!GJ103*VLOOKUP('Données projet'!$B$17,Paramètres!$A$1:$I$89,3,0)*0.475*44/12</f>
        <v>2.8979079851625604</v>
      </c>
      <c r="GN103" s="21">
        <f>EXP(-LN(2)/2)*GN102+(1-EXP(-LN(2)/2))/(LN(2)/2)*GH103*GK103*VLOOKUP('Données projet'!$B$17,Paramètres!$A$1:$I$89,3,0)*0.475*44/12</f>
        <v>5.6308016342934086E-2</v>
      </c>
      <c r="GO103" s="21">
        <f t="shared" si="81"/>
        <v>103.24308799554426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-2.8421709430404007E-13</v>
      </c>
      <c r="GV103" s="17">
        <f>GU103*VLOOKUP('Données projet'!$B$18,Paramètres!$A$1:$I$89,3,0)*VLOOKUP('Données projet'!$B$18,Paramètres!$A$1:$I$89,5,0)</f>
        <v>-1.9065282685915009E-13</v>
      </c>
      <c r="GW103" s="13" t="e">
        <f t="shared" si="105"/>
        <v>#NUM!</v>
      </c>
      <c r="GX103" s="20" t="e">
        <f t="shared" si="82"/>
        <v>#NUM!</v>
      </c>
      <c r="GY103" s="59" t="e">
        <f t="shared" si="83"/>
        <v>#NUM!</v>
      </c>
      <c r="GZ103" s="59">
        <f ca="1">AVERAGE(OFFSET($GY$3,0,0,'Données projet'!$E$18+1,1))-AVERAGE(OFFSET($H$3,0,0,'Données projet'!$E$18+1,1))</f>
        <v>268.04554291387961</v>
      </c>
      <c r="HA103" s="59">
        <f t="shared" si="106"/>
        <v>263.70463099437148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84.557284230267939</v>
      </c>
      <c r="HH103" s="21">
        <f>EXP(-LN(2)/25)*HH102+(1-EXP(-LN(2)/25))/(LN(2)/25)*Calculateur!HC103*Calculateur!HE103*VLOOKUP('Données projet'!$B$18,Paramètres!$A$1:$I$89,3,0)*0.475*44/12</f>
        <v>2.4433341835684361</v>
      </c>
      <c r="HI103" s="21">
        <f>EXP(-LN(2)/2)*HI102+(1-EXP(-LN(2)/2))/(LN(2)/2)*HC103*HF103*VLOOKUP('Données projet'!$B$18,Paramètres!$A$1:$I$89,3,0)*0.475*44/12</f>
        <v>4.7475386328356191E-2</v>
      </c>
      <c r="HJ103" s="22">
        <f t="shared" si="84"/>
        <v>87.048093800164736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-2.5124791136477146E-14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46.095319339746538</v>
      </c>
      <c r="T104" s="59">
        <f t="shared" si="88"/>
        <v>48.158174304064403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39.849488010586562</v>
      </c>
      <c r="AA104" s="21">
        <f>EXP(-LN(2)/25)*AA103+(1-EXP(-LN(2)/25))/(LN(2)/25)*Calculateur!V104*Calculateur!X104*VLOOKUP('Données projet'!$B$9,Paramètres!$A$1:$I$89,3,0)*0.475*44/12</f>
        <v>15.307025575989735</v>
      </c>
      <c r="AB104" s="21">
        <f>EXP(-LN(2)/2)*AB103+(1-EXP(-LN(2)/2))/(LN(2)/2)*V104*Y104*VLOOKUP('Données projet'!$B$9,Paramètres!$A$1:$I$89,3,0)*0.475*44/12</f>
        <v>1.0197671586625984E-2</v>
      </c>
      <c r="AC104" s="22">
        <f t="shared" si="57"/>
        <v>55.16671125816292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-6.7984728957526396E-14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408.84545509668794</v>
      </c>
      <c r="AO104" s="59">
        <f t="shared" si="90"/>
        <v>409.9253979841132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83.50660939707042</v>
      </c>
      <c r="AV104" s="21">
        <f>EXP(-LN(2)/25)*AV103+(1-EXP(-LN(2)/25))/(LN(2)/25)*Calculateur!AQ104*Calculateur!AS104*VLOOKUP('Données projet'!$B$10,Paramètres!$A$1:$I$89,3,0)*0.475*44/12</f>
        <v>24.465073017830932</v>
      </c>
      <c r="AW104" s="21">
        <f>EXP(-LN(2)/2)*AW103+(1-EXP(-LN(2)/2))/(LN(2)/2)*AQ104*AT104*VLOOKUP('Données projet'!$B$10,Paramètres!$A$1:$I$89,3,0)*0.475*44/12</f>
        <v>6.3305844874320859E-5</v>
      </c>
      <c r="AX104" s="21">
        <f t="shared" si="60"/>
        <v>107.97174572074623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-6.7984728957526396E-14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279.69031306919914</v>
      </c>
      <c r="BJ104" s="59">
        <f t="shared" si="92"/>
        <v>297.01680128882509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75.761968663812183</v>
      </c>
      <c r="BQ104" s="21">
        <f>EXP(-LN(2)/25)*BQ103+(1-EXP(-LN(2)/25))/(LN(2)/25)*Calculateur!BL104*Calculateur!BN104*VLOOKUP('Données projet'!$B$11,Paramètres!$A$1:$I$89,3,0)*0.475*44/12</f>
        <v>27.750745793653607</v>
      </c>
      <c r="BR104" s="21">
        <f>EXP(-LN(2)/2)*BR103+(1-EXP(-LN(2)/2))/(LN(2)/2)*BL104*BO104*VLOOKUP('Données projet'!$B$11,Paramètres!$A$1:$I$89,3,0)*0.475*44/12</f>
        <v>1.4770104118791704E-4</v>
      </c>
      <c r="BS104" s="22">
        <f t="shared" si="63"/>
        <v>103.51286215850698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81.299024916151723</v>
      </c>
      <c r="CE104" s="59">
        <f t="shared" si="94"/>
        <v>88.106373324240167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22.408603626554132</v>
      </c>
      <c r="CL104" s="21">
        <f>EXP(-LN(2)/25)*CL103+(1-EXP(-LN(2)/25))/(LN(2)/25)*Calculateur!CG104*Calculateur!CI104*VLOOKUP('Données projet'!$B$12,Paramètres!$A$1:$I$89,3,0)*0.475*44/12</f>
        <v>7.423663723510745</v>
      </c>
      <c r="CM104" s="21">
        <f>EXP(-LN(2)/2)*CM103+(1-EXP(-LN(2)/2))/(LN(2)/2)*CG104*CJ104*VLOOKUP('Données projet'!$B$12,Paramètres!$A$1:$I$89,3,0)*0.475*44/12</f>
        <v>1.6188152845657576E-5</v>
      </c>
      <c r="CN104" s="22">
        <f t="shared" si="66"/>
        <v>29.832283538217723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-3.4106051316484809E-13</v>
      </c>
      <c r="CU104" s="17">
        <f>CT104*VLOOKUP('Données projet'!$B$13,Paramètres!$A$1:$I$89,3,0)*VLOOKUP('Données projet'!$B$13,Paramètres!$A$1:$I$89,5,0)</f>
        <v>-1.9065282685915009E-13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475.42482703895411</v>
      </c>
      <c r="CZ104" s="59">
        <f t="shared" si="96"/>
        <v>593.51433014569966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153.07444353357926</v>
      </c>
      <c r="DG104" s="21">
        <f>EXP(-LN(2)/25)*DG103+(1-EXP(-LN(2)/25))/(LN(2)/25)*Calculateur!DB104*Calculateur!DD104*VLOOKUP('Données projet'!$B$13,Paramètres!$A$1:$I$89,3,0)*0.475*44/12</f>
        <v>23.863355554411392</v>
      </c>
      <c r="DH104" s="21">
        <f>EXP(-LN(2)/2)*DH103+(1-EXP(-LN(2)/2))/(LN(2)/2)*DB104*DE104*VLOOKUP('Données projet'!$B$13,Paramètres!$A$1:$I$89,3,0)*0.475*44/12</f>
        <v>1.87711597206112E-4</v>
      </c>
      <c r="DI104" s="22">
        <f t="shared" si="69"/>
        <v>176.93798679958783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7.1111111111111107</v>
      </c>
      <c r="DO104" s="12">
        <f>IF('Données projet'!$A$166&gt;35,DO103+DN104-DW103,IF(A104&lt;'Données projet'!$A$166,$DL$205^A104,IF(A104='Données projet'!$A$166,'Données projet'!$B$166,DO103+DN104-DW103)))</f>
        <v>329.55555555555509</v>
      </c>
      <c r="DP104" s="17">
        <f>DO104*VLOOKUP('Données projet'!$B$14,Paramètres!$A$1:$I$89,3,0)*VLOOKUP('Données projet'!$B$14,Paramètres!$A$1:$I$89,5,0)</f>
        <v>298.18186666666622</v>
      </c>
      <c r="DQ104" s="13">
        <f t="shared" si="97"/>
        <v>70.795178150955209</v>
      </c>
      <c r="DR104" s="20">
        <f t="shared" si="70"/>
        <v>642.635019724024</v>
      </c>
      <c r="DS104" s="59">
        <f t="shared" si="71"/>
        <v>935.96835305735726</v>
      </c>
      <c r="DT104" s="59">
        <f ca="1">AVERAGE(OFFSET($DS$3,0,0,'Données projet'!$E$14+1,1))-AVERAGE(OFFSET($H$3,0,0,'Données projet'!$E$14+1,1))</f>
        <v>401.17301323870578</v>
      </c>
      <c r="DU104" s="59">
        <f t="shared" si="98"/>
        <v>201.57993789149754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12.59289271124249</v>
      </c>
      <c r="EB104" s="21">
        <f>EXP(-LN(2)/25)*EB103+(1-EXP(-LN(2)/25))/(LN(2)/25)*Calculateur!DW104*Calculateur!DY104*VLOOKUP('Données projet'!$B$14,Paramètres!$A$1:$I$89,3,0)*0.475*44/12</f>
        <v>28.754112654025054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41.347005365267542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1.7053025658242404E-13</v>
      </c>
      <c r="EK104" s="17">
        <f>EJ104*VLOOKUP('Données projet'!$B$15,Paramètres!$A$1:$I$89,3,0)*VLOOKUP('Données projet'!$B$15,Paramètres!$A$1:$I$89,5,0)</f>
        <v>1.4897523215040567E-13</v>
      </c>
      <c r="EL104" s="13">
        <f t="shared" si="99"/>
        <v>2.136562777003313E-12</v>
      </c>
      <c r="EM104" s="20">
        <f t="shared" si="73"/>
        <v>3.9806453659427267E-12</v>
      </c>
      <c r="EN104" s="59">
        <f t="shared" si="74"/>
        <v>293.33333333333729</v>
      </c>
      <c r="EO104" s="59">
        <f ca="1">AVERAGE(OFFSET($EN$3,0,0,'Données projet'!$E$15+1,1))-AVERAGE(OFFSET($H$3,0,0,'Données projet'!$E$15+1,1))</f>
        <v>237.8483058552178</v>
      </c>
      <c r="EP104" s="59">
        <f t="shared" si="100"/>
        <v>313.36201272119723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44.036027695060206</v>
      </c>
      <c r="EW104" s="21">
        <f>EXP(-LN(2)/25)*EW103+(1-EXP(-LN(2)/25))/(LN(2)/25)*Calculateur!ER104*Calculateur!ET104*VLOOKUP('Données projet'!$B$15,Paramètres!$A$1:$I$89,3,0)*0.475*44/12</f>
        <v>2.2457991650166704</v>
      </c>
      <c r="EX104" s="21">
        <f>EXP(-LN(2)/2)*EX103+(1-EXP(-LN(2)/2))/(LN(2)/2)*ER104*EU104*VLOOKUP('Données projet'!$B$15,Paramètres!$A$1:$I$89,3,0)*0.475*44/12</f>
        <v>8.888598303572299E-4</v>
      </c>
      <c r="EY104" s="22">
        <f t="shared" si="75"/>
        <v>46.28271571990723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-2.8421709430404007E-13</v>
      </c>
      <c r="FF104" s="17">
        <f>FE104*VLOOKUP('Données projet'!$B$16,Paramètres!$A$1:$I$89,3,0)*VLOOKUP('Données projet'!$B$16,Paramètres!$A$1:$I$89,5,0)</f>
        <v>-2.2168933355715128E-13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318.52984981739411</v>
      </c>
      <c r="FK104" s="59">
        <f t="shared" si="102"/>
        <v>311.56398336941714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78.206761756003004</v>
      </c>
      <c r="FR104" s="21">
        <f>EXP(-LN(2)/25)*FR103+(1-EXP(-LN(2)/25))/(LN(2)/25)*Calculateur!FM104*Calculateur!FO104*VLOOKUP('Données projet'!$B$16,Paramètres!$A$1:$I$89,3,0)*0.475*44/12</f>
        <v>2.242001020593769</v>
      </c>
      <c r="FS104" s="21">
        <f>EXP(-LN(2)/2)*FS103+(1-EXP(-LN(2)/2))/(LN(2)/2)*FM104*FP104*VLOOKUP('Données projet'!$B$16,Paramètres!$A$1:$I$89,3,0)*0.475*44/12</f>
        <v>3.903507861887421E-2</v>
      </c>
      <c r="FT104" s="22">
        <f t="shared" si="78"/>
        <v>80.487797855215661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-2.8421709430404007E-13</v>
      </c>
      <c r="GA104" s="17">
        <f>FZ104*VLOOKUP('Données projet'!$B$17,Paramètres!$A$1:$I$89,3,0)*VLOOKUP('Données projet'!$B$17,Paramètres!$A$1:$I$89,5,0)</f>
        <v>-2.2612312022829427E-13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325.72928944930294</v>
      </c>
      <c r="GF104" s="59">
        <f t="shared" si="104"/>
        <v>318.38876834819752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98.322268384407522</v>
      </c>
      <c r="GM104" s="21">
        <f>EXP(-LN(2)/25)*GM103+(1-EXP(-LN(2)/25))/(LN(2)/25)*Calculateur!GH104*Calculateur!GJ104*VLOOKUP('Données projet'!$B$17,Paramètres!$A$1:$I$89,3,0)*0.475*44/12</f>
        <v>2.8186645389139326</v>
      </c>
      <c r="GN104" s="21">
        <f>EXP(-LN(2)/2)*GN103+(1-EXP(-LN(2)/2))/(LN(2)/2)*GH104*GK104*VLOOKUP('Données projet'!$B$17,Paramètres!$A$1:$I$89,3,0)*0.475*44/12</f>
        <v>3.9815780191251635E-2</v>
      </c>
      <c r="GO104" s="21">
        <f t="shared" si="81"/>
        <v>101.18074870351271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-2.8421709430404007E-13</v>
      </c>
      <c r="GV104" s="17">
        <f>GU104*VLOOKUP('Données projet'!$B$18,Paramètres!$A$1:$I$89,3,0)*VLOOKUP('Données projet'!$B$18,Paramètres!$A$1:$I$89,5,0)</f>
        <v>-1.9065282685915009E-13</v>
      </c>
      <c r="GW104" s="13" t="e">
        <f t="shared" si="105"/>
        <v>#NUM!</v>
      </c>
      <c r="GX104" s="20" t="e">
        <f t="shared" si="82"/>
        <v>#NUM!</v>
      </c>
      <c r="GY104" s="59" t="e">
        <f t="shared" si="83"/>
        <v>#NUM!</v>
      </c>
      <c r="GZ104" s="59">
        <f ca="1">AVERAGE(OFFSET($GY$3,0,0,'Données projet'!$E$18+1,1))-AVERAGE(OFFSET($H$3,0,0,'Données projet'!$E$18+1,1))</f>
        <v>268.04554291387961</v>
      </c>
      <c r="HA104" s="59">
        <f t="shared" si="106"/>
        <v>263.70463099437148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82.899167461363177</v>
      </c>
      <c r="HH104" s="21">
        <f>EXP(-LN(2)/25)*HH103+(1-EXP(-LN(2)/25))/(LN(2)/25)*Calculateur!HC104*Calculateur!HE104*VLOOKUP('Données projet'!$B$18,Paramètres!$A$1:$I$89,3,0)*0.475*44/12</f>
        <v>2.3765210818293969</v>
      </c>
      <c r="HI104" s="21">
        <f>EXP(-LN(2)/2)*HI103+(1-EXP(-LN(2)/2))/(LN(2)/2)*HC104*HF104*VLOOKUP('Données projet'!$B$18,Paramètres!$A$1:$I$89,3,0)*0.475*44/12</f>
        <v>3.357016761223177E-2</v>
      </c>
      <c r="HJ104" s="22">
        <f t="shared" si="84"/>
        <v>85.309258710804798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-2.5124791136477146E-14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46.095319339746538</v>
      </c>
      <c r="T105" s="59">
        <f t="shared" si="88"/>
        <v>48.158174304064403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39.068063856486646</v>
      </c>
      <c r="AA105" s="21">
        <f>EXP(-LN(2)/25)*AA104+(1-EXP(-LN(2)/25))/(LN(2)/25)*Calculateur!V105*Calculateur!X105*VLOOKUP('Données projet'!$B$9,Paramètres!$A$1:$I$89,3,0)*0.475*44/12</f>
        <v>14.888454156652806</v>
      </c>
      <c r="AB105" s="21">
        <f>EXP(-LN(2)/2)*AB104+(1-EXP(-LN(2)/2))/(LN(2)/2)*V105*Y105*VLOOKUP('Données projet'!$B$9,Paramètres!$A$1:$I$89,3,0)*0.475*44/12</f>
        <v>7.2108427312166127E-3</v>
      </c>
      <c r="AC105" s="22">
        <f t="shared" si="57"/>
        <v>53.96372885587067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-6.7984728957526396E-14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408.84545509668794</v>
      </c>
      <c r="AO105" s="59">
        <f t="shared" si="90"/>
        <v>409.9253979841132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81.869095720796281</v>
      </c>
      <c r="AV105" s="21">
        <f>EXP(-LN(2)/25)*AV104+(1-EXP(-LN(2)/25))/(LN(2)/25)*Calculateur!AQ105*Calculateur!AS105*VLOOKUP('Données projet'!$B$10,Paramètres!$A$1:$I$89,3,0)*0.475*44/12</f>
        <v>23.796074309596072</v>
      </c>
      <c r="AW105" s="21">
        <f>EXP(-LN(2)/2)*AW104+(1-EXP(-LN(2)/2))/(LN(2)/2)*AQ105*AT105*VLOOKUP('Données projet'!$B$10,Paramètres!$A$1:$I$89,3,0)*0.475*44/12</f>
        <v>4.4763992199375921E-5</v>
      </c>
      <c r="AX105" s="21">
        <f t="shared" si="60"/>
        <v>105.66521479438454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-6.7984728957526396E-14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279.69031306919914</v>
      </c>
      <c r="BJ105" s="59">
        <f t="shared" si="92"/>
        <v>297.01680128882509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74.276322668552822</v>
      </c>
      <c r="BQ105" s="21">
        <f>EXP(-LN(2)/25)*BQ104+(1-EXP(-LN(2)/25))/(LN(2)/25)*Calculateur!BL105*Calculateur!BN105*VLOOKUP('Données projet'!$B$11,Paramètres!$A$1:$I$89,3,0)*0.475*44/12</f>
        <v>26.991900190577852</v>
      </c>
      <c r="BR105" s="21">
        <f>EXP(-LN(2)/2)*BR104+(1-EXP(-LN(2)/2))/(LN(2)/2)*BL105*BO105*VLOOKUP('Données projet'!$B$11,Paramètres!$A$1:$I$89,3,0)*0.475*44/12</f>
        <v>1.044404078122897E-4</v>
      </c>
      <c r="BS105" s="22">
        <f t="shared" si="63"/>
        <v>101.26832729953848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81.299024916151723</v>
      </c>
      <c r="CE105" s="59">
        <f t="shared" si="94"/>
        <v>88.106373324240167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21.969184577336026</v>
      </c>
      <c r="CL105" s="21">
        <f>EXP(-LN(2)/25)*CL104+(1-EXP(-LN(2)/25))/(LN(2)/25)*Calculateur!CG105*Calculateur!CI105*VLOOKUP('Données projet'!$B$12,Paramètres!$A$1:$I$89,3,0)*0.475*44/12</f>
        <v>7.2206632485978357</v>
      </c>
      <c r="CM105" s="21">
        <f>EXP(-LN(2)/2)*CM104+(1-EXP(-LN(2)/2))/(LN(2)/2)*CG105*CJ105*VLOOKUP('Données projet'!$B$12,Paramètres!$A$1:$I$89,3,0)*0.475*44/12</f>
        <v>1.1446752652048779E-5</v>
      </c>
      <c r="CN105" s="22">
        <f t="shared" si="66"/>
        <v>29.189859272686512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-3.4106051316484809E-13</v>
      </c>
      <c r="CU105" s="17">
        <f>CT105*VLOOKUP('Données projet'!$B$13,Paramètres!$A$1:$I$89,3,0)*VLOOKUP('Données projet'!$B$13,Paramètres!$A$1:$I$89,5,0)</f>
        <v>-1.9065282685915009E-13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475.42482703895411</v>
      </c>
      <c r="CZ105" s="59">
        <f t="shared" si="96"/>
        <v>593.51433014569966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150.07274706207718</v>
      </c>
      <c r="DG105" s="21">
        <f>EXP(-LN(2)/25)*DG104+(1-EXP(-LN(2)/25))/(LN(2)/25)*Calculateur!DB105*Calculateur!DD105*VLOOKUP('Données projet'!$B$13,Paramètres!$A$1:$I$89,3,0)*0.475*44/12</f>
        <v>23.210810841856684</v>
      </c>
      <c r="DH105" s="21">
        <f>EXP(-LN(2)/2)*DH104+(1-EXP(-LN(2)/2))/(LN(2)/2)*DB105*DE105*VLOOKUP('Données projet'!$B$13,Paramètres!$A$1:$I$89,3,0)*0.475*44/12</f>
        <v>1.3273214329179958E-4</v>
      </c>
      <c r="DI105" s="22">
        <f t="shared" si="69"/>
        <v>173.28369063607715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7.1111111111111107</v>
      </c>
      <c r="DO105" s="12">
        <f>IF('Données projet'!$A$166&gt;35,DO104+DN105-DW104,IF(A105&lt;'Données projet'!$A$166,$DL$205^A105,IF(A105='Données projet'!$A$166,'Données projet'!$B$166,DO104+DN105-DW104)))</f>
        <v>336.66666666666617</v>
      </c>
      <c r="DP105" s="17">
        <f>DO105*VLOOKUP('Données projet'!$B$14,Paramètres!$A$1:$I$89,3,0)*VLOOKUP('Données projet'!$B$14,Paramètres!$A$1:$I$89,5,0)</f>
        <v>304.61599999999953</v>
      </c>
      <c r="DQ105" s="13">
        <f t="shared" si="97"/>
        <v>72.143292729010327</v>
      </c>
      <c r="DR105" s="20">
        <f t="shared" si="70"/>
        <v>656.18910150302543</v>
      </c>
      <c r="DS105" s="59">
        <f t="shared" si="71"/>
        <v>949.5224348363588</v>
      </c>
      <c r="DT105" s="59">
        <f ca="1">AVERAGE(OFFSET($DS$3,0,0,'Données projet'!$E$14+1,1))-AVERAGE(OFFSET($H$3,0,0,'Données projet'!$E$14+1,1))</f>
        <v>401.17301323870578</v>
      </c>
      <c r="DU105" s="59">
        <f t="shared" si="98"/>
        <v>201.57993789149754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12.345953766081152</v>
      </c>
      <c r="EB105" s="21">
        <f>EXP(-LN(2)/25)*EB104+(1-EXP(-LN(2)/25))/(LN(2)/25)*Calculateur!DW105*Calculateur!DY105*VLOOKUP('Données projet'!$B$14,Paramètres!$A$1:$I$89,3,0)*0.475*44/12</f>
        <v>27.967829931387673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40.313783697468821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1.7053025658242404E-13</v>
      </c>
      <c r="EK105" s="17">
        <f>EJ105*VLOOKUP('Données projet'!$B$15,Paramètres!$A$1:$I$89,3,0)*VLOOKUP('Données projet'!$B$15,Paramètres!$A$1:$I$89,5,0)</f>
        <v>1.4897523215040567E-13</v>
      </c>
      <c r="EL105" s="13">
        <f t="shared" si="99"/>
        <v>2.136562777003313E-12</v>
      </c>
      <c r="EM105" s="20">
        <f t="shared" si="73"/>
        <v>3.9806453659427267E-12</v>
      </c>
      <c r="EN105" s="59">
        <f t="shared" si="74"/>
        <v>293.33333333333729</v>
      </c>
      <c r="EO105" s="59">
        <f ca="1">AVERAGE(OFFSET($EN$3,0,0,'Données projet'!$E$15+1,1))-AVERAGE(OFFSET($H$3,0,0,'Données projet'!$E$15+1,1))</f>
        <v>237.8483058552178</v>
      </c>
      <c r="EP105" s="59">
        <f t="shared" si="100"/>
        <v>313.36201272119723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43.172508051284829</v>
      </c>
      <c r="EW105" s="21">
        <f>EXP(-LN(2)/25)*EW104+(1-EXP(-LN(2)/25))/(LN(2)/25)*Calculateur!ER105*Calculateur!ET105*VLOOKUP('Données projet'!$B$15,Paramètres!$A$1:$I$89,3,0)*0.475*44/12</f>
        <v>2.1843876687478443</v>
      </c>
      <c r="EX105" s="21">
        <f>EXP(-LN(2)/2)*EX104+(1-EXP(-LN(2)/2))/(LN(2)/2)*ER105*EU105*VLOOKUP('Données projet'!$B$15,Paramètres!$A$1:$I$89,3,0)*0.475*44/12</f>
        <v>6.285188135699215E-4</v>
      </c>
      <c r="EY105" s="22">
        <f t="shared" si="75"/>
        <v>45.357524238846246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-2.8421709430404007E-13</v>
      </c>
      <c r="FF105" s="17">
        <f>FE105*VLOOKUP('Données projet'!$B$16,Paramètres!$A$1:$I$89,3,0)*VLOOKUP('Données projet'!$B$16,Paramètres!$A$1:$I$89,5,0)</f>
        <v>-2.2168933355715128E-13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318.52984981739411</v>
      </c>
      <c r="FK105" s="59">
        <f t="shared" si="102"/>
        <v>311.56398336941714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76.673174859382328</v>
      </c>
      <c r="FR105" s="21">
        <f>EXP(-LN(2)/25)*FR104+(1-EXP(-LN(2)/25))/(LN(2)/25)*Calculateur!FM105*Calculateur!FO105*VLOOKUP('Données projet'!$B$16,Paramètres!$A$1:$I$89,3,0)*0.475*44/12</f>
        <v>2.1806933847839227</v>
      </c>
      <c r="FS105" s="21">
        <f>EXP(-LN(2)/2)*FS104+(1-EXP(-LN(2)/2))/(LN(2)/2)*FM105*FP105*VLOOKUP('Données projet'!$B$16,Paramètres!$A$1:$I$89,3,0)*0.475*44/12</f>
        <v>2.7601968795555966E-2</v>
      </c>
      <c r="FT105" s="22">
        <f t="shared" si="78"/>
        <v>78.881470212961801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-2.8421709430404007E-13</v>
      </c>
      <c r="GA105" s="17">
        <f>FZ105*VLOOKUP('Données projet'!$B$17,Paramètres!$A$1:$I$89,3,0)*VLOOKUP('Données projet'!$B$17,Paramètres!$A$1:$I$89,5,0)</f>
        <v>-2.2612312022829427E-13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325.72928944930294</v>
      </c>
      <c r="GF105" s="59">
        <f t="shared" si="104"/>
        <v>318.38876834819752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96.394228672051398</v>
      </c>
      <c r="GM105" s="21">
        <f>EXP(-LN(2)/25)*GM104+(1-EXP(-LN(2)/25))/(LN(2)/25)*Calculateur!GH105*Calculateur!GJ105*VLOOKUP('Données projet'!$B$17,Paramètres!$A$1:$I$89,3,0)*0.475*44/12</f>
        <v>2.7415880088702052</v>
      </c>
      <c r="GN105" s="21">
        <f>EXP(-LN(2)/2)*GN104+(1-EXP(-LN(2)/2))/(LN(2)/2)*GH105*GK105*VLOOKUP('Données projet'!$B$17,Paramètres!$A$1:$I$89,3,0)*0.475*44/12</f>
        <v>2.8154008171467043E-2</v>
      </c>
      <c r="GO105" s="21">
        <f t="shared" si="81"/>
        <v>99.163970689093077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-2.8421709430404007E-13</v>
      </c>
      <c r="GV105" s="17">
        <f>GU105*VLOOKUP('Données projet'!$B$18,Paramètres!$A$1:$I$89,3,0)*VLOOKUP('Données projet'!$B$18,Paramètres!$A$1:$I$89,5,0)</f>
        <v>-1.9065282685915009E-13</v>
      </c>
      <c r="GW105" s="13" t="e">
        <f t="shared" si="105"/>
        <v>#NUM!</v>
      </c>
      <c r="GX105" s="20" t="e">
        <f t="shared" si="82"/>
        <v>#NUM!</v>
      </c>
      <c r="GY105" s="59" t="e">
        <f t="shared" si="83"/>
        <v>#NUM!</v>
      </c>
      <c r="GZ105" s="59">
        <f ca="1">AVERAGE(OFFSET($GY$3,0,0,'Données projet'!$E$18+1,1))-AVERAGE(OFFSET($H$3,0,0,'Données projet'!$E$18+1,1))</f>
        <v>268.04554291387961</v>
      </c>
      <c r="HA105" s="59">
        <f t="shared" si="106"/>
        <v>263.70463099437148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81.273565350945262</v>
      </c>
      <c r="HH105" s="21">
        <f>EXP(-LN(2)/25)*HH104+(1-EXP(-LN(2)/25))/(LN(2)/25)*Calculateur!HC105*Calculateur!HE105*VLOOKUP('Données projet'!$B$18,Paramètres!$A$1:$I$89,3,0)*0.475*44/12</f>
        <v>2.3115349878709601</v>
      </c>
      <c r="HI105" s="21">
        <f>EXP(-LN(2)/2)*HI104+(1-EXP(-LN(2)/2))/(LN(2)/2)*HC105*HF105*VLOOKUP('Données projet'!$B$18,Paramètres!$A$1:$I$89,3,0)*0.475*44/12</f>
        <v>2.3737693164178095E-2</v>
      </c>
      <c r="HJ105" s="22">
        <f t="shared" si="84"/>
        <v>83.608838031980397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-2.5124791136477146E-14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46.095319339746538</v>
      </c>
      <c r="T106" s="59">
        <f t="shared" si="88"/>
        <v>48.158174304064403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38.301962953426958</v>
      </c>
      <c r="AA106" s="21">
        <f>EXP(-LN(2)/25)*AA105+(1-EXP(-LN(2)/25))/(LN(2)/25)*Calculateur!V106*Calculateur!X106*VLOOKUP('Données projet'!$B$9,Paramètres!$A$1:$I$89,3,0)*0.475*44/12</f>
        <v>14.481328594789359</v>
      </c>
      <c r="AB106" s="21">
        <f>EXP(-LN(2)/2)*AB105+(1-EXP(-LN(2)/2))/(LN(2)/2)*V106*Y106*VLOOKUP('Données projet'!$B$9,Paramètres!$A$1:$I$89,3,0)*0.475*44/12</f>
        <v>5.098835793312992E-3</v>
      </c>
      <c r="AC106" s="22">
        <f t="shared" si="57"/>
        <v>52.788390384009631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-6.7984728957526396E-14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408.84545509668794</v>
      </c>
      <c r="AO106" s="59">
        <f t="shared" si="90"/>
        <v>409.9253979841132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80.263692688929169</v>
      </c>
      <c r="AV106" s="21">
        <f>EXP(-LN(2)/25)*AV105+(1-EXP(-LN(2)/25))/(LN(2)/25)*Calculateur!AQ106*Calculateur!AS106*VLOOKUP('Données projet'!$B$10,Paramètres!$A$1:$I$89,3,0)*0.475*44/12</f>
        <v>23.145369406219007</v>
      </c>
      <c r="AW106" s="21">
        <f>EXP(-LN(2)/2)*AW105+(1-EXP(-LN(2)/2))/(LN(2)/2)*AQ106*AT106*VLOOKUP('Données projet'!$B$10,Paramètres!$A$1:$I$89,3,0)*0.475*44/12</f>
        <v>3.1652922437160429E-5</v>
      </c>
      <c r="AX106" s="21">
        <f t="shared" si="60"/>
        <v>103.4090937480706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-6.7984728957526396E-14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279.69031306919914</v>
      </c>
      <c r="BJ106" s="59">
        <f t="shared" si="92"/>
        <v>297.01680128882509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72.819809285105919</v>
      </c>
      <c r="BQ106" s="21">
        <f>EXP(-LN(2)/25)*BQ105+(1-EXP(-LN(2)/25))/(LN(2)/25)*Calculateur!BL106*Calculateur!BN106*VLOOKUP('Données projet'!$B$11,Paramètres!$A$1:$I$89,3,0)*0.475*44/12</f>
        <v>26.253805260424159</v>
      </c>
      <c r="BR106" s="21">
        <f>EXP(-LN(2)/2)*BR105+(1-EXP(-LN(2)/2))/(LN(2)/2)*BL106*BO106*VLOOKUP('Données projet'!$B$11,Paramètres!$A$1:$I$89,3,0)*0.475*44/12</f>
        <v>7.3850520593958519E-5</v>
      </c>
      <c r="BS106" s="22">
        <f t="shared" si="63"/>
        <v>99.07368839605067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81.299024916151723</v>
      </c>
      <c r="CE106" s="59">
        <f t="shared" si="94"/>
        <v>88.106373324240167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21.53838226765393</v>
      </c>
      <c r="CL106" s="21">
        <f>EXP(-LN(2)/25)*CL105+(1-EXP(-LN(2)/25))/(LN(2)/25)*Calculateur!CG106*Calculateur!CI106*VLOOKUP('Données projet'!$B$12,Paramètres!$A$1:$I$89,3,0)*0.475*44/12</f>
        <v>7.0232138323467508</v>
      </c>
      <c r="CM106" s="21">
        <f>EXP(-LN(2)/2)*CM105+(1-EXP(-LN(2)/2))/(LN(2)/2)*CG106*CJ106*VLOOKUP('Données projet'!$B$12,Paramètres!$A$1:$I$89,3,0)*0.475*44/12</f>
        <v>8.0940764228287882E-6</v>
      </c>
      <c r="CN106" s="22">
        <f t="shared" si="66"/>
        <v>28.561604194077105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-3.4106051316484809E-13</v>
      </c>
      <c r="CU106" s="17">
        <f>CT106*VLOOKUP('Données projet'!$B$13,Paramètres!$A$1:$I$89,3,0)*VLOOKUP('Données projet'!$B$13,Paramètres!$A$1:$I$89,5,0)</f>
        <v>-1.9065282685915009E-13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475.42482703895411</v>
      </c>
      <c r="CZ106" s="59">
        <f t="shared" si="96"/>
        <v>593.51433014569966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147.12991202752718</v>
      </c>
      <c r="DG106" s="21">
        <f>EXP(-LN(2)/25)*DG105+(1-EXP(-LN(2)/25))/(LN(2)/25)*Calculateur!DB106*Calculateur!DD106*VLOOKUP('Données projet'!$B$13,Paramètres!$A$1:$I$89,3,0)*0.475*44/12</f>
        <v>22.57610999878262</v>
      </c>
      <c r="DH106" s="21">
        <f>EXP(-LN(2)/2)*DH105+(1-EXP(-LN(2)/2))/(LN(2)/2)*DB106*DE106*VLOOKUP('Données projet'!$B$13,Paramètres!$A$1:$I$89,3,0)*0.475*44/12</f>
        <v>9.3855798603056001E-5</v>
      </c>
      <c r="DI106" s="22">
        <f t="shared" si="69"/>
        <v>169.70611588210841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7.1111111111111107</v>
      </c>
      <c r="DO106" s="12">
        <f>IF('Données projet'!$A$166&gt;35,DO105+DN106-DW105,IF(A106&lt;'Données projet'!$A$166,$DL$205^A106,IF(A106='Données projet'!$A$166,'Données projet'!$B$166,DO105+DN106-DW105)))</f>
        <v>343.77777777777726</v>
      </c>
      <c r="DP106" s="17">
        <f>DO106*VLOOKUP('Données projet'!$B$14,Paramètres!$A$1:$I$89,3,0)*VLOOKUP('Données projet'!$B$14,Paramètres!$A$1:$I$89,5,0)</f>
        <v>311.05013333333284</v>
      </c>
      <c r="DQ106" s="13">
        <f t="shared" si="97"/>
        <v>73.488096624860688</v>
      </c>
      <c r="DR106" s="20">
        <f t="shared" si="70"/>
        <v>669.73741717718713</v>
      </c>
      <c r="DS106" s="59">
        <f t="shared" si="71"/>
        <v>963.07075051052038</v>
      </c>
      <c r="DT106" s="59">
        <f ca="1">AVERAGE(OFFSET($DS$3,0,0,'Données projet'!$E$14+1,1))-AVERAGE(OFFSET($H$3,0,0,'Données projet'!$E$14+1,1))</f>
        <v>401.17301323870578</v>
      </c>
      <c r="DU106" s="59">
        <f t="shared" si="98"/>
        <v>201.57993789149754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12.103857143016544</v>
      </c>
      <c r="EB106" s="21">
        <f>EXP(-LN(2)/25)*EB105+(1-EXP(-LN(2)/25))/(LN(2)/25)*Calculateur!DW106*Calculateur!DY106*VLOOKUP('Données projet'!$B$14,Paramètres!$A$1:$I$89,3,0)*0.475*44/12</f>
        <v>27.203048151149623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39.306905294166171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1.7053025658242404E-13</v>
      </c>
      <c r="EK106" s="17">
        <f>EJ106*VLOOKUP('Données projet'!$B$15,Paramètres!$A$1:$I$89,3,0)*VLOOKUP('Données projet'!$B$15,Paramètres!$A$1:$I$89,5,0)</f>
        <v>1.4897523215040567E-13</v>
      </c>
      <c r="EL106" s="13">
        <f t="shared" si="99"/>
        <v>2.136562777003313E-12</v>
      </c>
      <c r="EM106" s="20">
        <f t="shared" si="73"/>
        <v>3.9806453659427267E-12</v>
      </c>
      <c r="EN106" s="59">
        <f t="shared" si="74"/>
        <v>293.33333333333729</v>
      </c>
      <c r="EO106" s="59">
        <f ca="1">AVERAGE(OFFSET($EN$3,0,0,'Données projet'!$E$15+1,1))-AVERAGE(OFFSET($H$3,0,0,'Données projet'!$E$15+1,1))</f>
        <v>237.8483058552178</v>
      </c>
      <c r="EP106" s="59">
        <f t="shared" si="100"/>
        <v>313.36201272119723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42.325921501028915</v>
      </c>
      <c r="EW106" s="21">
        <f>EXP(-LN(2)/25)*EW105+(1-EXP(-LN(2)/25))/(LN(2)/25)*Calculateur!ER106*Calculateur!ET106*VLOOKUP('Données projet'!$B$15,Paramètres!$A$1:$I$89,3,0)*0.475*44/12</f>
        <v>2.1246554730739793</v>
      </c>
      <c r="EX106" s="21">
        <f>EXP(-LN(2)/2)*EX105+(1-EXP(-LN(2)/2))/(LN(2)/2)*ER106*EU106*VLOOKUP('Données projet'!$B$15,Paramètres!$A$1:$I$89,3,0)*0.475*44/12</f>
        <v>4.4442991517861495E-4</v>
      </c>
      <c r="EY106" s="22">
        <f t="shared" si="75"/>
        <v>44.451021404018071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-2.8421709430404007E-13</v>
      </c>
      <c r="FF106" s="17">
        <f>FE106*VLOOKUP('Données projet'!$B$16,Paramètres!$A$1:$I$89,3,0)*VLOOKUP('Données projet'!$B$16,Paramètres!$A$1:$I$89,5,0)</f>
        <v>-2.2168933355715128E-13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318.52984981739411</v>
      </c>
      <c r="FK106" s="59">
        <f t="shared" si="102"/>
        <v>311.56398336941714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75.169660666408745</v>
      </c>
      <c r="FR106" s="21">
        <f>EXP(-LN(2)/25)*FR105+(1-EXP(-LN(2)/25))/(LN(2)/25)*Calculateur!FM106*Calculateur!FO106*VLOOKUP('Données projet'!$B$16,Paramètres!$A$1:$I$89,3,0)*0.475*44/12</f>
        <v>2.1210622094993252</v>
      </c>
      <c r="FS106" s="21">
        <f>EXP(-LN(2)/2)*FS105+(1-EXP(-LN(2)/2))/(LN(2)/2)*FM106*FP106*VLOOKUP('Données projet'!$B$16,Paramètres!$A$1:$I$89,3,0)*0.475*44/12</f>
        <v>1.9517539309437105E-2</v>
      </c>
      <c r="FT106" s="22">
        <f t="shared" si="78"/>
        <v>77.310240415217507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-2.8421709430404007E-13</v>
      </c>
      <c r="GA106" s="17">
        <f>FZ106*VLOOKUP('Données projet'!$B$17,Paramètres!$A$1:$I$89,3,0)*VLOOKUP('Données projet'!$B$17,Paramètres!$A$1:$I$89,5,0)</f>
        <v>-2.2612312022829427E-13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325.72928944930294</v>
      </c>
      <c r="GF106" s="59">
        <f t="shared" si="104"/>
        <v>318.38876834819752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94.503996642466461</v>
      </c>
      <c r="GM106" s="21">
        <f>EXP(-LN(2)/25)*GM105+(1-EXP(-LN(2)/25))/(LN(2)/25)*Calculateur!GH106*Calculateur!GJ106*VLOOKUP('Données projet'!$B$17,Paramètres!$A$1:$I$89,3,0)*0.475*44/12</f>
        <v>2.6666191405938018</v>
      </c>
      <c r="GN106" s="21">
        <f>EXP(-LN(2)/2)*GN105+(1-EXP(-LN(2)/2))/(LN(2)/2)*GH106*GK106*VLOOKUP('Données projet'!$B$17,Paramètres!$A$1:$I$89,3,0)*0.475*44/12</f>
        <v>1.9907890095625817E-2</v>
      </c>
      <c r="GO106" s="21">
        <f t="shared" si="81"/>
        <v>97.19052367315588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-2.8421709430404007E-13</v>
      </c>
      <c r="GV106" s="17">
        <f>GU106*VLOOKUP('Données projet'!$B$18,Paramètres!$A$1:$I$89,3,0)*VLOOKUP('Données projet'!$B$18,Paramètres!$A$1:$I$89,5,0)</f>
        <v>-1.9065282685915009E-13</v>
      </c>
      <c r="GW106" s="13" t="e">
        <f t="shared" si="105"/>
        <v>#NUM!</v>
      </c>
      <c r="GX106" s="20" t="e">
        <f t="shared" si="82"/>
        <v>#NUM!</v>
      </c>
      <c r="GY106" s="59" t="e">
        <f t="shared" si="83"/>
        <v>#NUM!</v>
      </c>
      <c r="GZ106" s="59">
        <f ca="1">AVERAGE(OFFSET($GY$3,0,0,'Données projet'!$E$18+1,1))-AVERAGE(OFFSET($H$3,0,0,'Données projet'!$E$18+1,1))</f>
        <v>268.04554291387961</v>
      </c>
      <c r="HA106" s="59">
        <f t="shared" si="106"/>
        <v>263.70463099437148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79.67984030639326</v>
      </c>
      <c r="HH106" s="21">
        <f>EXP(-LN(2)/25)*HH105+(1-EXP(-LN(2)/25))/(LN(2)/25)*Calculateur!HC106*Calculateur!HE106*VLOOKUP('Données projet'!$B$18,Paramètres!$A$1:$I$89,3,0)*0.475*44/12</f>
        <v>2.2483259420692869</v>
      </c>
      <c r="HI106" s="21">
        <f>EXP(-LN(2)/2)*HI105+(1-EXP(-LN(2)/2))/(LN(2)/2)*HC106*HF106*VLOOKUP('Données projet'!$B$18,Paramètres!$A$1:$I$89,3,0)*0.475*44/12</f>
        <v>1.6785083806115885E-2</v>
      </c>
      <c r="HJ106" s="22">
        <f t="shared" si="84"/>
        <v>81.944951332268658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-2.5124791136477146E-14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46.095319339746538</v>
      </c>
      <c r="T107" s="59">
        <f t="shared" si="88"/>
        <v>48.158174304064403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37.550884821800864</v>
      </c>
      <c r="AA107" s="21">
        <f>EXP(-LN(2)/25)*AA106+(1-EXP(-LN(2)/25))/(LN(2)/25)*Calculateur!V107*Calculateur!X107*VLOOKUP('Données projet'!$B$9,Paramètres!$A$1:$I$89,3,0)*0.475*44/12</f>
        <v>14.08533590282487</v>
      </c>
      <c r="AB107" s="21">
        <f>EXP(-LN(2)/2)*AB106+(1-EXP(-LN(2)/2))/(LN(2)/2)*V107*Y107*VLOOKUP('Données projet'!$B$9,Paramètres!$A$1:$I$89,3,0)*0.475*44/12</f>
        <v>3.6054213656083064E-3</v>
      </c>
      <c r="AC107" s="22">
        <f t="shared" si="57"/>
        <v>51.639826145991336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-6.7984728957526396E-14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408.84545509668794</v>
      </c>
      <c r="AO107" s="59">
        <f t="shared" si="90"/>
        <v>409.9253979841132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78.689770631317799</v>
      </c>
      <c r="AV107" s="21">
        <f>EXP(-LN(2)/25)*AV106+(1-EXP(-LN(2)/25))/(LN(2)/25)*Calculateur!AQ107*Calculateur!AS107*VLOOKUP('Données projet'!$B$10,Paramètres!$A$1:$I$89,3,0)*0.475*44/12</f>
        <v>22.512458062643869</v>
      </c>
      <c r="AW107" s="21">
        <f>EXP(-LN(2)/2)*AW106+(1-EXP(-LN(2)/2))/(LN(2)/2)*AQ107*AT107*VLOOKUP('Données projet'!$B$10,Paramètres!$A$1:$I$89,3,0)*0.475*44/12</f>
        <v>2.2381996099687961E-5</v>
      </c>
      <c r="AX107" s="21">
        <f t="shared" si="60"/>
        <v>101.20225107595778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-6.7984728957526396E-14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279.69031306919914</v>
      </c>
      <c r="BJ107" s="59">
        <f t="shared" si="92"/>
        <v>297.01680128882509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71.39185724072297</v>
      </c>
      <c r="BQ107" s="21">
        <f>EXP(-LN(2)/25)*BQ106+(1-EXP(-LN(2)/25))/(LN(2)/25)*Calculateur!BL107*Calculateur!BN107*VLOOKUP('Données projet'!$B$11,Paramètres!$A$1:$I$89,3,0)*0.475*44/12</f>
        <v>25.535893574950244</v>
      </c>
      <c r="BR107" s="21">
        <f>EXP(-LN(2)/2)*BR106+(1-EXP(-LN(2)/2))/(LN(2)/2)*BL107*BO107*VLOOKUP('Données projet'!$B$11,Paramètres!$A$1:$I$89,3,0)*0.475*44/12</f>
        <v>5.2220203906144849E-5</v>
      </c>
      <c r="BS107" s="22">
        <f t="shared" si="63"/>
        <v>96.927803035877133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81.299024916151723</v>
      </c>
      <c r="CE107" s="59">
        <f t="shared" si="94"/>
        <v>88.106373324240167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21.116027728501237</v>
      </c>
      <c r="CL107" s="21">
        <f>EXP(-LN(2)/25)*CL106+(1-EXP(-LN(2)/25))/(LN(2)/25)*Calculateur!CG107*Calculateur!CI107*VLOOKUP('Données projet'!$B$12,Paramètres!$A$1:$I$89,3,0)*0.475*44/12</f>
        <v>6.8311636807664655</v>
      </c>
      <c r="CM107" s="21">
        <f>EXP(-LN(2)/2)*CM106+(1-EXP(-LN(2)/2))/(LN(2)/2)*CG107*CJ107*VLOOKUP('Données projet'!$B$12,Paramètres!$A$1:$I$89,3,0)*0.475*44/12</f>
        <v>5.7233763260243895E-6</v>
      </c>
      <c r="CN107" s="22">
        <f t="shared" si="66"/>
        <v>27.947197132644028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-3.4106051316484809E-13</v>
      </c>
      <c r="CU107" s="17">
        <f>CT107*VLOOKUP('Données projet'!$B$13,Paramètres!$A$1:$I$89,3,0)*VLOOKUP('Données projet'!$B$13,Paramètres!$A$1:$I$89,5,0)</f>
        <v>-1.9065282685915009E-13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475.42482703895411</v>
      </c>
      <c r="CZ107" s="59">
        <f t="shared" si="96"/>
        <v>593.51433014569966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144.2447841930526</v>
      </c>
      <c r="DG107" s="21">
        <f>EXP(-LN(2)/25)*DG106+(1-EXP(-LN(2)/25))/(LN(2)/25)*Calculateur!DB107*Calculateur!DD107*VLOOKUP('Données projet'!$B$13,Paramètres!$A$1:$I$89,3,0)*0.475*44/12</f>
        <v>21.958765083639882</v>
      </c>
      <c r="DH107" s="21">
        <f>EXP(-LN(2)/2)*DH106+(1-EXP(-LN(2)/2))/(LN(2)/2)*DB107*DE107*VLOOKUP('Données projet'!$B$13,Paramètres!$A$1:$I$89,3,0)*0.475*44/12</f>
        <v>6.6366071645899792E-5</v>
      </c>
      <c r="DI107" s="22">
        <f t="shared" si="69"/>
        <v>166.20361564276413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7.1111111111111107</v>
      </c>
      <c r="DO107" s="12">
        <f>IF('Données projet'!$A$166&gt;35,DO106+DN107-DW106,IF(A107&lt;'Données projet'!$A$166,$DL$205^A107,IF(A107='Données projet'!$A$166,'Données projet'!$B$166,DO106+DN107-DW106)))</f>
        <v>350.88888888888835</v>
      </c>
      <c r="DP107" s="17">
        <f>DO107*VLOOKUP('Données projet'!$B$14,Paramètres!$A$1:$I$89,3,0)*VLOOKUP('Données projet'!$B$14,Paramètres!$A$1:$I$89,5,0)</f>
        <v>317.4842666666662</v>
      </c>
      <c r="DQ107" s="13">
        <f t="shared" si="97"/>
        <v>74.82966621096746</v>
      </c>
      <c r="DR107" s="20">
        <f t="shared" si="70"/>
        <v>683.28009976187866</v>
      </c>
      <c r="DS107" s="59">
        <f t="shared" si="71"/>
        <v>976.61343309521203</v>
      </c>
      <c r="DT107" s="59">
        <f ca="1">AVERAGE(OFFSET($DS$3,0,0,'Données projet'!$E$14+1,1))-AVERAGE(OFFSET($H$3,0,0,'Données projet'!$E$14+1,1))</f>
        <v>401.17301323870578</v>
      </c>
      <c r="DU107" s="59">
        <f t="shared" si="98"/>
        <v>201.57993789149754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11.866507887065874</v>
      </c>
      <c r="EB107" s="21">
        <f>EXP(-LN(2)/25)*EB106+(1-EXP(-LN(2)/25))/(LN(2)/25)*Calculateur!DW107*Calculateur!DY107*VLOOKUP('Données projet'!$B$14,Paramètres!$A$1:$I$89,3,0)*0.475*44/12</f>
        <v>26.459179368910309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38.325687255976185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1.7053025658242404E-13</v>
      </c>
      <c r="EK107" s="17">
        <f>EJ107*VLOOKUP('Données projet'!$B$15,Paramètres!$A$1:$I$89,3,0)*VLOOKUP('Données projet'!$B$15,Paramètres!$A$1:$I$89,5,0)</f>
        <v>1.4897523215040567E-13</v>
      </c>
      <c r="EL107" s="13">
        <f t="shared" si="99"/>
        <v>2.136562777003313E-12</v>
      </c>
      <c r="EM107" s="20">
        <f t="shared" si="73"/>
        <v>3.9806453659427267E-12</v>
      </c>
      <c r="EN107" s="59">
        <f t="shared" si="74"/>
        <v>293.33333333333729</v>
      </c>
      <c r="EO107" s="59">
        <f ca="1">AVERAGE(OFFSET($EN$3,0,0,'Données projet'!$E$15+1,1))-AVERAGE(OFFSET($H$3,0,0,'Données projet'!$E$15+1,1))</f>
        <v>237.8483058552178</v>
      </c>
      <c r="EP107" s="59">
        <f t="shared" si="100"/>
        <v>313.36201272119723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41.495935996656712</v>
      </c>
      <c r="EW107" s="21">
        <f>EXP(-LN(2)/25)*EW106+(1-EXP(-LN(2)/25))/(LN(2)/25)*Calculateur!ER107*Calculateur!ET107*VLOOKUP('Données projet'!$B$15,Paramètres!$A$1:$I$89,3,0)*0.475*44/12</f>
        <v>2.0665566574319958</v>
      </c>
      <c r="EX107" s="21">
        <f>EXP(-LN(2)/2)*EX106+(1-EXP(-LN(2)/2))/(LN(2)/2)*ER107*EU107*VLOOKUP('Données projet'!$B$15,Paramètres!$A$1:$I$89,3,0)*0.475*44/12</f>
        <v>3.1425940678496075E-4</v>
      </c>
      <c r="EY107" s="22">
        <f t="shared" si="75"/>
        <v>43.562806913495493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-2.8421709430404007E-13</v>
      </c>
      <c r="FF107" s="17">
        <f>FE107*VLOOKUP('Données projet'!$B$16,Paramètres!$A$1:$I$89,3,0)*VLOOKUP('Données projet'!$B$16,Paramètres!$A$1:$I$89,5,0)</f>
        <v>-2.2168933355715128E-13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318.52984981739411</v>
      </c>
      <c r="FK107" s="59">
        <f t="shared" si="102"/>
        <v>311.56398336941714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73.695629469706262</v>
      </c>
      <c r="FR107" s="21">
        <f>EXP(-LN(2)/25)*FR106+(1-EXP(-LN(2)/25))/(LN(2)/25)*Calculateur!FM107*Calculateur!FO107*VLOOKUP('Données projet'!$B$16,Paramètres!$A$1:$I$89,3,0)*0.475*44/12</f>
        <v>2.0630616518387521</v>
      </c>
      <c r="FS107" s="21">
        <f>EXP(-LN(2)/2)*FS106+(1-EXP(-LN(2)/2))/(LN(2)/2)*FM107*FP107*VLOOKUP('Données projet'!$B$16,Paramètres!$A$1:$I$89,3,0)*0.475*44/12</f>
        <v>1.3800984397777983E-2</v>
      </c>
      <c r="FT107" s="22">
        <f t="shared" si="78"/>
        <v>75.772492105942788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-2.8421709430404007E-13</v>
      </c>
      <c r="GA107" s="17">
        <f>FZ107*VLOOKUP('Données projet'!$B$17,Paramètres!$A$1:$I$89,3,0)*VLOOKUP('Données projet'!$B$17,Paramètres!$A$1:$I$89,5,0)</f>
        <v>-2.2612312022829427E-13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325.72928944930294</v>
      </c>
      <c r="GF107" s="59">
        <f t="shared" si="104"/>
        <v>318.38876834819752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92.650830910053998</v>
      </c>
      <c r="GM107" s="21">
        <f>EXP(-LN(2)/25)*GM106+(1-EXP(-LN(2)/25))/(LN(2)/25)*Calculateur!GH107*Calculateur!GJ107*VLOOKUP('Données projet'!$B$17,Paramètres!$A$1:$I$89,3,0)*0.475*44/12</f>
        <v>2.5937002999628582</v>
      </c>
      <c r="GN107" s="21">
        <f>EXP(-LN(2)/2)*GN106+(1-EXP(-LN(2)/2))/(LN(2)/2)*GH107*GK107*VLOOKUP('Données projet'!$B$17,Paramètres!$A$1:$I$89,3,0)*0.475*44/12</f>
        <v>1.4077004085733522E-2</v>
      </c>
      <c r="GO107" s="21">
        <f t="shared" si="81"/>
        <v>95.258608214102594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-2.8421709430404007E-13</v>
      </c>
      <c r="GV107" s="17">
        <f>GU107*VLOOKUP('Données projet'!$B$18,Paramètres!$A$1:$I$89,3,0)*VLOOKUP('Données projet'!$B$18,Paramètres!$A$1:$I$89,5,0)</f>
        <v>-1.9065282685915009E-13</v>
      </c>
      <c r="GW107" s="13" t="e">
        <f t="shared" si="105"/>
        <v>#NUM!</v>
      </c>
      <c r="GX107" s="20" t="e">
        <f t="shared" si="82"/>
        <v>#NUM!</v>
      </c>
      <c r="GY107" s="59" t="e">
        <f t="shared" si="83"/>
        <v>#NUM!</v>
      </c>
      <c r="GZ107" s="59">
        <f ca="1">AVERAGE(OFFSET($GY$3,0,0,'Données projet'!$E$18+1,1))-AVERAGE(OFFSET($H$3,0,0,'Données projet'!$E$18+1,1))</f>
        <v>268.04554291387961</v>
      </c>
      <c r="HA107" s="59">
        <f t="shared" si="106"/>
        <v>263.70463099437148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78.117367237888629</v>
      </c>
      <c r="HH107" s="21">
        <f>EXP(-LN(2)/25)*HH106+(1-EXP(-LN(2)/25))/(LN(2)/25)*Calculateur!HC107*Calculateur!HE107*VLOOKUP('Données projet'!$B$18,Paramètres!$A$1:$I$89,3,0)*0.475*44/12</f>
        <v>2.1868453509490795</v>
      </c>
      <c r="HI107" s="21">
        <f>EXP(-LN(2)/2)*HI106+(1-EXP(-LN(2)/2))/(LN(2)/2)*HC107*HF107*VLOOKUP('Données projet'!$B$18,Paramètres!$A$1:$I$89,3,0)*0.475*44/12</f>
        <v>1.1868846582089048E-2</v>
      </c>
      <c r="HJ107" s="22">
        <f t="shared" si="84"/>
        <v>80.316081435419804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-2.5124791136477146E-14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46.095319339746538</v>
      </c>
      <c r="T108" s="59">
        <f t="shared" si="88"/>
        <v>48.158174304064403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36.814534874223533</v>
      </c>
      <c r="AA108" s="21">
        <f>EXP(-LN(2)/25)*AA107+(1-EXP(-LN(2)/25))/(LN(2)/25)*Calculateur!V108*Calculateur!X108*VLOOKUP('Données projet'!$B$9,Paramètres!$A$1:$I$89,3,0)*0.475*44/12</f>
        <v>13.700171651846501</v>
      </c>
      <c r="AB108" s="21">
        <f>EXP(-LN(2)/2)*AB107+(1-EXP(-LN(2)/2))/(LN(2)/2)*V108*Y108*VLOOKUP('Données projet'!$B$9,Paramètres!$A$1:$I$89,3,0)*0.475*44/12</f>
        <v>2.549417896656496E-3</v>
      </c>
      <c r="AC108" s="22">
        <f t="shared" si="57"/>
        <v>50.517255943966695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-6.7984728957526396E-14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408.84545509668794</v>
      </c>
      <c r="AO108" s="59">
        <f t="shared" si="90"/>
        <v>409.9253979841132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77.146712225258526</v>
      </c>
      <c r="AV108" s="21">
        <f>EXP(-LN(2)/25)*AV107+(1-EXP(-LN(2)/25))/(LN(2)/25)*Calculateur!AQ108*Calculateur!AS108*VLOOKUP('Données projet'!$B$10,Paramètres!$A$1:$I$89,3,0)*0.475*44/12</f>
        <v>21.896853713042155</v>
      </c>
      <c r="AW108" s="21">
        <f>EXP(-LN(2)/2)*AW107+(1-EXP(-LN(2)/2))/(LN(2)/2)*AQ108*AT108*VLOOKUP('Données projet'!$B$10,Paramètres!$A$1:$I$89,3,0)*0.475*44/12</f>
        <v>1.5826461218580215E-5</v>
      </c>
      <c r="AX108" s="21">
        <f t="shared" si="60"/>
        <v>99.043581764761896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-6.7984728957526396E-14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279.69031306919914</v>
      </c>
      <c r="BJ108" s="59">
        <f t="shared" si="92"/>
        <v>297.01680128882509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69.991906464965624</v>
      </c>
      <c r="BQ108" s="21">
        <f>EXP(-LN(2)/25)*BQ107+(1-EXP(-LN(2)/25))/(LN(2)/25)*Calculateur!BL108*Calculateur!BN108*VLOOKUP('Données projet'!$B$11,Paramètres!$A$1:$I$89,3,0)*0.475*44/12</f>
        <v>24.837613222268949</v>
      </c>
      <c r="BR108" s="21">
        <f>EXP(-LN(2)/2)*BR107+(1-EXP(-LN(2)/2))/(LN(2)/2)*BL108*BO108*VLOOKUP('Données projet'!$B$11,Paramètres!$A$1:$I$89,3,0)*0.475*44/12</f>
        <v>3.6925260296979259E-5</v>
      </c>
      <c r="BS108" s="22">
        <f t="shared" si="63"/>
        <v>94.829556612494883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81.299024916151723</v>
      </c>
      <c r="CE108" s="59">
        <f t="shared" si="94"/>
        <v>88.106373324240167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20.701955304250497</v>
      </c>
      <c r="CL108" s="21">
        <f>EXP(-LN(2)/25)*CL107+(1-EXP(-LN(2)/25))/(LN(2)/25)*Calculateur!CG108*Calculateur!CI108*VLOOKUP('Données projet'!$B$12,Paramètres!$A$1:$I$89,3,0)*0.475*44/12</f>
        <v>6.6443651506806214</v>
      </c>
      <c r="CM108" s="21">
        <f>EXP(-LN(2)/2)*CM107+(1-EXP(-LN(2)/2))/(LN(2)/2)*CG108*CJ108*VLOOKUP('Données projet'!$B$12,Paramètres!$A$1:$I$89,3,0)*0.475*44/12</f>
        <v>4.0470382114143941E-6</v>
      </c>
      <c r="CN108" s="22">
        <f t="shared" si="66"/>
        <v>27.346324501969328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-3.4106051316484809E-13</v>
      </c>
      <c r="CU108" s="17">
        <f>CT108*VLOOKUP('Données projet'!$B$13,Paramètres!$A$1:$I$89,3,0)*VLOOKUP('Données projet'!$B$13,Paramètres!$A$1:$I$89,5,0)</f>
        <v>-1.9065282685915009E-13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475.42482703895411</v>
      </c>
      <c r="CZ108" s="59">
        <f t="shared" si="96"/>
        <v>593.51433014569966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141.41623195565782</v>
      </c>
      <c r="DG108" s="21">
        <f>EXP(-LN(2)/25)*DG107+(1-EXP(-LN(2)/25))/(LN(2)/25)*Calculateur!DB108*Calculateur!DD108*VLOOKUP('Données projet'!$B$13,Paramètres!$A$1:$I$89,3,0)*0.475*44/12</f>
        <v>21.358301497666481</v>
      </c>
      <c r="DH108" s="21">
        <f>EXP(-LN(2)/2)*DH107+(1-EXP(-LN(2)/2))/(LN(2)/2)*DB108*DE108*VLOOKUP('Données projet'!$B$13,Paramètres!$A$1:$I$89,3,0)*0.475*44/12</f>
        <v>4.6927899301528001E-5</v>
      </c>
      <c r="DI108" s="22">
        <f t="shared" si="69"/>
        <v>162.77458038122359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>
        <f>VLOOKUP(A108,'Données projet'!$A$165:$I$185,2,0)</f>
        <v>358</v>
      </c>
      <c r="DM108" s="12">
        <f>VLOOKUP(A108,'Données projet'!$A$165:$I$185,9,0)</f>
        <v>7.1111111111111107</v>
      </c>
      <c r="DN108" s="12">
        <f t="array" ref="DN108">INDEX(DM:DM,MIN(IF(ISNUMBER(DM108:DM304),ROW(DM108:DM304),"")))</f>
        <v>7.1111111111111107</v>
      </c>
      <c r="DO108" s="12">
        <f>IF('Données projet'!$A$166&gt;35,DO107+DN108-DW107,IF(A108&lt;'Données projet'!$A$166,$DL$205^A108,IF(A108='Données projet'!$A$166,'Données projet'!$B$166,DO107+DN108-DW107)))</f>
        <v>357.99999999999943</v>
      </c>
      <c r="DP108" s="17">
        <f>DO108*VLOOKUP('Données projet'!$B$14,Paramètres!$A$1:$I$89,3,0)*VLOOKUP('Données projet'!$B$14,Paramètres!$A$1:$I$89,5,0)</f>
        <v>323.91839999999945</v>
      </c>
      <c r="DQ108" s="13">
        <f t="shared" si="97"/>
        <v>76.168074587292963</v>
      </c>
      <c r="DR108" s="20">
        <f t="shared" si="70"/>
        <v>696.81727657286763</v>
      </c>
      <c r="DS108" s="59">
        <f t="shared" si="71"/>
        <v>990.150609906201</v>
      </c>
      <c r="DT108" s="59">
        <f ca="1">AVERAGE(OFFSET($DS$3,0,0,'Données projet'!$E$14+1,1))-AVERAGE(OFFSET($H$3,0,0,'Données projet'!$E$14+1,1))</f>
        <v>401.17301323870578</v>
      </c>
      <c r="DU108" s="59">
        <f t="shared" si="98"/>
        <v>201.57993789149754</v>
      </c>
      <c r="DV108" s="15">
        <f>IF(ISNA(VLOOKUP(A108,'Données projet'!$A$165:$I$185,3,0)),0,VLOOKUP(A108,'Données projet'!$A$165:$I$185,3,0))</f>
        <v>9</v>
      </c>
      <c r="DW108" s="15">
        <f>IF(ISNA(VLOOKUP(A108,'Données projet'!$A$165:$I$185,4,0)),0,VLOOKUP(A108,'Données projet'!$A$165:$I$185,4,0))</f>
        <v>43</v>
      </c>
      <c r="DX108" s="16">
        <f>IF(ISNA(VLOOKUP(A108,'Données projet'!$A$165:$I$185,5,0)),0%,VLOOKUP(A108,'Données projet'!$A$165:$I$185,5,0)*VLOOKUP('Données projet'!$B$14,Paramètres!$A$1:$I$89,7,0))</f>
        <v>0.30099999999999999</v>
      </c>
      <c r="DY108" s="16">
        <f>IF(ISNA(VLOOKUP(A108,'Données projet'!$A$165:$I$185,6,0)),0%,VLOOKUP(A108,'Données projet'!$A$165:$I$185,6,0)*VLOOKUP('Données projet'!$B$14,Paramètres!$A$1:$I$89,7,0))</f>
        <v>4.3000000000000003E-2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24.579784610308135</v>
      </c>
      <c r="EB108" s="21">
        <f>EXP(-LN(2)/25)*EB107+(1-EXP(-LN(2)/25))/(LN(2)/25)*Calculateur!DW108*Calculateur!DY108*VLOOKUP('Données projet'!$B$14,Paramètres!$A$1:$I$89,3,0)*0.475*44/12</f>
        <v>27.577794357875081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52.157578968183216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1.7053025658242404E-13</v>
      </c>
      <c r="EK108" s="17">
        <f>EJ108*VLOOKUP('Données projet'!$B$15,Paramètres!$A$1:$I$89,3,0)*VLOOKUP('Données projet'!$B$15,Paramètres!$A$1:$I$89,5,0)</f>
        <v>1.4897523215040567E-13</v>
      </c>
      <c r="EL108" s="13">
        <f t="shared" si="99"/>
        <v>2.136562777003313E-12</v>
      </c>
      <c r="EM108" s="20">
        <f t="shared" si="73"/>
        <v>3.9806453659427267E-12</v>
      </c>
      <c r="EN108" s="59">
        <f t="shared" si="74"/>
        <v>293.33333333333729</v>
      </c>
      <c r="EO108" s="59">
        <f ca="1">AVERAGE(OFFSET($EN$3,0,0,'Données projet'!$E$15+1,1))-AVERAGE(OFFSET($H$3,0,0,'Données projet'!$E$15+1,1))</f>
        <v>237.8483058552178</v>
      </c>
      <c r="EP108" s="59">
        <f t="shared" si="100"/>
        <v>313.36201272119723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40.682226001784073</v>
      </c>
      <c r="EW108" s="21">
        <f>EXP(-LN(2)/25)*EW107+(1-EXP(-LN(2)/25))/(LN(2)/25)*Calculateur!ER108*Calculateur!ET108*VLOOKUP('Données projet'!$B$15,Paramètres!$A$1:$I$89,3,0)*0.475*44/12</f>
        <v>2.0100465569590265</v>
      </c>
      <c r="EX108" s="21">
        <f>EXP(-LN(2)/2)*EX107+(1-EXP(-LN(2)/2))/(LN(2)/2)*ER108*EU108*VLOOKUP('Données projet'!$B$15,Paramètres!$A$1:$I$89,3,0)*0.475*44/12</f>
        <v>2.2221495758930747E-4</v>
      </c>
      <c r="EY108" s="22">
        <f t="shared" si="75"/>
        <v>42.692494773700687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-2.8421709430404007E-13</v>
      </c>
      <c r="FF108" s="17">
        <f>FE108*VLOOKUP('Données projet'!$B$16,Paramètres!$A$1:$I$89,3,0)*VLOOKUP('Données projet'!$B$16,Paramètres!$A$1:$I$89,5,0)</f>
        <v>-2.2168933355715128E-13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318.52984981739411</v>
      </c>
      <c r="FK108" s="59">
        <f t="shared" si="102"/>
        <v>311.56398336941714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72.25050312570086</v>
      </c>
      <c r="FR108" s="21">
        <f>EXP(-LN(2)/25)*FR107+(1-EXP(-LN(2)/25))/(LN(2)/25)*Calculateur!FM108*Calculateur!FO108*VLOOKUP('Données projet'!$B$16,Paramètres!$A$1:$I$89,3,0)*0.475*44/12</f>
        <v>2.0066471224775242</v>
      </c>
      <c r="FS108" s="21">
        <f>EXP(-LN(2)/2)*FS107+(1-EXP(-LN(2)/2))/(LN(2)/2)*FM108*FP108*VLOOKUP('Données projet'!$B$16,Paramètres!$A$1:$I$89,3,0)*0.475*44/12</f>
        <v>9.7587696547185524E-3</v>
      </c>
      <c r="FT108" s="22">
        <f t="shared" si="78"/>
        <v>74.266909017833115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-2.8421709430404007E-13</v>
      </c>
      <c r="GA108" s="17">
        <f>FZ108*VLOOKUP('Données projet'!$B$17,Paramètres!$A$1:$I$89,3,0)*VLOOKUP('Données projet'!$B$17,Paramètres!$A$1:$I$89,5,0)</f>
        <v>-2.2612312022829427E-13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325.72928944930294</v>
      </c>
      <c r="GF108" s="59">
        <f t="shared" si="104"/>
        <v>318.38876834819752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90.83400462733465</v>
      </c>
      <c r="GM108" s="21">
        <f>EXP(-LN(2)/25)*GM107+(1-EXP(-LN(2)/25))/(LN(2)/25)*Calculateur!GH108*Calculateur!GJ108*VLOOKUP('Données projet'!$B$17,Paramètres!$A$1:$I$89,3,0)*0.475*44/12</f>
        <v>2.5227754288636031</v>
      </c>
      <c r="GN108" s="21">
        <f>EXP(-LN(2)/2)*GN107+(1-EXP(-LN(2)/2))/(LN(2)/2)*GH108*GK108*VLOOKUP('Données projet'!$B$17,Paramètres!$A$1:$I$89,3,0)*0.475*44/12</f>
        <v>9.9539450478129086E-3</v>
      </c>
      <c r="GO108" s="21">
        <f t="shared" si="81"/>
        <v>93.366734001246058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-2.8421709430404007E-13</v>
      </c>
      <c r="GV108" s="17">
        <f>GU108*VLOOKUP('Données projet'!$B$18,Paramètres!$A$1:$I$89,3,0)*VLOOKUP('Données projet'!$B$18,Paramètres!$A$1:$I$89,5,0)</f>
        <v>-1.9065282685915009E-13</v>
      </c>
      <c r="GW108" s="13" t="e">
        <f t="shared" si="105"/>
        <v>#NUM!</v>
      </c>
      <c r="GX108" s="20" t="e">
        <f t="shared" si="82"/>
        <v>#NUM!</v>
      </c>
      <c r="GY108" s="59" t="e">
        <f t="shared" si="83"/>
        <v>#NUM!</v>
      </c>
      <c r="GZ108" s="59">
        <f ca="1">AVERAGE(OFFSET($GY$3,0,0,'Données projet'!$E$18+1,1))-AVERAGE(OFFSET($H$3,0,0,'Données projet'!$E$18+1,1))</f>
        <v>268.04554291387961</v>
      </c>
      <c r="HA108" s="59">
        <f t="shared" si="106"/>
        <v>263.70463099437148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76.585533313242905</v>
      </c>
      <c r="HH108" s="21">
        <f>EXP(-LN(2)/25)*HH107+(1-EXP(-LN(2)/25))/(LN(2)/25)*Calculateur!HC108*Calculateur!HE108*VLOOKUP('Données projet'!$B$18,Paramètres!$A$1:$I$89,3,0)*0.475*44/12</f>
        <v>2.127045949826178</v>
      </c>
      <c r="HI108" s="21">
        <f>EXP(-LN(2)/2)*HI107+(1-EXP(-LN(2)/2))/(LN(2)/2)*HC108*HF108*VLOOKUP('Données projet'!$B$18,Paramètres!$A$1:$I$89,3,0)*0.475*44/12</f>
        <v>8.3925419030579426E-3</v>
      </c>
      <c r="HJ108" s="22">
        <f t="shared" si="84"/>
        <v>78.720971804972152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-2.5124791136477146E-14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46.095319339746538</v>
      </c>
      <c r="T109" s="59">
        <f t="shared" si="88"/>
        <v>48.158174304064403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36.092624299989069</v>
      </c>
      <c r="AA109" s="21">
        <f>EXP(-LN(2)/25)*AA108+(1-EXP(-LN(2)/25))/(LN(2)/25)*Calculateur!V109*Calculateur!X109*VLOOKUP('Données projet'!$B$9,Paramètres!$A$1:$I$89,3,0)*0.475*44/12</f>
        <v>13.325539737566043</v>
      </c>
      <c r="AB109" s="21">
        <f>EXP(-LN(2)/2)*AB108+(1-EXP(-LN(2)/2))/(LN(2)/2)*V109*Y109*VLOOKUP('Données projet'!$B$9,Paramètres!$A$1:$I$89,3,0)*0.475*44/12</f>
        <v>1.8027106828041532E-3</v>
      </c>
      <c r="AC109" s="22">
        <f t="shared" si="57"/>
        <v>49.419966748237918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-6.7984728957526396E-14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408.84545509668794</v>
      </c>
      <c r="AO109" s="59">
        <f t="shared" si="90"/>
        <v>409.9253979841132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75.633912253369388</v>
      </c>
      <c r="AV109" s="21">
        <f>EXP(-LN(2)/25)*AV108+(1-EXP(-LN(2)/25))/(LN(2)/25)*Calculateur!AQ109*Calculateur!AS109*VLOOKUP('Données projet'!$B$10,Paramètres!$A$1:$I$89,3,0)*0.475*44/12</f>
        <v>21.298083096753526</v>
      </c>
      <c r="AW109" s="21">
        <f>EXP(-LN(2)/2)*AW108+(1-EXP(-LN(2)/2))/(LN(2)/2)*AQ109*AT109*VLOOKUP('Données projet'!$B$10,Paramètres!$A$1:$I$89,3,0)*0.475*44/12</f>
        <v>1.119099804984398E-5</v>
      </c>
      <c r="AX109" s="21">
        <f t="shared" si="60"/>
        <v>96.93200654112097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-6.7984728957526396E-14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279.69031306919914</v>
      </c>
      <c r="BJ109" s="59">
        <f t="shared" si="92"/>
        <v>297.01680128882509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68.619407870035218</v>
      </c>
      <c r="BQ109" s="21">
        <f>EXP(-LN(2)/25)*BQ108+(1-EXP(-LN(2)/25))/(LN(2)/25)*Calculateur!BL109*Calculateur!BN109*VLOOKUP('Données projet'!$B$11,Paramètres!$A$1:$I$89,3,0)*0.475*44/12</f>
        <v>24.158427382552691</v>
      </c>
      <c r="BR109" s="21">
        <f>EXP(-LN(2)/2)*BR108+(1-EXP(-LN(2)/2))/(LN(2)/2)*BL109*BO109*VLOOKUP('Données projet'!$B$11,Paramètres!$A$1:$I$89,3,0)*0.475*44/12</f>
        <v>2.6110101953072425E-5</v>
      </c>
      <c r="BS109" s="22">
        <f t="shared" si="63"/>
        <v>92.777861362689862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81.299024916151723</v>
      </c>
      <c r="CE109" s="59">
        <f t="shared" si="94"/>
        <v>88.106373324240167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20.296002587680071</v>
      </c>
      <c r="CL109" s="21">
        <f>EXP(-LN(2)/25)*CL108+(1-EXP(-LN(2)/25))/(LN(2)/25)*Calculateur!CG109*Calculateur!CI109*VLOOKUP('Données projet'!$B$12,Paramètres!$A$1:$I$89,3,0)*0.475*44/12</f>
        <v>6.4626746362232828</v>
      </c>
      <c r="CM109" s="21">
        <f>EXP(-LN(2)/2)*CM108+(1-EXP(-LN(2)/2))/(LN(2)/2)*CG109*CJ109*VLOOKUP('Données projet'!$B$12,Paramètres!$A$1:$I$89,3,0)*0.475*44/12</f>
        <v>2.8616881630121947E-6</v>
      </c>
      <c r="CN109" s="22">
        <f t="shared" si="66"/>
        <v>26.758680085591518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-3.4106051316484809E-13</v>
      </c>
      <c r="CU109" s="17">
        <f>CT109*VLOOKUP('Données projet'!$B$13,Paramètres!$A$1:$I$89,3,0)*VLOOKUP('Données projet'!$B$13,Paramètres!$A$1:$I$89,5,0)</f>
        <v>-1.9065282685915009E-13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475.42482703895411</v>
      </c>
      <c r="CZ109" s="59">
        <f t="shared" si="96"/>
        <v>593.51433014569966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138.64314590239186</v>
      </c>
      <c r="DG109" s="21">
        <f>EXP(-LN(2)/25)*DG108+(1-EXP(-LN(2)/25))/(LN(2)/25)*Calculateur!DB109*Calculateur!DD109*VLOOKUP('Données projet'!$B$13,Paramètres!$A$1:$I$89,3,0)*0.475*44/12</f>
        <v>20.774257620028532</v>
      </c>
      <c r="DH109" s="21">
        <f>EXP(-LN(2)/2)*DH108+(1-EXP(-LN(2)/2))/(LN(2)/2)*DB109*DE109*VLOOKUP('Données projet'!$B$13,Paramètres!$A$1:$I$89,3,0)*0.475*44/12</f>
        <v>3.3183035822949896E-5</v>
      </c>
      <c r="DI109" s="22">
        <f t="shared" si="69"/>
        <v>159.4174367054562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7</v>
      </c>
      <c r="DO109" s="12">
        <f>IF('Données projet'!$A$166&gt;35,DO108+DN109-DW108,IF(A109&lt;'Données projet'!$A$166,$DL$205^A109,IF(A109='Données projet'!$A$166,'Données projet'!$B$166,DO108+DN109-DW108)))</f>
        <v>321.99999999999943</v>
      </c>
      <c r="DP109" s="17">
        <f>DO109*VLOOKUP('Données projet'!$B$14,Paramètres!$A$1:$I$89,3,0)*VLOOKUP('Données projet'!$B$14,Paramètres!$A$1:$I$89,5,0)</f>
        <v>291.34559999999948</v>
      </c>
      <c r="DQ109" s="13">
        <f t="shared" si="97"/>
        <v>69.359089490698594</v>
      </c>
      <c r="DR109" s="20">
        <f t="shared" si="70"/>
        <v>628.22733419629901</v>
      </c>
      <c r="DS109" s="59">
        <f t="shared" si="71"/>
        <v>921.56066752963238</v>
      </c>
      <c r="DT109" s="59">
        <f ca="1">AVERAGE(OFFSET($DS$3,0,0,'Données projet'!$E$14+1,1))-AVERAGE(OFFSET($H$3,0,0,'Données projet'!$E$14+1,1))</f>
        <v>401.17301323870578</v>
      </c>
      <c r="DU109" s="59">
        <f t="shared" si="98"/>
        <v>201.57993789149754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24.097790026288248</v>
      </c>
      <c r="EB109" s="21">
        <f>EXP(-LN(2)/25)*EB108+(1-EXP(-LN(2)/25))/(LN(2)/25)*Calculateur!DW109*Calculateur!DY109*VLOOKUP('Données projet'!$B$14,Paramètres!$A$1:$I$89,3,0)*0.475*44/12</f>
        <v>26.823678120905811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50.921468147194062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1.7053025658242404E-13</v>
      </c>
      <c r="EK109" s="17">
        <f>EJ109*VLOOKUP('Données projet'!$B$15,Paramètres!$A$1:$I$89,3,0)*VLOOKUP('Données projet'!$B$15,Paramètres!$A$1:$I$89,5,0)</f>
        <v>1.4897523215040567E-13</v>
      </c>
      <c r="EL109" s="13">
        <f t="shared" si="99"/>
        <v>2.136562777003313E-12</v>
      </c>
      <c r="EM109" s="20">
        <f t="shared" si="73"/>
        <v>3.9806453659427267E-12</v>
      </c>
      <c r="EN109" s="59">
        <f t="shared" si="74"/>
        <v>293.33333333333729</v>
      </c>
      <c r="EO109" s="59">
        <f ca="1">AVERAGE(OFFSET($EN$3,0,0,'Données projet'!$E$15+1,1))-AVERAGE(OFFSET($H$3,0,0,'Données projet'!$E$15+1,1))</f>
        <v>237.8483058552178</v>
      </c>
      <c r="EP109" s="59">
        <f t="shared" si="100"/>
        <v>313.36201272119723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39.884472363596799</v>
      </c>
      <c r="EW109" s="21">
        <f>EXP(-LN(2)/25)*EW108+(1-EXP(-LN(2)/25))/(LN(2)/25)*Calculateur!ER109*Calculateur!ET109*VLOOKUP('Données projet'!$B$15,Paramètres!$A$1:$I$89,3,0)*0.475*44/12</f>
        <v>1.9550817281552275</v>
      </c>
      <c r="EX109" s="21">
        <f>EXP(-LN(2)/2)*EX108+(1-EXP(-LN(2)/2))/(LN(2)/2)*ER109*EU109*VLOOKUP('Données projet'!$B$15,Paramètres!$A$1:$I$89,3,0)*0.475*44/12</f>
        <v>1.5712970339248038E-4</v>
      </c>
      <c r="EY109" s="22">
        <f t="shared" si="75"/>
        <v>41.839711221455417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-2.8421709430404007E-13</v>
      </c>
      <c r="FF109" s="17">
        <f>FE109*VLOOKUP('Données projet'!$B$16,Paramètres!$A$1:$I$89,3,0)*VLOOKUP('Données projet'!$B$16,Paramètres!$A$1:$I$89,5,0)</f>
        <v>-2.2168933355715128E-13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318.52984981739411</v>
      </c>
      <c r="FK109" s="59">
        <f t="shared" si="102"/>
        <v>311.56398336941714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70.833714827861371</v>
      </c>
      <c r="FR109" s="21">
        <f>EXP(-LN(2)/25)*FR108+(1-EXP(-LN(2)/25))/(LN(2)/25)*Calculateur!FM109*Calculateur!FO109*VLOOKUP('Données projet'!$B$16,Paramètres!$A$1:$I$89,3,0)*0.475*44/12</f>
        <v>1.9517752513883904</v>
      </c>
      <c r="FS109" s="21">
        <f>EXP(-LN(2)/2)*FS108+(1-EXP(-LN(2)/2))/(LN(2)/2)*FM109*FP109*VLOOKUP('Données projet'!$B$16,Paramètres!$A$1:$I$89,3,0)*0.475*44/12</f>
        <v>6.9004921988889915E-3</v>
      </c>
      <c r="FT109" s="22">
        <f t="shared" si="78"/>
        <v>72.792390571448649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-2.8421709430404007E-13</v>
      </c>
      <c r="GA109" s="17">
        <f>FZ109*VLOOKUP('Données projet'!$B$17,Paramètres!$A$1:$I$89,3,0)*VLOOKUP('Données projet'!$B$17,Paramètres!$A$1:$I$89,5,0)</f>
        <v>-2.2612312022829427E-13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325.72928944930294</v>
      </c>
      <c r="GF109" s="59">
        <f t="shared" si="104"/>
        <v>318.38876834819752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89.052805199864821</v>
      </c>
      <c r="GM109" s="21">
        <f>EXP(-LN(2)/25)*GM108+(1-EXP(-LN(2)/25))/(LN(2)/25)*Calculateur!GH109*Calculateur!GJ109*VLOOKUP('Données projet'!$B$17,Paramètres!$A$1:$I$89,3,0)*0.475*44/12</f>
        <v>2.4537900020943337</v>
      </c>
      <c r="GN109" s="21">
        <f>EXP(-LN(2)/2)*GN108+(1-EXP(-LN(2)/2))/(LN(2)/2)*GH109*GK109*VLOOKUP('Données projet'!$B$17,Paramètres!$A$1:$I$89,3,0)*0.475*44/12</f>
        <v>7.0385020428667608E-3</v>
      </c>
      <c r="GO109" s="21">
        <f t="shared" si="81"/>
        <v>91.513633704002018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-2.8421709430404007E-13</v>
      </c>
      <c r="GV109" s="17">
        <f>GU109*VLOOKUP('Données projet'!$B$18,Paramètres!$A$1:$I$89,3,0)*VLOOKUP('Données projet'!$B$18,Paramètres!$A$1:$I$89,5,0)</f>
        <v>-1.9065282685915009E-13</v>
      </c>
      <c r="GW109" s="13" t="e">
        <f t="shared" si="105"/>
        <v>#NUM!</v>
      </c>
      <c r="GX109" s="20" t="e">
        <f t="shared" si="82"/>
        <v>#NUM!</v>
      </c>
      <c r="GY109" s="59" t="e">
        <f t="shared" si="83"/>
        <v>#NUM!</v>
      </c>
      <c r="GZ109" s="59">
        <f ca="1">AVERAGE(OFFSET($GY$3,0,0,'Données projet'!$E$18+1,1))-AVERAGE(OFFSET($H$3,0,0,'Données projet'!$E$18+1,1))</f>
        <v>268.04554291387961</v>
      </c>
      <c r="HA109" s="59">
        <f t="shared" si="106"/>
        <v>263.70463099437148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75.083737717533054</v>
      </c>
      <c r="HH109" s="21">
        <f>EXP(-LN(2)/25)*HH108+(1-EXP(-LN(2)/25))/(LN(2)/25)*Calculateur!HC109*Calculateur!HE109*VLOOKUP('Données projet'!$B$18,Paramètres!$A$1:$I$89,3,0)*0.475*44/12</f>
        <v>2.0688817664716961</v>
      </c>
      <c r="HI109" s="21">
        <f>EXP(-LN(2)/2)*HI108+(1-EXP(-LN(2)/2))/(LN(2)/2)*HC109*HF109*VLOOKUP('Données projet'!$B$18,Paramètres!$A$1:$I$89,3,0)*0.475*44/12</f>
        <v>5.9344232910445239E-3</v>
      </c>
      <c r="HJ109" s="22">
        <f t="shared" si="84"/>
        <v>77.158553907295783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-2.5124791136477146E-14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46.095319339746538</v>
      </c>
      <c r="T110" s="59">
        <f t="shared" si="88"/>
        <v>48.158174304064403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35.38486995179337</v>
      </c>
      <c r="AA110" s="21">
        <f>EXP(-LN(2)/25)*AA109+(1-EXP(-LN(2)/25))/(LN(2)/25)*Calculateur!V110*Calculateur!X110*VLOOKUP('Données projet'!$B$9,Paramètres!$A$1:$I$89,3,0)*0.475*44/12</f>
        <v>12.961152152682621</v>
      </c>
      <c r="AB110" s="21">
        <f>EXP(-LN(2)/2)*AB109+(1-EXP(-LN(2)/2))/(LN(2)/2)*V110*Y110*VLOOKUP('Données projet'!$B$9,Paramètres!$A$1:$I$89,3,0)*0.475*44/12</f>
        <v>1.274708948328248E-3</v>
      </c>
      <c r="AC110" s="22">
        <f t="shared" si="57"/>
        <v>48.347296813424322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-6.7984728957526396E-14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408.84545509668794</v>
      </c>
      <c r="AO110" s="59">
        <f t="shared" si="90"/>
        <v>409.9253979841132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74.150777366212125</v>
      </c>
      <c r="AV110" s="21">
        <f>EXP(-LN(2)/25)*AV109+(1-EXP(-LN(2)/25))/(LN(2)/25)*Calculateur!AQ110*Calculateur!AS110*VLOOKUP('Données projet'!$B$10,Paramètres!$A$1:$I$89,3,0)*0.475*44/12</f>
        <v>20.715685894455287</v>
      </c>
      <c r="AW110" s="21">
        <f>EXP(-LN(2)/2)*AW109+(1-EXP(-LN(2)/2))/(LN(2)/2)*AQ110*AT110*VLOOKUP('Données projet'!$B$10,Paramètres!$A$1:$I$89,3,0)*0.475*44/12</f>
        <v>7.9132306092901074E-6</v>
      </c>
      <c r="AX110" s="21">
        <f t="shared" si="60"/>
        <v>94.86647117389802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-6.7984728957526396E-14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279.69031306919914</v>
      </c>
      <c r="BJ110" s="59">
        <f t="shared" si="92"/>
        <v>297.01680128882509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67.273823135409913</v>
      </c>
      <c r="BQ110" s="21">
        <f>EXP(-LN(2)/25)*BQ109+(1-EXP(-LN(2)/25))/(LN(2)/25)*Calculateur!BL110*Calculateur!BN110*VLOOKUP('Données projet'!$B$11,Paramètres!$A$1:$I$89,3,0)*0.475*44/12</f>
        <v>23.497813915340306</v>
      </c>
      <c r="BR110" s="21">
        <f>EXP(-LN(2)/2)*BR109+(1-EXP(-LN(2)/2))/(LN(2)/2)*BL110*BO110*VLOOKUP('Données projet'!$B$11,Paramètres!$A$1:$I$89,3,0)*0.475*44/12</f>
        <v>1.846263014848963E-5</v>
      </c>
      <c r="BS110" s="22">
        <f t="shared" si="63"/>
        <v>90.771655513380367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81.299024916151723</v>
      </c>
      <c r="CE110" s="59">
        <f t="shared" si="94"/>
        <v>88.106373324240167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19.898010356274884</v>
      </c>
      <c r="CL110" s="21">
        <f>EXP(-LN(2)/25)*CL109+(1-EXP(-LN(2)/25))/(LN(2)/25)*Calculateur!CG110*Calculateur!CI110*VLOOKUP('Données projet'!$B$12,Paramètres!$A$1:$I$89,3,0)*0.475*44/12</f>
        <v>6.2859524584384685</v>
      </c>
      <c r="CM110" s="21">
        <f>EXP(-LN(2)/2)*CM109+(1-EXP(-LN(2)/2))/(LN(2)/2)*CG110*CJ110*VLOOKUP('Données projet'!$B$12,Paramètres!$A$1:$I$89,3,0)*0.475*44/12</f>
        <v>2.0235191057071971E-6</v>
      </c>
      <c r="CN110" s="22">
        <f t="shared" si="66"/>
        <v>26.183964838232459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-3.4106051316484809E-13</v>
      </c>
      <c r="CU110" s="17">
        <f>CT110*VLOOKUP('Données projet'!$B$13,Paramètres!$A$1:$I$89,3,0)*VLOOKUP('Données projet'!$B$13,Paramètres!$A$1:$I$89,5,0)</f>
        <v>-1.9065282685915009E-13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475.42482703895411</v>
      </c>
      <c r="CZ110" s="59">
        <f t="shared" si="96"/>
        <v>593.51433014569966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135.92443837521498</v>
      </c>
      <c r="DG110" s="21">
        <f>EXP(-LN(2)/25)*DG109+(1-EXP(-LN(2)/25))/(LN(2)/25)*Calculateur!DB110*Calculateur!DD110*VLOOKUP('Données projet'!$B$13,Paramètres!$A$1:$I$89,3,0)*0.475*44/12</f>
        <v>20.206184452938125</v>
      </c>
      <c r="DH110" s="21">
        <f>EXP(-LN(2)/2)*DH109+(1-EXP(-LN(2)/2))/(LN(2)/2)*DB110*DE110*VLOOKUP('Données projet'!$B$13,Paramètres!$A$1:$I$89,3,0)*0.475*44/12</f>
        <v>2.3463949650764E-5</v>
      </c>
      <c r="DI110" s="22">
        <f t="shared" si="69"/>
        <v>156.13064629210274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7</v>
      </c>
      <c r="DO110" s="12">
        <f>IF('Données projet'!$A$166&gt;35,DO109+DN110-DW109,IF(A110&lt;'Données projet'!$A$166,$DL$205^A110,IF(A110='Données projet'!$A$166,'Données projet'!$B$166,DO109+DN110-DW109)))</f>
        <v>328.99999999999943</v>
      </c>
      <c r="DP110" s="17">
        <f>DO110*VLOOKUP('Données projet'!$B$14,Paramètres!$A$1:$I$89,3,0)*VLOOKUP('Données projet'!$B$14,Paramètres!$A$1:$I$89,5,0)</f>
        <v>297.67919999999947</v>
      </c>
      <c r="DQ110" s="13">
        <f t="shared" si="97"/>
        <v>70.689714967168015</v>
      </c>
      <c r="DR110" s="20">
        <f t="shared" si="70"/>
        <v>641.57586023448323</v>
      </c>
      <c r="DS110" s="59">
        <f t="shared" si="71"/>
        <v>934.9091935678166</v>
      </c>
      <c r="DT110" s="59">
        <f ca="1">AVERAGE(OFFSET($DS$3,0,0,'Données projet'!$E$14+1,1))-AVERAGE(OFFSET($H$3,0,0,'Données projet'!$E$14+1,1))</f>
        <v>401.17301323870578</v>
      </c>
      <c r="DU110" s="59">
        <f t="shared" si="98"/>
        <v>201.57993789149754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23.625247062073324</v>
      </c>
      <c r="EB110" s="21">
        <f>EXP(-LN(2)/25)*EB109+(1-EXP(-LN(2)/25))/(LN(2)/25)*Calculateur!DW110*Calculateur!DY110*VLOOKUP('Données projet'!$B$14,Paramètres!$A$1:$I$89,3,0)*0.475*44/12</f>
        <v>26.090183232093715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49.715430294167035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1.7053025658242404E-13</v>
      </c>
      <c r="EK110" s="17">
        <f>EJ110*VLOOKUP('Données projet'!$B$15,Paramètres!$A$1:$I$89,3,0)*VLOOKUP('Données projet'!$B$15,Paramètres!$A$1:$I$89,5,0)</f>
        <v>1.4897523215040567E-13</v>
      </c>
      <c r="EL110" s="13">
        <f t="shared" si="99"/>
        <v>2.136562777003313E-12</v>
      </c>
      <c r="EM110" s="20">
        <f t="shared" si="73"/>
        <v>3.9806453659427267E-12</v>
      </c>
      <c r="EN110" s="59">
        <f t="shared" si="74"/>
        <v>293.33333333333729</v>
      </c>
      <c r="EO110" s="59">
        <f ca="1">AVERAGE(OFFSET($EN$3,0,0,'Données projet'!$E$15+1,1))-AVERAGE(OFFSET($H$3,0,0,'Données projet'!$E$15+1,1))</f>
        <v>237.8483058552178</v>
      </c>
      <c r="EP110" s="59">
        <f t="shared" si="100"/>
        <v>313.36201272119723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39.102362187672703</v>
      </c>
      <c r="EW110" s="21">
        <f>EXP(-LN(2)/25)*EW109+(1-EXP(-LN(2)/25))/(LN(2)/25)*Calculateur!ER110*Calculateur!ET110*VLOOKUP('Données projet'!$B$15,Paramètres!$A$1:$I$89,3,0)*0.475*44/12</f>
        <v>1.9016199154855431</v>
      </c>
      <c r="EX110" s="21">
        <f>EXP(-LN(2)/2)*EX109+(1-EXP(-LN(2)/2))/(LN(2)/2)*ER110*EU110*VLOOKUP('Données projet'!$B$15,Paramètres!$A$1:$I$89,3,0)*0.475*44/12</f>
        <v>1.1110747879465374E-4</v>
      </c>
      <c r="EY110" s="22">
        <f t="shared" si="75"/>
        <v>41.004093210637038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-2.8421709430404007E-13</v>
      </c>
      <c r="FF110" s="17">
        <f>FE110*VLOOKUP('Données projet'!$B$16,Paramètres!$A$1:$I$89,3,0)*VLOOKUP('Données projet'!$B$16,Paramètres!$A$1:$I$89,5,0)</f>
        <v>-2.2168933355715128E-13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318.52984981739411</v>
      </c>
      <c r="FK110" s="59">
        <f t="shared" si="102"/>
        <v>311.56398336941714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69.444708884386984</v>
      </c>
      <c r="FR110" s="21">
        <f>EXP(-LN(2)/25)*FR109+(1-EXP(-LN(2)/25))/(LN(2)/25)*Calculateur!FM110*Calculateur!FO110*VLOOKUP('Données projet'!$B$16,Paramètres!$A$1:$I$89,3,0)*0.475*44/12</f>
        <v>1.8984038544997752</v>
      </c>
      <c r="FS110" s="21">
        <f>EXP(-LN(2)/2)*FS109+(1-EXP(-LN(2)/2))/(LN(2)/2)*FM110*FP110*VLOOKUP('Données projet'!$B$16,Paramètres!$A$1:$I$89,3,0)*0.475*44/12</f>
        <v>4.8793848273592762E-3</v>
      </c>
      <c r="FT110" s="22">
        <f t="shared" si="78"/>
        <v>71.347992123714121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-2.8421709430404007E-13</v>
      </c>
      <c r="GA110" s="17">
        <f>FZ110*VLOOKUP('Données projet'!$B$17,Paramètres!$A$1:$I$89,3,0)*VLOOKUP('Données projet'!$B$17,Paramètres!$A$1:$I$89,5,0)</f>
        <v>-2.2612312022829427E-13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325.72928944930294</v>
      </c>
      <c r="GF110" s="59">
        <f t="shared" si="104"/>
        <v>318.38876834819752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87.306534006743306</v>
      </c>
      <c r="GM110" s="21">
        <f>EXP(-LN(2)/25)*GM109+(1-EXP(-LN(2)/25))/(LN(2)/25)*Calculateur!GH110*Calculateur!GJ110*VLOOKUP('Données projet'!$B$17,Paramètres!$A$1:$I$89,3,0)*0.475*44/12</f>
        <v>2.386690985447856</v>
      </c>
      <c r="GN110" s="21">
        <f>EXP(-LN(2)/2)*GN109+(1-EXP(-LN(2)/2))/(LN(2)/2)*GH110*GK110*VLOOKUP('Données projet'!$B$17,Paramètres!$A$1:$I$89,3,0)*0.475*44/12</f>
        <v>4.9769725239064543E-3</v>
      </c>
      <c r="GO110" s="21">
        <f t="shared" si="81"/>
        <v>89.698201964715068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-2.8421709430404007E-13</v>
      </c>
      <c r="GV110" s="17">
        <f>GU110*VLOOKUP('Données projet'!$B$18,Paramètres!$A$1:$I$89,3,0)*VLOOKUP('Données projet'!$B$18,Paramètres!$A$1:$I$89,5,0)</f>
        <v>-1.9065282685915009E-13</v>
      </c>
      <c r="GW110" s="13" t="e">
        <f t="shared" si="105"/>
        <v>#NUM!</v>
      </c>
      <c r="GX110" s="20" t="e">
        <f t="shared" si="82"/>
        <v>#NUM!</v>
      </c>
      <c r="GY110" s="59" t="e">
        <f t="shared" si="83"/>
        <v>#NUM!</v>
      </c>
      <c r="GZ110" s="59">
        <f ca="1">AVERAGE(OFFSET($GY$3,0,0,'Données projet'!$E$18+1,1))-AVERAGE(OFFSET($H$3,0,0,'Données projet'!$E$18+1,1))</f>
        <v>268.04554291387961</v>
      </c>
      <c r="HA110" s="59">
        <f t="shared" si="106"/>
        <v>263.70463099437148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73.611391417450207</v>
      </c>
      <c r="HH110" s="21">
        <f>EXP(-LN(2)/25)*HH109+(1-EXP(-LN(2)/25))/(LN(2)/25)*Calculateur!HC110*Calculateur!HE110*VLOOKUP('Données projet'!$B$18,Paramètres!$A$1:$I$89,3,0)*0.475*44/12</f>
        <v>2.0123080857697642</v>
      </c>
      <c r="HI110" s="21">
        <f>EXP(-LN(2)/2)*HI109+(1-EXP(-LN(2)/2))/(LN(2)/2)*HC110*HF110*VLOOKUP('Données projet'!$B$18,Paramètres!$A$1:$I$89,3,0)*0.475*44/12</f>
        <v>4.1962709515289713E-3</v>
      </c>
      <c r="HJ110" s="22">
        <f t="shared" si="84"/>
        <v>75.627895774171492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-2.5124791136477146E-14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46.095319339746538</v>
      </c>
      <c r="T111" s="59">
        <f t="shared" si="88"/>
        <v>48.158174304064403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34.690994234678264</v>
      </c>
      <c r="AA111" s="21">
        <f>EXP(-LN(2)/25)*AA110+(1-EXP(-LN(2)/25))/(LN(2)/25)*Calculateur!V111*Calculateur!X111*VLOOKUP('Données projet'!$B$9,Paramètres!$A$1:$I$89,3,0)*0.475*44/12</f>
        <v>12.606728765470146</v>
      </c>
      <c r="AB111" s="21">
        <f>EXP(-LN(2)/2)*AB110+(1-EXP(-LN(2)/2))/(LN(2)/2)*V111*Y111*VLOOKUP('Données projet'!$B$9,Paramètres!$A$1:$I$89,3,0)*0.475*44/12</f>
        <v>9.0135534140207659E-4</v>
      </c>
      <c r="AC111" s="22">
        <f t="shared" si="57"/>
        <v>47.298624355489814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-6.7984728957526396E-14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408.84545509668794</v>
      </c>
      <c r="AO111" s="59">
        <f t="shared" si="90"/>
        <v>409.9253979841132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72.696725849569049</v>
      </c>
      <c r="AV111" s="21">
        <f>EXP(-LN(2)/25)*AV110+(1-EXP(-LN(2)/25))/(LN(2)/25)*Calculateur!AQ111*Calculateur!AS111*VLOOKUP('Données projet'!$B$10,Paramètres!$A$1:$I$89,3,0)*0.475*44/12</f>
        <v>20.149214374280831</v>
      </c>
      <c r="AW111" s="21">
        <f>EXP(-LN(2)/2)*AW110+(1-EXP(-LN(2)/2))/(LN(2)/2)*AQ111*AT111*VLOOKUP('Données projet'!$B$10,Paramètres!$A$1:$I$89,3,0)*0.475*44/12</f>
        <v>5.5954990249219902E-6</v>
      </c>
      <c r="AX111" s="21">
        <f t="shared" si="60"/>
        <v>92.845945819348898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-6.7984728957526396E-14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279.69031306919914</v>
      </c>
      <c r="BJ111" s="59">
        <f t="shared" si="92"/>
        <v>297.01680128882509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65.954624496704966</v>
      </c>
      <c r="BQ111" s="21">
        <f>EXP(-LN(2)/25)*BQ110+(1-EXP(-LN(2)/25))/(LN(2)/25)*Calculateur!BL111*Calculateur!BN111*VLOOKUP('Données projet'!$B$11,Paramètres!$A$1:$I$89,3,0)*0.475*44/12</f>
        <v>22.855264958128995</v>
      </c>
      <c r="BR111" s="21">
        <f>EXP(-LN(2)/2)*BR110+(1-EXP(-LN(2)/2))/(LN(2)/2)*BL111*BO111*VLOOKUP('Données projet'!$B$11,Paramètres!$A$1:$I$89,3,0)*0.475*44/12</f>
        <v>1.3055050976536212E-5</v>
      </c>
      <c r="BS111" s="22">
        <f t="shared" si="63"/>
        <v>88.809902509884935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81.299024916151723</v>
      </c>
      <c r="CE111" s="59">
        <f t="shared" si="94"/>
        <v>88.106373324240167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19.507822509776261</v>
      </c>
      <c r="CL111" s="21">
        <f>EXP(-LN(2)/25)*CL110+(1-EXP(-LN(2)/25))/(LN(2)/25)*Calculateur!CG111*Calculateur!CI111*VLOOKUP('Données projet'!$B$12,Paramètres!$A$1:$I$89,3,0)*0.475*44/12</f>
        <v>6.1140627578985951</v>
      </c>
      <c r="CM111" s="21">
        <f>EXP(-LN(2)/2)*CM110+(1-EXP(-LN(2)/2))/(LN(2)/2)*CG111*CJ111*VLOOKUP('Données projet'!$B$12,Paramètres!$A$1:$I$89,3,0)*0.475*44/12</f>
        <v>1.4308440815060974E-6</v>
      </c>
      <c r="CN111" s="22">
        <f t="shared" si="66"/>
        <v>25.621886698518939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-3.4106051316484809E-13</v>
      </c>
      <c r="CU111" s="17">
        <f>CT111*VLOOKUP('Données projet'!$B$13,Paramètres!$A$1:$I$89,3,0)*VLOOKUP('Données projet'!$B$13,Paramètres!$A$1:$I$89,5,0)</f>
        <v>-1.9065282685915009E-13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475.42482703895411</v>
      </c>
      <c r="CZ111" s="59">
        <f t="shared" si="96"/>
        <v>593.51433014569966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133.25904304439817</v>
      </c>
      <c r="DG111" s="21">
        <f>EXP(-LN(2)/25)*DG110+(1-EXP(-LN(2)/25))/(LN(2)/25)*Calculateur!DB111*Calculateur!DD111*VLOOKUP('Données projet'!$B$13,Paramètres!$A$1:$I$89,3,0)*0.475*44/12</f>
        <v>19.653645276475473</v>
      </c>
      <c r="DH111" s="21">
        <f>EXP(-LN(2)/2)*DH110+(1-EXP(-LN(2)/2))/(LN(2)/2)*DB111*DE111*VLOOKUP('Données projet'!$B$13,Paramètres!$A$1:$I$89,3,0)*0.475*44/12</f>
        <v>1.6591517911474948E-5</v>
      </c>
      <c r="DI111" s="22">
        <f t="shared" si="69"/>
        <v>152.91270491239158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7</v>
      </c>
      <c r="DO111" s="12">
        <f>IF('Données projet'!$A$166&gt;35,DO110+DN111-DW110,IF(A111&lt;'Données projet'!$A$166,$DL$205^A111,IF(A111='Données projet'!$A$166,'Données projet'!$B$166,DO110+DN111-DW110)))</f>
        <v>335.99999999999943</v>
      </c>
      <c r="DP111" s="17">
        <f>DO111*VLOOKUP('Données projet'!$B$14,Paramètres!$A$1:$I$89,3,0)*VLOOKUP('Données projet'!$B$14,Paramètres!$A$1:$I$89,5,0)</f>
        <v>304.01279999999946</v>
      </c>
      <c r="DQ111" s="13">
        <f t="shared" si="97"/>
        <v>72.017048837085696</v>
      </c>
      <c r="DR111" s="20">
        <f t="shared" si="70"/>
        <v>654.91865339125661</v>
      </c>
      <c r="DS111" s="59">
        <f t="shared" si="71"/>
        <v>948.25198672458987</v>
      </c>
      <c r="DT111" s="59">
        <f ca="1">AVERAGE(OFFSET($DS$3,0,0,'Données projet'!$E$14+1,1))-AVERAGE(OFFSET($H$3,0,0,'Données projet'!$E$14+1,1))</f>
        <v>401.17301323870578</v>
      </c>
      <c r="DU111" s="59">
        <f t="shared" si="98"/>
        <v>201.57993789149754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23.161970377163907</v>
      </c>
      <c r="EB111" s="21">
        <f>EXP(-LN(2)/25)*EB110+(1-EXP(-LN(2)/25))/(LN(2)/25)*Calculateur!DW111*Calculateur!DY111*VLOOKUP('Données projet'!$B$14,Paramètres!$A$1:$I$89,3,0)*0.475*44/12</f>
        <v>25.376745799589006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48.538716176752914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1.7053025658242404E-13</v>
      </c>
      <c r="EK111" s="17">
        <f>EJ111*VLOOKUP('Données projet'!$B$15,Paramètres!$A$1:$I$89,3,0)*VLOOKUP('Données projet'!$B$15,Paramètres!$A$1:$I$89,5,0)</f>
        <v>1.4897523215040567E-13</v>
      </c>
      <c r="EL111" s="13">
        <f t="shared" si="99"/>
        <v>2.136562777003313E-12</v>
      </c>
      <c r="EM111" s="20">
        <f t="shared" si="73"/>
        <v>3.9806453659427267E-12</v>
      </c>
      <c r="EN111" s="59">
        <f t="shared" si="74"/>
        <v>293.33333333333729</v>
      </c>
      <c r="EO111" s="59">
        <f ca="1">AVERAGE(OFFSET($EN$3,0,0,'Données projet'!$E$15+1,1))-AVERAGE(OFFSET($H$3,0,0,'Données projet'!$E$15+1,1))</f>
        <v>237.8483058552178</v>
      </c>
      <c r="EP111" s="59">
        <f t="shared" si="100"/>
        <v>313.36201272119723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38.335588715258375</v>
      </c>
      <c r="EW111" s="21">
        <f>EXP(-LN(2)/25)*EW110+(1-EXP(-LN(2)/25))/(LN(2)/25)*Calculateur!ER111*Calculateur!ET111*VLOOKUP('Données projet'!$B$15,Paramètres!$A$1:$I$89,3,0)*0.475*44/12</f>
        <v>1.8496200188947458</v>
      </c>
      <c r="EX111" s="21">
        <f>EXP(-LN(2)/2)*EX110+(1-EXP(-LN(2)/2))/(LN(2)/2)*ER111*EU111*VLOOKUP('Données projet'!$B$15,Paramètres!$A$1:$I$89,3,0)*0.475*44/12</f>
        <v>7.8564851696240188E-5</v>
      </c>
      <c r="EY111" s="22">
        <f t="shared" si="75"/>
        <v>40.18528729900482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-2.8421709430404007E-13</v>
      </c>
      <c r="FF111" s="17">
        <f>FE111*VLOOKUP('Données projet'!$B$16,Paramètres!$A$1:$I$89,3,0)*VLOOKUP('Données projet'!$B$16,Paramètres!$A$1:$I$89,5,0)</f>
        <v>-2.2168933355715128E-13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318.52984981739411</v>
      </c>
      <c r="FK111" s="59">
        <f t="shared" si="102"/>
        <v>311.56398336941714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68.082940500254153</v>
      </c>
      <c r="FR111" s="21">
        <f>EXP(-LN(2)/25)*FR110+(1-EXP(-LN(2)/25))/(LN(2)/25)*Calculateur!FM111*Calculateur!FO111*VLOOKUP('Données projet'!$B$16,Paramètres!$A$1:$I$89,3,0)*0.475*44/12</f>
        <v>1.846491901265759</v>
      </c>
      <c r="FS111" s="21">
        <f>EXP(-LN(2)/2)*FS110+(1-EXP(-LN(2)/2))/(LN(2)/2)*FM111*FP111*VLOOKUP('Données projet'!$B$16,Paramètres!$A$1:$I$89,3,0)*0.475*44/12</f>
        <v>3.4502460994444957E-3</v>
      </c>
      <c r="FT111" s="22">
        <f t="shared" si="78"/>
        <v>69.932882647619365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-2.8421709430404007E-13</v>
      </c>
      <c r="GA111" s="17">
        <f>FZ111*VLOOKUP('Données projet'!$B$17,Paramètres!$A$1:$I$89,3,0)*VLOOKUP('Données projet'!$B$17,Paramètres!$A$1:$I$89,5,0)</f>
        <v>-2.2612312022829427E-13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325.72928944930294</v>
      </c>
      <c r="GF111" s="59">
        <f t="shared" si="104"/>
        <v>318.38876834819752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85.594506126598645</v>
      </c>
      <c r="GM111" s="21">
        <f>EXP(-LN(2)/25)*GM110+(1-EXP(-LN(2)/25))/(LN(2)/25)*Calculateur!GH111*Calculateur!GJ111*VLOOKUP('Données projet'!$B$17,Paramètres!$A$1:$I$89,3,0)*0.475*44/12</f>
        <v>2.3214267949401601</v>
      </c>
      <c r="GN111" s="21">
        <f>EXP(-LN(2)/2)*GN110+(1-EXP(-LN(2)/2))/(LN(2)/2)*GH111*GK111*VLOOKUP('Données projet'!$B$17,Paramètres!$A$1:$I$89,3,0)*0.475*44/12</f>
        <v>3.5192510214333804E-3</v>
      </c>
      <c r="GO111" s="21">
        <f t="shared" si="81"/>
        <v>87.919452172560241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-2.8421709430404007E-13</v>
      </c>
      <c r="GV111" s="17">
        <f>GU111*VLOOKUP('Données projet'!$B$18,Paramètres!$A$1:$I$89,3,0)*VLOOKUP('Données projet'!$B$18,Paramètres!$A$1:$I$89,5,0)</f>
        <v>-1.9065282685915009E-13</v>
      </c>
      <c r="GW111" s="13" t="e">
        <f t="shared" si="105"/>
        <v>#NUM!</v>
      </c>
      <c r="GX111" s="20" t="e">
        <f t="shared" si="82"/>
        <v>#NUM!</v>
      </c>
      <c r="GY111" s="59" t="e">
        <f t="shared" si="83"/>
        <v>#NUM!</v>
      </c>
      <c r="GZ111" s="59">
        <f ca="1">AVERAGE(OFFSET($GY$3,0,0,'Données projet'!$E$18+1,1))-AVERAGE(OFFSET($H$3,0,0,'Données projet'!$E$18+1,1))</f>
        <v>268.04554291387961</v>
      </c>
      <c r="HA111" s="59">
        <f t="shared" si="106"/>
        <v>263.70463099437148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72.167916930269413</v>
      </c>
      <c r="HH111" s="21">
        <f>EXP(-LN(2)/25)*HH110+(1-EXP(-LN(2)/25))/(LN(2)/25)*Calculateur!HC111*Calculateur!HE111*VLOOKUP('Données projet'!$B$18,Paramètres!$A$1:$I$89,3,0)*0.475*44/12</f>
        <v>1.9572814153417069</v>
      </c>
      <c r="HI111" s="21">
        <f>EXP(-LN(2)/2)*HI110+(1-EXP(-LN(2)/2))/(LN(2)/2)*HC111*HF111*VLOOKUP('Données projet'!$B$18,Paramètres!$A$1:$I$89,3,0)*0.475*44/12</f>
        <v>2.9672116455222619E-3</v>
      </c>
      <c r="HJ111" s="22">
        <f t="shared" si="84"/>
        <v>74.128165557256651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-2.5124791136477146E-14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46.095319339746538</v>
      </c>
      <c r="T112" s="59">
        <f t="shared" si="88"/>
        <v>48.158174304064403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34.010724997153389</v>
      </c>
      <c r="AA112" s="21">
        <f>EXP(-LN(2)/25)*AA111+(1-EXP(-LN(2)/25))/(LN(2)/25)*Calculateur!V112*Calculateur!X112*VLOOKUP('Données projet'!$B$9,Paramètres!$A$1:$I$89,3,0)*0.475*44/12</f>
        <v>12.261997104419313</v>
      </c>
      <c r="AB112" s="21">
        <f>EXP(-LN(2)/2)*AB111+(1-EXP(-LN(2)/2))/(LN(2)/2)*V112*Y112*VLOOKUP('Données projet'!$B$9,Paramètres!$A$1:$I$89,3,0)*0.475*44/12</f>
        <v>6.37354474164124E-4</v>
      </c>
      <c r="AC112" s="22">
        <f t="shared" si="57"/>
        <v>46.273359456046869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-6.7984728957526396E-14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408.84545509668794</v>
      </c>
      <c r="AO112" s="59">
        <f t="shared" si="90"/>
        <v>409.9253979841132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71.271187396283494</v>
      </c>
      <c r="AV112" s="21">
        <f>EXP(-LN(2)/25)*AV111+(1-EXP(-LN(2)/25))/(LN(2)/25)*Calculateur!AQ112*Calculateur!AS112*VLOOKUP('Données projet'!$B$10,Paramètres!$A$1:$I$89,3,0)*0.475*44/12</f>
        <v>19.59823304761499</v>
      </c>
      <c r="AW112" s="21">
        <f>EXP(-LN(2)/2)*AW111+(1-EXP(-LN(2)/2))/(LN(2)/2)*AQ112*AT112*VLOOKUP('Données projet'!$B$10,Paramètres!$A$1:$I$89,3,0)*0.475*44/12</f>
        <v>3.9566153046450537E-6</v>
      </c>
      <c r="AX112" s="21">
        <f t="shared" si="60"/>
        <v>90.869424400513793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-6.7984728957526396E-14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279.69031306919914</v>
      </c>
      <c r="BJ112" s="59">
        <f t="shared" si="92"/>
        <v>297.01680128882509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64.661294538673303</v>
      </c>
      <c r="BQ112" s="21">
        <f>EXP(-LN(2)/25)*BQ111+(1-EXP(-LN(2)/25))/(LN(2)/25)*Calculateur!BL112*Calculateur!BN112*VLOOKUP('Données projet'!$B$11,Paramètres!$A$1:$I$89,3,0)*0.475*44/12</f>
        <v>22.23028653594281</v>
      </c>
      <c r="BR112" s="21">
        <f>EXP(-LN(2)/2)*BR111+(1-EXP(-LN(2)/2))/(LN(2)/2)*BL112*BO112*VLOOKUP('Données projet'!$B$11,Paramètres!$A$1:$I$89,3,0)*0.475*44/12</f>
        <v>9.2313150742448148E-6</v>
      </c>
      <c r="BS112" s="22">
        <f t="shared" si="63"/>
        <v>86.891590305931189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81.299024916151723</v>
      </c>
      <c r="CE112" s="59">
        <f t="shared" si="94"/>
        <v>88.106373324240167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19.12528600895639</v>
      </c>
      <c r="CL112" s="21">
        <f>EXP(-LN(2)/25)*CL111+(1-EXP(-LN(2)/25))/(LN(2)/25)*Calculateur!CG112*Calculateur!CI112*VLOOKUP('Données projet'!$B$12,Paramètres!$A$1:$I$89,3,0)*0.475*44/12</f>
        <v>5.9468733902592712</v>
      </c>
      <c r="CM112" s="21">
        <f>EXP(-LN(2)/2)*CM111+(1-EXP(-LN(2)/2))/(LN(2)/2)*CG112*CJ112*VLOOKUP('Données projet'!$B$12,Paramètres!$A$1:$I$89,3,0)*0.475*44/12</f>
        <v>1.0117595528535985E-6</v>
      </c>
      <c r="CN112" s="22">
        <f t="shared" si="66"/>
        <v>25.072160410975215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-3.4106051316484809E-13</v>
      </c>
      <c r="CU112" s="17">
        <f>CT112*VLOOKUP('Données projet'!$B$13,Paramètres!$A$1:$I$89,3,0)*VLOOKUP('Données projet'!$B$13,Paramètres!$A$1:$I$89,5,0)</f>
        <v>-1.9065282685915009E-13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475.42482703895411</v>
      </c>
      <c r="CZ112" s="59">
        <f t="shared" si="96"/>
        <v>593.51433014569966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130.64591449028805</v>
      </c>
      <c r="DG112" s="21">
        <f>EXP(-LN(2)/25)*DG111+(1-EXP(-LN(2)/25))/(LN(2)/25)*Calculateur!DB112*Calculateur!DD112*VLOOKUP('Données projet'!$B$13,Paramètres!$A$1:$I$89,3,0)*0.475*44/12</f>
        <v>19.116215312849963</v>
      </c>
      <c r="DH112" s="21">
        <f>EXP(-LN(2)/2)*DH111+(1-EXP(-LN(2)/2))/(LN(2)/2)*DB112*DE112*VLOOKUP('Données projet'!$B$13,Paramètres!$A$1:$I$89,3,0)*0.475*44/12</f>
        <v>1.1731974825382E-5</v>
      </c>
      <c r="DI112" s="22">
        <f t="shared" si="69"/>
        <v>149.76214153511285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7</v>
      </c>
      <c r="DO112" s="12">
        <f>IF('Données projet'!$A$166&gt;35,DO111+DN112-DW111,IF(A112&lt;'Données projet'!$A$166,$DL$205^A112,IF(A112='Données projet'!$A$166,'Données projet'!$B$166,DO111+DN112-DW111)))</f>
        <v>342.99999999999943</v>
      </c>
      <c r="DP112" s="17">
        <f>DO112*VLOOKUP('Données projet'!$B$14,Paramètres!$A$1:$I$89,3,0)*VLOOKUP('Données projet'!$B$14,Paramètres!$A$1:$I$89,5,0)</f>
        <v>310.34639999999945</v>
      </c>
      <c r="DQ112" s="13">
        <f t="shared" si="97"/>
        <v>73.341167576152927</v>
      </c>
      <c r="DR112" s="20">
        <f t="shared" si="70"/>
        <v>668.25584686179866</v>
      </c>
      <c r="DS112" s="59">
        <f t="shared" si="71"/>
        <v>961.58918019513203</v>
      </c>
      <c r="DT112" s="59">
        <f ca="1">AVERAGE(OFFSET($DS$3,0,0,'Données projet'!$E$14+1,1))-AVERAGE(OFFSET($H$3,0,0,'Données projet'!$E$14+1,1))</f>
        <v>401.17301323870578</v>
      </c>
      <c r="DU112" s="59">
        <f t="shared" si="98"/>
        <v>201.57993789149754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22.707778265474687</v>
      </c>
      <c r="EB112" s="21">
        <f>EXP(-LN(2)/25)*EB111+(1-EXP(-LN(2)/25))/(LN(2)/25)*Calculateur!DW112*Calculateur!DY112*VLOOKUP('Données projet'!$B$14,Paramètres!$A$1:$I$89,3,0)*0.475*44/12</f>
        <v>24.682817351194181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47.390595616668868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1.7053025658242404E-13</v>
      </c>
      <c r="EK112" s="17">
        <f>EJ112*VLOOKUP('Données projet'!$B$15,Paramètres!$A$1:$I$89,3,0)*VLOOKUP('Données projet'!$B$15,Paramètres!$A$1:$I$89,5,0)</f>
        <v>1.4897523215040567E-13</v>
      </c>
      <c r="EL112" s="13">
        <f t="shared" si="99"/>
        <v>2.136562777003313E-12</v>
      </c>
      <c r="EM112" s="20">
        <f t="shared" si="73"/>
        <v>3.9806453659427267E-12</v>
      </c>
      <c r="EN112" s="59">
        <f t="shared" si="74"/>
        <v>293.33333333333729</v>
      </c>
      <c r="EO112" s="59">
        <f ca="1">AVERAGE(OFFSET($EN$3,0,0,'Données projet'!$E$15+1,1))-AVERAGE(OFFSET($H$3,0,0,'Données projet'!$E$15+1,1))</f>
        <v>237.8483058552178</v>
      </c>
      <c r="EP112" s="59">
        <f t="shared" si="100"/>
        <v>313.36201272119723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37.583851202952452</v>
      </c>
      <c r="EW112" s="21">
        <f>EXP(-LN(2)/25)*EW111+(1-EXP(-LN(2)/25))/(LN(2)/25)*Calculateur!ER112*Calculateur!ET112*VLOOKUP('Données projet'!$B$15,Paramètres!$A$1:$I$89,3,0)*0.475*44/12</f>
        <v>1.7990420622107794</v>
      </c>
      <c r="EX112" s="21">
        <f>EXP(-LN(2)/2)*EX111+(1-EXP(-LN(2)/2))/(LN(2)/2)*ER112*EU112*VLOOKUP('Données projet'!$B$15,Paramètres!$A$1:$I$89,3,0)*0.475*44/12</f>
        <v>5.5553739397326869E-5</v>
      </c>
      <c r="EY112" s="22">
        <f t="shared" si="75"/>
        <v>39.382948818902634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-2.8421709430404007E-13</v>
      </c>
      <c r="FF112" s="17">
        <f>FE112*VLOOKUP('Données projet'!$B$16,Paramètres!$A$1:$I$89,3,0)*VLOOKUP('Données projet'!$B$16,Paramètres!$A$1:$I$89,5,0)</f>
        <v>-2.2168933355715128E-13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318.52984981739411</v>
      </c>
      <c r="FK112" s="59">
        <f t="shared" si="102"/>
        <v>311.56398336941714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66.747875563537477</v>
      </c>
      <c r="FR112" s="21">
        <f>EXP(-LN(2)/25)*FR111+(1-EXP(-LN(2)/25))/(LN(2)/25)*Calculateur!FM112*Calculateur!FO112*VLOOKUP('Données projet'!$B$16,Paramètres!$A$1:$I$89,3,0)*0.475*44/12</f>
        <v>1.7959994831228581</v>
      </c>
      <c r="FS112" s="21">
        <f>EXP(-LN(2)/2)*FS111+(1-EXP(-LN(2)/2))/(LN(2)/2)*FM112*FP112*VLOOKUP('Données projet'!$B$16,Paramètres!$A$1:$I$89,3,0)*0.475*44/12</f>
        <v>2.4396924136796381E-3</v>
      </c>
      <c r="FT112" s="22">
        <f t="shared" si="78"/>
        <v>68.546314739074006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-2.8421709430404007E-13</v>
      </c>
      <c r="GA112" s="17">
        <f>FZ112*VLOOKUP('Données projet'!$B$17,Paramètres!$A$1:$I$89,3,0)*VLOOKUP('Données projet'!$B$17,Paramètres!$A$1:$I$89,5,0)</f>
        <v>-2.2612312022829427E-13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325.72928944930294</v>
      </c>
      <c r="GF112" s="59">
        <f t="shared" si="104"/>
        <v>318.38876834819752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83.916050068949716</v>
      </c>
      <c r="GM112" s="21">
        <f>EXP(-LN(2)/25)*GM111+(1-EXP(-LN(2)/25))/(LN(2)/25)*Calculateur!GH112*Calculateur!GJ112*VLOOKUP('Données projet'!$B$17,Paramètres!$A$1:$I$89,3,0)*0.475*44/12</f>
        <v>2.257947257153992</v>
      </c>
      <c r="GN112" s="21">
        <f>EXP(-LN(2)/2)*GN111+(1-EXP(-LN(2)/2))/(LN(2)/2)*GH112*GK112*VLOOKUP('Données projet'!$B$17,Paramètres!$A$1:$I$89,3,0)*0.475*44/12</f>
        <v>2.4884862619532272E-3</v>
      </c>
      <c r="GO112" s="21">
        <f t="shared" si="81"/>
        <v>86.176485812365655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-2.8421709430404007E-13</v>
      </c>
      <c r="GV112" s="17">
        <f>GU112*VLOOKUP('Données projet'!$B$18,Paramètres!$A$1:$I$89,3,0)*VLOOKUP('Données projet'!$B$18,Paramètres!$A$1:$I$89,5,0)</f>
        <v>-1.9065282685915009E-13</v>
      </c>
      <c r="GW112" s="13" t="e">
        <f t="shared" si="105"/>
        <v>#NUM!</v>
      </c>
      <c r="GX112" s="20" t="e">
        <f t="shared" si="82"/>
        <v>#NUM!</v>
      </c>
      <c r="GY112" s="59" t="e">
        <f t="shared" si="83"/>
        <v>#NUM!</v>
      </c>
      <c r="GZ112" s="59">
        <f ca="1">AVERAGE(OFFSET($GY$3,0,0,'Données projet'!$E$18+1,1))-AVERAGE(OFFSET($H$3,0,0,'Données projet'!$E$18+1,1))</f>
        <v>268.04554291387961</v>
      </c>
      <c r="HA112" s="59">
        <f t="shared" si="106"/>
        <v>263.70463099437148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70.752748097349738</v>
      </c>
      <c r="HH112" s="21">
        <f>EXP(-LN(2)/25)*HH111+(1-EXP(-LN(2)/25))/(LN(2)/25)*Calculateur!HC112*Calculateur!HE112*VLOOKUP('Données projet'!$B$18,Paramètres!$A$1:$I$89,3,0)*0.475*44/12</f>
        <v>1.9037594521102317</v>
      </c>
      <c r="HI112" s="21">
        <f>EXP(-LN(2)/2)*HI111+(1-EXP(-LN(2)/2))/(LN(2)/2)*HC112*HF112*VLOOKUP('Données projet'!$B$18,Paramètres!$A$1:$I$89,3,0)*0.475*44/12</f>
        <v>2.0981354757644856E-3</v>
      </c>
      <c r="HJ112" s="22">
        <f t="shared" si="84"/>
        <v>72.658605684935736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-2.5124791136477146E-14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46.095319339746538</v>
      </c>
      <c r="T113" s="59">
        <f t="shared" si="88"/>
        <v>48.158174304064403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33.343795424453113</v>
      </c>
      <c r="AA113" s="21">
        <f>EXP(-LN(2)/25)*AA112+(1-EXP(-LN(2)/25))/(LN(2)/25)*Calculateur!V113*Calculateur!X113*VLOOKUP('Données projet'!$B$9,Paramètres!$A$1:$I$89,3,0)*0.475*44/12</f>
        <v>11.926692148768565</v>
      </c>
      <c r="AB113" s="21">
        <f>EXP(-LN(2)/2)*AB112+(1-EXP(-LN(2)/2))/(LN(2)/2)*V113*Y113*VLOOKUP('Données projet'!$B$9,Paramètres!$A$1:$I$89,3,0)*0.475*44/12</f>
        <v>4.506776707010383E-4</v>
      </c>
      <c r="AC113" s="22">
        <f t="shared" si="57"/>
        <v>45.270938250892378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-6.7984728957526396E-14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408.84545509668794</v>
      </c>
      <c r="AO113" s="59">
        <f t="shared" si="90"/>
        <v>409.9253979841132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69.873602882574275</v>
      </c>
      <c r="AV113" s="21">
        <f>EXP(-LN(2)/25)*AV112+(1-EXP(-LN(2)/25))/(LN(2)/25)*Calculateur!AQ113*Calculateur!AS113*VLOOKUP('Données projet'!$B$10,Paramètres!$A$1:$I$89,3,0)*0.475*44/12</f>
        <v>19.062318334301676</v>
      </c>
      <c r="AW113" s="21">
        <f>EXP(-LN(2)/2)*AW112+(1-EXP(-LN(2)/2))/(LN(2)/2)*AQ113*AT113*VLOOKUP('Données projet'!$B$10,Paramètres!$A$1:$I$89,3,0)*0.475*44/12</f>
        <v>2.7977495124609951E-6</v>
      </c>
      <c r="AX113" s="21">
        <f t="shared" si="60"/>
        <v>88.935924014625471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-6.7984728957526396E-14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279.69031306919914</v>
      </c>
      <c r="BJ113" s="59">
        <f t="shared" si="92"/>
        <v>297.01680128882509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63.393325992265261</v>
      </c>
      <c r="BQ113" s="21">
        <f>EXP(-LN(2)/25)*BQ112+(1-EXP(-LN(2)/25))/(LN(2)/25)*Calculateur!BL113*Calculateur!BN113*VLOOKUP('Données projet'!$B$11,Paramètres!$A$1:$I$89,3,0)*0.475*44/12</f>
        <v>21.622398181577491</v>
      </c>
      <c r="BR113" s="21">
        <f>EXP(-LN(2)/2)*BR112+(1-EXP(-LN(2)/2))/(LN(2)/2)*BL113*BO113*VLOOKUP('Données projet'!$B$11,Paramètres!$A$1:$I$89,3,0)*0.475*44/12</f>
        <v>6.5275254882681061E-6</v>
      </c>
      <c r="BS113" s="22">
        <f t="shared" si="63"/>
        <v>85.015730701368241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81.299024916151723</v>
      </c>
      <c r="CE113" s="59">
        <f t="shared" si="94"/>
        <v>88.106373324240167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18.750250815593372</v>
      </c>
      <c r="CL113" s="21">
        <f>EXP(-LN(2)/25)*CL112+(1-EXP(-LN(2)/25))/(LN(2)/25)*Calculateur!CG113*Calculateur!CI113*VLOOKUP('Données projet'!$B$12,Paramètres!$A$1:$I$89,3,0)*0.475*44/12</f>
        <v>5.7842558246701516</v>
      </c>
      <c r="CM113" s="21">
        <f>EXP(-LN(2)/2)*CM112+(1-EXP(-LN(2)/2))/(LN(2)/2)*CG113*CJ113*VLOOKUP('Données projet'!$B$12,Paramètres!$A$1:$I$89,3,0)*0.475*44/12</f>
        <v>7.1542204075304868E-7</v>
      </c>
      <c r="CN113" s="22">
        <f t="shared" si="66"/>
        <v>24.534507355685562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-3.4106051316484809E-13</v>
      </c>
      <c r="CU113" s="17">
        <f>CT113*VLOOKUP('Données projet'!$B$13,Paramètres!$A$1:$I$89,3,0)*VLOOKUP('Données projet'!$B$13,Paramètres!$A$1:$I$89,5,0)</f>
        <v>-1.9065282685915009E-13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475.42482703895411</v>
      </c>
      <c r="CZ113" s="59">
        <f t="shared" si="96"/>
        <v>593.51433014569966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128.08402779327298</v>
      </c>
      <c r="DG113" s="21">
        <f>EXP(-LN(2)/25)*DG112+(1-EXP(-LN(2)/25))/(LN(2)/25)*Calculateur!DB113*Calculateur!DD113*VLOOKUP('Données projet'!$B$13,Paramètres!$A$1:$I$89,3,0)*0.475*44/12</f>
        <v>18.593481399842009</v>
      </c>
      <c r="DH113" s="21">
        <f>EXP(-LN(2)/2)*DH112+(1-EXP(-LN(2)/2))/(LN(2)/2)*DB113*DE113*VLOOKUP('Données projet'!$B$13,Paramètres!$A$1:$I$89,3,0)*0.475*44/12</f>
        <v>8.295758955737474E-6</v>
      </c>
      <c r="DI113" s="22">
        <f t="shared" si="69"/>
        <v>146.67751748887395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7</v>
      </c>
      <c r="DO113" s="12">
        <f>IF('Données projet'!$A$166&gt;35,DO112+DN113-DW112,IF(A113&lt;'Données projet'!$A$166,$DL$205^A113,IF(A113='Données projet'!$A$166,'Données projet'!$B$166,DO112+DN113-DW112)))</f>
        <v>349.99999999999943</v>
      </c>
      <c r="DP113" s="17">
        <f>DO113*VLOOKUP('Données projet'!$B$14,Paramètres!$A$1:$I$89,3,0)*VLOOKUP('Données projet'!$B$14,Paramètres!$A$1:$I$89,5,0)</f>
        <v>316.6799999999995</v>
      </c>
      <c r="DQ113" s="13">
        <f t="shared" si="97"/>
        <v>74.662144360177635</v>
      </c>
      <c r="DR113" s="20">
        <f t="shared" si="70"/>
        <v>681.58756809397516</v>
      </c>
      <c r="DS113" s="59">
        <f t="shared" si="71"/>
        <v>974.92090142730854</v>
      </c>
      <c r="DT113" s="59">
        <f ca="1">AVERAGE(OFFSET($DS$3,0,0,'Données projet'!$E$14+1,1))-AVERAGE(OFFSET($H$3,0,0,'Données projet'!$E$14+1,1))</f>
        <v>401.17301323870578</v>
      </c>
      <c r="DU113" s="59">
        <f t="shared" si="98"/>
        <v>201.57993789149754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22.262492584065861</v>
      </c>
      <c r="EB113" s="21">
        <f>EXP(-LN(2)/25)*EB112+(1-EXP(-LN(2)/25))/(LN(2)/25)*Calculateur!DW113*Calculateur!DY113*VLOOKUP('Données projet'!$B$14,Paramètres!$A$1:$I$89,3,0)*0.475*44/12</f>
        <v>24.007864412712824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46.270356996778688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1.7053025658242404E-13</v>
      </c>
      <c r="EK113" s="17">
        <f>EJ113*VLOOKUP('Données projet'!$B$15,Paramètres!$A$1:$I$89,3,0)*VLOOKUP('Données projet'!$B$15,Paramètres!$A$1:$I$89,5,0)</f>
        <v>1.4897523215040567E-13</v>
      </c>
      <c r="EL113" s="13">
        <f t="shared" si="99"/>
        <v>2.136562777003313E-12</v>
      </c>
      <c r="EM113" s="20">
        <f t="shared" si="73"/>
        <v>3.9806453659427267E-12</v>
      </c>
      <c r="EN113" s="59">
        <f t="shared" si="74"/>
        <v>293.33333333333729</v>
      </c>
      <c r="EO113" s="59">
        <f ca="1">AVERAGE(OFFSET($EN$3,0,0,'Données projet'!$E$15+1,1))-AVERAGE(OFFSET($H$3,0,0,'Données projet'!$E$15+1,1))</f>
        <v>237.8483058552178</v>
      </c>
      <c r="EP113" s="59">
        <f t="shared" si="100"/>
        <v>313.36201272119723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36.84685480474824</v>
      </c>
      <c r="EW113" s="21">
        <f>EXP(-LN(2)/25)*EW112+(1-EXP(-LN(2)/25))/(LN(2)/25)*Calculateur!ER113*Calculateur!ET113*VLOOKUP('Données projet'!$B$15,Paramètres!$A$1:$I$89,3,0)*0.475*44/12</f>
        <v>1.7498471624121155</v>
      </c>
      <c r="EX113" s="21">
        <f>EXP(-LN(2)/2)*EX112+(1-EXP(-LN(2)/2))/(LN(2)/2)*ER113*EU113*VLOOKUP('Données projet'!$B$15,Paramètres!$A$1:$I$89,3,0)*0.475*44/12</f>
        <v>3.9282425848120094E-5</v>
      </c>
      <c r="EY113" s="22">
        <f t="shared" si="75"/>
        <v>38.596741249586202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-2.8421709430404007E-13</v>
      </c>
      <c r="FF113" s="17">
        <f>FE113*VLOOKUP('Données projet'!$B$16,Paramètres!$A$1:$I$89,3,0)*VLOOKUP('Données projet'!$B$16,Paramètres!$A$1:$I$89,5,0)</f>
        <v>-2.2168933355715128E-13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318.52984981739411</v>
      </c>
      <c r="FK113" s="59">
        <f t="shared" si="102"/>
        <v>311.56398336941714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65.438990435920601</v>
      </c>
      <c r="FR113" s="21">
        <f>EXP(-LN(2)/25)*FR112+(1-EXP(-LN(2)/25))/(LN(2)/25)*Calculateur!FM113*Calculateur!FO113*VLOOKUP('Données projet'!$B$16,Paramètres!$A$1:$I$89,3,0)*0.475*44/12</f>
        <v>1.7468877828093554</v>
      </c>
      <c r="FS113" s="21">
        <f>EXP(-LN(2)/2)*FS112+(1-EXP(-LN(2)/2))/(LN(2)/2)*FM113*FP113*VLOOKUP('Données projet'!$B$16,Paramètres!$A$1:$I$89,3,0)*0.475*44/12</f>
        <v>1.7251230497222479E-3</v>
      </c>
      <c r="FT113" s="22">
        <f t="shared" si="78"/>
        <v>67.187603341779678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-2.8421709430404007E-13</v>
      </c>
      <c r="GA113" s="17">
        <f>FZ113*VLOOKUP('Données projet'!$B$17,Paramètres!$A$1:$I$89,3,0)*VLOOKUP('Données projet'!$B$17,Paramètres!$A$1:$I$89,5,0)</f>
        <v>-2.2612312022829427E-13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325.72928944930294</v>
      </c>
      <c r="GF113" s="59">
        <f t="shared" si="104"/>
        <v>318.38876834819752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82.270507510834179</v>
      </c>
      <c r="GM113" s="21">
        <f>EXP(-LN(2)/25)*GM112+(1-EXP(-LN(2)/25))/(LN(2)/25)*Calculateur!GH113*Calculateur!GJ113*VLOOKUP('Données projet'!$B$17,Paramètres!$A$1:$I$89,3,0)*0.475*44/12</f>
        <v>2.1962035706668304</v>
      </c>
      <c r="GN113" s="21">
        <f>EXP(-LN(2)/2)*GN112+(1-EXP(-LN(2)/2))/(LN(2)/2)*GH113*GK113*VLOOKUP('Données projet'!$B$17,Paramètres!$A$1:$I$89,3,0)*0.475*44/12</f>
        <v>1.7596255107166902E-3</v>
      </c>
      <c r="GO113" s="21">
        <f t="shared" si="81"/>
        <v>84.468470707011718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-2.8421709430404007E-13</v>
      </c>
      <c r="GV113" s="17">
        <f>GU113*VLOOKUP('Données projet'!$B$18,Paramètres!$A$1:$I$89,3,0)*VLOOKUP('Données projet'!$B$18,Paramètres!$A$1:$I$89,5,0)</f>
        <v>-1.9065282685915009E-13</v>
      </c>
      <c r="GW113" s="13" t="e">
        <f t="shared" si="105"/>
        <v>#NUM!</v>
      </c>
      <c r="GX113" s="20" t="e">
        <f t="shared" si="82"/>
        <v>#NUM!</v>
      </c>
      <c r="GY113" s="59" t="e">
        <f t="shared" si="83"/>
        <v>#NUM!</v>
      </c>
      <c r="GZ113" s="59">
        <f ca="1">AVERAGE(OFFSET($GY$3,0,0,'Données projet'!$E$18+1,1))-AVERAGE(OFFSET($H$3,0,0,'Données projet'!$E$18+1,1))</f>
        <v>268.04554291387961</v>
      </c>
      <c r="HA113" s="59">
        <f t="shared" si="106"/>
        <v>263.70463099437148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69.365329862075853</v>
      </c>
      <c r="HH113" s="21">
        <f>EXP(-LN(2)/25)*HH112+(1-EXP(-LN(2)/25))/(LN(2)/25)*Calculateur!HC113*Calculateur!HE113*VLOOKUP('Données projet'!$B$18,Paramètres!$A$1:$I$89,3,0)*0.475*44/12</f>
        <v>1.8517010497779189</v>
      </c>
      <c r="HI113" s="21">
        <f>EXP(-LN(2)/2)*HI112+(1-EXP(-LN(2)/2))/(LN(2)/2)*HC113*HF113*VLOOKUP('Données projet'!$B$18,Paramètres!$A$1:$I$89,3,0)*0.475*44/12</f>
        <v>1.483605822761131E-3</v>
      </c>
      <c r="HJ113" s="22">
        <f t="shared" si="84"/>
        <v>71.218514517676525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-2.5124791136477146E-14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46.095319339746538</v>
      </c>
      <c r="T114" s="59">
        <f t="shared" si="88"/>
        <v>48.158174304064403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32.689943933886617</v>
      </c>
      <c r="AA114" s="21">
        <f>EXP(-LN(2)/25)*AA113+(1-EXP(-LN(2)/25))/(LN(2)/25)*Calculateur!V114*Calculateur!X114*VLOOKUP('Données projet'!$B$9,Paramètres!$A$1:$I$89,3,0)*0.475*44/12</f>
        <v>11.600556124763006</v>
      </c>
      <c r="AB114" s="21">
        <f>EXP(-LN(2)/2)*AB113+(1-EXP(-LN(2)/2))/(LN(2)/2)*V114*Y114*VLOOKUP('Données projet'!$B$9,Paramètres!$A$1:$I$89,3,0)*0.475*44/12</f>
        <v>3.18677237082062E-4</v>
      </c>
      <c r="AC114" s="22">
        <f t="shared" si="57"/>
        <v>44.29081873588671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-6.7984728957526396E-14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408.84545509668794</v>
      </c>
      <c r="AO114" s="59">
        <f t="shared" si="90"/>
        <v>409.9253979841132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68.503424148736499</v>
      </c>
      <c r="AV114" s="21">
        <f>EXP(-LN(2)/25)*AV113+(1-EXP(-LN(2)/25))/(LN(2)/25)*Calculateur!AQ114*Calculateur!AS114*VLOOKUP('Données projet'!$B$10,Paramètres!$A$1:$I$89,3,0)*0.475*44/12</f>
        <v>18.541058237006443</v>
      </c>
      <c r="AW114" s="21">
        <f>EXP(-LN(2)/2)*AW113+(1-EXP(-LN(2)/2))/(LN(2)/2)*AQ114*AT114*VLOOKUP('Données projet'!$B$10,Paramètres!$A$1:$I$89,3,0)*0.475*44/12</f>
        <v>1.9783076523225268E-6</v>
      </c>
      <c r="AX114" s="21">
        <f t="shared" si="60"/>
        <v>87.044484364050589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-6.7984728957526396E-14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279.69031306919914</v>
      </c>
      <c r="BJ114" s="59">
        <f t="shared" si="92"/>
        <v>297.01680128882509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62.150221535667832</v>
      </c>
      <c r="BQ114" s="21">
        <f>EXP(-LN(2)/25)*BQ113+(1-EXP(-LN(2)/25))/(LN(2)/25)*Calculateur!BL114*Calculateur!BN114*VLOOKUP('Données projet'!$B$11,Paramètres!$A$1:$I$89,3,0)*0.475*44/12</f>
        <v>21.031132566229754</v>
      </c>
      <c r="BR114" s="21">
        <f>EXP(-LN(2)/2)*BR113+(1-EXP(-LN(2)/2))/(LN(2)/2)*BL114*BO114*VLOOKUP('Données projet'!$B$11,Paramètres!$A$1:$I$89,3,0)*0.475*44/12</f>
        <v>4.6156575371224074E-6</v>
      </c>
      <c r="BS114" s="22">
        <f t="shared" si="63"/>
        <v>83.181358717555113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81.299024916151723</v>
      </c>
      <c r="CE114" s="59">
        <f t="shared" si="94"/>
        <v>88.106373324240167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18.382569833623322</v>
      </c>
      <c r="CL114" s="21">
        <f>EXP(-LN(2)/25)*CL113+(1-EXP(-LN(2)/25))/(LN(2)/25)*Calculateur!CG114*Calculateur!CI114*VLOOKUP('Données projet'!$B$12,Paramètres!$A$1:$I$89,3,0)*0.475*44/12</f>
        <v>5.6260850449637525</v>
      </c>
      <c r="CM114" s="21">
        <f>EXP(-LN(2)/2)*CM113+(1-EXP(-LN(2)/2))/(LN(2)/2)*CG114*CJ114*VLOOKUP('Données projet'!$B$12,Paramètres!$A$1:$I$89,3,0)*0.475*44/12</f>
        <v>5.0587977642679926E-7</v>
      </c>
      <c r="CN114" s="22">
        <f t="shared" si="66"/>
        <v>24.008655384466849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-3.4106051316484809E-13</v>
      </c>
      <c r="CU114" s="17">
        <f>CT114*VLOOKUP('Données projet'!$B$13,Paramètres!$A$1:$I$89,3,0)*VLOOKUP('Données projet'!$B$13,Paramètres!$A$1:$I$89,5,0)</f>
        <v>-1.9065282685915009E-13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475.42482703895411</v>
      </c>
      <c r="CZ114" s="59">
        <f t="shared" si="96"/>
        <v>593.51433014569966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125.57237813178979</v>
      </c>
      <c r="DG114" s="21">
        <f>EXP(-LN(2)/25)*DG113+(1-EXP(-LN(2)/25))/(LN(2)/25)*Calculateur!DB114*Calculateur!DD114*VLOOKUP('Données projet'!$B$13,Paramètres!$A$1:$I$89,3,0)*0.475*44/12</f>
        <v>18.08504167317464</v>
      </c>
      <c r="DH114" s="21">
        <f>EXP(-LN(2)/2)*DH113+(1-EXP(-LN(2)/2))/(LN(2)/2)*DB114*DE114*VLOOKUP('Données projet'!$B$13,Paramètres!$A$1:$I$89,3,0)*0.475*44/12</f>
        <v>5.8659874126910001E-6</v>
      </c>
      <c r="DI114" s="22">
        <f t="shared" si="69"/>
        <v>143.65742567095185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7</v>
      </c>
      <c r="DO114" s="12">
        <f>IF('Données projet'!$A$166&gt;35,DO113+DN114-DW113,IF(A114&lt;'Données projet'!$A$166,$DL$205^A114,IF(A114='Données projet'!$A$166,'Données projet'!$B$166,DO113+DN114-DW113)))</f>
        <v>356.99999999999943</v>
      </c>
      <c r="DP114" s="17">
        <f>DO114*VLOOKUP('Données projet'!$B$14,Paramètres!$A$1:$I$89,3,0)*VLOOKUP('Données projet'!$B$14,Paramètres!$A$1:$I$89,5,0)</f>
        <v>323.01359999999949</v>
      </c>
      <c r="DQ114" s="13">
        <f t="shared" si="97"/>
        <v>75.980049270566028</v>
      </c>
      <c r="DR114" s="20">
        <f t="shared" si="70"/>
        <v>694.91393914623495</v>
      </c>
      <c r="DS114" s="59">
        <f t="shared" si="71"/>
        <v>988.24727247956821</v>
      </c>
      <c r="DT114" s="59">
        <f ca="1">AVERAGE(OFFSET($DS$3,0,0,'Données projet'!$E$14+1,1))-AVERAGE(OFFSET($H$3,0,0,'Données projet'!$E$14+1,1))</f>
        <v>401.17301323870578</v>
      </c>
      <c r="DU114" s="59">
        <f t="shared" si="98"/>
        <v>201.57993789149754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21.82593868327201</v>
      </c>
      <c r="EB114" s="21">
        <f>EXP(-LN(2)/25)*EB113+(1-EXP(-LN(2)/25))/(LN(2)/25)*Calculateur!DW114*Calculateur!DY114*VLOOKUP('Données projet'!$B$14,Paramètres!$A$1:$I$89,3,0)*0.475*44/12</f>
        <v>23.351368097828473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45.177306781100484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1.7053025658242404E-13</v>
      </c>
      <c r="EK114" s="17">
        <f>EJ114*VLOOKUP('Données projet'!$B$15,Paramètres!$A$1:$I$89,3,0)*VLOOKUP('Données projet'!$B$15,Paramètres!$A$1:$I$89,5,0)</f>
        <v>1.4897523215040567E-13</v>
      </c>
      <c r="EL114" s="13">
        <f t="shared" si="99"/>
        <v>2.136562777003313E-12</v>
      </c>
      <c r="EM114" s="20">
        <f t="shared" si="73"/>
        <v>3.9806453659427267E-12</v>
      </c>
      <c r="EN114" s="59">
        <f t="shared" si="74"/>
        <v>293.33333333333729</v>
      </c>
      <c r="EO114" s="59">
        <f ca="1">AVERAGE(OFFSET($EN$3,0,0,'Données projet'!$E$15+1,1))-AVERAGE(OFFSET($H$3,0,0,'Données projet'!$E$15+1,1))</f>
        <v>237.8483058552178</v>
      </c>
      <c r="EP114" s="59">
        <f t="shared" si="100"/>
        <v>313.36201272119723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36.124310456389402</v>
      </c>
      <c r="EW114" s="21">
        <f>EXP(-LN(2)/25)*EW113+(1-EXP(-LN(2)/25))/(LN(2)/25)*Calculateur!ER114*Calculateur!ET114*VLOOKUP('Données projet'!$B$15,Paramètres!$A$1:$I$89,3,0)*0.475*44/12</f>
        <v>1.7019974997354932</v>
      </c>
      <c r="EX114" s="21">
        <f>EXP(-LN(2)/2)*EX113+(1-EXP(-LN(2)/2))/(LN(2)/2)*ER114*EU114*VLOOKUP('Données projet'!$B$15,Paramètres!$A$1:$I$89,3,0)*0.475*44/12</f>
        <v>2.7776869698663434E-5</v>
      </c>
      <c r="EY114" s="22">
        <f t="shared" si="75"/>
        <v>37.826335732994593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-2.8421709430404007E-13</v>
      </c>
      <c r="FF114" s="17">
        <f>FE114*VLOOKUP('Données projet'!$B$16,Paramètres!$A$1:$I$89,3,0)*VLOOKUP('Données projet'!$B$16,Paramètres!$A$1:$I$89,5,0)</f>
        <v>-2.2168933355715128E-13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318.52984981739411</v>
      </c>
      <c r="FK114" s="59">
        <f t="shared" si="102"/>
        <v>311.56398336941714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64.1557717473152</v>
      </c>
      <c r="FR114" s="21">
        <f>EXP(-LN(2)/25)*FR113+(1-EXP(-LN(2)/25))/(LN(2)/25)*Calculateur!FM114*Calculateur!FO114*VLOOKUP('Données projet'!$B$16,Paramètres!$A$1:$I$89,3,0)*0.475*44/12</f>
        <v>1.6991190445235977</v>
      </c>
      <c r="FS114" s="21">
        <f>EXP(-LN(2)/2)*FS113+(1-EXP(-LN(2)/2))/(LN(2)/2)*FM114*FP114*VLOOKUP('Données projet'!$B$16,Paramètres!$A$1:$I$89,3,0)*0.475*44/12</f>
        <v>1.2198462068398191E-3</v>
      </c>
      <c r="FT114" s="22">
        <f t="shared" si="78"/>
        <v>65.856110638045635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-2.8421709430404007E-13</v>
      </c>
      <c r="GA114" s="17">
        <f>FZ114*VLOOKUP('Données projet'!$B$17,Paramètres!$A$1:$I$89,3,0)*VLOOKUP('Données projet'!$B$17,Paramètres!$A$1:$I$89,5,0)</f>
        <v>-2.2612312022829427E-13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325.72928944930294</v>
      </c>
      <c r="GF114" s="59">
        <f t="shared" si="104"/>
        <v>318.38876834819752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80.657233038601433</v>
      </c>
      <c r="GM114" s="21">
        <f>EXP(-LN(2)/25)*GM113+(1-EXP(-LN(2)/25))/(LN(2)/25)*Calculateur!GH114*Calculateur!GJ114*VLOOKUP('Données projet'!$B$17,Paramètres!$A$1:$I$89,3,0)*0.475*44/12</f>
        <v>2.1361482685336197</v>
      </c>
      <c r="GN114" s="21">
        <f>EXP(-LN(2)/2)*GN113+(1-EXP(-LN(2)/2))/(LN(2)/2)*GH114*GK114*VLOOKUP('Données projet'!$B$17,Paramètres!$A$1:$I$89,3,0)*0.475*44/12</f>
        <v>1.2442431309766136E-3</v>
      </c>
      <c r="GO114" s="21">
        <f t="shared" si="81"/>
        <v>82.794625550266034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-2.8421709430404007E-13</v>
      </c>
      <c r="GV114" s="17">
        <f>GU114*VLOOKUP('Données projet'!$B$18,Paramètres!$A$1:$I$89,3,0)*VLOOKUP('Données projet'!$B$18,Paramètres!$A$1:$I$89,5,0)</f>
        <v>-1.9065282685915009E-13</v>
      </c>
      <c r="GW114" s="13" t="e">
        <f t="shared" si="105"/>
        <v>#NUM!</v>
      </c>
      <c r="GX114" s="20" t="e">
        <f t="shared" si="82"/>
        <v>#NUM!</v>
      </c>
      <c r="GY114" s="59" t="e">
        <f t="shared" si="83"/>
        <v>#NUM!</v>
      </c>
      <c r="GZ114" s="59">
        <f ca="1">AVERAGE(OFFSET($GY$3,0,0,'Données projet'!$E$18+1,1))-AVERAGE(OFFSET($H$3,0,0,'Données projet'!$E$18+1,1))</f>
        <v>268.04554291387961</v>
      </c>
      <c r="HA114" s="59">
        <f t="shared" si="106"/>
        <v>263.70463099437148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68.005118052154131</v>
      </c>
      <c r="HH114" s="21">
        <f>EXP(-LN(2)/25)*HH113+(1-EXP(-LN(2)/25))/(LN(2)/25)*Calculateur!HC114*Calculateur!HE114*VLOOKUP('Données projet'!$B$18,Paramètres!$A$1:$I$89,3,0)*0.475*44/12</f>
        <v>1.8010661871950158</v>
      </c>
      <c r="HI114" s="21">
        <f>EXP(-LN(2)/2)*HI113+(1-EXP(-LN(2)/2))/(LN(2)/2)*HC114*HF114*VLOOKUP('Données projet'!$B$18,Paramètres!$A$1:$I$89,3,0)*0.475*44/12</f>
        <v>1.0490677378822428E-3</v>
      </c>
      <c r="HJ114" s="22">
        <f t="shared" si="84"/>
        <v>69.807233307087031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-2.5124791136477146E-14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46.095319339746538</v>
      </c>
      <c r="T115" s="59">
        <f t="shared" si="88"/>
        <v>48.158174304064403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32.048914072240095</v>
      </c>
      <c r="AA115" s="21">
        <f>EXP(-LN(2)/25)*AA114+(1-EXP(-LN(2)/25))/(LN(2)/25)*Calculateur!V115*Calculateur!X115*VLOOKUP('Données projet'!$B$9,Paramètres!$A$1:$I$89,3,0)*0.475*44/12</f>
        <v>11.283338307484629</v>
      </c>
      <c r="AB115" s="21">
        <f>EXP(-LN(2)/2)*AB114+(1-EXP(-LN(2)/2))/(LN(2)/2)*V115*Y115*VLOOKUP('Données projet'!$B$9,Paramètres!$A$1:$I$89,3,0)*0.475*44/12</f>
        <v>2.2533883535051915E-4</v>
      </c>
      <c r="AC115" s="22">
        <f t="shared" si="57"/>
        <v>43.332477718560071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-6.7984728957526396E-14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408.84545509668794</v>
      </c>
      <c r="AO115" s="59">
        <f t="shared" si="90"/>
        <v>409.9253979841132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67.16011378414278</v>
      </c>
      <c r="AV115" s="21">
        <f>EXP(-LN(2)/25)*AV114+(1-EXP(-LN(2)/25))/(LN(2)/25)*Calculateur!AQ115*Calculateur!AS115*VLOOKUP('Données projet'!$B$10,Paramètres!$A$1:$I$89,3,0)*0.475*44/12</f>
        <v>18.034052024483625</v>
      </c>
      <c r="AW115" s="21">
        <f>EXP(-LN(2)/2)*AW114+(1-EXP(-LN(2)/2))/(LN(2)/2)*AQ115*AT115*VLOOKUP('Données projet'!$B$10,Paramètres!$A$1:$I$89,3,0)*0.475*44/12</f>
        <v>1.3988747562304975E-6</v>
      </c>
      <c r="AX115" s="21">
        <f t="shared" si="60"/>
        <v>85.194167207501167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-6.7984728957526396E-14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279.69031306919914</v>
      </c>
      <c r="BJ115" s="59">
        <f t="shared" si="92"/>
        <v>297.01680128882509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60.931493599245428</v>
      </c>
      <c r="BQ115" s="21">
        <f>EXP(-LN(2)/25)*BQ114+(1-EXP(-LN(2)/25))/(LN(2)/25)*Calculateur!BL115*Calculateur!BN115*VLOOKUP('Données projet'!$B$11,Paramètres!$A$1:$I$89,3,0)*0.475*44/12</f>
        <v>20.456035140227009</v>
      </c>
      <c r="BR115" s="21">
        <f>EXP(-LN(2)/2)*BR114+(1-EXP(-LN(2)/2))/(LN(2)/2)*BL115*BO115*VLOOKUP('Données projet'!$B$11,Paramètres!$A$1:$I$89,3,0)*0.475*44/12</f>
        <v>3.2637627441340531E-6</v>
      </c>
      <c r="BS115" s="22">
        <f t="shared" si="63"/>
        <v>81.387532003235179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81.299024916151723</v>
      </c>
      <c r="CE115" s="59">
        <f t="shared" si="94"/>
        <v>88.106373324240167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18.022098851446447</v>
      </c>
      <c r="CL115" s="21">
        <f>EXP(-LN(2)/25)*CL114+(1-EXP(-LN(2)/25))/(LN(2)/25)*Calculateur!CG115*Calculateur!CI115*VLOOKUP('Données projet'!$B$12,Paramètres!$A$1:$I$89,3,0)*0.475*44/12</f>
        <v>5.4722394535462646</v>
      </c>
      <c r="CM115" s="21">
        <f>EXP(-LN(2)/2)*CM114+(1-EXP(-LN(2)/2))/(LN(2)/2)*CG115*CJ115*VLOOKUP('Données projet'!$B$12,Paramètres!$A$1:$I$89,3,0)*0.475*44/12</f>
        <v>3.5771102037652434E-7</v>
      </c>
      <c r="CN115" s="22">
        <f t="shared" si="66"/>
        <v>23.494338662703733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-3.4106051316484809E-13</v>
      </c>
      <c r="CU115" s="17">
        <f>CT115*VLOOKUP('Données projet'!$B$13,Paramètres!$A$1:$I$89,3,0)*VLOOKUP('Données projet'!$B$13,Paramètres!$A$1:$I$89,5,0)</f>
        <v>-1.9065282685915009E-13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475.42482703895411</v>
      </c>
      <c r="CZ115" s="59">
        <f t="shared" si="96"/>
        <v>593.51433014569966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123.10998038821326</v>
      </c>
      <c r="DG115" s="21">
        <f>EXP(-LN(2)/25)*DG114+(1-EXP(-LN(2)/25))/(LN(2)/25)*Calculateur!DB115*Calculateur!DD115*VLOOKUP('Données projet'!$B$13,Paramètres!$A$1:$I$89,3,0)*0.475*44/12</f>
        <v>17.590505257570673</v>
      </c>
      <c r="DH115" s="21">
        <f>EXP(-LN(2)/2)*DH114+(1-EXP(-LN(2)/2))/(LN(2)/2)*DB115*DE115*VLOOKUP('Données projet'!$B$13,Paramètres!$A$1:$I$89,3,0)*0.475*44/12</f>
        <v>4.147879477868737E-6</v>
      </c>
      <c r="DI115" s="22">
        <f t="shared" si="69"/>
        <v>140.70048979366342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7</v>
      </c>
      <c r="DO115" s="12">
        <f>IF('Données projet'!$A$166&gt;35,DO114+DN115-DW114,IF(A115&lt;'Données projet'!$A$166,$DL$205^A115,IF(A115='Données projet'!$A$166,'Données projet'!$B$166,DO114+DN115-DW114)))</f>
        <v>363.99999999999943</v>
      </c>
      <c r="DP115" s="17">
        <f>DO115*VLOOKUP('Données projet'!$B$14,Paramètres!$A$1:$I$89,3,0)*VLOOKUP('Données projet'!$B$14,Paramètres!$A$1:$I$89,5,0)</f>
        <v>329.34719999999948</v>
      </c>
      <c r="DQ115" s="13">
        <f t="shared" si="97"/>
        <v>77.294949483241425</v>
      </c>
      <c r="DR115" s="20">
        <f t="shared" si="70"/>
        <v>708.2350770166446</v>
      </c>
      <c r="DS115" s="59">
        <f t="shared" si="71"/>
        <v>1001.568410349978</v>
      </c>
      <c r="DT115" s="59">
        <f ca="1">AVERAGE(OFFSET($DS$3,0,0,'Données projet'!$E$14+1,1))-AVERAGE(OFFSET($H$3,0,0,'Données projet'!$E$14+1,1))</f>
        <v>401.17301323870578</v>
      </c>
      <c r="DU115" s="59">
        <f t="shared" si="98"/>
        <v>201.57993789149754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21.397945338201144</v>
      </c>
      <c r="EB115" s="21">
        <f>EXP(-LN(2)/25)*EB114+(1-EXP(-LN(2)/25))/(LN(2)/25)*Calculateur!DW115*Calculateur!DY115*VLOOKUP('Données projet'!$B$14,Paramètres!$A$1:$I$89,3,0)*0.475*44/12</f>
        <v>22.712823709198275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44.110769047399415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1.7053025658242404E-13</v>
      </c>
      <c r="EK115" s="17">
        <f>EJ115*VLOOKUP('Données projet'!$B$15,Paramètres!$A$1:$I$89,3,0)*VLOOKUP('Données projet'!$B$15,Paramètres!$A$1:$I$89,5,0)</f>
        <v>1.4897523215040567E-13</v>
      </c>
      <c r="EL115" s="13">
        <f t="shared" si="99"/>
        <v>2.136562777003313E-12</v>
      </c>
      <c r="EM115" s="20">
        <f t="shared" si="73"/>
        <v>3.9806453659427267E-12</v>
      </c>
      <c r="EN115" s="59">
        <f t="shared" si="74"/>
        <v>293.33333333333729</v>
      </c>
      <c r="EO115" s="59">
        <f ca="1">AVERAGE(OFFSET($EN$3,0,0,'Données projet'!$E$15+1,1))-AVERAGE(OFFSET($H$3,0,0,'Données projet'!$E$15+1,1))</f>
        <v>237.8483058552178</v>
      </c>
      <c r="EP115" s="59">
        <f t="shared" si="100"/>
        <v>313.36201272119723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35.415934761993341</v>
      </c>
      <c r="EW115" s="21">
        <f>EXP(-LN(2)/25)*EW114+(1-EXP(-LN(2)/25))/(LN(2)/25)*Calculateur!ER115*Calculateur!ET115*VLOOKUP('Données projet'!$B$15,Paramètres!$A$1:$I$89,3,0)*0.475*44/12</f>
        <v>1.6554562886010675</v>
      </c>
      <c r="EX115" s="21">
        <f>EXP(-LN(2)/2)*EX114+(1-EXP(-LN(2)/2))/(LN(2)/2)*ER115*EU115*VLOOKUP('Données projet'!$B$15,Paramètres!$A$1:$I$89,3,0)*0.475*44/12</f>
        <v>1.9641212924060047E-5</v>
      </c>
      <c r="EY115" s="22">
        <f t="shared" si="75"/>
        <v>37.07141069180733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-2.8421709430404007E-13</v>
      </c>
      <c r="FF115" s="17">
        <f>FE115*VLOOKUP('Données projet'!$B$16,Paramètres!$A$1:$I$89,3,0)*VLOOKUP('Données projet'!$B$16,Paramètres!$A$1:$I$89,5,0)</f>
        <v>-2.2168933355715128E-13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318.52984981739411</v>
      </c>
      <c r="FK115" s="59">
        <f t="shared" si="102"/>
        <v>311.56398336941714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62.897716194507233</v>
      </c>
      <c r="FR115" s="21">
        <f>EXP(-LN(2)/25)*FR114+(1-EXP(-LN(2)/25))/(LN(2)/25)*Calculateur!FM115*Calculateur!FO115*VLOOKUP('Données projet'!$B$16,Paramètres!$A$1:$I$89,3,0)*0.475*44/12</f>
        <v>1.6526565448983128</v>
      </c>
      <c r="FS115" s="21">
        <f>EXP(-LN(2)/2)*FS114+(1-EXP(-LN(2)/2))/(LN(2)/2)*FM115*FP115*VLOOKUP('Données projet'!$B$16,Paramètres!$A$1:$I$89,3,0)*0.475*44/12</f>
        <v>8.6256152486112393E-4</v>
      </c>
      <c r="FT115" s="22">
        <f t="shared" si="78"/>
        <v>64.551235300930401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-2.8421709430404007E-13</v>
      </c>
      <c r="GA115" s="17">
        <f>FZ115*VLOOKUP('Données projet'!$B$17,Paramètres!$A$1:$I$89,3,0)*VLOOKUP('Données projet'!$B$17,Paramètres!$A$1:$I$89,5,0)</f>
        <v>-2.2612312022829427E-13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325.72928944930294</v>
      </c>
      <c r="GF115" s="59">
        <f t="shared" si="104"/>
        <v>318.38876834819752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79.0755938947689</v>
      </c>
      <c r="GM115" s="21">
        <f>EXP(-LN(2)/25)*GM114+(1-EXP(-LN(2)/25))/(LN(2)/25)*Calculateur!GH115*Calculateur!GJ115*VLOOKUP('Données projet'!$B$17,Paramètres!$A$1:$I$89,3,0)*0.475*44/12</f>
        <v>2.0777351817954126</v>
      </c>
      <c r="GN115" s="21">
        <f>EXP(-LN(2)/2)*GN114+(1-EXP(-LN(2)/2))/(LN(2)/2)*GH115*GK115*VLOOKUP('Données projet'!$B$17,Paramètres!$A$1:$I$89,3,0)*0.475*44/12</f>
        <v>8.798127553583451E-4</v>
      </c>
      <c r="GO115" s="21">
        <f t="shared" si="81"/>
        <v>81.154208889319676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-2.8421709430404007E-13</v>
      </c>
      <c r="GV115" s="17">
        <f>GU115*VLOOKUP('Données projet'!$B$18,Paramètres!$A$1:$I$89,3,0)*VLOOKUP('Données projet'!$B$18,Paramètres!$A$1:$I$89,5,0)</f>
        <v>-1.9065282685915009E-13</v>
      </c>
      <c r="GW115" s="13" t="e">
        <f t="shared" si="105"/>
        <v>#NUM!</v>
      </c>
      <c r="GX115" s="20" t="e">
        <f t="shared" si="82"/>
        <v>#NUM!</v>
      </c>
      <c r="GY115" s="59" t="e">
        <f t="shared" si="83"/>
        <v>#NUM!</v>
      </c>
      <c r="GZ115" s="59">
        <f ca="1">AVERAGE(OFFSET($GY$3,0,0,'Données projet'!$E$18+1,1))-AVERAGE(OFFSET($H$3,0,0,'Données projet'!$E$18+1,1))</f>
        <v>268.04554291387961</v>
      </c>
      <c r="HA115" s="59">
        <f t="shared" si="106"/>
        <v>263.70463099437148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66.671579166177693</v>
      </c>
      <c r="HH115" s="21">
        <f>EXP(-LN(2)/25)*HH114+(1-EXP(-LN(2)/25))/(LN(2)/25)*Calculateur!HC115*Calculateur!HE115*VLOOKUP('Données projet'!$B$18,Paramètres!$A$1:$I$89,3,0)*0.475*44/12</f>
        <v>1.7518159375922138</v>
      </c>
      <c r="HI115" s="21">
        <f>EXP(-LN(2)/2)*HI114+(1-EXP(-LN(2)/2))/(LN(2)/2)*HC115*HF115*VLOOKUP('Données projet'!$B$18,Paramètres!$A$1:$I$89,3,0)*0.475*44/12</f>
        <v>7.4180291138056548E-4</v>
      </c>
      <c r="HJ115" s="22">
        <f t="shared" si="84"/>
        <v>68.424136906681284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-2.5124791136477146E-14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46.095319339746538</v>
      </c>
      <c r="T116" s="59">
        <f t="shared" si="88"/>
        <v>48.158174304064403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31.420454415190854</v>
      </c>
      <c r="AA116" s="21">
        <f>EXP(-LN(2)/25)*AA115+(1-EXP(-LN(2)/25))/(LN(2)/25)*Calculateur!V116*Calculateur!X116*VLOOKUP('Données projet'!$B$9,Paramètres!$A$1:$I$89,3,0)*0.475*44/12</f>
        <v>10.974794828101489</v>
      </c>
      <c r="AB116" s="21">
        <f>EXP(-LN(2)/2)*AB115+(1-EXP(-LN(2)/2))/(LN(2)/2)*V116*Y116*VLOOKUP('Données projet'!$B$9,Paramètres!$A$1:$I$89,3,0)*0.475*44/12</f>
        <v>1.59338618541031E-4</v>
      </c>
      <c r="AC116" s="22">
        <f t="shared" si="57"/>
        <v>42.395408581910878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-6.7984728957526396E-14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408.84545509668794</v>
      </c>
      <c r="AO116" s="59">
        <f t="shared" si="90"/>
        <v>409.9253979841132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65.843144916460332</v>
      </c>
      <c r="AV116" s="21">
        <f>EXP(-LN(2)/25)*AV115+(1-EXP(-LN(2)/25))/(LN(2)/25)*Calculateur!AQ116*Calculateur!AS116*VLOOKUP('Données projet'!$B$10,Paramètres!$A$1:$I$89,3,0)*0.475*44/12</f>
        <v>17.540909923504543</v>
      </c>
      <c r="AW116" s="21">
        <f>EXP(-LN(2)/2)*AW115+(1-EXP(-LN(2)/2))/(LN(2)/2)*AQ116*AT116*VLOOKUP('Données projet'!$B$10,Paramètres!$A$1:$I$89,3,0)*0.475*44/12</f>
        <v>9.8915382616126342E-7</v>
      </c>
      <c r="AX116" s="21">
        <f t="shared" si="60"/>
        <v>83.384055829118708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-6.7984728957526396E-14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279.69031306919914</v>
      </c>
      <c r="BJ116" s="59">
        <f t="shared" si="92"/>
        <v>297.01680128882509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59.736664174305631</v>
      </c>
      <c r="BQ116" s="21">
        <f>EXP(-LN(2)/25)*BQ115+(1-EXP(-LN(2)/25))/(LN(2)/25)*Calculateur!BL116*Calculateur!BN116*VLOOKUP('Données projet'!$B$11,Paramètres!$A$1:$I$89,3,0)*0.475*44/12</f>
        <v>19.896663783581367</v>
      </c>
      <c r="BR116" s="21">
        <f>EXP(-LN(2)/2)*BR115+(1-EXP(-LN(2)/2))/(LN(2)/2)*BL116*BO116*VLOOKUP('Données projet'!$B$11,Paramètres!$A$1:$I$89,3,0)*0.475*44/12</f>
        <v>2.3078287685612037E-6</v>
      </c>
      <c r="BS116" s="22">
        <f t="shared" si="63"/>
        <v>79.633330265715756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81.299024916151723</v>
      </c>
      <c r="CE116" s="59">
        <f t="shared" si="94"/>
        <v>88.106373324240167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17.668696485364475</v>
      </c>
      <c r="CL116" s="21">
        <f>EXP(-LN(2)/25)*CL115+(1-EXP(-LN(2)/25))/(LN(2)/25)*Calculateur!CG116*Calculateur!CI116*VLOOKUP('Données projet'!$B$12,Paramètres!$A$1:$I$89,3,0)*0.475*44/12</f>
        <v>5.3226007779164766</v>
      </c>
      <c r="CM116" s="21">
        <f>EXP(-LN(2)/2)*CM115+(1-EXP(-LN(2)/2))/(LN(2)/2)*CG116*CJ116*VLOOKUP('Données projet'!$B$12,Paramètres!$A$1:$I$89,3,0)*0.475*44/12</f>
        <v>2.5293988821339963E-7</v>
      </c>
      <c r="CN116" s="22">
        <f t="shared" si="66"/>
        <v>22.99129751622084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-3.4106051316484809E-13</v>
      </c>
      <c r="CU116" s="17">
        <f>CT116*VLOOKUP('Données projet'!$B$13,Paramètres!$A$1:$I$89,3,0)*VLOOKUP('Données projet'!$B$13,Paramètres!$A$1:$I$89,5,0)</f>
        <v>-1.9065282685915009E-13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475.42482703895411</v>
      </c>
      <c r="CZ116" s="59">
        <f t="shared" si="96"/>
        <v>593.51433014569966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120.69586876247395</v>
      </c>
      <c r="DG116" s="21">
        <f>EXP(-LN(2)/25)*DG115+(1-EXP(-LN(2)/25))/(LN(2)/25)*Calculateur!DB116*Calculateur!DD116*VLOOKUP('Données projet'!$B$13,Paramètres!$A$1:$I$89,3,0)*0.475*44/12</f>
        <v>17.109491966257934</v>
      </c>
      <c r="DH116" s="21">
        <f>EXP(-LN(2)/2)*DH115+(1-EXP(-LN(2)/2))/(LN(2)/2)*DB116*DE116*VLOOKUP('Données projet'!$B$13,Paramètres!$A$1:$I$89,3,0)*0.475*44/12</f>
        <v>2.9329937063455E-6</v>
      </c>
      <c r="DI116" s="22">
        <f t="shared" si="69"/>
        <v>137.80536366172561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7</v>
      </c>
      <c r="DO116" s="12">
        <f>IF('Données projet'!$A$166&gt;35,DO115+DN116-DW115,IF(A116&lt;'Données projet'!$A$166,$DL$205^A116,IF(A116='Données projet'!$A$166,'Données projet'!$B$166,DO115+DN116-DW115)))</f>
        <v>370.99999999999943</v>
      </c>
      <c r="DP116" s="17">
        <f>DO116*VLOOKUP('Données projet'!$B$14,Paramètres!$A$1:$I$89,3,0)*VLOOKUP('Données projet'!$B$14,Paramètres!$A$1:$I$89,5,0)</f>
        <v>335.68079999999946</v>
      </c>
      <c r="DQ116" s="13">
        <f t="shared" si="97"/>
        <v>78.606909442620307</v>
      </c>
      <c r="DR116" s="20">
        <f t="shared" si="70"/>
        <v>721.55109394589601</v>
      </c>
      <c r="DS116" s="59">
        <f t="shared" si="71"/>
        <v>1014.8844272792294</v>
      </c>
      <c r="DT116" s="59">
        <f ca="1">AVERAGE(OFFSET($DS$3,0,0,'Données projet'!$E$14+1,1))-AVERAGE(OFFSET($H$3,0,0,'Données projet'!$E$14+1,1))</f>
        <v>401.17301323870578</v>
      </c>
      <c r="DU116" s="59">
        <f t="shared" si="98"/>
        <v>201.57993789149754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20.978344681576949</v>
      </c>
      <c r="EB116" s="21">
        <f>EXP(-LN(2)/25)*EB115+(1-EXP(-LN(2)/25))/(LN(2)/25)*Calculateur!DW116*Calculateur!DY116*VLOOKUP('Données projet'!$B$14,Paramètres!$A$1:$I$89,3,0)*0.475*44/12</f>
        <v>22.09174035045476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43.070085032031713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1.7053025658242404E-13</v>
      </c>
      <c r="EK116" s="17">
        <f>EJ116*VLOOKUP('Données projet'!$B$15,Paramètres!$A$1:$I$89,3,0)*VLOOKUP('Données projet'!$B$15,Paramètres!$A$1:$I$89,5,0)</f>
        <v>1.4897523215040567E-13</v>
      </c>
      <c r="EL116" s="13">
        <f t="shared" si="99"/>
        <v>2.136562777003313E-12</v>
      </c>
      <c r="EM116" s="20">
        <f t="shared" si="73"/>
        <v>3.9806453659427267E-12</v>
      </c>
      <c r="EN116" s="59">
        <f t="shared" si="74"/>
        <v>293.33333333333729</v>
      </c>
      <c r="EO116" s="59">
        <f ca="1">AVERAGE(OFFSET($EN$3,0,0,'Données projet'!$E$15+1,1))-AVERAGE(OFFSET($H$3,0,0,'Données projet'!$E$15+1,1))</f>
        <v>237.8483058552178</v>
      </c>
      <c r="EP116" s="59">
        <f t="shared" si="100"/>
        <v>313.36201272119723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34.721449882897879</v>
      </c>
      <c r="EW116" s="21">
        <f>EXP(-LN(2)/25)*EW115+(1-EXP(-LN(2)/25))/(LN(2)/25)*Calculateur!ER116*Calculateur!ET116*VLOOKUP('Données projet'!$B$15,Paramètres!$A$1:$I$89,3,0)*0.475*44/12</f>
        <v>1.6101877493326087</v>
      </c>
      <c r="EX116" s="21">
        <f>EXP(-LN(2)/2)*EX115+(1-EXP(-LN(2)/2))/(LN(2)/2)*ER116*EU116*VLOOKUP('Données projet'!$B$15,Paramètres!$A$1:$I$89,3,0)*0.475*44/12</f>
        <v>1.3888434849331717E-5</v>
      </c>
      <c r="EY116" s="22">
        <f t="shared" si="75"/>
        <v>36.331651520665339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-2.8421709430404007E-13</v>
      </c>
      <c r="FF116" s="17">
        <f>FE116*VLOOKUP('Données projet'!$B$16,Paramètres!$A$1:$I$89,3,0)*VLOOKUP('Données projet'!$B$16,Paramètres!$A$1:$I$89,5,0)</f>
        <v>-2.2168933355715128E-13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318.52984981739411</v>
      </c>
      <c r="FK116" s="59">
        <f t="shared" si="102"/>
        <v>311.56398336941714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61.664330343751715</v>
      </c>
      <c r="FR116" s="21">
        <f>EXP(-LN(2)/25)*FR115+(1-EXP(-LN(2)/25))/(LN(2)/25)*Calculateur!FM116*Calculateur!FO116*VLOOKUP('Données projet'!$B$16,Paramètres!$A$1:$I$89,3,0)*0.475*44/12</f>
        <v>1.6074645647686379</v>
      </c>
      <c r="FS116" s="21">
        <f>EXP(-LN(2)/2)*FS115+(1-EXP(-LN(2)/2))/(LN(2)/2)*FM116*FP116*VLOOKUP('Données projet'!$B$16,Paramètres!$A$1:$I$89,3,0)*0.475*44/12</f>
        <v>6.0992310341990953E-4</v>
      </c>
      <c r="FT116" s="22">
        <f t="shared" si="78"/>
        <v>63.272404831623774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-2.8421709430404007E-13</v>
      </c>
      <c r="GA116" s="17">
        <f>FZ116*VLOOKUP('Données projet'!$B$17,Paramètres!$A$1:$I$89,3,0)*VLOOKUP('Données projet'!$B$17,Paramètres!$A$1:$I$89,5,0)</f>
        <v>-2.2612312022829427E-13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325.72928944930294</v>
      </c>
      <c r="GF116" s="59">
        <f t="shared" si="104"/>
        <v>318.38876834819752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77.524969729842311</v>
      </c>
      <c r="GM116" s="21">
        <f>EXP(-LN(2)/25)*GM115+(1-EXP(-LN(2)/25))/(LN(2)/25)*Calculateur!GH116*Calculateur!GJ116*VLOOKUP('Données projet'!$B$17,Paramètres!$A$1:$I$89,3,0)*0.475*44/12</f>
        <v>2.0209194039858724</v>
      </c>
      <c r="GN116" s="21">
        <f>EXP(-LN(2)/2)*GN115+(1-EXP(-LN(2)/2))/(LN(2)/2)*GH116*GK116*VLOOKUP('Données projet'!$B$17,Paramètres!$A$1:$I$89,3,0)*0.475*44/12</f>
        <v>6.2212156548830679E-4</v>
      </c>
      <c r="GO116" s="21">
        <f t="shared" si="81"/>
        <v>79.546511255393668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-2.8421709430404007E-13</v>
      </c>
      <c r="GV116" s="17">
        <f>GU116*VLOOKUP('Données projet'!$B$18,Paramètres!$A$1:$I$89,3,0)*VLOOKUP('Données projet'!$B$18,Paramètres!$A$1:$I$89,5,0)</f>
        <v>-1.9065282685915009E-13</v>
      </c>
      <c r="GW116" s="13" t="e">
        <f t="shared" si="105"/>
        <v>#NUM!</v>
      </c>
      <c r="GX116" s="20" t="e">
        <f t="shared" si="82"/>
        <v>#NUM!</v>
      </c>
      <c r="GY116" s="59" t="e">
        <f t="shared" si="83"/>
        <v>#NUM!</v>
      </c>
      <c r="GZ116" s="59">
        <f ca="1">AVERAGE(OFFSET($GY$3,0,0,'Données projet'!$E$18+1,1))-AVERAGE(OFFSET($H$3,0,0,'Données projet'!$E$18+1,1))</f>
        <v>268.04554291387961</v>
      </c>
      <c r="HA116" s="59">
        <f t="shared" si="106"/>
        <v>263.70463099437148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65.364190164376836</v>
      </c>
      <c r="HH116" s="21">
        <f>EXP(-LN(2)/25)*HH115+(1-EXP(-LN(2)/25))/(LN(2)/25)*Calculateur!HC116*Calculateur!HE116*VLOOKUP('Données projet'!$B$18,Paramètres!$A$1:$I$89,3,0)*0.475*44/12</f>
        <v>1.7039124386547584</v>
      </c>
      <c r="HI116" s="21">
        <f>EXP(-LN(2)/2)*HI115+(1-EXP(-LN(2)/2))/(LN(2)/2)*HC116*HF116*VLOOKUP('Données projet'!$B$18,Paramètres!$A$1:$I$89,3,0)*0.475*44/12</f>
        <v>5.2453386894112141E-4</v>
      </c>
      <c r="HJ116" s="22">
        <f t="shared" si="84"/>
        <v>67.068627136900531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-2.5124791136477146E-14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46.095319339746538</v>
      </c>
      <c r="T117" s="59">
        <f t="shared" si="88"/>
        <v>48.158174304064403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30.804318468693808</v>
      </c>
      <c r="AA117" s="21">
        <f>EXP(-LN(2)/25)*AA116+(1-EXP(-LN(2)/25))/(LN(2)/25)*Calculateur!V117*Calculateur!X117*VLOOKUP('Données projet'!$B$9,Paramètres!$A$1:$I$89,3,0)*0.475*44/12</f>
        <v>10.674688486387677</v>
      </c>
      <c r="AB117" s="21">
        <f>EXP(-LN(2)/2)*AB116+(1-EXP(-LN(2)/2))/(LN(2)/2)*V117*Y117*VLOOKUP('Données projet'!$B$9,Paramètres!$A$1:$I$89,3,0)*0.475*44/12</f>
        <v>1.1266941767525957E-4</v>
      </c>
      <c r="AC117" s="22">
        <f t="shared" si="57"/>
        <v>41.479119624499162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-6.7984728957526396E-14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408.84545509668794</v>
      </c>
      <c r="AO117" s="59">
        <f t="shared" si="90"/>
        <v>409.9253979841132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64.552001005001443</v>
      </c>
      <c r="AV117" s="21">
        <f>EXP(-LN(2)/25)*AV116+(1-EXP(-LN(2)/25))/(LN(2)/25)*Calculateur!AQ117*Calculateur!AS117*VLOOKUP('Données projet'!$B$10,Paramètres!$A$1:$I$89,3,0)*0.475*44/12</f>
        <v>17.061252819209948</v>
      </c>
      <c r="AW117" s="21">
        <f>EXP(-LN(2)/2)*AW116+(1-EXP(-LN(2)/2))/(LN(2)/2)*AQ117*AT117*VLOOKUP('Données projet'!$B$10,Paramètres!$A$1:$I$89,3,0)*0.475*44/12</f>
        <v>6.9943737811524877E-7</v>
      </c>
      <c r="AX117" s="21">
        <f t="shared" si="60"/>
        <v>81.613254523648777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-6.7984728957526396E-14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279.69031306919914</v>
      </c>
      <c r="BJ117" s="59">
        <f t="shared" si="92"/>
        <v>297.01680128882509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58.565264625614908</v>
      </c>
      <c r="BQ117" s="21">
        <f>EXP(-LN(2)/25)*BQ116+(1-EXP(-LN(2)/25))/(LN(2)/25)*Calculateur!BL117*Calculateur!BN117*VLOOKUP('Données projet'!$B$11,Paramètres!$A$1:$I$89,3,0)*0.475*44/12</f>
        <v>19.35258846609926</v>
      </c>
      <c r="BR117" s="21">
        <f>EXP(-LN(2)/2)*BR116+(1-EXP(-LN(2)/2))/(LN(2)/2)*BL117*BO117*VLOOKUP('Données projet'!$B$11,Paramètres!$A$1:$I$89,3,0)*0.475*44/12</f>
        <v>1.6318813720670265E-6</v>
      </c>
      <c r="BS117" s="22">
        <f t="shared" si="63"/>
        <v>77.917854723595539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81.299024916151723</v>
      </c>
      <c r="CE117" s="59">
        <f t="shared" si="94"/>
        <v>88.106373324240167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17.32222412412721</v>
      </c>
      <c r="CL117" s="21">
        <f>EXP(-LN(2)/25)*CL116+(1-EXP(-LN(2)/25))/(LN(2)/25)*Calculateur!CG117*Calculateur!CI117*VLOOKUP('Données projet'!$B$12,Paramètres!$A$1:$I$89,3,0)*0.475*44/12</f>
        <v>5.1770539797409407</v>
      </c>
      <c r="CM117" s="21">
        <f>EXP(-LN(2)/2)*CM116+(1-EXP(-LN(2)/2))/(LN(2)/2)*CG117*CJ117*VLOOKUP('Données projet'!$B$12,Paramètres!$A$1:$I$89,3,0)*0.475*44/12</f>
        <v>1.7885551018826217E-7</v>
      </c>
      <c r="CN117" s="22">
        <f t="shared" si="66"/>
        <v>22.499278282723662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-3.4106051316484809E-13</v>
      </c>
      <c r="CU117" s="17">
        <f>CT117*VLOOKUP('Données projet'!$B$13,Paramètres!$A$1:$I$89,3,0)*VLOOKUP('Données projet'!$B$13,Paramètres!$A$1:$I$89,5,0)</f>
        <v>-1.9065282685915009E-13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475.42482703895411</v>
      </c>
      <c r="CZ117" s="59">
        <f t="shared" si="96"/>
        <v>593.51433014569966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118.32909639325268</v>
      </c>
      <c r="DG117" s="21">
        <f>EXP(-LN(2)/25)*DG116+(1-EXP(-LN(2)/25))/(LN(2)/25)*Calculateur!DB117*Calculateur!DD117*VLOOKUP('Données projet'!$B$13,Paramètres!$A$1:$I$89,3,0)*0.475*44/12</f>
        <v>16.641632008691534</v>
      </c>
      <c r="DH117" s="21">
        <f>EXP(-LN(2)/2)*DH116+(1-EXP(-LN(2)/2))/(LN(2)/2)*DB117*DE117*VLOOKUP('Données projet'!$B$13,Paramètres!$A$1:$I$89,3,0)*0.475*44/12</f>
        <v>2.0739397389343685E-6</v>
      </c>
      <c r="DI117" s="22">
        <f t="shared" si="69"/>
        <v>134.97073047588395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>
        <f>VLOOKUP(A117,'Données projet'!$A$165:$I$185,2,0)</f>
        <v>378</v>
      </c>
      <c r="DM117" s="12">
        <f>VLOOKUP(A117,'Données projet'!$A$165:$I$185,9,0)</f>
        <v>7</v>
      </c>
      <c r="DN117" s="12">
        <f t="array" ref="DN117">INDEX(DM:DM,MIN(IF(ISNUMBER(DM117:DM313),ROW(DM117:DM313),"")))</f>
        <v>7</v>
      </c>
      <c r="DO117" s="12">
        <f>IF('Données projet'!$A$166&gt;35,DO116+DN117-DW116,IF(A117&lt;'Données projet'!$A$166,$DL$205^A117,IF(A117='Données projet'!$A$166,'Données projet'!$B$166,DO116+DN117-DW116)))</f>
        <v>377.99999999999943</v>
      </c>
      <c r="DP117" s="17">
        <f>DO117*VLOOKUP('Données projet'!$B$14,Paramètres!$A$1:$I$89,3,0)*VLOOKUP('Données projet'!$B$14,Paramètres!$A$1:$I$89,5,0)</f>
        <v>342.01439999999951</v>
      </c>
      <c r="DQ117" s="13">
        <f t="shared" si="97"/>
        <v>79.915991022086487</v>
      </c>
      <c r="DR117" s="20">
        <f t="shared" si="70"/>
        <v>734.86209769679965</v>
      </c>
      <c r="DS117" s="59">
        <f t="shared" si="71"/>
        <v>1028.195431030133</v>
      </c>
      <c r="DT117" s="59">
        <f ca="1">AVERAGE(OFFSET($DS$3,0,0,'Données projet'!$E$14+1,1))-AVERAGE(OFFSET($H$3,0,0,'Données projet'!$E$14+1,1))</f>
        <v>401.17301323870578</v>
      </c>
      <c r="DU117" s="59">
        <f t="shared" si="98"/>
        <v>201.57993789149754</v>
      </c>
      <c r="DV117" s="15">
        <f>IF(ISNA(VLOOKUP(A117,'Données projet'!$A$165:$I$185,3,0)),0,VLOOKUP(A117,'Données projet'!$A$165:$I$185,3,0))</f>
        <v>10</v>
      </c>
      <c r="DW117" s="15">
        <f>IF(ISNA(VLOOKUP(A117,'Données projet'!$A$165:$I$185,4,0)),0,VLOOKUP(A117,'Données projet'!$A$165:$I$185,4,0))</f>
        <v>43</v>
      </c>
      <c r="DX117" s="16">
        <f>IF(ISNA(VLOOKUP(A117,'Données projet'!$A$165:$I$185,5,0)),0%,VLOOKUP(A117,'Données projet'!$A$165:$I$185,5,0)*VLOOKUP('Données projet'!$B$14,Paramètres!$A$1:$I$89,7,0))</f>
        <v>0.30099999999999999</v>
      </c>
      <c r="DY117" s="16">
        <f>IF(ISNA(VLOOKUP(A117,'Données projet'!$A$165:$I$185,6,0)),0%,VLOOKUP(A117,'Données projet'!$A$165:$I$185,6,0)*VLOOKUP('Données projet'!$B$14,Paramètres!$A$1:$I$89,7,0))</f>
        <v>4.3000000000000003E-2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33.51294384295052</v>
      </c>
      <c r="EB117" s="21">
        <f>EXP(-LN(2)/25)*EB116+(1-EXP(-LN(2)/25))/(LN(2)/25)*Calculateur!DW117*Calculateur!DY117*VLOOKUP('Données projet'!$B$14,Paramètres!$A$1:$I$89,3,0)*0.475*44/12</f>
        <v>23.329783189052836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56.842727032003353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1.7053025658242404E-13</v>
      </c>
      <c r="EK117" s="17">
        <f>EJ117*VLOOKUP('Données projet'!$B$15,Paramètres!$A$1:$I$89,3,0)*VLOOKUP('Données projet'!$B$15,Paramètres!$A$1:$I$89,5,0)</f>
        <v>1.4897523215040567E-13</v>
      </c>
      <c r="EL117" s="13">
        <f t="shared" si="99"/>
        <v>2.136562777003313E-12</v>
      </c>
      <c r="EM117" s="20">
        <f t="shared" si="73"/>
        <v>3.9806453659427267E-12</v>
      </c>
      <c r="EN117" s="59">
        <f t="shared" si="74"/>
        <v>293.33333333333729</v>
      </c>
      <c r="EO117" s="59">
        <f ca="1">AVERAGE(OFFSET($EN$3,0,0,'Données projet'!$E$15+1,1))-AVERAGE(OFFSET($H$3,0,0,'Données projet'!$E$15+1,1))</f>
        <v>237.8483058552178</v>
      </c>
      <c r="EP117" s="59">
        <f t="shared" si="100"/>
        <v>313.36201272119723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34.040583428687526</v>
      </c>
      <c r="EW117" s="21">
        <f>EXP(-LN(2)/25)*EW116+(1-EXP(-LN(2)/25))/(LN(2)/25)*Calculateur!ER117*Calculateur!ET117*VLOOKUP('Données projet'!$B$15,Paramètres!$A$1:$I$89,3,0)*0.475*44/12</f>
        <v>1.5661570806510148</v>
      </c>
      <c r="EX117" s="21">
        <f>EXP(-LN(2)/2)*EX116+(1-EXP(-LN(2)/2))/(LN(2)/2)*ER117*EU117*VLOOKUP('Données projet'!$B$15,Paramètres!$A$1:$I$89,3,0)*0.475*44/12</f>
        <v>9.8206064620300235E-6</v>
      </c>
      <c r="EY117" s="22">
        <f t="shared" si="75"/>
        <v>35.606750329945008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-2.8421709430404007E-13</v>
      </c>
      <c r="FF117" s="17">
        <f>FE117*VLOOKUP('Données projet'!$B$16,Paramètres!$A$1:$I$89,3,0)*VLOOKUP('Données projet'!$B$16,Paramètres!$A$1:$I$89,5,0)</f>
        <v>-2.2168933355715128E-13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318.52984981739411</v>
      </c>
      <c r="FK117" s="59">
        <f t="shared" si="102"/>
        <v>311.56398336941714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60.455130437238424</v>
      </c>
      <c r="FR117" s="21">
        <f>EXP(-LN(2)/25)*FR116+(1-EXP(-LN(2)/25))/(LN(2)/25)*Calculateur!FM117*Calculateur!FO117*VLOOKUP('Données projet'!$B$16,Paramètres!$A$1:$I$89,3,0)*0.475*44/12</f>
        <v>1.5635083617121519</v>
      </c>
      <c r="FS117" s="21">
        <f>EXP(-LN(2)/2)*FS116+(1-EXP(-LN(2)/2))/(LN(2)/2)*FM117*FP117*VLOOKUP('Données projet'!$B$16,Paramètres!$A$1:$I$89,3,0)*0.475*44/12</f>
        <v>4.3128076243056197E-4</v>
      </c>
      <c r="FT117" s="22">
        <f t="shared" si="78"/>
        <v>62.019070079713003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-2.8421709430404007E-13</v>
      </c>
      <c r="GA117" s="17">
        <f>FZ117*VLOOKUP('Données projet'!$B$17,Paramètres!$A$1:$I$89,3,0)*VLOOKUP('Données projet'!$B$17,Paramètres!$A$1:$I$89,5,0)</f>
        <v>-2.2612312022829427E-13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325.72928944930294</v>
      </c>
      <c r="GF117" s="59">
        <f t="shared" si="104"/>
        <v>318.38876834819752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76.00475235900258</v>
      </c>
      <c r="GM117" s="21">
        <f>EXP(-LN(2)/25)*GM116+(1-EXP(-LN(2)/25))/(LN(2)/25)*Calculateur!GH117*Calculateur!GJ117*VLOOKUP('Données projet'!$B$17,Paramètres!$A$1:$I$89,3,0)*0.475*44/12</f>
        <v>1.9656572566083461</v>
      </c>
      <c r="GN117" s="21">
        <f>EXP(-LN(2)/2)*GN116+(1-EXP(-LN(2)/2))/(LN(2)/2)*GH117*GK117*VLOOKUP('Données projet'!$B$17,Paramètres!$A$1:$I$89,3,0)*0.475*44/12</f>
        <v>4.3990637767917255E-4</v>
      </c>
      <c r="GO117" s="21">
        <f t="shared" si="81"/>
        <v>77.970849521988612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-2.8421709430404007E-13</v>
      </c>
      <c r="GV117" s="17">
        <f>GU117*VLOOKUP('Données projet'!$B$18,Paramètres!$A$1:$I$89,3,0)*VLOOKUP('Données projet'!$B$18,Paramètres!$A$1:$I$89,5,0)</f>
        <v>-1.9065282685915009E-13</v>
      </c>
      <c r="GW117" s="13" t="e">
        <f t="shared" si="105"/>
        <v>#NUM!</v>
      </c>
      <c r="GX117" s="20" t="e">
        <f t="shared" si="82"/>
        <v>#NUM!</v>
      </c>
      <c r="GY117" s="59" t="e">
        <f t="shared" si="83"/>
        <v>#NUM!</v>
      </c>
      <c r="GZ117" s="59">
        <f ca="1">AVERAGE(OFFSET($GY$3,0,0,'Données projet'!$E$18+1,1))-AVERAGE(OFFSET($H$3,0,0,'Données projet'!$E$18+1,1))</f>
        <v>268.04554291387961</v>
      </c>
      <c r="HA117" s="59">
        <f t="shared" si="106"/>
        <v>263.70463099437148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64.082438263472753</v>
      </c>
      <c r="HH117" s="21">
        <f>EXP(-LN(2)/25)*HH116+(1-EXP(-LN(2)/25))/(LN(2)/25)*Calculateur!HC117*Calculateur!HE117*VLOOKUP('Données projet'!$B$18,Paramètres!$A$1:$I$89,3,0)*0.475*44/12</f>
        <v>1.6573188634148832</v>
      </c>
      <c r="HI117" s="21">
        <f>EXP(-LN(2)/2)*HI116+(1-EXP(-LN(2)/2))/(LN(2)/2)*HC117*HF117*VLOOKUP('Données projet'!$B$18,Paramètres!$A$1:$I$89,3,0)*0.475*44/12</f>
        <v>3.7090145569028274E-4</v>
      </c>
      <c r="HJ117" s="22">
        <f t="shared" si="84"/>
        <v>65.740128028343335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-2.5124791136477146E-14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46.095319339746538</v>
      </c>
      <c r="T118" s="59">
        <f t="shared" si="88"/>
        <v>48.158174304064403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30.200264572301752</v>
      </c>
      <c r="AA118" s="21">
        <f>EXP(-LN(2)/25)*AA117+(1-EXP(-LN(2)/25))/(LN(2)/25)*Calculateur!V118*Calculateur!X118*VLOOKUP('Données projet'!$B$9,Paramètres!$A$1:$I$89,3,0)*0.475*44/12</f>
        <v>10.382788568369936</v>
      </c>
      <c r="AB118" s="21">
        <f>EXP(-LN(2)/2)*AB117+(1-EXP(-LN(2)/2))/(LN(2)/2)*V118*Y118*VLOOKUP('Données projet'!$B$9,Paramètres!$A$1:$I$89,3,0)*0.475*44/12</f>
        <v>7.9669309270515501E-5</v>
      </c>
      <c r="AC118" s="22">
        <f t="shared" si="57"/>
        <v>40.58313280998096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-6.7984728957526396E-14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408.84545509668794</v>
      </c>
      <c r="AO118" s="59">
        <f t="shared" si="90"/>
        <v>409.9253979841132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63.286175638126231</v>
      </c>
      <c r="AV118" s="21">
        <f>EXP(-LN(2)/25)*AV117+(1-EXP(-LN(2)/25))/(LN(2)/25)*Calculateur!AQ118*Calculateur!AS118*VLOOKUP('Données projet'!$B$10,Paramètres!$A$1:$I$89,3,0)*0.475*44/12</f>
        <v>16.594711963656358</v>
      </c>
      <c r="AW118" s="21">
        <f>EXP(-LN(2)/2)*AW117+(1-EXP(-LN(2)/2))/(LN(2)/2)*AQ118*AT118*VLOOKUP('Données projet'!$B$10,Paramètres!$A$1:$I$89,3,0)*0.475*44/12</f>
        <v>4.9457691308063171E-7</v>
      </c>
      <c r="AX118" s="21">
        <f t="shared" si="60"/>
        <v>79.880888096359499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-6.7984728957526396E-14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279.69031306919914</v>
      </c>
      <c r="BJ118" s="59">
        <f t="shared" si="92"/>
        <v>297.01680128882509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57.416835507590839</v>
      </c>
      <c r="BQ118" s="21">
        <f>EXP(-LN(2)/25)*BQ117+(1-EXP(-LN(2)/25))/(LN(2)/25)*Calculateur!BL118*Calculateur!BN118*VLOOKUP('Données projet'!$B$11,Paramètres!$A$1:$I$89,3,0)*0.475*44/12</f>
        <v>18.823390916785378</v>
      </c>
      <c r="BR118" s="21">
        <f>EXP(-LN(2)/2)*BR117+(1-EXP(-LN(2)/2))/(LN(2)/2)*BL118*BO118*VLOOKUP('Données projet'!$B$11,Paramètres!$A$1:$I$89,3,0)*0.475*44/12</f>
        <v>1.1539143842806019E-6</v>
      </c>
      <c r="BS118" s="22">
        <f t="shared" si="63"/>
        <v>76.2402275782906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81.299024916151723</v>
      </c>
      <c r="CE118" s="59">
        <f t="shared" si="94"/>
        <v>88.106373324240167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16.982545874566533</v>
      </c>
      <c r="CL118" s="21">
        <f>EXP(-LN(2)/25)*CL117+(1-EXP(-LN(2)/25))/(LN(2)/25)*Calculateur!CG118*Calculateur!CI118*VLOOKUP('Données projet'!$B$12,Paramètres!$A$1:$I$89,3,0)*0.475*44/12</f>
        <v>5.0354871664154883</v>
      </c>
      <c r="CM118" s="21">
        <f>EXP(-LN(2)/2)*CM117+(1-EXP(-LN(2)/2))/(LN(2)/2)*CG118*CJ118*VLOOKUP('Données projet'!$B$12,Paramètres!$A$1:$I$89,3,0)*0.475*44/12</f>
        <v>1.2646994410669982E-7</v>
      </c>
      <c r="CN118" s="22">
        <f t="shared" si="66"/>
        <v>22.018033167451968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-3.4106051316484809E-13</v>
      </c>
      <c r="CU118" s="17">
        <f>CT118*VLOOKUP('Données projet'!$B$13,Paramètres!$A$1:$I$89,3,0)*VLOOKUP('Données projet'!$B$13,Paramètres!$A$1:$I$89,5,0)</f>
        <v>-1.9065282685915009E-13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475.42482703895411</v>
      </c>
      <c r="CZ118" s="59">
        <f t="shared" si="96"/>
        <v>593.51433014569966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116.00873498660324</v>
      </c>
      <c r="DG118" s="21">
        <f>EXP(-LN(2)/25)*DG117+(1-EXP(-LN(2)/25))/(LN(2)/25)*Calculateur!DB118*Calculateur!DD118*VLOOKUP('Données projet'!$B$13,Paramètres!$A$1:$I$89,3,0)*0.475*44/12</f>
        <v>16.186565706268471</v>
      </c>
      <c r="DH118" s="21">
        <f>EXP(-LN(2)/2)*DH117+(1-EXP(-LN(2)/2))/(LN(2)/2)*DB118*DE118*VLOOKUP('Données projet'!$B$13,Paramètres!$A$1:$I$89,3,0)*0.475*44/12</f>
        <v>1.46649685317275E-6</v>
      </c>
      <c r="DI118" s="22">
        <f t="shared" si="69"/>
        <v>132.19530215936857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6.8888888888888893</v>
      </c>
      <c r="DO118" s="12">
        <f>IF('Données projet'!$A$166&gt;35,DO117+DN118-DW117,IF(A118&lt;'Données projet'!$A$166,$DL$205^A118,IF(A118='Données projet'!$A$166,'Données projet'!$B$166,DO117+DN118-DW117)))</f>
        <v>341.88888888888835</v>
      </c>
      <c r="DP118" s="17">
        <f>DO118*VLOOKUP('Données projet'!$B$14,Paramètres!$A$1:$I$89,3,0)*VLOOKUP('Données projet'!$B$14,Paramètres!$A$1:$I$89,5,0)</f>
        <v>309.34106666666617</v>
      </c>
      <c r="DQ118" s="13">
        <f t="shared" si="97"/>
        <v>73.131201628191135</v>
      </c>
      <c r="DR118" s="20">
        <f t="shared" si="70"/>
        <v>666.13920061354315</v>
      </c>
      <c r="DS118" s="59">
        <f t="shared" si="71"/>
        <v>959.47253394687641</v>
      </c>
      <c r="DT118" s="59">
        <f ca="1">AVERAGE(OFFSET($DS$3,0,0,'Données projet'!$E$14+1,1))-AVERAGE(OFFSET($H$3,0,0,'Données projet'!$E$14+1,1))</f>
        <v>401.17301323870578</v>
      </c>
      <c r="DU118" s="59">
        <f t="shared" si="98"/>
        <v>201.57993789149754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32.855775455067636</v>
      </c>
      <c r="EB118" s="21">
        <f>EXP(-LN(2)/25)*EB117+(1-EXP(-LN(2)/25))/(LN(2)/25)*Calculateur!DW118*Calculateur!DY118*VLOOKUP('Données projet'!$B$14,Paramètres!$A$1:$I$89,3,0)*0.475*44/12</f>
        <v>22.691829040888209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55.547604495955845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1.7053025658242404E-13</v>
      </c>
      <c r="EK118" s="17">
        <f>EJ118*VLOOKUP('Données projet'!$B$15,Paramètres!$A$1:$I$89,3,0)*VLOOKUP('Données projet'!$B$15,Paramètres!$A$1:$I$89,5,0)</f>
        <v>1.4897523215040567E-13</v>
      </c>
      <c r="EL118" s="13">
        <f t="shared" si="99"/>
        <v>2.136562777003313E-12</v>
      </c>
      <c r="EM118" s="20">
        <f t="shared" si="73"/>
        <v>3.9806453659427267E-12</v>
      </c>
      <c r="EN118" s="59">
        <f t="shared" si="74"/>
        <v>293.33333333333729</v>
      </c>
      <c r="EO118" s="59">
        <f ca="1">AVERAGE(OFFSET($EN$3,0,0,'Données projet'!$E$15+1,1))-AVERAGE(OFFSET($H$3,0,0,'Données projet'!$E$15+1,1))</f>
        <v>237.8483058552178</v>
      </c>
      <c r="EP118" s="59">
        <f t="shared" si="100"/>
        <v>313.36201272119723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33.373068350356711</v>
      </c>
      <c r="EW118" s="21">
        <f>EXP(-LN(2)/25)*EW117+(1-EXP(-LN(2)/25))/(LN(2)/25)*Calculateur!ER118*Calculateur!ET118*VLOOKUP('Données projet'!$B$15,Paramètres!$A$1:$I$89,3,0)*0.475*44/12</f>
        <v>1.5233304329199915</v>
      </c>
      <c r="EX118" s="21">
        <f>EXP(-LN(2)/2)*EX117+(1-EXP(-LN(2)/2))/(LN(2)/2)*ER118*EU118*VLOOKUP('Données projet'!$B$15,Paramètres!$A$1:$I$89,3,0)*0.475*44/12</f>
        <v>6.9442174246658586E-6</v>
      </c>
      <c r="EY118" s="22">
        <f t="shared" si="75"/>
        <v>34.896405727494127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-2.8421709430404007E-13</v>
      </c>
      <c r="FF118" s="17">
        <f>FE118*VLOOKUP('Données projet'!$B$16,Paramètres!$A$1:$I$89,3,0)*VLOOKUP('Données projet'!$B$16,Paramètres!$A$1:$I$89,5,0)</f>
        <v>-2.2168933355715128E-13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318.52984981739411</v>
      </c>
      <c r="FK118" s="59">
        <f t="shared" si="102"/>
        <v>311.56398336941714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59.269642203352738</v>
      </c>
      <c r="FR118" s="21">
        <f>EXP(-LN(2)/25)*FR117+(1-EXP(-LN(2)/25))/(LN(2)/25)*Calculateur!FM118*Calculateur!FO118*VLOOKUP('Données projet'!$B$16,Paramètres!$A$1:$I$89,3,0)*0.475*44/12</f>
        <v>1.5207541433398017</v>
      </c>
      <c r="FS118" s="21">
        <f>EXP(-LN(2)/2)*FS117+(1-EXP(-LN(2)/2))/(LN(2)/2)*FM118*FP118*VLOOKUP('Données projet'!$B$16,Paramètres!$A$1:$I$89,3,0)*0.475*44/12</f>
        <v>3.0496155170995476E-4</v>
      </c>
      <c r="FT118" s="22">
        <f t="shared" si="78"/>
        <v>60.790701308244252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-2.8421709430404007E-13</v>
      </c>
      <c r="GA118" s="17">
        <f>FZ118*VLOOKUP('Données projet'!$B$17,Paramètres!$A$1:$I$89,3,0)*VLOOKUP('Données projet'!$B$17,Paramètres!$A$1:$I$89,5,0)</f>
        <v>-2.2612312022829427E-13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325.72928944930294</v>
      </c>
      <c r="GF118" s="59">
        <f t="shared" si="104"/>
        <v>318.38876834819752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74.514345523563975</v>
      </c>
      <c r="GM118" s="21">
        <f>EXP(-LN(2)/25)*GM117+(1-EXP(-LN(2)/25))/(LN(2)/25)*Calculateur!GH118*Calculateur!GJ118*VLOOKUP('Données projet'!$B$17,Paramètres!$A$1:$I$89,3,0)*0.475*44/12</f>
        <v>1.9119062555569684</v>
      </c>
      <c r="GN118" s="21">
        <f>EXP(-LN(2)/2)*GN117+(1-EXP(-LN(2)/2))/(LN(2)/2)*GH118*GK118*VLOOKUP('Données projet'!$B$17,Paramètres!$A$1:$I$89,3,0)*0.475*44/12</f>
        <v>3.110607827441534E-4</v>
      </c>
      <c r="GO118" s="21">
        <f t="shared" si="81"/>
        <v>76.426562839903696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-2.8421709430404007E-13</v>
      </c>
      <c r="GV118" s="17">
        <f>GU118*VLOOKUP('Données projet'!$B$18,Paramètres!$A$1:$I$89,3,0)*VLOOKUP('Données projet'!$B$18,Paramètres!$A$1:$I$89,5,0)</f>
        <v>-1.9065282685915009E-13</v>
      </c>
      <c r="GW118" s="13" t="e">
        <f t="shared" si="105"/>
        <v>#NUM!</v>
      </c>
      <c r="GX118" s="20" t="e">
        <f t="shared" si="82"/>
        <v>#NUM!</v>
      </c>
      <c r="GY118" s="59" t="e">
        <f t="shared" si="83"/>
        <v>#NUM!</v>
      </c>
      <c r="GZ118" s="59">
        <f ca="1">AVERAGE(OFFSET($GY$3,0,0,'Données projet'!$E$18+1,1))-AVERAGE(OFFSET($H$3,0,0,'Données projet'!$E$18+1,1))</f>
        <v>268.04554291387961</v>
      </c>
      <c r="HA118" s="59">
        <f t="shared" si="106"/>
        <v>263.70463099437148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62.825820735553926</v>
      </c>
      <c r="HH118" s="21">
        <f>EXP(-LN(2)/25)*HH117+(1-EXP(-LN(2)/25))/(LN(2)/25)*Calculateur!HC118*Calculateur!HE118*VLOOKUP('Données projet'!$B$18,Paramètres!$A$1:$I$89,3,0)*0.475*44/12</f>
        <v>1.611999391940192</v>
      </c>
      <c r="HI118" s="21">
        <f>EXP(-LN(2)/2)*HI117+(1-EXP(-LN(2)/2))/(LN(2)/2)*HC118*HF118*VLOOKUP('Données projet'!$B$18,Paramètres!$A$1:$I$89,3,0)*0.475*44/12</f>
        <v>2.622669344705607E-4</v>
      </c>
      <c r="HJ118" s="22">
        <f t="shared" si="84"/>
        <v>64.438082394428591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-2.5124791136477146E-14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46.095319339746538</v>
      </c>
      <c r="T119" s="59">
        <f t="shared" si="88"/>
        <v>48.158174304064403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29.608055804381447</v>
      </c>
      <c r="AA119" s="21">
        <f>EXP(-LN(2)/25)*AA118+(1-EXP(-LN(2)/25))/(LN(2)/25)*Calculateur!V119*Calculateur!X119*VLOOKUP('Données projet'!$B$9,Paramètres!$A$1:$I$89,3,0)*0.475*44/12</f>
        <v>10.098870668960739</v>
      </c>
      <c r="AB119" s="21">
        <f>EXP(-LN(2)/2)*AB118+(1-EXP(-LN(2)/2))/(LN(2)/2)*V119*Y119*VLOOKUP('Données projet'!$B$9,Paramètres!$A$1:$I$89,3,0)*0.475*44/12</f>
        <v>5.6334708837629787E-5</v>
      </c>
      <c r="AC119" s="22">
        <f t="shared" si="57"/>
        <v>39.706982808051023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-6.7984728957526396E-14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408.84545509668794</v>
      </c>
      <c r="AO119" s="59">
        <f t="shared" si="90"/>
        <v>409.9253979841132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62.045172334618208</v>
      </c>
      <c r="AV119" s="21">
        <f>EXP(-LN(2)/25)*AV118+(1-EXP(-LN(2)/25))/(LN(2)/25)*Calculateur!AQ119*Calculateur!AS119*VLOOKUP('Données projet'!$B$10,Paramètres!$A$1:$I$89,3,0)*0.475*44/12</f>
        <v>16.140928692332199</v>
      </c>
      <c r="AW119" s="21">
        <f>EXP(-LN(2)/2)*AW118+(1-EXP(-LN(2)/2))/(LN(2)/2)*AQ119*AT119*VLOOKUP('Données projet'!$B$10,Paramètres!$A$1:$I$89,3,0)*0.475*44/12</f>
        <v>3.4971868905762439E-7</v>
      </c>
      <c r="AX119" s="21">
        <f t="shared" si="60"/>
        <v>78.1861013766691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-6.7984728957526396E-14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279.69031306919914</v>
      </c>
      <c r="BJ119" s="59">
        <f t="shared" si="92"/>
        <v>297.01680128882509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56.290926384098626</v>
      </c>
      <c r="BQ119" s="21">
        <f>EXP(-LN(2)/25)*BQ118+(1-EXP(-LN(2)/25))/(LN(2)/25)*Calculateur!BL119*Calculateur!BN119*VLOOKUP('Données projet'!$B$11,Paramètres!$A$1:$I$89,3,0)*0.475*44/12</f>
        <v>18.308664302286775</v>
      </c>
      <c r="BR119" s="21">
        <f>EXP(-LN(2)/2)*BR118+(1-EXP(-LN(2)/2))/(LN(2)/2)*BL119*BO119*VLOOKUP('Données projet'!$B$11,Paramètres!$A$1:$I$89,3,0)*0.475*44/12</f>
        <v>8.1594068603351327E-7</v>
      </c>
      <c r="BS119" s="22">
        <f t="shared" si="63"/>
        <v>74.599591502326078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81.299024916151723</v>
      </c>
      <c r="CE119" s="59">
        <f t="shared" si="94"/>
        <v>88.106373324240167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16.649528508296466</v>
      </c>
      <c r="CL119" s="21">
        <f>EXP(-LN(2)/25)*CL118+(1-EXP(-LN(2)/25))/(LN(2)/25)*Calculateur!CG119*Calculateur!CI119*VLOOKUP('Données projet'!$B$12,Paramètres!$A$1:$I$89,3,0)*0.475*44/12</f>
        <v>4.8977915050450953</v>
      </c>
      <c r="CM119" s="21">
        <f>EXP(-LN(2)/2)*CM118+(1-EXP(-LN(2)/2))/(LN(2)/2)*CG119*CJ119*VLOOKUP('Données projet'!$B$12,Paramètres!$A$1:$I$89,3,0)*0.475*44/12</f>
        <v>8.9427755094131086E-8</v>
      </c>
      <c r="CN119" s="22">
        <f t="shared" si="66"/>
        <v>21.547320102769316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-3.4106051316484809E-13</v>
      </c>
      <c r="CU119" s="17">
        <f>CT119*VLOOKUP('Données projet'!$B$13,Paramètres!$A$1:$I$89,3,0)*VLOOKUP('Données projet'!$B$13,Paramètres!$A$1:$I$89,5,0)</f>
        <v>-1.9065282685915009E-13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475.42482703895411</v>
      </c>
      <c r="CZ119" s="59">
        <f t="shared" si="96"/>
        <v>593.51433014569966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113.73387445185749</v>
      </c>
      <c r="DG119" s="21">
        <f>EXP(-LN(2)/25)*DG118+(1-EXP(-LN(2)/25))/(LN(2)/25)*Calculateur!DB119*Calculateur!DD119*VLOOKUP('Données projet'!$B$13,Paramètres!$A$1:$I$89,3,0)*0.475*44/12</f>
        <v>15.743943215816063</v>
      </c>
      <c r="DH119" s="21">
        <f>EXP(-LN(2)/2)*DH118+(1-EXP(-LN(2)/2))/(LN(2)/2)*DB119*DE119*VLOOKUP('Données projet'!$B$13,Paramètres!$A$1:$I$89,3,0)*0.475*44/12</f>
        <v>1.0369698694671843E-6</v>
      </c>
      <c r="DI119" s="22">
        <f t="shared" si="69"/>
        <v>129.47781870464343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6.8888888888888893</v>
      </c>
      <c r="DO119" s="12">
        <f>IF('Données projet'!$A$166&gt;35,DO118+DN119-DW118,IF(A119&lt;'Données projet'!$A$166,$DL$205^A119,IF(A119='Données projet'!$A$166,'Données projet'!$B$166,DO118+DN119-DW118)))</f>
        <v>348.77777777777726</v>
      </c>
      <c r="DP119" s="17">
        <f>DO119*VLOOKUP('Données projet'!$B$14,Paramètres!$A$1:$I$89,3,0)*VLOOKUP('Données projet'!$B$14,Paramètres!$A$1:$I$89,5,0)</f>
        <v>315.5741333333329</v>
      </c>
      <c r="DQ119" s="13">
        <f t="shared" si="97"/>
        <v>74.431720913378854</v>
      </c>
      <c r="DR119" s="20">
        <f t="shared" si="70"/>
        <v>679.26019614635629</v>
      </c>
      <c r="DS119" s="59">
        <f t="shared" si="71"/>
        <v>972.59352947968955</v>
      </c>
      <c r="DT119" s="59">
        <f ca="1">AVERAGE(OFFSET($DS$3,0,0,'Données projet'!$E$14+1,1))-AVERAGE(OFFSET($H$3,0,0,'Données projet'!$E$14+1,1))</f>
        <v>401.17301323870578</v>
      </c>
      <c r="DU119" s="59">
        <f t="shared" si="98"/>
        <v>201.57993789149754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32.211493738437994</v>
      </c>
      <c r="EB119" s="21">
        <f>EXP(-LN(2)/25)*EB118+(1-EXP(-LN(2)/25))/(LN(2)/25)*Calculateur!DW119*Calculateur!DY119*VLOOKUP('Données projet'!$B$14,Paramètres!$A$1:$I$89,3,0)*0.475*44/12</f>
        <v>22.071319782453696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54.282813520891693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1.7053025658242404E-13</v>
      </c>
      <c r="EK119" s="17">
        <f>EJ119*VLOOKUP('Données projet'!$B$15,Paramètres!$A$1:$I$89,3,0)*VLOOKUP('Données projet'!$B$15,Paramètres!$A$1:$I$89,5,0)</f>
        <v>1.4897523215040567E-13</v>
      </c>
      <c r="EL119" s="13">
        <f t="shared" si="99"/>
        <v>2.136562777003313E-12</v>
      </c>
      <c r="EM119" s="20">
        <f t="shared" si="73"/>
        <v>3.9806453659427267E-12</v>
      </c>
      <c r="EN119" s="59">
        <f t="shared" si="74"/>
        <v>293.33333333333729</v>
      </c>
      <c r="EO119" s="59">
        <f ca="1">AVERAGE(OFFSET($EN$3,0,0,'Données projet'!$E$15+1,1))-AVERAGE(OFFSET($H$3,0,0,'Données projet'!$E$15+1,1))</f>
        <v>237.8483058552178</v>
      </c>
      <c r="EP119" s="59">
        <f t="shared" si="100"/>
        <v>313.36201272119723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32.718642835567962</v>
      </c>
      <c r="EW119" s="21">
        <f>EXP(-LN(2)/25)*EW118+(1-EXP(-LN(2)/25))/(LN(2)/25)*Calculateur!ER119*Calculateur!ET119*VLOOKUP('Données projet'!$B$15,Paramètres!$A$1:$I$89,3,0)*0.475*44/12</f>
        <v>1.4816748821233285</v>
      </c>
      <c r="EX119" s="21">
        <f>EXP(-LN(2)/2)*EX118+(1-EXP(-LN(2)/2))/(LN(2)/2)*ER119*EU119*VLOOKUP('Données projet'!$B$15,Paramètres!$A$1:$I$89,3,0)*0.475*44/12</f>
        <v>4.9103032310150117E-6</v>
      </c>
      <c r="EY119" s="22">
        <f t="shared" si="75"/>
        <v>34.200322627994524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-2.8421709430404007E-13</v>
      </c>
      <c r="FF119" s="17">
        <f>FE119*VLOOKUP('Données projet'!$B$16,Paramètres!$A$1:$I$89,3,0)*VLOOKUP('Données projet'!$B$16,Paramètres!$A$1:$I$89,5,0)</f>
        <v>-2.2168933355715128E-13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318.52984981739411</v>
      </c>
      <c r="FK119" s="59">
        <f t="shared" si="102"/>
        <v>311.56398336941714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58.107400670657128</v>
      </c>
      <c r="FR119" s="21">
        <f>EXP(-LN(2)/25)*FR118+(1-EXP(-LN(2)/25))/(LN(2)/25)*Calculateur!FM119*Calculateur!FO119*VLOOKUP('Données projet'!$B$16,Paramètres!$A$1:$I$89,3,0)*0.475*44/12</f>
        <v>1.4791690413171903</v>
      </c>
      <c r="FS119" s="21">
        <f>EXP(-LN(2)/2)*FS118+(1-EXP(-LN(2)/2))/(LN(2)/2)*FM119*FP119*VLOOKUP('Données projet'!$B$16,Paramètres!$A$1:$I$89,3,0)*0.475*44/12</f>
        <v>2.1564038121528098E-4</v>
      </c>
      <c r="FT119" s="22">
        <f t="shared" si="78"/>
        <v>59.586785352355534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-2.8421709430404007E-13</v>
      </c>
      <c r="GA119" s="17">
        <f>FZ119*VLOOKUP('Données projet'!$B$17,Paramètres!$A$1:$I$89,3,0)*VLOOKUP('Données projet'!$B$17,Paramètres!$A$1:$I$89,5,0)</f>
        <v>-2.2612312022829427E-13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325.72928944930294</v>
      </c>
      <c r="GF119" s="59">
        <f t="shared" si="104"/>
        <v>318.38876834819752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73.053164657109917</v>
      </c>
      <c r="GM119" s="21">
        <f>EXP(-LN(2)/25)*GM118+(1-EXP(-LN(2)/25))/(LN(2)/25)*Calculateur!GH119*Calculateur!GJ119*VLOOKUP('Données projet'!$B$17,Paramètres!$A$1:$I$89,3,0)*0.475*44/12</f>
        <v>1.8596250784559829</v>
      </c>
      <c r="GN119" s="21">
        <f>EXP(-LN(2)/2)*GN118+(1-EXP(-LN(2)/2))/(LN(2)/2)*GH119*GK119*VLOOKUP('Données projet'!$B$17,Paramètres!$A$1:$I$89,3,0)*0.475*44/12</f>
        <v>2.1995318883958627E-4</v>
      </c>
      <c r="GO119" s="21">
        <f t="shared" si="81"/>
        <v>74.913009688754741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-2.8421709430404007E-13</v>
      </c>
      <c r="GV119" s="17">
        <f>GU119*VLOOKUP('Données projet'!$B$18,Paramètres!$A$1:$I$89,3,0)*VLOOKUP('Données projet'!$B$18,Paramètres!$A$1:$I$89,5,0)</f>
        <v>-1.9065282685915009E-13</v>
      </c>
      <c r="GW119" s="13" t="e">
        <f t="shared" si="105"/>
        <v>#NUM!</v>
      </c>
      <c r="GX119" s="20" t="e">
        <f t="shared" si="82"/>
        <v>#NUM!</v>
      </c>
      <c r="GY119" s="59" t="e">
        <f t="shared" si="83"/>
        <v>#NUM!</v>
      </c>
      <c r="GZ119" s="59">
        <f ca="1">AVERAGE(OFFSET($GY$3,0,0,'Données projet'!$E$18+1,1))-AVERAGE(OFFSET($H$3,0,0,'Données projet'!$E$18+1,1))</f>
        <v>268.04554291387961</v>
      </c>
      <c r="HA119" s="59">
        <f t="shared" si="106"/>
        <v>263.70463099437148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61.593844710896576</v>
      </c>
      <c r="HH119" s="21">
        <f>EXP(-LN(2)/25)*HH118+(1-EXP(-LN(2)/25))/(LN(2)/25)*Calculateur!HC119*Calculateur!HE119*VLOOKUP('Données projet'!$B$18,Paramètres!$A$1:$I$89,3,0)*0.475*44/12</f>
        <v>1.5679191837962236</v>
      </c>
      <c r="HI119" s="21">
        <f>EXP(-LN(2)/2)*HI118+(1-EXP(-LN(2)/2))/(LN(2)/2)*HC119*HF119*VLOOKUP('Données projet'!$B$18,Paramètres!$A$1:$I$89,3,0)*0.475*44/12</f>
        <v>1.8545072784514137E-4</v>
      </c>
      <c r="HJ119" s="22">
        <f t="shared" si="84"/>
        <v>63.161949345420645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-2.5124791136477146E-14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46.095319339746538</v>
      </c>
      <c r="T120" s="59">
        <f t="shared" si="88"/>
        <v>48.158174304064403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29.027459889188375</v>
      </c>
      <c r="AA120" s="21">
        <f>EXP(-LN(2)/25)*AA119+(1-EXP(-LN(2)/25))/(LN(2)/25)*Calculateur!V120*Calculateur!X120*VLOOKUP('Données projet'!$B$9,Paramètres!$A$1:$I$89,3,0)*0.475*44/12</f>
        <v>9.8227165194414798</v>
      </c>
      <c r="AB120" s="21">
        <f>EXP(-LN(2)/2)*AB119+(1-EXP(-LN(2)/2))/(LN(2)/2)*V120*Y120*VLOOKUP('Données projet'!$B$9,Paramètres!$A$1:$I$89,3,0)*0.475*44/12</f>
        <v>3.983465463525775E-5</v>
      </c>
      <c r="AC120" s="22">
        <f t="shared" si="57"/>
        <v>38.850216243284493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-6.7984728957526396E-14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408.84545509668794</v>
      </c>
      <c r="AO120" s="59">
        <f t="shared" si="90"/>
        <v>409.9253979841132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60.828504348954702</v>
      </c>
      <c r="AV120" s="21">
        <f>EXP(-LN(2)/25)*AV119+(1-EXP(-LN(2)/25))/(LN(2)/25)*Calculateur!AQ120*Calculateur!AS120*VLOOKUP('Données projet'!$B$10,Paramètres!$A$1:$I$89,3,0)*0.475*44/12</f>
        <v>15.699554148425825</v>
      </c>
      <c r="AW120" s="21">
        <f>EXP(-LN(2)/2)*AW119+(1-EXP(-LN(2)/2))/(LN(2)/2)*AQ120*AT120*VLOOKUP('Données projet'!$B$10,Paramètres!$A$1:$I$89,3,0)*0.475*44/12</f>
        <v>2.4728845654031586E-7</v>
      </c>
      <c r="AX120" s="21">
        <f t="shared" si="60"/>
        <v>76.528058744668982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-6.7984728957526396E-14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279.69031306919914</v>
      </c>
      <c r="BJ120" s="59">
        <f t="shared" si="92"/>
        <v>297.01680128882509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55.187095651781334</v>
      </c>
      <c r="BQ120" s="21">
        <f>EXP(-LN(2)/25)*BQ119+(1-EXP(-LN(2)/25))/(LN(2)/25)*Calculateur!BL120*Calculateur!BN120*VLOOKUP('Données projet'!$B$11,Paramètres!$A$1:$I$89,3,0)*0.475*44/12</f>
        <v>17.808012914129932</v>
      </c>
      <c r="BR120" s="21">
        <f>EXP(-LN(2)/2)*BR119+(1-EXP(-LN(2)/2))/(LN(2)/2)*BL120*BO120*VLOOKUP('Données projet'!$B$11,Paramètres!$A$1:$I$89,3,0)*0.475*44/12</f>
        <v>5.7695719214030093E-7</v>
      </c>
      <c r="BS120" s="22">
        <f t="shared" si="63"/>
        <v>72.995109142868458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81.299024916151723</v>
      </c>
      <c r="CE120" s="59">
        <f t="shared" si="94"/>
        <v>88.106373324240167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16.323041409458419</v>
      </c>
      <c r="CL120" s="21">
        <f>EXP(-LN(2)/25)*CL119+(1-EXP(-LN(2)/25))/(LN(2)/25)*Calculateur!CG120*Calculateur!CI120*VLOOKUP('Données projet'!$B$12,Paramètres!$A$1:$I$89,3,0)*0.475*44/12</f>
        <v>4.7638611387759759</v>
      </c>
      <c r="CM120" s="21">
        <f>EXP(-LN(2)/2)*CM119+(1-EXP(-LN(2)/2))/(LN(2)/2)*CG120*CJ120*VLOOKUP('Données projet'!$B$12,Paramètres!$A$1:$I$89,3,0)*0.475*44/12</f>
        <v>6.3234972053349908E-8</v>
      </c>
      <c r="CN120" s="22">
        <f t="shared" si="66"/>
        <v>21.086902611469366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-3.4106051316484809E-13</v>
      </c>
      <c r="CU120" s="17">
        <f>CT120*VLOOKUP('Données projet'!$B$13,Paramètres!$A$1:$I$89,3,0)*VLOOKUP('Données projet'!$B$13,Paramètres!$A$1:$I$89,5,0)</f>
        <v>-1.9065282685915009E-13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475.42482703895411</v>
      </c>
      <c r="CZ120" s="59">
        <f t="shared" si="96"/>
        <v>593.51433014569966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111.50362254467018</v>
      </c>
      <c r="DG120" s="21">
        <f>EXP(-LN(2)/25)*DG119+(1-EXP(-LN(2)/25))/(LN(2)/25)*Calculateur!DB120*Calculateur!DD120*VLOOKUP('Données projet'!$B$13,Paramètres!$A$1:$I$89,3,0)*0.475*44/12</f>
        <v>15.313424260641582</v>
      </c>
      <c r="DH120" s="21">
        <f>EXP(-LN(2)/2)*DH119+(1-EXP(-LN(2)/2))/(LN(2)/2)*DB120*DE120*VLOOKUP('Données projet'!$B$13,Paramètres!$A$1:$I$89,3,0)*0.475*44/12</f>
        <v>7.3324842658637501E-7</v>
      </c>
      <c r="DI120" s="22">
        <f t="shared" si="69"/>
        <v>126.81704753856019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6.8888888888888893</v>
      </c>
      <c r="DO120" s="12">
        <f>IF('Données projet'!$A$166&gt;35,DO119+DN120-DW119,IF(A120&lt;'Données projet'!$A$166,$DL$205^A120,IF(A120='Données projet'!$A$166,'Données projet'!$B$166,DO119+DN120-DW119)))</f>
        <v>355.66666666666617</v>
      </c>
      <c r="DP120" s="17">
        <f>DO120*VLOOKUP('Données projet'!$B$14,Paramètres!$A$1:$I$89,3,0)*VLOOKUP('Données projet'!$B$14,Paramètres!$A$1:$I$89,5,0)</f>
        <v>321.80719999999957</v>
      </c>
      <c r="DQ120" s="13">
        <f t="shared" si="97"/>
        <v>75.729253434901665</v>
      </c>
      <c r="DR120" s="20">
        <f t="shared" si="70"/>
        <v>692.37598973245292</v>
      </c>
      <c r="DS120" s="59">
        <f t="shared" si="71"/>
        <v>985.70932306578629</v>
      </c>
      <c r="DT120" s="59">
        <f ca="1">AVERAGE(OFFSET($DS$3,0,0,'Données projet'!$E$14+1,1))-AVERAGE(OFFSET($H$3,0,0,'Données projet'!$E$14+1,1))</f>
        <v>401.17301323870578</v>
      </c>
      <c r="DU120" s="59">
        <f t="shared" si="98"/>
        <v>201.57993789149754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31.57984599329842</v>
      </c>
      <c r="EB120" s="21">
        <f>EXP(-LN(2)/25)*EB119+(1-EXP(-LN(2)/25))/(LN(2)/25)*Calculateur!DW120*Calculateur!DY120*VLOOKUP('Données projet'!$B$14,Paramètres!$A$1:$I$89,3,0)*0.475*44/12</f>
        <v>21.467778382322237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53.047624375620657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1.7053025658242404E-13</v>
      </c>
      <c r="EK120" s="17">
        <f>EJ120*VLOOKUP('Données projet'!$B$15,Paramètres!$A$1:$I$89,3,0)*VLOOKUP('Données projet'!$B$15,Paramètres!$A$1:$I$89,5,0)</f>
        <v>1.4897523215040567E-13</v>
      </c>
      <c r="EL120" s="13">
        <f t="shared" si="99"/>
        <v>2.136562777003313E-12</v>
      </c>
      <c r="EM120" s="20">
        <f t="shared" si="73"/>
        <v>3.9806453659427267E-12</v>
      </c>
      <c r="EN120" s="59">
        <f t="shared" si="74"/>
        <v>293.33333333333729</v>
      </c>
      <c r="EO120" s="59">
        <f ca="1">AVERAGE(OFFSET($EN$3,0,0,'Données projet'!$E$15+1,1))-AVERAGE(OFFSET($H$3,0,0,'Données projet'!$E$15+1,1))</f>
        <v>237.8483058552178</v>
      </c>
      <c r="EP120" s="59">
        <f t="shared" si="100"/>
        <v>313.36201272119723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32.077050205964071</v>
      </c>
      <c r="EW120" s="21">
        <f>EXP(-LN(2)/25)*EW119+(1-EXP(-LN(2)/25))/(LN(2)/25)*Calculateur!ER120*Calculateur!ET120*VLOOKUP('Données projet'!$B$15,Paramètres!$A$1:$I$89,3,0)*0.475*44/12</f>
        <v>1.4411584045537704</v>
      </c>
      <c r="EX120" s="21">
        <f>EXP(-LN(2)/2)*EX119+(1-EXP(-LN(2)/2))/(LN(2)/2)*ER120*EU120*VLOOKUP('Données projet'!$B$15,Paramètres!$A$1:$I$89,3,0)*0.475*44/12</f>
        <v>3.4721087123329293E-6</v>
      </c>
      <c r="EY120" s="22">
        <f t="shared" si="75"/>
        <v>33.518212082626547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-2.8421709430404007E-13</v>
      </c>
      <c r="FF120" s="17">
        <f>FE120*VLOOKUP('Données projet'!$B$16,Paramètres!$A$1:$I$89,3,0)*VLOOKUP('Données projet'!$B$16,Paramètres!$A$1:$I$89,5,0)</f>
        <v>-2.2168933355715128E-13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318.52984981739411</v>
      </c>
      <c r="FK120" s="59">
        <f t="shared" si="102"/>
        <v>311.56398336941714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56.967949985520342</v>
      </c>
      <c r="FR120" s="21">
        <f>EXP(-LN(2)/25)*FR119+(1-EXP(-LN(2)/25))/(LN(2)/25)*Calculateur!FM120*Calculateur!FO120*VLOOKUP('Données projet'!$B$16,Paramètres!$A$1:$I$89,3,0)*0.475*44/12</f>
        <v>1.4387210860962525</v>
      </c>
      <c r="FS120" s="21">
        <f>EXP(-LN(2)/2)*FS119+(1-EXP(-LN(2)/2))/(LN(2)/2)*FM120*FP120*VLOOKUP('Données projet'!$B$16,Paramètres!$A$1:$I$89,3,0)*0.475*44/12</f>
        <v>1.5248077585497738E-4</v>
      </c>
      <c r="FT120" s="22">
        <f t="shared" si="78"/>
        <v>58.406823552392446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-2.8421709430404007E-13</v>
      </c>
      <c r="GA120" s="17">
        <f>FZ120*VLOOKUP('Données projet'!$B$17,Paramètres!$A$1:$I$89,3,0)*VLOOKUP('Données projet'!$B$17,Paramètres!$A$1:$I$89,5,0)</f>
        <v>-2.2612312022829427E-13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325.72928944930294</v>
      </c>
      <c r="GF120" s="59">
        <f t="shared" si="104"/>
        <v>318.38876834819752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71.6206366562147</v>
      </c>
      <c r="GM120" s="21">
        <f>EXP(-LN(2)/25)*GM119+(1-EXP(-LN(2)/25))/(LN(2)/25)*Calculateur!GH120*Calculateur!GJ120*VLOOKUP('Données projet'!$B$17,Paramètres!$A$1:$I$89,3,0)*0.475*44/12</f>
        <v>1.8087735328921715</v>
      </c>
      <c r="GN120" s="21">
        <f>EXP(-LN(2)/2)*GN119+(1-EXP(-LN(2)/2))/(LN(2)/2)*GH120*GK120*VLOOKUP('Données projet'!$B$17,Paramètres!$A$1:$I$89,3,0)*0.475*44/12</f>
        <v>1.555303913720767E-4</v>
      </c>
      <c r="GO120" s="21">
        <f t="shared" si="81"/>
        <v>73.429565719498243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-2.8421709430404007E-13</v>
      </c>
      <c r="GV120" s="17">
        <f>GU120*VLOOKUP('Données projet'!$B$18,Paramètres!$A$1:$I$89,3,0)*VLOOKUP('Données projet'!$B$18,Paramètres!$A$1:$I$89,5,0)</f>
        <v>-1.9065282685915009E-13</v>
      </c>
      <c r="GW120" s="13" t="e">
        <f t="shared" si="105"/>
        <v>#NUM!</v>
      </c>
      <c r="GX120" s="20" t="e">
        <f t="shared" si="82"/>
        <v>#NUM!</v>
      </c>
      <c r="GY120" s="59" t="e">
        <f t="shared" si="83"/>
        <v>#NUM!</v>
      </c>
      <c r="GZ120" s="59">
        <f ca="1">AVERAGE(OFFSET($GY$3,0,0,'Données projet'!$E$18+1,1))-AVERAGE(OFFSET($H$3,0,0,'Données projet'!$E$18+1,1))</f>
        <v>268.04554291387961</v>
      </c>
      <c r="HA120" s="59">
        <f t="shared" si="106"/>
        <v>263.70463099437148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60.386026984651586</v>
      </c>
      <c r="HH120" s="21">
        <f>EXP(-LN(2)/25)*HH119+(1-EXP(-LN(2)/25))/(LN(2)/25)*Calculateur!HC120*Calculateur!HE120*VLOOKUP('Données projet'!$B$18,Paramètres!$A$1:$I$89,3,0)*0.475*44/12</f>
        <v>1.5250443512620295</v>
      </c>
      <c r="HI120" s="21">
        <f>EXP(-LN(2)/2)*HI119+(1-EXP(-LN(2)/2))/(LN(2)/2)*HC120*HF120*VLOOKUP('Données projet'!$B$18,Paramètres!$A$1:$I$89,3,0)*0.475*44/12</f>
        <v>1.3113346723528035E-4</v>
      </c>
      <c r="HJ120" s="22">
        <f t="shared" si="84"/>
        <v>61.911202469380854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-2.5124791136477146E-14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46.095319339746538</v>
      </c>
      <c r="T121" s="59">
        <f t="shared" si="88"/>
        <v>48.158174304064403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28.458249105763699</v>
      </c>
      <c r="AA121" s="21">
        <f>EXP(-LN(2)/25)*AA120+(1-EXP(-LN(2)/25))/(LN(2)/25)*Calculateur!V121*Calculateur!X121*VLOOKUP('Données projet'!$B$9,Paramètres!$A$1:$I$89,3,0)*0.475*44/12</f>
        <v>9.5541138196631401</v>
      </c>
      <c r="AB121" s="21">
        <f>EXP(-LN(2)/2)*AB120+(1-EXP(-LN(2)/2))/(LN(2)/2)*V121*Y121*VLOOKUP('Données projet'!$B$9,Paramètres!$A$1:$I$89,3,0)*0.475*44/12</f>
        <v>2.8167354418814893E-5</v>
      </c>
      <c r="AC121" s="22">
        <f t="shared" si="57"/>
        <v>38.012391092781264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-6.7984728957526396E-14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408.84545509668794</v>
      </c>
      <c r="AO121" s="59">
        <f t="shared" si="90"/>
        <v>409.9253979841132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59.635694480395863</v>
      </c>
      <c r="AV121" s="21">
        <f>EXP(-LN(2)/25)*AV120+(1-EXP(-LN(2)/25))/(LN(2)/25)*Calculateur!AQ121*Calculateur!AS121*VLOOKUP('Données projet'!$B$10,Paramètres!$A$1:$I$89,3,0)*0.475*44/12</f>
        <v>15.27024901463345</v>
      </c>
      <c r="AW121" s="21">
        <f>EXP(-LN(2)/2)*AW120+(1-EXP(-LN(2)/2))/(LN(2)/2)*AQ121*AT121*VLOOKUP('Données projet'!$B$10,Paramètres!$A$1:$I$89,3,0)*0.475*44/12</f>
        <v>1.7485934452881219E-7</v>
      </c>
      <c r="AX121" s="21">
        <f t="shared" si="60"/>
        <v>74.905943669888643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-6.7984728957526396E-14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279.69031306919914</v>
      </c>
      <c r="BJ121" s="59">
        <f t="shared" si="92"/>
        <v>297.01680128882509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54.104910366854519</v>
      </c>
      <c r="BQ121" s="21">
        <f>EXP(-LN(2)/25)*BQ120+(1-EXP(-LN(2)/25))/(LN(2)/25)*Calculateur!BL121*Calculateur!BN121*VLOOKUP('Données projet'!$B$11,Paramètres!$A$1:$I$89,3,0)*0.475*44/12</f>
        <v>17.321051864510352</v>
      </c>
      <c r="BR121" s="21">
        <f>EXP(-LN(2)/2)*BR120+(1-EXP(-LN(2)/2))/(LN(2)/2)*BL121*BO121*VLOOKUP('Données projet'!$B$11,Paramètres!$A$1:$I$89,3,0)*0.475*44/12</f>
        <v>4.0797034301675663E-7</v>
      </c>
      <c r="BS121" s="22">
        <f t="shared" si="63"/>
        <v>71.425962639335225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81.299024916151723</v>
      </c>
      <c r="CE121" s="59">
        <f t="shared" si="94"/>
        <v>88.106373324240167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16.002956523491118</v>
      </c>
      <c r="CL121" s="21">
        <f>EXP(-LN(2)/25)*CL120+(1-EXP(-LN(2)/25))/(LN(2)/25)*Calculateur!CG121*Calculateur!CI121*VLOOKUP('Données projet'!$B$12,Paramètres!$A$1:$I$89,3,0)*0.475*44/12</f>
        <v>4.6335931054155779</v>
      </c>
      <c r="CM121" s="21">
        <f>EXP(-LN(2)/2)*CM120+(1-EXP(-LN(2)/2))/(LN(2)/2)*CG121*CJ121*VLOOKUP('Données projet'!$B$12,Paramètres!$A$1:$I$89,3,0)*0.475*44/12</f>
        <v>4.4713877547065543E-8</v>
      </c>
      <c r="CN121" s="22">
        <f t="shared" si="66"/>
        <v>20.636549673620575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-3.4106051316484809E-13</v>
      </c>
      <c r="CU121" s="17">
        <f>CT121*VLOOKUP('Données projet'!$B$13,Paramètres!$A$1:$I$89,3,0)*VLOOKUP('Données projet'!$B$13,Paramètres!$A$1:$I$89,5,0)</f>
        <v>-1.9065282685915009E-13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475.42482703895411</v>
      </c>
      <c r="CZ121" s="59">
        <f t="shared" si="96"/>
        <v>593.51433014569966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109.31710451706347</v>
      </c>
      <c r="DG121" s="21">
        <f>EXP(-LN(2)/25)*DG120+(1-EXP(-LN(2)/25))/(LN(2)/25)*Calculateur!DB121*Calculateur!DD121*VLOOKUP('Données projet'!$B$13,Paramètres!$A$1:$I$89,3,0)*0.475*44/12</f>
        <v>14.894677868936355</v>
      </c>
      <c r="DH121" s="21">
        <f>EXP(-LN(2)/2)*DH120+(1-EXP(-LN(2)/2))/(LN(2)/2)*DB121*DE121*VLOOKUP('Données projet'!$B$13,Paramètres!$A$1:$I$89,3,0)*0.475*44/12</f>
        <v>5.1848493473359213E-7</v>
      </c>
      <c r="DI121" s="22">
        <f t="shared" si="69"/>
        <v>124.21178290448476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6.8888888888888893</v>
      </c>
      <c r="DO121" s="12">
        <f>IF('Données projet'!$A$166&gt;35,DO120+DN121-DW120,IF(A121&lt;'Données projet'!$A$166,$DL$205^A121,IF(A121='Données projet'!$A$166,'Données projet'!$B$166,DO120+DN121-DW120)))</f>
        <v>362.55555555555509</v>
      </c>
      <c r="DP121" s="17">
        <f>DO121*VLOOKUP('Données projet'!$B$14,Paramètres!$A$1:$I$89,3,0)*VLOOKUP('Données projet'!$B$14,Paramètres!$A$1:$I$89,5,0)</f>
        <v>328.04026666666624</v>
      </c>
      <c r="DQ121" s="13">
        <f t="shared" si="97"/>
        <v>77.023863712411838</v>
      </c>
      <c r="DR121" s="20">
        <f t="shared" si="70"/>
        <v>705.48669374356086</v>
      </c>
      <c r="DS121" s="59">
        <f t="shared" si="71"/>
        <v>998.82002707689412</v>
      </c>
      <c r="DT121" s="59">
        <f ca="1">AVERAGE(OFFSET($DS$3,0,0,'Données projet'!$E$14+1,1))-AVERAGE(OFFSET($H$3,0,0,'Données projet'!$E$14+1,1))</f>
        <v>401.17301323870578</v>
      </c>
      <c r="DU121" s="59">
        <f t="shared" si="98"/>
        <v>201.57993789149754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30.960584475173949</v>
      </c>
      <c r="EB121" s="21">
        <f>EXP(-LN(2)/25)*EB120+(1-EXP(-LN(2)/25))/(LN(2)/25)*Calculateur!DW121*Calculateur!DY121*VLOOKUP('Données projet'!$B$14,Paramètres!$A$1:$I$89,3,0)*0.475*44/12</f>
        <v>20.880740853516237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51.841325328690189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1.7053025658242404E-13</v>
      </c>
      <c r="EK121" s="17">
        <f>EJ121*VLOOKUP('Données projet'!$B$15,Paramètres!$A$1:$I$89,3,0)*VLOOKUP('Données projet'!$B$15,Paramètres!$A$1:$I$89,5,0)</f>
        <v>1.4897523215040567E-13</v>
      </c>
      <c r="EL121" s="13">
        <f t="shared" si="99"/>
        <v>2.136562777003313E-12</v>
      </c>
      <c r="EM121" s="20">
        <f t="shared" si="73"/>
        <v>3.9806453659427267E-12</v>
      </c>
      <c r="EN121" s="59">
        <f t="shared" si="74"/>
        <v>293.33333333333729</v>
      </c>
      <c r="EO121" s="59">
        <f ca="1">AVERAGE(OFFSET($EN$3,0,0,'Données projet'!$E$15+1,1))-AVERAGE(OFFSET($H$3,0,0,'Données projet'!$E$15+1,1))</f>
        <v>237.8483058552178</v>
      </c>
      <c r="EP121" s="59">
        <f t="shared" si="100"/>
        <v>313.36201272119723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31.448038816493849</v>
      </c>
      <c r="EW121" s="21">
        <f>EXP(-LN(2)/25)*EW120+(1-EXP(-LN(2)/25))/(LN(2)/25)*Calculateur!ER121*Calculateur!ET121*VLOOKUP('Données projet'!$B$15,Paramètres!$A$1:$I$89,3,0)*0.475*44/12</f>
        <v>1.4017498521940208</v>
      </c>
      <c r="EX121" s="21">
        <f>EXP(-LN(2)/2)*EX120+(1-EXP(-LN(2)/2))/(LN(2)/2)*ER121*EU121*VLOOKUP('Données projet'!$B$15,Paramètres!$A$1:$I$89,3,0)*0.475*44/12</f>
        <v>2.4551516155075059E-6</v>
      </c>
      <c r="EY121" s="22">
        <f t="shared" si="75"/>
        <v>32.849791123839488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-2.8421709430404007E-13</v>
      </c>
      <c r="FF121" s="17">
        <f>FE121*VLOOKUP('Données projet'!$B$16,Paramètres!$A$1:$I$89,3,0)*VLOOKUP('Données projet'!$B$16,Paramètres!$A$1:$I$89,5,0)</f>
        <v>-2.2168933355715128E-13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318.52984981739411</v>
      </c>
      <c r="FK121" s="59">
        <f t="shared" si="102"/>
        <v>311.56398336941714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55.850843233322799</v>
      </c>
      <c r="FR121" s="21">
        <f>EXP(-LN(2)/25)*FR120+(1-EXP(-LN(2)/25))/(LN(2)/25)*Calculateur!FM121*Calculateur!FO121*VLOOKUP('Données projet'!$B$16,Paramètres!$A$1:$I$89,3,0)*0.475*44/12</f>
        <v>1.3993791823378967</v>
      </c>
      <c r="FS121" s="21">
        <f>EXP(-LN(2)/2)*FS120+(1-EXP(-LN(2)/2))/(LN(2)/2)*FM121*FP121*VLOOKUP('Données projet'!$B$16,Paramètres!$A$1:$I$89,3,0)*0.475*44/12</f>
        <v>1.0782019060764049E-4</v>
      </c>
      <c r="FT121" s="22">
        <f t="shared" si="78"/>
        <v>57.250330235851301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-2.8421709430404007E-13</v>
      </c>
      <c r="GA121" s="17">
        <f>FZ121*VLOOKUP('Données projet'!$B$17,Paramètres!$A$1:$I$89,3,0)*VLOOKUP('Données projet'!$B$17,Paramètres!$A$1:$I$89,5,0)</f>
        <v>-2.2612312022829427E-13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325.72928944930294</v>
      </c>
      <c r="GF121" s="59">
        <f t="shared" si="104"/>
        <v>318.38876834819752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70.216199655661228</v>
      </c>
      <c r="GM121" s="21">
        <f>EXP(-LN(2)/25)*GM120+(1-EXP(-LN(2)/25))/(LN(2)/25)*Calculateur!GH121*Calculateur!GJ121*VLOOKUP('Données projet'!$B$17,Paramètres!$A$1:$I$89,3,0)*0.475*44/12</f>
        <v>1.759312525515969</v>
      </c>
      <c r="GN121" s="21">
        <f>EXP(-LN(2)/2)*GN120+(1-EXP(-LN(2)/2))/(LN(2)/2)*GH121*GK121*VLOOKUP('Données projet'!$B$17,Paramètres!$A$1:$I$89,3,0)*0.475*44/12</f>
        <v>1.0997659441979314E-4</v>
      </c>
      <c r="GO121" s="21">
        <f t="shared" si="81"/>
        <v>71.97562215777161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-2.8421709430404007E-13</v>
      </c>
      <c r="GV121" s="17">
        <f>GU121*VLOOKUP('Données projet'!$B$18,Paramètres!$A$1:$I$89,3,0)*VLOOKUP('Données projet'!$B$18,Paramètres!$A$1:$I$89,5,0)</f>
        <v>-1.9065282685915009E-13</v>
      </c>
      <c r="GW121" s="13" t="e">
        <f t="shared" si="105"/>
        <v>#NUM!</v>
      </c>
      <c r="GX121" s="20" t="e">
        <f t="shared" si="82"/>
        <v>#NUM!</v>
      </c>
      <c r="GY121" s="59" t="e">
        <f t="shared" si="83"/>
        <v>#NUM!</v>
      </c>
      <c r="GZ121" s="59">
        <f ca="1">AVERAGE(OFFSET($GY$3,0,0,'Données projet'!$E$18+1,1))-AVERAGE(OFFSET($H$3,0,0,'Données projet'!$E$18+1,1))</f>
        <v>268.04554291387961</v>
      </c>
      <c r="HA121" s="59">
        <f t="shared" si="106"/>
        <v>263.70463099437148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59.201893827322188</v>
      </c>
      <c r="HH121" s="21">
        <f>EXP(-LN(2)/25)*HH120+(1-EXP(-LN(2)/25))/(LN(2)/25)*Calculateur!HC121*Calculateur!HE121*VLOOKUP('Données projet'!$B$18,Paramètres!$A$1:$I$89,3,0)*0.475*44/12</f>
        <v>1.4833419332781725</v>
      </c>
      <c r="HI121" s="21">
        <f>EXP(-LN(2)/2)*HI120+(1-EXP(-LN(2)/2))/(LN(2)/2)*HC121*HF121*VLOOKUP('Données projet'!$B$18,Paramètres!$A$1:$I$89,3,0)*0.475*44/12</f>
        <v>9.2725363922570685E-5</v>
      </c>
      <c r="HJ121" s="22">
        <f t="shared" si="84"/>
        <v>60.685328485964284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-2.5124791136477146E-14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46.095319339746538</v>
      </c>
      <c r="T122" s="59">
        <f t="shared" si="88"/>
        <v>48.158174304064403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27.900200198617686</v>
      </c>
      <c r="AA122" s="21">
        <f>EXP(-LN(2)/25)*AA121+(1-EXP(-LN(2)/25))/(LN(2)/25)*Calculateur!V122*Calculateur!X122*VLOOKUP('Données projet'!$B$9,Paramètres!$A$1:$I$89,3,0)*0.475*44/12</f>
        <v>9.2928560748354414</v>
      </c>
      <c r="AB122" s="21">
        <f>EXP(-LN(2)/2)*AB121+(1-EXP(-LN(2)/2))/(LN(2)/2)*V122*Y122*VLOOKUP('Données projet'!$B$9,Paramètres!$A$1:$I$89,3,0)*0.475*44/12</f>
        <v>1.9917327317628875E-5</v>
      </c>
      <c r="AC122" s="22">
        <f t="shared" si="57"/>
        <v>37.193076190780438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-6.7984728957526396E-14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408.84545509668794</v>
      </c>
      <c r="AO122" s="59">
        <f t="shared" si="90"/>
        <v>409.9253979841132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58.466274885817278</v>
      </c>
      <c r="AV122" s="21">
        <f>EXP(-LN(2)/25)*AV121+(1-EXP(-LN(2)/25))/(LN(2)/25)*Calculateur!AQ122*Calculateur!AS122*VLOOKUP('Données projet'!$B$10,Paramètres!$A$1:$I$89,3,0)*0.475*44/12</f>
        <v>14.852683252300803</v>
      </c>
      <c r="AW122" s="21">
        <f>EXP(-LN(2)/2)*AW121+(1-EXP(-LN(2)/2))/(LN(2)/2)*AQ122*AT122*VLOOKUP('Données projet'!$B$10,Paramètres!$A$1:$I$89,3,0)*0.475*44/12</f>
        <v>1.2364422827015793E-7</v>
      </c>
      <c r="AX122" s="21">
        <f t="shared" si="60"/>
        <v>73.318958261762305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-6.7984728957526396E-14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279.69031306919914</v>
      </c>
      <c r="BJ122" s="59">
        <f t="shared" si="92"/>
        <v>297.01680128882509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53.043946075297271</v>
      </c>
      <c r="BQ122" s="21">
        <f>EXP(-LN(2)/25)*BQ121+(1-EXP(-LN(2)/25))/(LN(2)/25)*Calculateur!BL122*Calculateur!BN122*VLOOKUP('Données projet'!$B$11,Paramètres!$A$1:$I$89,3,0)*0.475*44/12</f>
        <v>16.847406790400786</v>
      </c>
      <c r="BR122" s="21">
        <f>EXP(-LN(2)/2)*BR121+(1-EXP(-LN(2)/2))/(LN(2)/2)*BL122*BO122*VLOOKUP('Données projet'!$B$11,Paramètres!$A$1:$I$89,3,0)*0.475*44/12</f>
        <v>2.8847859607015046E-7</v>
      </c>
      <c r="BS122" s="22">
        <f t="shared" si="63"/>
        <v>69.891353154176656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81.299024916151723</v>
      </c>
      <c r="CE122" s="59">
        <f t="shared" si="94"/>
        <v>88.106373324240167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15.689148306905134</v>
      </c>
      <c r="CL122" s="21">
        <f>EXP(-LN(2)/25)*CL121+(1-EXP(-LN(2)/25))/(LN(2)/25)*Calculateur!CG122*Calculateur!CI122*VLOOKUP('Données projet'!$B$12,Paramètres!$A$1:$I$89,3,0)*0.475*44/12</f>
        <v>4.506887258277918</v>
      </c>
      <c r="CM122" s="21">
        <f>EXP(-LN(2)/2)*CM121+(1-EXP(-LN(2)/2))/(LN(2)/2)*CG122*CJ122*VLOOKUP('Données projet'!$B$12,Paramètres!$A$1:$I$89,3,0)*0.475*44/12</f>
        <v>3.1617486026674954E-8</v>
      </c>
      <c r="CN122" s="22">
        <f t="shared" si="66"/>
        <v>20.196035596800538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-3.4106051316484809E-13</v>
      </c>
      <c r="CU122" s="17">
        <f>CT122*VLOOKUP('Données projet'!$B$13,Paramètres!$A$1:$I$89,3,0)*VLOOKUP('Données projet'!$B$13,Paramètres!$A$1:$I$89,5,0)</f>
        <v>-1.9065282685915009E-13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475.42482703895411</v>
      </c>
      <c r="CZ122" s="59">
        <f t="shared" si="96"/>
        <v>593.51433014569966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107.17346277433381</v>
      </c>
      <c r="DG122" s="21">
        <f>EXP(-LN(2)/25)*DG121+(1-EXP(-LN(2)/25))/(LN(2)/25)*Calculateur!DB122*Calculateur!DD122*VLOOKUP('Données projet'!$B$13,Paramètres!$A$1:$I$89,3,0)*0.475*44/12</f>
        <v>14.487382119333224</v>
      </c>
      <c r="DH122" s="21">
        <f>EXP(-LN(2)/2)*DH121+(1-EXP(-LN(2)/2))/(LN(2)/2)*DB122*DE122*VLOOKUP('Données projet'!$B$13,Paramètres!$A$1:$I$89,3,0)*0.475*44/12</f>
        <v>3.666242132931875E-7</v>
      </c>
      <c r="DI122" s="22">
        <f t="shared" si="69"/>
        <v>121.66084526029124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6.8888888888888893</v>
      </c>
      <c r="DO122" s="12">
        <f>IF('Données projet'!$A$166&gt;35,DO121+DN122-DW121,IF(A122&lt;'Données projet'!$A$166,$DL$205^A122,IF(A122='Données projet'!$A$166,'Données projet'!$B$166,DO121+DN122-DW121)))</f>
        <v>369.444444444444</v>
      </c>
      <c r="DP122" s="17">
        <f>DO122*VLOOKUP('Données projet'!$B$14,Paramètres!$A$1:$I$89,3,0)*VLOOKUP('Données projet'!$B$14,Paramètres!$A$1:$I$89,5,0)</f>
        <v>334.27333333333291</v>
      </c>
      <c r="DQ122" s="13">
        <f t="shared" si="97"/>
        <v>78.315613673397451</v>
      </c>
      <c r="DR122" s="20">
        <f t="shared" si="70"/>
        <v>718.59241603672206</v>
      </c>
      <c r="DS122" s="59">
        <f t="shared" si="71"/>
        <v>1011.9257493700554</v>
      </c>
      <c r="DT122" s="59">
        <f ca="1">AVERAGE(OFFSET($DS$3,0,0,'Données projet'!$E$14+1,1))-AVERAGE(OFFSET($H$3,0,0,'Données projet'!$E$14+1,1))</f>
        <v>401.17301323870578</v>
      </c>
      <c r="DU122" s="59">
        <f t="shared" si="98"/>
        <v>201.57993789149754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30.353466297707669</v>
      </c>
      <c r="EB122" s="21">
        <f>EXP(-LN(2)/25)*EB121+(1-EXP(-LN(2)/25))/(LN(2)/25)*Calculateur!DW122*Calculateur!DY122*VLOOKUP('Données projet'!$B$14,Paramètres!$A$1:$I$89,3,0)*0.475*44/12</f>
        <v>20.309755896806397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50.663222194514063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1.7053025658242404E-13</v>
      </c>
      <c r="EK122" s="17">
        <f>EJ122*VLOOKUP('Données projet'!$B$15,Paramètres!$A$1:$I$89,3,0)*VLOOKUP('Données projet'!$B$15,Paramètres!$A$1:$I$89,5,0)</f>
        <v>1.4897523215040567E-13</v>
      </c>
      <c r="EL122" s="13">
        <f t="shared" si="99"/>
        <v>2.136562777003313E-12</v>
      </c>
      <c r="EM122" s="20">
        <f t="shared" si="73"/>
        <v>3.9806453659427267E-12</v>
      </c>
      <c r="EN122" s="59">
        <f t="shared" si="74"/>
        <v>293.33333333333729</v>
      </c>
      <c r="EO122" s="59">
        <f ca="1">AVERAGE(OFFSET($EN$3,0,0,'Données projet'!$E$15+1,1))-AVERAGE(OFFSET($H$3,0,0,'Données projet'!$E$15+1,1))</f>
        <v>237.8483058552178</v>
      </c>
      <c r="EP122" s="59">
        <f t="shared" si="100"/>
        <v>313.36201272119723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30.831361956712076</v>
      </c>
      <c r="EW122" s="21">
        <f>EXP(-LN(2)/25)*EW121+(1-EXP(-LN(2)/25))/(LN(2)/25)*Calculateur!ER122*Calculateur!ET122*VLOOKUP('Données projet'!$B$15,Paramètres!$A$1:$I$89,3,0)*0.475*44/12</f>
        <v>1.3634189287709544</v>
      </c>
      <c r="EX122" s="21">
        <f>EXP(-LN(2)/2)*EX121+(1-EXP(-LN(2)/2))/(LN(2)/2)*ER122*EU122*VLOOKUP('Données projet'!$B$15,Paramètres!$A$1:$I$89,3,0)*0.475*44/12</f>
        <v>1.7360543561664646E-6</v>
      </c>
      <c r="EY122" s="22">
        <f t="shared" si="75"/>
        <v>32.194782621537385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-2.8421709430404007E-13</v>
      </c>
      <c r="FF122" s="17">
        <f>FE122*VLOOKUP('Données projet'!$B$16,Paramètres!$A$1:$I$89,3,0)*VLOOKUP('Données projet'!$B$16,Paramètres!$A$1:$I$89,5,0)</f>
        <v>-2.2168933355715128E-13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318.52984981739411</v>
      </c>
      <c r="FK122" s="59">
        <f t="shared" si="102"/>
        <v>311.56398336941714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54.755642263168006</v>
      </c>
      <c r="FR122" s="21">
        <f>EXP(-LN(2)/25)*FR121+(1-EXP(-LN(2)/25))/(LN(2)/25)*Calculateur!FM122*Calculateur!FO122*VLOOKUP('Données projet'!$B$16,Paramètres!$A$1:$I$89,3,0)*0.475*44/12</f>
        <v>1.3611130850067141</v>
      </c>
      <c r="FS122" s="21">
        <f>EXP(-LN(2)/2)*FS121+(1-EXP(-LN(2)/2))/(LN(2)/2)*FM122*FP122*VLOOKUP('Données projet'!$B$16,Paramètres!$A$1:$I$89,3,0)*0.475*44/12</f>
        <v>7.6240387927488691E-5</v>
      </c>
      <c r="FT122" s="22">
        <f t="shared" si="78"/>
        <v>56.116831588562647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-2.8421709430404007E-13</v>
      </c>
      <c r="GA122" s="17">
        <f>FZ122*VLOOKUP('Données projet'!$B$17,Paramètres!$A$1:$I$89,3,0)*VLOOKUP('Données projet'!$B$17,Paramètres!$A$1:$I$89,5,0)</f>
        <v>-2.2612312022829427E-13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325.72928944930294</v>
      </c>
      <c r="GF122" s="59">
        <f t="shared" si="104"/>
        <v>318.38876834819752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68.83930280806662</v>
      </c>
      <c r="GM122" s="21">
        <f>EXP(-LN(2)/25)*GM121+(1-EXP(-LN(2)/25))/(LN(2)/25)*Calculateur!GH122*Calculateur!GJ122*VLOOKUP('Données projet'!$B$17,Paramètres!$A$1:$I$89,3,0)*0.475*44/12</f>
        <v>1.7112040319875099</v>
      </c>
      <c r="GN122" s="21">
        <f>EXP(-LN(2)/2)*GN121+(1-EXP(-LN(2)/2))/(LN(2)/2)*GH122*GK122*VLOOKUP('Données projet'!$B$17,Paramètres!$A$1:$I$89,3,0)*0.475*44/12</f>
        <v>7.7765195686038349E-5</v>
      </c>
      <c r="GO122" s="21">
        <f t="shared" si="81"/>
        <v>70.55058460524981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-2.8421709430404007E-13</v>
      </c>
      <c r="GV122" s="17">
        <f>GU122*VLOOKUP('Données projet'!$B$18,Paramètres!$A$1:$I$89,3,0)*VLOOKUP('Données projet'!$B$18,Paramètres!$A$1:$I$89,5,0)</f>
        <v>-1.9065282685915009E-13</v>
      </c>
      <c r="GW122" s="13" t="e">
        <f t="shared" si="105"/>
        <v>#NUM!</v>
      </c>
      <c r="GX122" s="20" t="e">
        <f t="shared" si="82"/>
        <v>#NUM!</v>
      </c>
      <c r="GY122" s="59" t="e">
        <f t="shared" si="83"/>
        <v>#NUM!</v>
      </c>
      <c r="GZ122" s="59">
        <f ca="1">AVERAGE(OFFSET($GY$3,0,0,'Données projet'!$E$18+1,1))-AVERAGE(OFFSET($H$3,0,0,'Données projet'!$E$18+1,1))</f>
        <v>268.04554291387961</v>
      </c>
      <c r="HA122" s="59">
        <f t="shared" si="106"/>
        <v>263.70463099437148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58.04098079895811</v>
      </c>
      <c r="HH122" s="21">
        <f>EXP(-LN(2)/25)*HH121+(1-EXP(-LN(2)/25))/(LN(2)/25)*Calculateur!HC122*Calculateur!HE122*VLOOKUP('Données projet'!$B$18,Paramètres!$A$1:$I$89,3,0)*0.475*44/12</f>
        <v>1.4427798701071188</v>
      </c>
      <c r="HI122" s="21">
        <f>EXP(-LN(2)/2)*HI121+(1-EXP(-LN(2)/2))/(LN(2)/2)*HC122*HF122*VLOOKUP('Données projet'!$B$18,Paramètres!$A$1:$I$89,3,0)*0.475*44/12</f>
        <v>6.5566733617640176E-5</v>
      </c>
      <c r="HJ122" s="22">
        <f t="shared" si="84"/>
        <v>59.483826235798844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-2.5124791136477146E-14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46.095319339746538</v>
      </c>
      <c r="T123" s="59">
        <f t="shared" si="88"/>
        <v>48.158174304064403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27.353094290164581</v>
      </c>
      <c r="AA123" s="21">
        <f>EXP(-LN(2)/25)*AA122+(1-EXP(-LN(2)/25))/(LN(2)/25)*Calculateur!V123*Calculateur!X123*VLOOKUP('Données projet'!$B$9,Paramètres!$A$1:$I$89,3,0)*0.475*44/12</f>
        <v>9.038742436779005</v>
      </c>
      <c r="AB123" s="21">
        <f>EXP(-LN(2)/2)*AB122+(1-EXP(-LN(2)/2))/(LN(2)/2)*V123*Y123*VLOOKUP('Données projet'!$B$9,Paramètres!$A$1:$I$89,3,0)*0.475*44/12</f>
        <v>1.4083677209407447E-5</v>
      </c>
      <c r="AC123" s="22">
        <f t="shared" si="57"/>
        <v>36.391850810620795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-6.7984728957526396E-14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408.84545509668794</v>
      </c>
      <c r="AO123" s="59">
        <f t="shared" si="90"/>
        <v>409.9253979841132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57.319786896212861</v>
      </c>
      <c r="AV123" s="21">
        <f>EXP(-LN(2)/25)*AV122+(1-EXP(-LN(2)/25))/(LN(2)/25)*Calculateur!AQ123*Calculateur!AS123*VLOOKUP('Données projet'!$B$10,Paramètres!$A$1:$I$89,3,0)*0.475*44/12</f>
        <v>14.446535847697971</v>
      </c>
      <c r="AW123" s="21">
        <f>EXP(-LN(2)/2)*AW122+(1-EXP(-LN(2)/2))/(LN(2)/2)*AQ123*AT123*VLOOKUP('Données projet'!$B$10,Paramètres!$A$1:$I$89,3,0)*0.475*44/12</f>
        <v>8.7429672264406096E-8</v>
      </c>
      <c r="AX123" s="21">
        <f t="shared" si="60"/>
        <v>71.766322831340503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-6.7984728957526396E-14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279.69031306919914</v>
      </c>
      <c r="BJ123" s="59">
        <f t="shared" si="92"/>
        <v>297.01680128882509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52.003786646373143</v>
      </c>
      <c r="BQ123" s="21">
        <f>EXP(-LN(2)/25)*BQ122+(1-EXP(-LN(2)/25))/(LN(2)/25)*Calculateur!BL123*Calculateur!BN123*VLOOKUP('Données projet'!$B$11,Paramètres!$A$1:$I$89,3,0)*0.475*44/12</f>
        <v>16.386713565750657</v>
      </c>
      <c r="BR123" s="21">
        <f>EXP(-LN(2)/2)*BR122+(1-EXP(-LN(2)/2))/(LN(2)/2)*BL123*BO123*VLOOKUP('Données projet'!$B$11,Paramètres!$A$1:$I$89,3,0)*0.475*44/12</f>
        <v>2.0398517150837832E-7</v>
      </c>
      <c r="BS123" s="22">
        <f t="shared" si="63"/>
        <v>68.390500416108964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81.299024916151723</v>
      </c>
      <c r="CE123" s="59">
        <f t="shared" si="94"/>
        <v>88.106373324240167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15.381493678042288</v>
      </c>
      <c r="CL123" s="21">
        <f>EXP(-LN(2)/25)*CL122+(1-EXP(-LN(2)/25))/(LN(2)/25)*Calculateur!CG123*Calculateur!CI123*VLOOKUP('Données projet'!$B$12,Paramètres!$A$1:$I$89,3,0)*0.475*44/12</f>
        <v>4.3836461891934082</v>
      </c>
      <c r="CM123" s="21">
        <f>EXP(-LN(2)/2)*CM122+(1-EXP(-LN(2)/2))/(LN(2)/2)*CG123*CJ123*VLOOKUP('Données projet'!$B$12,Paramètres!$A$1:$I$89,3,0)*0.475*44/12</f>
        <v>2.2356938773532771E-8</v>
      </c>
      <c r="CN123" s="22">
        <f t="shared" si="66"/>
        <v>19.765139889592636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-3.4106051316484809E-13</v>
      </c>
      <c r="CU123" s="17">
        <f>CT123*VLOOKUP('Données projet'!$B$13,Paramètres!$A$1:$I$89,3,0)*VLOOKUP('Données projet'!$B$13,Paramètres!$A$1:$I$89,5,0)</f>
        <v>-1.9065282685915009E-13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475.42482703895411</v>
      </c>
      <c r="CZ123" s="59">
        <f t="shared" si="96"/>
        <v>593.51433014569966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105.07185653868673</v>
      </c>
      <c r="DG123" s="21">
        <f>EXP(-LN(2)/25)*DG122+(1-EXP(-LN(2)/25))/(LN(2)/25)*Calculateur!DB123*Calculateur!DD123*VLOOKUP('Données projet'!$B$13,Paramètres!$A$1:$I$89,3,0)*0.475*44/12</f>
        <v>14.091223893421743</v>
      </c>
      <c r="DH123" s="21">
        <f>EXP(-LN(2)/2)*DH122+(1-EXP(-LN(2)/2))/(LN(2)/2)*DB123*DE123*VLOOKUP('Données projet'!$B$13,Paramètres!$A$1:$I$89,3,0)*0.475*44/12</f>
        <v>2.5924246736679606E-7</v>
      </c>
      <c r="DI123" s="22">
        <f t="shared" si="69"/>
        <v>119.16308069135094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6.8888888888888893</v>
      </c>
      <c r="DO123" s="12">
        <f>IF('Données projet'!$A$166&gt;35,DO122+DN123-DW122,IF(A123&lt;'Données projet'!$A$166,$DL$205^A123,IF(A123='Données projet'!$A$166,'Données projet'!$B$166,DO122+DN123-DW122)))</f>
        <v>376.33333333333292</v>
      </c>
      <c r="DP123" s="17">
        <f>DO123*VLOOKUP('Données projet'!$B$14,Paramètres!$A$1:$I$89,3,0)*VLOOKUP('Données projet'!$B$14,Paramètres!$A$1:$I$89,5,0)</f>
        <v>340.50639999999964</v>
      </c>
      <c r="DQ123" s="13">
        <f t="shared" si="97"/>
        <v>79.604562803685241</v>
      </c>
      <c r="DR123" s="20">
        <f t="shared" si="70"/>
        <v>731.6932602164178</v>
      </c>
      <c r="DS123" s="59">
        <f t="shared" si="71"/>
        <v>1025.0265935497512</v>
      </c>
      <c r="DT123" s="59">
        <f ca="1">AVERAGE(OFFSET($DS$3,0,0,'Données projet'!$E$14+1,1))-AVERAGE(OFFSET($H$3,0,0,'Données projet'!$E$14+1,1))</f>
        <v>401.17301323870578</v>
      </c>
      <c r="DU123" s="59">
        <f t="shared" si="98"/>
        <v>201.57993789149754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29.758253337395978</v>
      </c>
      <c r="EB123" s="21">
        <f>EXP(-LN(2)/25)*EB122+(1-EXP(-LN(2)/25))/(LN(2)/25)*Calculateur!DW123*Calculateur!DY123*VLOOKUP('Données projet'!$B$14,Paramètres!$A$1:$I$89,3,0)*0.475*44/12</f>
        <v>19.754384553764581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49.512637891160558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1.7053025658242404E-13</v>
      </c>
      <c r="EK123" s="17">
        <f>EJ123*VLOOKUP('Données projet'!$B$15,Paramètres!$A$1:$I$89,3,0)*VLOOKUP('Données projet'!$B$15,Paramètres!$A$1:$I$89,5,0)</f>
        <v>1.4897523215040567E-13</v>
      </c>
      <c r="EL123" s="13">
        <f t="shared" si="99"/>
        <v>2.136562777003313E-12</v>
      </c>
      <c r="EM123" s="20">
        <f t="shared" si="73"/>
        <v>3.9806453659427267E-12</v>
      </c>
      <c r="EN123" s="59">
        <f t="shared" si="74"/>
        <v>293.33333333333729</v>
      </c>
      <c r="EO123" s="59">
        <f ca="1">AVERAGE(OFFSET($EN$3,0,0,'Données projet'!$E$15+1,1))-AVERAGE(OFFSET($H$3,0,0,'Données projet'!$E$15+1,1))</f>
        <v>237.8483058552178</v>
      </c>
      <c r="EP123" s="59">
        <f t="shared" si="100"/>
        <v>313.36201272119723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30.226777754014879</v>
      </c>
      <c r="EW123" s="21">
        <f>EXP(-LN(2)/25)*EW122+(1-EXP(-LN(2)/25))/(LN(2)/25)*Calculateur!ER123*Calculateur!ET123*VLOOKUP('Données projet'!$B$15,Paramètres!$A$1:$I$89,3,0)*0.475*44/12</f>
        <v>1.3261361664646274</v>
      </c>
      <c r="EX123" s="21">
        <f>EXP(-LN(2)/2)*EX122+(1-EXP(-LN(2)/2))/(LN(2)/2)*ER123*EU123*VLOOKUP('Données projet'!$B$15,Paramètres!$A$1:$I$89,3,0)*0.475*44/12</f>
        <v>1.2275758077537529E-6</v>
      </c>
      <c r="EY123" s="22">
        <f t="shared" si="75"/>
        <v>31.552915148055316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-2.8421709430404007E-13</v>
      </c>
      <c r="FF123" s="17">
        <f>FE123*VLOOKUP('Données projet'!$B$16,Paramètres!$A$1:$I$89,3,0)*VLOOKUP('Données projet'!$B$16,Paramètres!$A$1:$I$89,5,0)</f>
        <v>-2.2168933355715128E-13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318.52984981739411</v>
      </c>
      <c r="FK123" s="59">
        <f t="shared" si="102"/>
        <v>311.56398336941714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53.681917516031319</v>
      </c>
      <c r="FR123" s="21">
        <f>EXP(-LN(2)/25)*FR122+(1-EXP(-LN(2)/25))/(LN(2)/25)*Calculateur!FM123*Calculateur!FO123*VLOOKUP('Données projet'!$B$16,Paramètres!$A$1:$I$89,3,0)*0.475*44/12</f>
        <v>1.3238933761193792</v>
      </c>
      <c r="FS123" s="21">
        <f>EXP(-LN(2)/2)*FS122+(1-EXP(-LN(2)/2))/(LN(2)/2)*FM123*FP123*VLOOKUP('Données projet'!$B$16,Paramètres!$A$1:$I$89,3,0)*0.475*44/12</f>
        <v>5.3910095303820246E-5</v>
      </c>
      <c r="FT123" s="22">
        <f t="shared" si="78"/>
        <v>55.005864802246002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-2.8421709430404007E-13</v>
      </c>
      <c r="GA123" s="17">
        <f>FZ123*VLOOKUP('Données projet'!$B$17,Paramètres!$A$1:$I$89,3,0)*VLOOKUP('Données projet'!$B$17,Paramètres!$A$1:$I$89,5,0)</f>
        <v>-2.2612312022829427E-13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325.72928944930294</v>
      </c>
      <c r="GF123" s="59">
        <f t="shared" si="104"/>
        <v>318.38876834819752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67.489406067829194</v>
      </c>
      <c r="GM123" s="21">
        <f>EXP(-LN(2)/25)*GM122+(1-EXP(-LN(2)/25))/(LN(2)/25)*Calculateur!GH123*Calculateur!GJ123*VLOOKUP('Données projet'!$B$17,Paramètres!$A$1:$I$89,3,0)*0.475*44/12</f>
        <v>1.6644110677445025</v>
      </c>
      <c r="GN123" s="21">
        <f>EXP(-LN(2)/2)*GN122+(1-EXP(-LN(2)/2))/(LN(2)/2)*GH123*GK123*VLOOKUP('Données projet'!$B$17,Paramètres!$A$1:$I$89,3,0)*0.475*44/12</f>
        <v>5.4988297209896569E-5</v>
      </c>
      <c r="GO123" s="21">
        <f t="shared" si="81"/>
        <v>69.153872123870897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-2.8421709430404007E-13</v>
      </c>
      <c r="GV123" s="17">
        <f>GU123*VLOOKUP('Données projet'!$B$18,Paramètres!$A$1:$I$89,3,0)*VLOOKUP('Données projet'!$B$18,Paramètres!$A$1:$I$89,5,0)</f>
        <v>-1.9065282685915009E-13</v>
      </c>
      <c r="GW123" s="13" t="e">
        <f t="shared" si="105"/>
        <v>#NUM!</v>
      </c>
      <c r="GX123" s="20" t="e">
        <f t="shared" si="82"/>
        <v>#NUM!</v>
      </c>
      <c r="GY123" s="59" t="e">
        <f t="shared" si="83"/>
        <v>#NUM!</v>
      </c>
      <c r="GZ123" s="59">
        <f ca="1">AVERAGE(OFFSET($GY$3,0,0,'Données projet'!$E$18+1,1))-AVERAGE(OFFSET($H$3,0,0,'Données projet'!$E$18+1,1))</f>
        <v>268.04554291387961</v>
      </c>
      <c r="HA123" s="59">
        <f t="shared" si="106"/>
        <v>263.70463099437148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56.902832566993219</v>
      </c>
      <c r="HH123" s="21">
        <f>EXP(-LN(2)/25)*HH122+(1-EXP(-LN(2)/25))/(LN(2)/25)*Calculateur!HC123*Calculateur!HE123*VLOOKUP('Données projet'!$B$18,Paramètres!$A$1:$I$89,3,0)*0.475*44/12</f>
        <v>1.4033269786865439</v>
      </c>
      <c r="HI123" s="21">
        <f>EXP(-LN(2)/2)*HI122+(1-EXP(-LN(2)/2))/(LN(2)/2)*HC123*HF123*VLOOKUP('Données projet'!$B$18,Paramètres!$A$1:$I$89,3,0)*0.475*44/12</f>
        <v>4.6362681961285343E-5</v>
      </c>
      <c r="HJ123" s="22">
        <f t="shared" si="84"/>
        <v>58.306205908361726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-2.5124791136477146E-14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46.095319339746538</v>
      </c>
      <c r="T124" s="59">
        <f t="shared" si="88"/>
        <v>48.158174304064403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26.816716794874587</v>
      </c>
      <c r="AA124" s="21">
        <f>EXP(-LN(2)/25)*AA123+(1-EXP(-LN(2)/25))/(LN(2)/25)*Calculateur!V124*Calculateur!X124*VLOOKUP('Données projet'!$B$9,Paramètres!$A$1:$I$89,3,0)*0.475*44/12</f>
        <v>8.7915775495184771</v>
      </c>
      <c r="AB124" s="21">
        <f>EXP(-LN(2)/2)*AB123+(1-EXP(-LN(2)/2))/(LN(2)/2)*V124*Y124*VLOOKUP('Données projet'!$B$9,Paramètres!$A$1:$I$89,3,0)*0.475*44/12</f>
        <v>9.9586636588144376E-6</v>
      </c>
      <c r="AC124" s="22">
        <f t="shared" si="57"/>
        <v>35.608304303056727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-6.7984728957526396E-14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408.84545509668794</v>
      </c>
      <c r="AO124" s="59">
        <f t="shared" si="90"/>
        <v>409.9253979841132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56.195780836795961</v>
      </c>
      <c r="AV124" s="21">
        <f>EXP(-LN(2)/25)*AV123+(1-EXP(-LN(2)/25))/(LN(2)/25)*Calculateur!AQ124*Calculateur!AS124*VLOOKUP('Données projet'!$B$10,Paramètres!$A$1:$I$89,3,0)*0.475*44/12</f>
        <v>14.051494565232368</v>
      </c>
      <c r="AW124" s="21">
        <f>EXP(-LN(2)/2)*AW123+(1-EXP(-LN(2)/2))/(LN(2)/2)*AQ124*AT124*VLOOKUP('Données projet'!$B$10,Paramètres!$A$1:$I$89,3,0)*0.475*44/12</f>
        <v>6.1822114135078964E-8</v>
      </c>
      <c r="AX124" s="21">
        <f t="shared" si="60"/>
        <v>70.247275463850443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-6.7984728957526396E-14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279.69031306919914</v>
      </c>
      <c r="BJ124" s="59">
        <f t="shared" si="92"/>
        <v>297.01680128882509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50.984024109415614</v>
      </c>
      <c r="BQ124" s="21">
        <f>EXP(-LN(2)/25)*BQ123+(1-EXP(-LN(2)/25))/(LN(2)/25)*Calculateur!BL124*Calculateur!BN124*VLOOKUP('Données projet'!$B$11,Paramètres!$A$1:$I$89,3,0)*0.475*44/12</f>
        <v>15.938618021555392</v>
      </c>
      <c r="BR124" s="21">
        <f>EXP(-LN(2)/2)*BR123+(1-EXP(-LN(2)/2))/(LN(2)/2)*BL124*BO124*VLOOKUP('Données projet'!$B$11,Paramètres!$A$1:$I$89,3,0)*0.475*44/12</f>
        <v>1.4423929803507523E-7</v>
      </c>
      <c r="BS124" s="22">
        <f t="shared" si="63"/>
        <v>66.922642275210308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81.299024916151723</v>
      </c>
      <c r="CE124" s="59">
        <f t="shared" si="94"/>
        <v>88.106373324240167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15.079871968800648</v>
      </c>
      <c r="CL124" s="21">
        <f>EXP(-LN(2)/25)*CL123+(1-EXP(-LN(2)/25))/(LN(2)/25)*Calculateur!CG124*Calculateur!CI124*VLOOKUP('Données projet'!$B$12,Paramètres!$A$1:$I$89,3,0)*0.475*44/12</f>
        <v>4.2637751536239801</v>
      </c>
      <c r="CM124" s="21">
        <f>EXP(-LN(2)/2)*CM123+(1-EXP(-LN(2)/2))/(LN(2)/2)*CG124*CJ124*VLOOKUP('Données projet'!$B$12,Paramètres!$A$1:$I$89,3,0)*0.475*44/12</f>
        <v>1.5808743013337477E-8</v>
      </c>
      <c r="CN124" s="22">
        <f t="shared" si="66"/>
        <v>19.343647138233372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-3.4106051316484809E-13</v>
      </c>
      <c r="CU124" s="17">
        <f>CT124*VLOOKUP('Données projet'!$B$13,Paramètres!$A$1:$I$89,3,0)*VLOOKUP('Données projet'!$B$13,Paramètres!$A$1:$I$89,5,0)</f>
        <v>-1.9065282685915009E-13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475.42482703895411</v>
      </c>
      <c r="CZ124" s="59">
        <f t="shared" si="96"/>
        <v>593.51433014569966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103.01146151946746</v>
      </c>
      <c r="DG124" s="21">
        <f>EXP(-LN(2)/25)*DG123+(1-EXP(-LN(2)/25))/(LN(2)/25)*Calculateur!DB124*Calculateur!DD124*VLOOKUP('Données projet'!$B$13,Paramètres!$A$1:$I$89,3,0)*0.475*44/12</f>
        <v>13.705898635030866</v>
      </c>
      <c r="DH124" s="21">
        <f>EXP(-LN(2)/2)*DH123+(1-EXP(-LN(2)/2))/(LN(2)/2)*DB124*DE124*VLOOKUP('Données projet'!$B$13,Paramètres!$A$1:$I$89,3,0)*0.475*44/12</f>
        <v>1.8331210664659375E-7</v>
      </c>
      <c r="DI124" s="22">
        <f t="shared" si="69"/>
        <v>116.71736033781043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6.8888888888888893</v>
      </c>
      <c r="DO124" s="12">
        <f>IF('Données projet'!$A$166&gt;35,DO123+DN124-DW123,IF(A124&lt;'Données projet'!$A$166,$DL$205^A124,IF(A124='Données projet'!$A$166,'Données projet'!$B$166,DO123+DN124-DW123)))</f>
        <v>383.22222222222183</v>
      </c>
      <c r="DP124" s="17">
        <f>DO124*VLOOKUP('Données projet'!$B$14,Paramètres!$A$1:$I$89,3,0)*VLOOKUP('Données projet'!$B$14,Paramètres!$A$1:$I$89,5,0)</f>
        <v>346.73946666666632</v>
      </c>
      <c r="DQ124" s="13">
        <f t="shared" si="97"/>
        <v>80.890768286611575</v>
      </c>
      <c r="DR124" s="20">
        <f t="shared" si="70"/>
        <v>744.78932587695897</v>
      </c>
      <c r="DS124" s="59">
        <f t="shared" si="71"/>
        <v>1038.1226592102923</v>
      </c>
      <c r="DT124" s="59">
        <f ca="1">AVERAGE(OFFSET($DS$3,0,0,'Données projet'!$E$14+1,1))-AVERAGE(OFFSET($H$3,0,0,'Données projet'!$E$14+1,1))</f>
        <v>401.17301323870578</v>
      </c>
      <c r="DU124" s="59">
        <f t="shared" si="98"/>
        <v>201.57993789149754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29.174712140191943</v>
      </c>
      <c r="EB124" s="21">
        <f>EXP(-LN(2)/25)*EB123+(1-EXP(-LN(2)/25))/(LN(2)/25)*Calculateur!DW124*Calculateur!DY124*VLOOKUP('Données projet'!$B$14,Paramètres!$A$1:$I$89,3,0)*0.475*44/12</f>
        <v>19.214199869303954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48.388912009495897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1.7053025658242404E-13</v>
      </c>
      <c r="EK124" s="17">
        <f>EJ124*VLOOKUP('Données projet'!$B$15,Paramètres!$A$1:$I$89,3,0)*VLOOKUP('Données projet'!$B$15,Paramètres!$A$1:$I$89,5,0)</f>
        <v>1.4897523215040567E-13</v>
      </c>
      <c r="EL124" s="13">
        <f t="shared" si="99"/>
        <v>2.136562777003313E-12</v>
      </c>
      <c r="EM124" s="20">
        <f t="shared" si="73"/>
        <v>3.9806453659427267E-12</v>
      </c>
      <c r="EN124" s="59">
        <f t="shared" si="74"/>
        <v>293.33333333333729</v>
      </c>
      <c r="EO124" s="59">
        <f ca="1">AVERAGE(OFFSET($EN$3,0,0,'Données projet'!$E$15+1,1))-AVERAGE(OFFSET($H$3,0,0,'Données projet'!$E$15+1,1))</f>
        <v>237.8483058552178</v>
      </c>
      <c r="EP124" s="59">
        <f t="shared" si="100"/>
        <v>313.36201272119723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29.634049078772623</v>
      </c>
      <c r="EW124" s="21">
        <f>EXP(-LN(2)/25)*EW123+(1-EXP(-LN(2)/25))/(LN(2)/25)*Calculateur!ER124*Calculateur!ET124*VLOOKUP('Données projet'!$B$15,Paramètres!$A$1:$I$89,3,0)*0.475*44/12</f>
        <v>1.289872903254182</v>
      </c>
      <c r="EX124" s="21">
        <f>EXP(-LN(2)/2)*EX123+(1-EXP(-LN(2)/2))/(LN(2)/2)*ER124*EU124*VLOOKUP('Données projet'!$B$15,Paramètres!$A$1:$I$89,3,0)*0.475*44/12</f>
        <v>8.6802717808323232E-7</v>
      </c>
      <c r="EY124" s="22">
        <f t="shared" si="75"/>
        <v>30.923922850053984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-2.8421709430404007E-13</v>
      </c>
      <c r="FF124" s="17">
        <f>FE124*VLOOKUP('Données projet'!$B$16,Paramètres!$A$1:$I$89,3,0)*VLOOKUP('Données projet'!$B$16,Paramètres!$A$1:$I$89,5,0)</f>
        <v>-2.2168933355715128E-13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318.52984981739411</v>
      </c>
      <c r="FK124" s="59">
        <f t="shared" si="102"/>
        <v>311.56398336941714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52.629247856278553</v>
      </c>
      <c r="FR124" s="21">
        <f>EXP(-LN(2)/25)*FR123+(1-EXP(-LN(2)/25))/(LN(2)/25)*Calculateur!FM124*Calculateur!FO124*VLOOKUP('Données projet'!$B$16,Paramètres!$A$1:$I$89,3,0)*0.475*44/12</f>
        <v>1.2876914421288679</v>
      </c>
      <c r="FS124" s="21">
        <f>EXP(-LN(2)/2)*FS123+(1-EXP(-LN(2)/2))/(LN(2)/2)*FM124*FP124*VLOOKUP('Données projet'!$B$16,Paramètres!$A$1:$I$89,3,0)*0.475*44/12</f>
        <v>3.8120193963744345E-5</v>
      </c>
      <c r="FT124" s="22">
        <f t="shared" si="78"/>
        <v>53.916977418601384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-2.8421709430404007E-13</v>
      </c>
      <c r="GA124" s="17">
        <f>FZ124*VLOOKUP('Données projet'!$B$17,Paramètres!$A$1:$I$89,3,0)*VLOOKUP('Données projet'!$B$17,Paramètres!$A$1:$I$89,5,0)</f>
        <v>-2.2612312022829427E-13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325.72928944930294</v>
      </c>
      <c r="GF124" s="59">
        <f t="shared" si="104"/>
        <v>318.38876834819752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66.165979979312112</v>
      </c>
      <c r="GM124" s="21">
        <f>EXP(-LN(2)/25)*GM123+(1-EXP(-LN(2)/25))/(LN(2)/25)*Calculateur!GH124*Calculateur!GJ124*VLOOKUP('Données projet'!$B$17,Paramètres!$A$1:$I$89,3,0)*0.475*44/12</f>
        <v>1.6188976595694551</v>
      </c>
      <c r="GN124" s="21">
        <f>EXP(-LN(2)/2)*GN123+(1-EXP(-LN(2)/2))/(LN(2)/2)*GH124*GK124*VLOOKUP('Données projet'!$B$17,Paramètres!$A$1:$I$89,3,0)*0.475*44/12</f>
        <v>3.8882597843019174E-5</v>
      </c>
      <c r="GO124" s="21">
        <f t="shared" si="81"/>
        <v>67.784916521479417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-2.8421709430404007E-13</v>
      </c>
      <c r="GV124" s="17">
        <f>GU124*VLOOKUP('Données projet'!$B$18,Paramètres!$A$1:$I$89,3,0)*VLOOKUP('Données projet'!$B$18,Paramètres!$A$1:$I$89,5,0)</f>
        <v>-1.9065282685915009E-13</v>
      </c>
      <c r="GW124" s="13" t="e">
        <f t="shared" si="105"/>
        <v>#NUM!</v>
      </c>
      <c r="GX124" s="20" t="e">
        <f t="shared" si="82"/>
        <v>#NUM!</v>
      </c>
      <c r="GY124" s="59" t="e">
        <f t="shared" si="83"/>
        <v>#NUM!</v>
      </c>
      <c r="GZ124" s="59">
        <f ca="1">AVERAGE(OFFSET($GY$3,0,0,'Données projet'!$E$18+1,1))-AVERAGE(OFFSET($H$3,0,0,'Données projet'!$E$18+1,1))</f>
        <v>268.04554291387961</v>
      </c>
      <c r="HA124" s="59">
        <f t="shared" si="106"/>
        <v>263.70463099437148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55.787002727655285</v>
      </c>
      <c r="HH124" s="21">
        <f>EXP(-LN(2)/25)*HH123+(1-EXP(-LN(2)/25))/(LN(2)/25)*Calculateur!HC124*Calculateur!HE124*VLOOKUP('Données projet'!$B$18,Paramètres!$A$1:$I$89,3,0)*0.475*44/12</f>
        <v>1.3649529286566018</v>
      </c>
      <c r="HI124" s="21">
        <f>EXP(-LN(2)/2)*HI123+(1-EXP(-LN(2)/2))/(LN(2)/2)*HC124*HF124*VLOOKUP('Données projet'!$B$18,Paramètres!$A$1:$I$89,3,0)*0.475*44/12</f>
        <v>3.2783366808820088E-5</v>
      </c>
      <c r="HJ124" s="22">
        <f t="shared" si="84"/>
        <v>57.151988439678696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-2.5124791136477146E-14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46.095319339746538</v>
      </c>
      <c r="T125" s="59">
        <f t="shared" si="88"/>
        <v>48.158174304064403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26.290857335109262</v>
      </c>
      <c r="AA125" s="21">
        <f>EXP(-LN(2)/25)*AA124+(1-EXP(-LN(2)/25))/(LN(2)/25)*Calculateur!V125*Calculateur!X125*VLOOKUP('Données projet'!$B$9,Paramètres!$A$1:$I$89,3,0)*0.475*44/12</f>
        <v>8.5511713990979246</v>
      </c>
      <c r="AB125" s="21">
        <f>EXP(-LN(2)/2)*AB124+(1-EXP(-LN(2)/2))/(LN(2)/2)*V125*Y125*VLOOKUP('Données projet'!$B$9,Paramètres!$A$1:$I$89,3,0)*0.475*44/12</f>
        <v>7.0418386047037234E-6</v>
      </c>
      <c r="AC125" s="22">
        <f t="shared" si="57"/>
        <v>34.842035776045797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-6.7984728957526396E-14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408.84545509668794</v>
      </c>
      <c r="AO125" s="59">
        <f t="shared" si="90"/>
        <v>409.9253979841132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55.093815850628225</v>
      </c>
      <c r="AV125" s="21">
        <f>EXP(-LN(2)/25)*AV124+(1-EXP(-LN(2)/25))/(LN(2)/25)*Calculateur!AQ125*Calculateur!AS125*VLOOKUP('Données projet'!$B$10,Paramètres!$A$1:$I$89,3,0)*0.475*44/12</f>
        <v>13.667255707410105</v>
      </c>
      <c r="AW125" s="21">
        <f>EXP(-LN(2)/2)*AW124+(1-EXP(-LN(2)/2))/(LN(2)/2)*AQ125*AT125*VLOOKUP('Données projet'!$B$10,Paramètres!$A$1:$I$89,3,0)*0.475*44/12</f>
        <v>4.3714836132203048E-8</v>
      </c>
      <c r="AX125" s="21">
        <f t="shared" si="60"/>
        <v>68.761071601753159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-6.7984728957526396E-14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279.69031306919914</v>
      </c>
      <c r="BJ125" s="59">
        <f t="shared" si="92"/>
        <v>297.01680128882509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49.984258493814089</v>
      </c>
      <c r="BQ125" s="21">
        <f>EXP(-LN(2)/25)*BQ124+(1-EXP(-LN(2)/25))/(LN(2)/25)*Calculateur!BL125*Calculateur!BN125*VLOOKUP('Données projet'!$B$11,Paramètres!$A$1:$I$89,3,0)*0.475*44/12</f>
        <v>15.502775673580466</v>
      </c>
      <c r="BR125" s="21">
        <f>EXP(-LN(2)/2)*BR124+(1-EXP(-LN(2)/2))/(LN(2)/2)*BL125*BO125*VLOOKUP('Données projet'!$B$11,Paramètres!$A$1:$I$89,3,0)*0.475*44/12</f>
        <v>1.0199258575418916E-7</v>
      </c>
      <c r="BS125" s="22">
        <f t="shared" si="63"/>
        <v>65.487034269387138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81.299024916151723</v>
      </c>
      <c r="CE125" s="59">
        <f t="shared" si="94"/>
        <v>88.106373324240167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14.784164877306159</v>
      </c>
      <c r="CL125" s="21">
        <f>EXP(-LN(2)/25)*CL124+(1-EXP(-LN(2)/25))/(LN(2)/25)*Calculateur!CG125*Calculateur!CI125*VLOOKUP('Données projet'!$B$12,Paramètres!$A$1:$I$89,3,0)*0.475*44/12</f>
        <v>4.1471819978259417</v>
      </c>
      <c r="CM125" s="21">
        <f>EXP(-LN(2)/2)*CM124+(1-EXP(-LN(2)/2))/(LN(2)/2)*CG125*CJ125*VLOOKUP('Données projet'!$B$12,Paramètres!$A$1:$I$89,3,0)*0.475*44/12</f>
        <v>1.1178469386766386E-8</v>
      </c>
      <c r="CN125" s="22">
        <f t="shared" si="66"/>
        <v>18.931346886310568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-3.4106051316484809E-13</v>
      </c>
      <c r="CU125" s="17">
        <f>CT125*VLOOKUP('Données projet'!$B$13,Paramètres!$A$1:$I$89,3,0)*VLOOKUP('Données projet'!$B$13,Paramètres!$A$1:$I$89,5,0)</f>
        <v>-1.9065282685915009E-13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475.42482703895411</v>
      </c>
      <c r="CZ125" s="59">
        <f t="shared" si="96"/>
        <v>593.51433014569966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100.9914695898582</v>
      </c>
      <c r="DG125" s="21">
        <f>EXP(-LN(2)/25)*DG124+(1-EXP(-LN(2)/25))/(LN(2)/25)*Calculateur!DB125*Calculateur!DD125*VLOOKUP('Données projet'!$B$13,Paramètres!$A$1:$I$89,3,0)*0.475*44/12</f>
        <v>13.331110116094063</v>
      </c>
      <c r="DH125" s="21">
        <f>EXP(-LN(2)/2)*DH124+(1-EXP(-LN(2)/2))/(LN(2)/2)*DB125*DE125*VLOOKUP('Données projet'!$B$13,Paramètres!$A$1:$I$89,3,0)*0.475*44/12</f>
        <v>1.2962123368339803E-7</v>
      </c>
      <c r="DI125" s="22">
        <f t="shared" si="69"/>
        <v>114.32257983557349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6.8888888888888893</v>
      </c>
      <c r="DO125" s="12">
        <f>IF('Données projet'!$A$166&gt;35,DO124+DN125-DW124,IF(A125&lt;'Données projet'!$A$166,$DL$205^A125,IF(A125='Données projet'!$A$166,'Données projet'!$B$166,DO124+DN125-DW124)))</f>
        <v>390.11111111111074</v>
      </c>
      <c r="DP125" s="17">
        <f>DO125*VLOOKUP('Données projet'!$B$14,Paramètres!$A$1:$I$89,3,0)*VLOOKUP('Données projet'!$B$14,Paramètres!$A$1:$I$89,5,0)</f>
        <v>352.97253333333299</v>
      </c>
      <c r="DQ125" s="13">
        <f t="shared" si="97"/>
        <v>82.174285131904085</v>
      </c>
      <c r="DR125" s="20">
        <f t="shared" si="70"/>
        <v>757.88070882695445</v>
      </c>
      <c r="DS125" s="59">
        <f t="shared" si="71"/>
        <v>1051.2140421602878</v>
      </c>
      <c r="DT125" s="59">
        <f ca="1">AVERAGE(OFFSET($DS$3,0,0,'Données projet'!$E$14+1,1))-AVERAGE(OFFSET($H$3,0,0,'Données projet'!$E$14+1,1))</f>
        <v>401.17301323870578</v>
      </c>
      <c r="DU125" s="59">
        <f t="shared" si="98"/>
        <v>201.57993789149754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28.602613829940093</v>
      </c>
      <c r="EB125" s="21">
        <f>EXP(-LN(2)/25)*EB124+(1-EXP(-LN(2)/25))/(LN(2)/25)*Calculateur!DW125*Calculateur!DY125*VLOOKUP('Données projet'!$B$14,Paramètres!$A$1:$I$89,3,0)*0.475*44/12</f>
        <v>18.688786563446982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47.291400393387079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1.7053025658242404E-13</v>
      </c>
      <c r="EK125" s="17">
        <f>EJ125*VLOOKUP('Données projet'!$B$15,Paramètres!$A$1:$I$89,3,0)*VLOOKUP('Données projet'!$B$15,Paramètres!$A$1:$I$89,5,0)</f>
        <v>1.4897523215040567E-13</v>
      </c>
      <c r="EL125" s="13">
        <f t="shared" si="99"/>
        <v>2.136562777003313E-12</v>
      </c>
      <c r="EM125" s="20">
        <f t="shared" si="73"/>
        <v>3.9806453659427267E-12</v>
      </c>
      <c r="EN125" s="59">
        <f t="shared" si="74"/>
        <v>293.33333333333729</v>
      </c>
      <c r="EO125" s="59">
        <f ca="1">AVERAGE(OFFSET($EN$3,0,0,'Données projet'!$E$15+1,1))-AVERAGE(OFFSET($H$3,0,0,'Données projet'!$E$15+1,1))</f>
        <v>237.8483058552178</v>
      </c>
      <c r="EP125" s="59">
        <f t="shared" si="100"/>
        <v>313.36201272119723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29.052943451323074</v>
      </c>
      <c r="EW125" s="21">
        <f>EXP(-LN(2)/25)*EW124+(1-EXP(-LN(2)/25))/(LN(2)/25)*Calculateur!ER125*Calculateur!ET125*VLOOKUP('Données projet'!$B$15,Paramètres!$A$1:$I$89,3,0)*0.475*44/12</f>
        <v>1.2546012608832284</v>
      </c>
      <c r="EX125" s="21">
        <f>EXP(-LN(2)/2)*EX124+(1-EXP(-LN(2)/2))/(LN(2)/2)*ER125*EU125*VLOOKUP('Données projet'!$B$15,Paramètres!$A$1:$I$89,3,0)*0.475*44/12</f>
        <v>6.1378790387687647E-7</v>
      </c>
      <c r="EY125" s="22">
        <f t="shared" si="75"/>
        <v>30.307545325994205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-2.8421709430404007E-13</v>
      </c>
      <c r="FF125" s="17">
        <f>FE125*VLOOKUP('Données projet'!$B$16,Paramètres!$A$1:$I$89,3,0)*VLOOKUP('Données projet'!$B$16,Paramètres!$A$1:$I$89,5,0)</f>
        <v>-2.2168933355715128E-13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318.52984981739411</v>
      </c>
      <c r="FK125" s="59">
        <f t="shared" si="102"/>
        <v>311.56398336941714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51.597220406488447</v>
      </c>
      <c r="FR125" s="21">
        <f>EXP(-LN(2)/25)*FR124+(1-EXP(-LN(2)/25))/(LN(2)/25)*Calculateur!FM125*Calculateur!FO125*VLOOKUP('Données projet'!$B$16,Paramètres!$A$1:$I$89,3,0)*0.475*44/12</f>
        <v>1.2524794519271041</v>
      </c>
      <c r="FS125" s="21">
        <f>EXP(-LN(2)/2)*FS124+(1-EXP(-LN(2)/2))/(LN(2)/2)*FM125*FP125*VLOOKUP('Données projet'!$B$16,Paramètres!$A$1:$I$89,3,0)*0.475*44/12</f>
        <v>2.6955047651910123E-5</v>
      </c>
      <c r="FT125" s="22">
        <f t="shared" si="78"/>
        <v>52.849726813463199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-2.8421709430404007E-13</v>
      </c>
      <c r="GA125" s="17">
        <f>FZ125*VLOOKUP('Données projet'!$B$17,Paramètres!$A$1:$I$89,3,0)*VLOOKUP('Données projet'!$B$17,Paramètres!$A$1:$I$89,5,0)</f>
        <v>-2.2612312022829427E-13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325.72928944930294</v>
      </c>
      <c r="GF125" s="59">
        <f t="shared" si="104"/>
        <v>318.38876834819752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64.868505469180647</v>
      </c>
      <c r="GM125" s="21">
        <f>EXP(-LN(2)/25)*GM124+(1-EXP(-LN(2)/25))/(LN(2)/25)*Calculateur!GH125*Calculateur!GJ125*VLOOKUP('Données projet'!$B$17,Paramètres!$A$1:$I$89,3,0)*0.475*44/12</f>
        <v>1.5746288179344003</v>
      </c>
      <c r="GN125" s="21">
        <f>EXP(-LN(2)/2)*GN124+(1-EXP(-LN(2)/2))/(LN(2)/2)*GH125*GK125*VLOOKUP('Données projet'!$B$17,Paramètres!$A$1:$I$89,3,0)*0.475*44/12</f>
        <v>2.7494148604948284E-5</v>
      </c>
      <c r="GO125" s="21">
        <f t="shared" si="81"/>
        <v>66.443161781263655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-2.8421709430404007E-13</v>
      </c>
      <c r="GV125" s="17">
        <f>GU125*VLOOKUP('Données projet'!$B$18,Paramètres!$A$1:$I$89,3,0)*VLOOKUP('Données projet'!$B$18,Paramètres!$A$1:$I$89,5,0)</f>
        <v>-1.9065282685915009E-13</v>
      </c>
      <c r="GW125" s="13" t="e">
        <f t="shared" si="105"/>
        <v>#NUM!</v>
      </c>
      <c r="GX125" s="20" t="e">
        <f t="shared" si="82"/>
        <v>#NUM!</v>
      </c>
      <c r="GY125" s="59" t="e">
        <f t="shared" si="83"/>
        <v>#NUM!</v>
      </c>
      <c r="GZ125" s="59">
        <f ca="1">AVERAGE(OFFSET($GY$3,0,0,'Données projet'!$E$18+1,1))-AVERAGE(OFFSET($H$3,0,0,'Données projet'!$E$18+1,1))</f>
        <v>268.04554291387961</v>
      </c>
      <c r="HA125" s="59">
        <f t="shared" si="106"/>
        <v>263.70463099437148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54.69305363087777</v>
      </c>
      <c r="HH125" s="21">
        <f>EXP(-LN(2)/25)*HH124+(1-EXP(-LN(2)/25))/(LN(2)/25)*Calculateur!HC125*Calculateur!HE125*VLOOKUP('Données projet'!$B$18,Paramètres!$A$1:$I$89,3,0)*0.475*44/12</f>
        <v>1.3276282190427322</v>
      </c>
      <c r="HI125" s="21">
        <f>EXP(-LN(2)/2)*HI124+(1-EXP(-LN(2)/2))/(LN(2)/2)*HC125*HF125*VLOOKUP('Données projet'!$B$18,Paramètres!$A$1:$I$89,3,0)*0.475*44/12</f>
        <v>2.3181340980642671E-5</v>
      </c>
      <c r="HJ125" s="22">
        <f t="shared" si="84"/>
        <v>56.020705031261478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-2.5124791136477146E-14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46.095319339746538</v>
      </c>
      <c r="T126" s="59">
        <f t="shared" si="88"/>
        <v>48.158174304064403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25.775309658607338</v>
      </c>
      <c r="AA126" s="21">
        <f>EXP(-LN(2)/25)*AA125+(1-EXP(-LN(2)/25))/(LN(2)/25)*Calculateur!V126*Calculateur!X126*VLOOKUP('Données projet'!$B$9,Paramètres!$A$1:$I$89,3,0)*0.475*44/12</f>
        <v>8.3173391675030324</v>
      </c>
      <c r="AB126" s="21">
        <f>EXP(-LN(2)/2)*AB125+(1-EXP(-LN(2)/2))/(LN(2)/2)*V126*Y126*VLOOKUP('Données projet'!$B$9,Paramètres!$A$1:$I$89,3,0)*0.475*44/12</f>
        <v>4.9793318294072188E-6</v>
      </c>
      <c r="AC126" s="22">
        <f t="shared" si="57"/>
        <v>34.092653805442197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-6.7984728957526396E-14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408.84545509668794</v>
      </c>
      <c r="AO126" s="59">
        <f t="shared" si="90"/>
        <v>409.9253979841132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54.013459725706966</v>
      </c>
      <c r="AV126" s="21">
        <f>EXP(-LN(2)/25)*AV125+(1-EXP(-LN(2)/25))/(LN(2)/25)*Calculateur!AQ126*Calculateur!AS126*VLOOKUP('Données projet'!$B$10,Paramètres!$A$1:$I$89,3,0)*0.475*44/12</f>
        <v>13.293523881361235</v>
      </c>
      <c r="AW126" s="21">
        <f>EXP(-LN(2)/2)*AW125+(1-EXP(-LN(2)/2))/(LN(2)/2)*AQ126*AT126*VLOOKUP('Données projet'!$B$10,Paramètres!$A$1:$I$89,3,0)*0.475*44/12</f>
        <v>3.0911057067539482E-8</v>
      </c>
      <c r="AX126" s="21">
        <f t="shared" si="60"/>
        <v>67.306983637979258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-6.7984728957526396E-14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279.69031306919914</v>
      </c>
      <c r="BJ126" s="59">
        <f t="shared" si="92"/>
        <v>297.01680128882509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49.004097672137696</v>
      </c>
      <c r="BQ126" s="21">
        <f>EXP(-LN(2)/25)*BQ125+(1-EXP(-LN(2)/25))/(LN(2)/25)*Calculateur!BL126*Calculateur!BN126*VLOOKUP('Données projet'!$B$11,Paramètres!$A$1:$I$89,3,0)*0.475*44/12</f>
        <v>15.078851457530867</v>
      </c>
      <c r="BR126" s="21">
        <f>EXP(-LN(2)/2)*BR125+(1-EXP(-LN(2)/2))/(LN(2)/2)*BL126*BO126*VLOOKUP('Données projet'!$B$11,Paramètres!$A$1:$I$89,3,0)*0.475*44/12</f>
        <v>7.2119649017537616E-8</v>
      </c>
      <c r="BS126" s="22">
        <f t="shared" si="63"/>
        <v>64.08294920178821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81.299024916151723</v>
      </c>
      <c r="CE126" s="59">
        <f t="shared" si="94"/>
        <v>88.106373324240167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14.494256421512361</v>
      </c>
      <c r="CL126" s="21">
        <f>EXP(-LN(2)/25)*CL125+(1-EXP(-LN(2)/25))/(LN(2)/25)*Calculateur!CG126*Calculateur!CI126*VLOOKUP('Données projet'!$B$12,Paramètres!$A$1:$I$89,3,0)*0.475*44/12</f>
        <v>4.0337770880045687</v>
      </c>
      <c r="CM126" s="21">
        <f>EXP(-LN(2)/2)*CM125+(1-EXP(-LN(2)/2))/(LN(2)/2)*CG126*CJ126*VLOOKUP('Données projet'!$B$12,Paramètres!$A$1:$I$89,3,0)*0.475*44/12</f>
        <v>7.9043715066687385E-9</v>
      </c>
      <c r="CN126" s="22">
        <f t="shared" si="66"/>
        <v>18.528033517421303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-3.4106051316484809E-13</v>
      </c>
      <c r="CU126" s="17">
        <f>CT126*VLOOKUP('Données projet'!$B$13,Paramètres!$A$1:$I$89,3,0)*VLOOKUP('Données projet'!$B$13,Paramètres!$A$1:$I$89,5,0)</f>
        <v>-1.9065282685915009E-13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475.42482703895411</v>
      </c>
      <c r="CZ126" s="59">
        <f t="shared" si="96"/>
        <v>593.51433014569966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99.011088469915165</v>
      </c>
      <c r="DG126" s="21">
        <f>EXP(-LN(2)/25)*DG125+(1-EXP(-LN(2)/25))/(LN(2)/25)*Calculateur!DB126*Calculateur!DD126*VLOOKUP('Données projet'!$B$13,Paramètres!$A$1:$I$89,3,0)*0.475*44/12</f>
        <v>12.966570208916858</v>
      </c>
      <c r="DH126" s="21">
        <f>EXP(-LN(2)/2)*DH125+(1-EXP(-LN(2)/2))/(LN(2)/2)*DB126*DE126*VLOOKUP('Données projet'!$B$13,Paramètres!$A$1:$I$89,3,0)*0.475*44/12</f>
        <v>9.1656053323296876E-8</v>
      </c>
      <c r="DI126" s="22">
        <f t="shared" si="69"/>
        <v>111.97765877048808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>
        <f>VLOOKUP(A126,'Données projet'!$A$165:$I$185,2,0)</f>
        <v>397</v>
      </c>
      <c r="DM126" s="12">
        <f>VLOOKUP(A126,'Données projet'!$A$165:$I$185,9,0)</f>
        <v>6.8888888888888893</v>
      </c>
      <c r="DN126" s="12">
        <f t="array" ref="DN126">INDEX(DM:DM,MIN(IF(ISNUMBER(DM126:DM322),ROW(DM126:DM322),"")))</f>
        <v>6.8888888888888893</v>
      </c>
      <c r="DO126" s="12">
        <f>IF('Données projet'!$A$166&gt;35,DO125+DN126-DW125,IF(A126&lt;'Données projet'!$A$166,$DL$205^A126,IF(A126='Données projet'!$A$166,'Données projet'!$B$166,DO125+DN126-DW125)))</f>
        <v>396.99999999999966</v>
      </c>
      <c r="DP126" s="17">
        <f>DO126*VLOOKUP('Données projet'!$B$14,Paramètres!$A$1:$I$89,3,0)*VLOOKUP('Données projet'!$B$14,Paramètres!$A$1:$I$89,5,0)</f>
        <v>359.20559999999966</v>
      </c>
      <c r="DQ126" s="13">
        <f t="shared" si="97"/>
        <v>83.455166295200186</v>
      </c>
      <c r="DR126" s="20">
        <f t="shared" si="70"/>
        <v>770.96750129747295</v>
      </c>
      <c r="DS126" s="59">
        <f t="shared" si="71"/>
        <v>1064.3008346308063</v>
      </c>
      <c r="DT126" s="59">
        <f ca="1">AVERAGE(OFFSET($DS$3,0,0,'Données projet'!$E$14+1,1))-AVERAGE(OFFSET($H$3,0,0,'Données projet'!$E$14+1,1))</f>
        <v>401.17301323870578</v>
      </c>
      <c r="DU126" s="59">
        <f t="shared" si="98"/>
        <v>201.57993789149754</v>
      </c>
      <c r="DV126" s="15">
        <f>IF(ISNA(VLOOKUP(A126,'Données projet'!$A$165:$I$185,3,0)),0,VLOOKUP(A126,'Données projet'!$A$165:$I$185,3,0))</f>
        <v>11</v>
      </c>
      <c r="DW126" s="15">
        <f>IF(ISNA(VLOOKUP(A126,'Données projet'!$A$165:$I$185,4,0)),0,VLOOKUP(A126,'Données projet'!$A$165:$I$185,4,0))</f>
        <v>41</v>
      </c>
      <c r="DX126" s="16">
        <f>IF(ISNA(VLOOKUP(A126,'Données projet'!$A$165:$I$185,5,0)),0%,VLOOKUP(A126,'Données projet'!$A$165:$I$185,5,0)*VLOOKUP('Données projet'!$B$14,Paramètres!$A$1:$I$89,7,0))</f>
        <v>0.30099999999999999</v>
      </c>
      <c r="DY126" s="16">
        <f>IF(ISNA(VLOOKUP(A126,'Données projet'!$A$165:$I$185,6,0)),0%,VLOOKUP(A126,'Données projet'!$A$165:$I$185,6,0)*VLOOKUP('Données projet'!$B$14,Paramètres!$A$1:$I$89,7,0))</f>
        <v>4.3000000000000003E-2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40.385567504819605</v>
      </c>
      <c r="EB126" s="21">
        <f>EXP(-LN(2)/25)*EB125+(1-EXP(-LN(2)/25))/(LN(2)/25)*Calculateur!DW126*Calculateur!DY126*VLOOKUP('Données projet'!$B$14,Paramètres!$A$1:$I$89,3,0)*0.475*44/12</f>
        <v>19.934202299270144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60.319769804089745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1.7053025658242404E-13</v>
      </c>
      <c r="EK126" s="17">
        <f>EJ126*VLOOKUP('Données projet'!$B$15,Paramètres!$A$1:$I$89,3,0)*VLOOKUP('Données projet'!$B$15,Paramètres!$A$1:$I$89,5,0)</f>
        <v>1.4897523215040567E-13</v>
      </c>
      <c r="EL126" s="13">
        <f t="shared" si="99"/>
        <v>2.136562777003313E-12</v>
      </c>
      <c r="EM126" s="20">
        <f t="shared" si="73"/>
        <v>3.9806453659427267E-12</v>
      </c>
      <c r="EN126" s="59">
        <f t="shared" si="74"/>
        <v>293.33333333333729</v>
      </c>
      <c r="EO126" s="59">
        <f ca="1">AVERAGE(OFFSET($EN$3,0,0,'Données projet'!$E$15+1,1))-AVERAGE(OFFSET($H$3,0,0,'Données projet'!$E$15+1,1))</f>
        <v>237.8483058552178</v>
      </c>
      <c r="EP126" s="59">
        <f t="shared" si="100"/>
        <v>313.36201272119723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28.483232950788377</v>
      </c>
      <c r="EW126" s="21">
        <f>EXP(-LN(2)/25)*EW125+(1-EXP(-LN(2)/25))/(LN(2)/25)*Calculateur!ER126*Calculateur!ET126*VLOOKUP('Données projet'!$B$15,Paramètres!$A$1:$I$89,3,0)*0.475*44/12</f>
        <v>1.2202941234277638</v>
      </c>
      <c r="EX126" s="21">
        <f>EXP(-LN(2)/2)*EX125+(1-EXP(-LN(2)/2))/(LN(2)/2)*ER126*EU126*VLOOKUP('Données projet'!$B$15,Paramètres!$A$1:$I$89,3,0)*0.475*44/12</f>
        <v>4.3401358904161616E-7</v>
      </c>
      <c r="EY126" s="22">
        <f t="shared" si="75"/>
        <v>29.70352750822973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-2.8421709430404007E-13</v>
      </c>
      <c r="FF126" s="17">
        <f>FE126*VLOOKUP('Données projet'!$B$16,Paramètres!$A$1:$I$89,3,0)*VLOOKUP('Données projet'!$B$16,Paramètres!$A$1:$I$89,5,0)</f>
        <v>-2.2168933355715128E-13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318.52984981739411</v>
      </c>
      <c r="FK126" s="59">
        <f t="shared" si="102"/>
        <v>311.56398336941714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50.585430385514137</v>
      </c>
      <c r="FR126" s="21">
        <f>EXP(-LN(2)/25)*FR125+(1-EXP(-LN(2)/25))/(LN(2)/25)*Calculateur!FM126*Calculateur!FO126*VLOOKUP('Données projet'!$B$16,Paramètres!$A$1:$I$89,3,0)*0.475*44/12</f>
        <v>1.2182303354491257</v>
      </c>
      <c r="FS126" s="21">
        <f>EXP(-LN(2)/2)*FS125+(1-EXP(-LN(2)/2))/(LN(2)/2)*FM126*FP126*VLOOKUP('Données projet'!$B$16,Paramètres!$A$1:$I$89,3,0)*0.475*44/12</f>
        <v>1.9060096981872173E-5</v>
      </c>
      <c r="FT126" s="22">
        <f t="shared" si="78"/>
        <v>51.803679781060247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-2.8421709430404007E-13</v>
      </c>
      <c r="GA126" s="17">
        <f>FZ126*VLOOKUP('Données projet'!$B$17,Paramètres!$A$1:$I$89,3,0)*VLOOKUP('Données projet'!$B$17,Paramètres!$A$1:$I$89,5,0)</f>
        <v>-2.2612312022829427E-13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325.72928944930294</v>
      </c>
      <c r="GF126" s="59">
        <f t="shared" si="104"/>
        <v>318.38876834819752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63.596473642811546</v>
      </c>
      <c r="GM126" s="21">
        <f>EXP(-LN(2)/25)*GM125+(1-EXP(-LN(2)/25))/(LN(2)/25)*Calculateur!GH126*Calculateur!GJ126*VLOOKUP('Données projet'!$B$17,Paramètres!$A$1:$I$89,3,0)*0.475*44/12</f>
        <v>1.5315705101018535</v>
      </c>
      <c r="GN126" s="21">
        <f>EXP(-LN(2)/2)*GN125+(1-EXP(-LN(2)/2))/(LN(2)/2)*GH126*GK126*VLOOKUP('Données projet'!$B$17,Paramètres!$A$1:$I$89,3,0)*0.475*44/12</f>
        <v>1.9441298921509587E-5</v>
      </c>
      <c r="GO126" s="21">
        <f t="shared" si="81"/>
        <v>65.128063594212321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-2.8421709430404007E-13</v>
      </c>
      <c r="GV126" s="17">
        <f>GU126*VLOOKUP('Données projet'!$B$18,Paramètres!$A$1:$I$89,3,0)*VLOOKUP('Données projet'!$B$18,Paramètres!$A$1:$I$89,5,0)</f>
        <v>-1.9065282685915009E-13</v>
      </c>
      <c r="GW126" s="13" t="e">
        <f t="shared" si="105"/>
        <v>#NUM!</v>
      </c>
      <c r="GX126" s="20" t="e">
        <f t="shared" si="82"/>
        <v>#NUM!</v>
      </c>
      <c r="GY126" s="59" t="e">
        <f t="shared" si="83"/>
        <v>#NUM!</v>
      </c>
      <c r="GZ126" s="59">
        <f ca="1">AVERAGE(OFFSET($GY$3,0,0,'Données projet'!$E$18+1,1))-AVERAGE(OFFSET($H$3,0,0,'Données projet'!$E$18+1,1))</f>
        <v>268.04554291387961</v>
      </c>
      <c r="HA126" s="59">
        <f t="shared" si="106"/>
        <v>263.70463099437148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53.620556208644999</v>
      </c>
      <c r="HH126" s="21">
        <f>EXP(-LN(2)/25)*HH125+(1-EXP(-LN(2)/25))/(LN(2)/25)*Calculateur!HC126*Calculateur!HE126*VLOOKUP('Données projet'!$B$18,Paramètres!$A$1:$I$89,3,0)*0.475*44/12</f>
        <v>1.2913241555760751</v>
      </c>
      <c r="HI126" s="21">
        <f>EXP(-LN(2)/2)*HI125+(1-EXP(-LN(2)/2))/(LN(2)/2)*HC126*HF126*VLOOKUP('Données projet'!$B$18,Paramètres!$A$1:$I$89,3,0)*0.475*44/12</f>
        <v>1.6391683404410044E-5</v>
      </c>
      <c r="HJ126" s="22">
        <f t="shared" si="84"/>
        <v>54.911896755904479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-2.5124791136477146E-14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46.095319339746538</v>
      </c>
      <c r="T127" s="59">
        <f t="shared" si="88"/>
        <v>48.158174304064403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25.26987155758858</v>
      </c>
      <c r="AA127" s="21">
        <f>EXP(-LN(2)/25)*AA126+(1-EXP(-LN(2)/25))/(LN(2)/25)*Calculateur!V127*Calculateur!X127*VLOOKUP('Données projet'!$B$9,Paramètres!$A$1:$I$89,3,0)*0.475*44/12</f>
        <v>8.0899010905778042</v>
      </c>
      <c r="AB127" s="21">
        <f>EXP(-LN(2)/2)*AB126+(1-EXP(-LN(2)/2))/(LN(2)/2)*V127*Y127*VLOOKUP('Données projet'!$B$9,Paramètres!$A$1:$I$89,3,0)*0.475*44/12</f>
        <v>3.5209193023518617E-6</v>
      </c>
      <c r="AC127" s="22">
        <f t="shared" si="57"/>
        <v>33.359776169085684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-6.7984728957526396E-14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408.84545509668794</v>
      </c>
      <c r="AO127" s="59">
        <f t="shared" si="90"/>
        <v>409.9253979841132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52.954288725443242</v>
      </c>
      <c r="AV127" s="21">
        <f>EXP(-LN(2)/25)*AV126+(1-EXP(-LN(2)/25))/(LN(2)/25)*Calculateur!AQ127*Calculateur!AS127*VLOOKUP('Données projet'!$B$10,Paramètres!$A$1:$I$89,3,0)*0.475*44/12</f>
        <v>12.930011771749374</v>
      </c>
      <c r="AW127" s="21">
        <f>EXP(-LN(2)/2)*AW126+(1-EXP(-LN(2)/2))/(LN(2)/2)*AQ127*AT127*VLOOKUP('Données projet'!$B$10,Paramètres!$A$1:$I$89,3,0)*0.475*44/12</f>
        <v>2.1857418066101524E-8</v>
      </c>
      <c r="AX127" s="21">
        <f t="shared" si="60"/>
        <v>65.884300519050029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-6.7984728957526396E-14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279.69031306919914</v>
      </c>
      <c r="BJ127" s="59">
        <f t="shared" si="92"/>
        <v>297.01680128882509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48.043157206335309</v>
      </c>
      <c r="BQ127" s="21">
        <f>EXP(-LN(2)/25)*BQ126+(1-EXP(-LN(2)/25))/(LN(2)/25)*Calculateur!BL127*Calculateur!BN127*VLOOKUP('Données projet'!$B$11,Paramètres!$A$1:$I$89,3,0)*0.475*44/12</f>
        <v>14.666519471462351</v>
      </c>
      <c r="BR127" s="21">
        <f>EXP(-LN(2)/2)*BR126+(1-EXP(-LN(2)/2))/(LN(2)/2)*BL127*BO127*VLOOKUP('Données projet'!$B$11,Paramètres!$A$1:$I$89,3,0)*0.475*44/12</f>
        <v>5.0996292877094579E-8</v>
      </c>
      <c r="BS127" s="22">
        <f t="shared" si="63"/>
        <v>62.709676728793951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81.299024916151723</v>
      </c>
      <c r="CE127" s="59">
        <f t="shared" si="94"/>
        <v>88.106373324240167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14.210032893709982</v>
      </c>
      <c r="CL127" s="21">
        <f>EXP(-LN(2)/25)*CL126+(1-EXP(-LN(2)/25))/(LN(2)/25)*Calculateur!CG127*Calculateur!CI127*VLOOKUP('Données projet'!$B$12,Paramètres!$A$1:$I$89,3,0)*0.475*44/12</f>
        <v>3.9234732414059659</v>
      </c>
      <c r="CM127" s="21">
        <f>EXP(-LN(2)/2)*CM126+(1-EXP(-LN(2)/2))/(LN(2)/2)*CG127*CJ127*VLOOKUP('Données projet'!$B$12,Paramètres!$A$1:$I$89,3,0)*0.475*44/12</f>
        <v>5.5892346933831928E-9</v>
      </c>
      <c r="CN127" s="22">
        <f t="shared" si="66"/>
        <v>18.133506140705183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-3.4106051316484809E-13</v>
      </c>
      <c r="CU127" s="17">
        <f>CT127*VLOOKUP('Données projet'!$B$13,Paramètres!$A$1:$I$89,3,0)*VLOOKUP('Données projet'!$B$13,Paramètres!$A$1:$I$89,5,0)</f>
        <v>-1.9065282685915009E-13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475.42482703895411</v>
      </c>
      <c r="CZ127" s="59">
        <f t="shared" si="96"/>
        <v>593.51433014569966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97.069541415820993</v>
      </c>
      <c r="DG127" s="21">
        <f>EXP(-LN(2)/25)*DG126+(1-EXP(-LN(2)/25))/(LN(2)/25)*Calculateur!DB127*Calculateur!DD127*VLOOKUP('Données projet'!$B$13,Paramètres!$A$1:$I$89,3,0)*0.475*44/12</f>
        <v>12.611998664671734</v>
      </c>
      <c r="DH127" s="21">
        <f>EXP(-LN(2)/2)*DH126+(1-EXP(-LN(2)/2))/(LN(2)/2)*DB127*DE127*VLOOKUP('Données projet'!$B$13,Paramètres!$A$1:$I$89,3,0)*0.475*44/12</f>
        <v>6.4810616841699016E-8</v>
      </c>
      <c r="DI127" s="22">
        <f t="shared" si="69"/>
        <v>109.68154014530334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7</v>
      </c>
      <c r="DO127" s="12">
        <f>IF('Données projet'!$A$166&gt;35,DO126+DN127-DW126,IF(A127&lt;'Données projet'!$A$166,$DL$205^A127,IF(A127='Données projet'!$A$166,'Données projet'!$B$166,DO126+DN127-DW126)))</f>
        <v>362.99999999999966</v>
      </c>
      <c r="DP127" s="17">
        <f>DO127*VLOOKUP('Données projet'!$B$14,Paramètres!$A$1:$I$89,3,0)*VLOOKUP('Données projet'!$B$14,Paramètres!$A$1:$I$89,5,0)</f>
        <v>328.44239999999968</v>
      </c>
      <c r="DQ127" s="13">
        <f t="shared" si="97"/>
        <v>77.107288085743335</v>
      </c>
      <c r="DR127" s="20">
        <f t="shared" si="70"/>
        <v>706.33237341600227</v>
      </c>
      <c r="DS127" s="59">
        <f t="shared" si="71"/>
        <v>999.66570674933564</v>
      </c>
      <c r="DT127" s="59">
        <f ca="1">AVERAGE(OFFSET($DS$3,0,0,'Données projet'!$E$14+1,1))-AVERAGE(OFFSET($H$3,0,0,'Données projet'!$E$14+1,1))</f>
        <v>401.17301323870578</v>
      </c>
      <c r="DU127" s="59">
        <f t="shared" si="98"/>
        <v>201.57993789149754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39.593631158813984</v>
      </c>
      <c r="EB127" s="21">
        <f>EXP(-LN(2)/25)*EB126+(1-EXP(-LN(2)/25))/(LN(2)/25)*Calculateur!DW127*Calculateur!DY127*VLOOKUP('Données projet'!$B$14,Paramètres!$A$1:$I$89,3,0)*0.475*44/12</f>
        <v>19.389100489102464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58.982731647916452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1.7053025658242404E-13</v>
      </c>
      <c r="EK127" s="17">
        <f>EJ127*VLOOKUP('Données projet'!$B$15,Paramètres!$A$1:$I$89,3,0)*VLOOKUP('Données projet'!$B$15,Paramètres!$A$1:$I$89,5,0)</f>
        <v>1.4897523215040567E-13</v>
      </c>
      <c r="EL127" s="13">
        <f t="shared" si="99"/>
        <v>2.136562777003313E-12</v>
      </c>
      <c r="EM127" s="20">
        <f t="shared" si="73"/>
        <v>3.9806453659427267E-12</v>
      </c>
      <c r="EN127" s="59">
        <f t="shared" si="74"/>
        <v>293.33333333333729</v>
      </c>
      <c r="EO127" s="59">
        <f ca="1">AVERAGE(OFFSET($EN$3,0,0,'Données projet'!$E$15+1,1))-AVERAGE(OFFSET($H$3,0,0,'Données projet'!$E$15+1,1))</f>
        <v>237.8483058552178</v>
      </c>
      <c r="EP127" s="59">
        <f t="shared" si="100"/>
        <v>313.36201272119723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27.92469412568007</v>
      </c>
      <c r="EW127" s="21">
        <f>EXP(-LN(2)/25)*EW126+(1-EXP(-LN(2)/25))/(LN(2)/25)*Calculateur!ER127*Calculateur!ET127*VLOOKUP('Données projet'!$B$15,Paramètres!$A$1:$I$89,3,0)*0.475*44/12</f>
        <v>1.1869251164501526</v>
      </c>
      <c r="EX127" s="21">
        <f>EXP(-LN(2)/2)*EX126+(1-EXP(-LN(2)/2))/(LN(2)/2)*ER127*EU127*VLOOKUP('Données projet'!$B$15,Paramètres!$A$1:$I$89,3,0)*0.475*44/12</f>
        <v>3.0689395193843823E-7</v>
      </c>
      <c r="EY127" s="22">
        <f t="shared" si="75"/>
        <v>29.111619549024173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-2.8421709430404007E-13</v>
      </c>
      <c r="FF127" s="17">
        <f>FE127*VLOOKUP('Données projet'!$B$16,Paramètres!$A$1:$I$89,3,0)*VLOOKUP('Données projet'!$B$16,Paramètres!$A$1:$I$89,5,0)</f>
        <v>-2.2168933355715128E-13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318.52984981739411</v>
      </c>
      <c r="FK127" s="59">
        <f t="shared" si="102"/>
        <v>311.56398336941714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49.593480949720153</v>
      </c>
      <c r="FR127" s="21">
        <f>EXP(-LN(2)/25)*FR126+(1-EXP(-LN(2)/25))/(LN(2)/25)*Calculateur!FM127*Calculateur!FO127*VLOOKUP('Données projet'!$B$16,Paramètres!$A$1:$I$89,3,0)*0.475*44/12</f>
        <v>1.1849177628623204</v>
      </c>
      <c r="FS127" s="21">
        <f>EXP(-LN(2)/2)*FS126+(1-EXP(-LN(2)/2))/(LN(2)/2)*FM127*FP127*VLOOKUP('Données projet'!$B$16,Paramètres!$A$1:$I$89,3,0)*0.475*44/12</f>
        <v>1.3477523825955061E-5</v>
      </c>
      <c r="FT127" s="22">
        <f t="shared" si="78"/>
        <v>50.778412190106302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-2.8421709430404007E-13</v>
      </c>
      <c r="GA127" s="17">
        <f>FZ127*VLOOKUP('Données projet'!$B$17,Paramètres!$A$1:$I$89,3,0)*VLOOKUP('Données projet'!$B$17,Paramètres!$A$1:$I$89,5,0)</f>
        <v>-2.2612312022829427E-13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325.72928944930294</v>
      </c>
      <c r="GF127" s="59">
        <f t="shared" si="104"/>
        <v>318.38876834819752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62.349385584694737</v>
      </c>
      <c r="GM127" s="21">
        <f>EXP(-LN(2)/25)*GM126+(1-EXP(-LN(2)/25))/(LN(2)/25)*Calculateur!GH127*Calculateur!GJ127*VLOOKUP('Données projet'!$B$17,Paramètres!$A$1:$I$89,3,0)*0.475*44/12</f>
        <v>1.4896896339613257</v>
      </c>
      <c r="GN127" s="21">
        <f>EXP(-LN(2)/2)*GN126+(1-EXP(-LN(2)/2))/(LN(2)/2)*GH127*GK127*VLOOKUP('Données projet'!$B$17,Paramètres!$A$1:$I$89,3,0)*0.475*44/12</f>
        <v>1.3747074302474142E-5</v>
      </c>
      <c r="GO127" s="21">
        <f t="shared" si="81"/>
        <v>63.839088965730369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-2.8421709430404007E-13</v>
      </c>
      <c r="GV127" s="17">
        <f>GU127*VLOOKUP('Données projet'!$B$18,Paramètres!$A$1:$I$89,3,0)*VLOOKUP('Données projet'!$B$18,Paramètres!$A$1:$I$89,5,0)</f>
        <v>-1.9065282685915009E-13</v>
      </c>
      <c r="GW127" s="13" t="e">
        <f t="shared" si="105"/>
        <v>#NUM!</v>
      </c>
      <c r="GX127" s="20" t="e">
        <f t="shared" si="82"/>
        <v>#NUM!</v>
      </c>
      <c r="GY127" s="59" t="e">
        <f t="shared" si="83"/>
        <v>#NUM!</v>
      </c>
      <c r="GZ127" s="59">
        <f ca="1">AVERAGE(OFFSET($GY$3,0,0,'Données projet'!$E$18+1,1))-AVERAGE(OFFSET($H$3,0,0,'Données projet'!$E$18+1,1))</f>
        <v>268.04554291387961</v>
      </c>
      <c r="HA127" s="59">
        <f t="shared" si="106"/>
        <v>263.70463099437148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52.569089806703374</v>
      </c>
      <c r="HH127" s="21">
        <f>EXP(-LN(2)/25)*HH126+(1-EXP(-LN(2)/25))/(LN(2)/25)*Calculateur!HC127*Calculateur!HE127*VLOOKUP('Données projet'!$B$18,Paramètres!$A$1:$I$89,3,0)*0.475*44/12</f>
        <v>1.2560128286340613</v>
      </c>
      <c r="HI127" s="21">
        <f>EXP(-LN(2)/2)*HI126+(1-EXP(-LN(2)/2))/(LN(2)/2)*HC127*HF127*VLOOKUP('Données projet'!$B$18,Paramètres!$A$1:$I$89,3,0)*0.475*44/12</f>
        <v>1.1590670490321336E-5</v>
      </c>
      <c r="HJ127" s="22">
        <f t="shared" si="84"/>
        <v>53.825114226007926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-2.5124791136477146E-14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46.095319339746538</v>
      </c>
      <c r="T128" s="59">
        <f t="shared" si="88"/>
        <v>48.158174304064403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24.774344789444001</v>
      </c>
      <c r="AA128" s="21">
        <f>EXP(-LN(2)/25)*AA127+(1-EXP(-LN(2)/25))/(LN(2)/25)*Calculateur!V128*Calculateur!X128*VLOOKUP('Données projet'!$B$9,Paramètres!$A$1:$I$89,3,0)*0.475*44/12</f>
        <v>7.8686823198265454</v>
      </c>
      <c r="AB128" s="21">
        <f>EXP(-LN(2)/2)*AB127+(1-EXP(-LN(2)/2))/(LN(2)/2)*V128*Y128*VLOOKUP('Données projet'!$B$9,Paramètres!$A$1:$I$89,3,0)*0.475*44/12</f>
        <v>2.4896659147036094E-6</v>
      </c>
      <c r="AC128" s="22">
        <f t="shared" si="57"/>
        <v>32.643029598936465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-6.7984728957526396E-14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408.84545509668794</v>
      </c>
      <c r="AO128" s="59">
        <f t="shared" si="90"/>
        <v>409.9253979841132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51.915887422464166</v>
      </c>
      <c r="AV128" s="21">
        <f>EXP(-LN(2)/25)*AV127+(1-EXP(-LN(2)/25))/(LN(2)/25)*Calculateur!AQ128*Calculateur!AS128*VLOOKUP('Données projet'!$B$10,Paramètres!$A$1:$I$89,3,0)*0.475*44/12</f>
        <v>12.57643991989112</v>
      </c>
      <c r="AW128" s="21">
        <f>EXP(-LN(2)/2)*AW127+(1-EXP(-LN(2)/2))/(LN(2)/2)*AQ128*AT128*VLOOKUP('Données projet'!$B$10,Paramètres!$A$1:$I$89,3,0)*0.475*44/12</f>
        <v>1.5455528533769741E-8</v>
      </c>
      <c r="AX128" s="21">
        <f t="shared" si="60"/>
        <v>64.492327357810808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-6.7984728957526396E-14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279.69031306919914</v>
      </c>
      <c r="BJ128" s="59">
        <f t="shared" si="92"/>
        <v>297.01680128882509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47.101060196951494</v>
      </c>
      <c r="BQ128" s="21">
        <f>EXP(-LN(2)/25)*BQ127+(1-EXP(-LN(2)/25))/(LN(2)/25)*Calculateur!BL128*Calculateur!BN128*VLOOKUP('Données projet'!$B$11,Paramètres!$A$1:$I$89,3,0)*0.475*44/12</f>
        <v>14.265462725236475</v>
      </c>
      <c r="BR128" s="21">
        <f>EXP(-LN(2)/2)*BR127+(1-EXP(-LN(2)/2))/(LN(2)/2)*BL128*BO128*VLOOKUP('Données projet'!$B$11,Paramètres!$A$1:$I$89,3,0)*0.475*44/12</f>
        <v>3.6059824508768808E-8</v>
      </c>
      <c r="BS128" s="22">
        <f t="shared" si="63"/>
        <v>61.366522958247792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81.299024916151723</v>
      </c>
      <c r="CE128" s="59">
        <f t="shared" si="94"/>
        <v>88.106373324240167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13.931382815928574</v>
      </c>
      <c r="CL128" s="21">
        <f>EXP(-LN(2)/25)*CL127+(1-EXP(-LN(2)/25))/(LN(2)/25)*Calculateur!CG128*Calculateur!CI128*VLOOKUP('Données projet'!$B$12,Paramètres!$A$1:$I$89,3,0)*0.475*44/12</f>
        <v>3.8161856592932293</v>
      </c>
      <c r="CM128" s="21">
        <f>EXP(-LN(2)/2)*CM127+(1-EXP(-LN(2)/2))/(LN(2)/2)*CG128*CJ128*VLOOKUP('Données projet'!$B$12,Paramètres!$A$1:$I$89,3,0)*0.475*44/12</f>
        <v>3.9521857533343693E-9</v>
      </c>
      <c r="CN128" s="22">
        <f t="shared" si="66"/>
        <v>17.747568479173989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-3.4106051316484809E-13</v>
      </c>
      <c r="CU128" s="17">
        <f>CT128*VLOOKUP('Données projet'!$B$13,Paramètres!$A$1:$I$89,3,0)*VLOOKUP('Données projet'!$B$13,Paramètres!$A$1:$I$89,5,0)</f>
        <v>-1.9065282685915009E-13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475.42482703895411</v>
      </c>
      <c r="CZ128" s="59">
        <f t="shared" si="96"/>
        <v>593.51433014569966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95.166066915230843</v>
      </c>
      <c r="DG128" s="21">
        <f>EXP(-LN(2)/25)*DG127+(1-EXP(-LN(2)/25))/(LN(2)/25)*Calculateur!DB128*Calculateur!DD128*VLOOKUP('Données projet'!$B$13,Paramètres!$A$1:$I$89,3,0)*0.475*44/12</f>
        <v>12.267122897950101</v>
      </c>
      <c r="DH128" s="21">
        <f>EXP(-LN(2)/2)*DH127+(1-EXP(-LN(2)/2))/(LN(2)/2)*DB128*DE128*VLOOKUP('Données projet'!$B$13,Paramètres!$A$1:$I$89,3,0)*0.475*44/12</f>
        <v>4.5828026661648438E-8</v>
      </c>
      <c r="DI128" s="22">
        <f t="shared" si="69"/>
        <v>107.43318985900898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7</v>
      </c>
      <c r="DO128" s="12">
        <f>IF('Données projet'!$A$166&gt;35,DO127+DN128-DW127,IF(A128&lt;'Données projet'!$A$166,$DL$205^A128,IF(A128='Données projet'!$A$166,'Données projet'!$B$166,DO127+DN128-DW127)))</f>
        <v>369.99999999999966</v>
      </c>
      <c r="DP128" s="17">
        <f>DO128*VLOOKUP('Données projet'!$B$14,Paramètres!$A$1:$I$89,3,0)*VLOOKUP('Données projet'!$B$14,Paramètres!$A$1:$I$89,5,0)</f>
        <v>334.77599999999967</v>
      </c>
      <c r="DQ128" s="13">
        <f t="shared" si="97"/>
        <v>78.419664234834713</v>
      </c>
      <c r="DR128" s="20">
        <f t="shared" si="70"/>
        <v>719.6491152090033</v>
      </c>
      <c r="DS128" s="59">
        <f t="shared" si="71"/>
        <v>1012.9824485423367</v>
      </c>
      <c r="DT128" s="59">
        <f ca="1">AVERAGE(OFFSET($DS$3,0,0,'Données projet'!$E$14+1,1))-AVERAGE(OFFSET($H$3,0,0,'Données projet'!$E$14+1,1))</f>
        <v>401.17301323870578</v>
      </c>
      <c r="DU128" s="59">
        <f t="shared" si="98"/>
        <v>201.57993789149754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38.817224201520062</v>
      </c>
      <c r="EB128" s="21">
        <f>EXP(-LN(2)/25)*EB127+(1-EXP(-LN(2)/25))/(LN(2)/25)*Calculateur!DW128*Calculateur!DY128*VLOOKUP('Données projet'!$B$14,Paramètres!$A$1:$I$89,3,0)*0.475*44/12</f>
        <v>18.858904516599477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57.676128718119543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1.7053025658242404E-13</v>
      </c>
      <c r="EK128" s="17">
        <f>EJ128*VLOOKUP('Données projet'!$B$15,Paramètres!$A$1:$I$89,3,0)*VLOOKUP('Données projet'!$B$15,Paramètres!$A$1:$I$89,5,0)</f>
        <v>1.4897523215040567E-13</v>
      </c>
      <c r="EL128" s="13">
        <f t="shared" si="99"/>
        <v>2.136562777003313E-12</v>
      </c>
      <c r="EM128" s="20">
        <f t="shared" si="73"/>
        <v>3.9806453659427267E-12</v>
      </c>
      <c r="EN128" s="59">
        <f t="shared" si="74"/>
        <v>293.33333333333729</v>
      </c>
      <c r="EO128" s="59">
        <f ca="1">AVERAGE(OFFSET($EN$3,0,0,'Données projet'!$E$15+1,1))-AVERAGE(OFFSET($H$3,0,0,'Données projet'!$E$15+1,1))</f>
        <v>237.8483058552178</v>
      </c>
      <c r="EP128" s="59">
        <f t="shared" si="100"/>
        <v>313.36201272119723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27.377107906257091</v>
      </c>
      <c r="EW128" s="21">
        <f>EXP(-LN(2)/25)*EW127+(1-EXP(-LN(2)/25))/(LN(2)/25)*Calculateur!ER128*Calculateur!ET128*VLOOKUP('Données projet'!$B$15,Paramètres!$A$1:$I$89,3,0)*0.475*44/12</f>
        <v>1.1544685867231441</v>
      </c>
      <c r="EX128" s="21">
        <f>EXP(-LN(2)/2)*EX127+(1-EXP(-LN(2)/2))/(LN(2)/2)*ER128*EU128*VLOOKUP('Données projet'!$B$15,Paramètres!$A$1:$I$89,3,0)*0.475*44/12</f>
        <v>2.1700679452080808E-7</v>
      </c>
      <c r="EY128" s="22">
        <f t="shared" si="75"/>
        <v>28.531576709987029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-2.8421709430404007E-13</v>
      </c>
      <c r="FF128" s="17">
        <f>FE128*VLOOKUP('Données projet'!$B$16,Paramètres!$A$1:$I$89,3,0)*VLOOKUP('Données projet'!$B$16,Paramètres!$A$1:$I$89,5,0)</f>
        <v>-2.2168933355715128E-13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318.52984981739411</v>
      </c>
      <c r="FK128" s="59">
        <f t="shared" si="102"/>
        <v>311.56398336941714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48.620983037332678</v>
      </c>
      <c r="FR128" s="21">
        <f>EXP(-LN(2)/25)*FR127+(1-EXP(-LN(2)/25))/(LN(2)/25)*Calculateur!FM128*Calculateur!FO128*VLOOKUP('Données projet'!$B$16,Paramètres!$A$1:$I$89,3,0)*0.475*44/12</f>
        <v>1.1525161243247333</v>
      </c>
      <c r="FS128" s="21">
        <f>EXP(-LN(2)/2)*FS127+(1-EXP(-LN(2)/2))/(LN(2)/2)*FM128*FP128*VLOOKUP('Données projet'!$B$16,Paramètres!$A$1:$I$89,3,0)*0.475*44/12</f>
        <v>9.5300484909360863E-6</v>
      </c>
      <c r="FT128" s="22">
        <f t="shared" si="78"/>
        <v>49.773508691705906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-2.8421709430404007E-13</v>
      </c>
      <c r="GA128" s="17">
        <f>FZ128*VLOOKUP('Données projet'!$B$17,Paramètres!$A$1:$I$89,3,0)*VLOOKUP('Données projet'!$B$17,Paramètres!$A$1:$I$89,5,0)</f>
        <v>-2.2612312022829427E-13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325.72928944930294</v>
      </c>
      <c r="GF128" s="59">
        <f t="shared" si="104"/>
        <v>318.38876834819752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61.126752162748993</v>
      </c>
      <c r="GM128" s="21">
        <f>EXP(-LN(2)/25)*GM127+(1-EXP(-LN(2)/25))/(LN(2)/25)*Calculateur!GH128*Calculateur!GJ128*VLOOKUP('Données projet'!$B$17,Paramètres!$A$1:$I$89,3,0)*0.475*44/12</f>
        <v>1.4489539925812802</v>
      </c>
      <c r="GN128" s="21">
        <f>EXP(-LN(2)/2)*GN127+(1-EXP(-LN(2)/2))/(LN(2)/2)*GH128*GK128*VLOOKUP('Données projet'!$B$17,Paramètres!$A$1:$I$89,3,0)*0.475*44/12</f>
        <v>9.7206494607547936E-6</v>
      </c>
      <c r="GO128" s="21">
        <f t="shared" si="81"/>
        <v>62.575715875979732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-2.8421709430404007E-13</v>
      </c>
      <c r="GV128" s="17">
        <f>GU128*VLOOKUP('Données projet'!$B$18,Paramètres!$A$1:$I$89,3,0)*VLOOKUP('Données projet'!$B$18,Paramètres!$A$1:$I$89,5,0)</f>
        <v>-1.9065282685915009E-13</v>
      </c>
      <c r="GW128" s="13" t="e">
        <f t="shared" si="105"/>
        <v>#NUM!</v>
      </c>
      <c r="GX128" s="20" t="e">
        <f t="shared" si="82"/>
        <v>#NUM!</v>
      </c>
      <c r="GY128" s="59" t="e">
        <f t="shared" si="83"/>
        <v>#NUM!</v>
      </c>
      <c r="GZ128" s="59">
        <f ca="1">AVERAGE(OFFSET($GY$3,0,0,'Données projet'!$E$18+1,1))-AVERAGE(OFFSET($H$3,0,0,'Données projet'!$E$18+1,1))</f>
        <v>268.04554291387961</v>
      </c>
      <c r="HA128" s="59">
        <f t="shared" si="106"/>
        <v>263.70463099437148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51.53824201957265</v>
      </c>
      <c r="HH128" s="21">
        <f>EXP(-LN(2)/25)*HH127+(1-EXP(-LN(2)/25))/(LN(2)/25)*Calculateur!HC128*Calculateur!HE128*VLOOKUP('Données projet'!$B$18,Paramètres!$A$1:$I$89,3,0)*0.475*44/12</f>
        <v>1.221667091784219</v>
      </c>
      <c r="HI128" s="21">
        <f>EXP(-LN(2)/2)*HI127+(1-EXP(-LN(2)/2))/(LN(2)/2)*HC128*HF128*VLOOKUP('Données projet'!$B$18,Paramètres!$A$1:$I$89,3,0)*0.475*44/12</f>
        <v>8.195841702205022E-6</v>
      </c>
      <c r="HJ128" s="22">
        <f t="shared" si="84"/>
        <v>52.75991730719857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-2.5124791136477146E-14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46.095319339746538</v>
      </c>
      <c r="T129" s="59">
        <f t="shared" si="88"/>
        <v>48.158174304064403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24.288534998981252</v>
      </c>
      <c r="AA129" s="21">
        <f>EXP(-LN(2)/25)*AA128+(1-EXP(-LN(2)/25))/(LN(2)/25)*Calculateur!V129*Calculateur!X129*VLOOKUP('Données projet'!$B$9,Paramètres!$A$1:$I$89,3,0)*0.475*44/12</f>
        <v>7.6535127879948694</v>
      </c>
      <c r="AB129" s="21">
        <f>EXP(-LN(2)/2)*AB128+(1-EXP(-LN(2)/2))/(LN(2)/2)*V129*Y129*VLOOKUP('Données projet'!$B$9,Paramètres!$A$1:$I$89,3,0)*0.475*44/12</f>
        <v>1.7604596511759308E-6</v>
      </c>
      <c r="AC129" s="22">
        <f t="shared" si="57"/>
        <v>31.942049547435772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-6.7984728957526396E-14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408.84545509668794</v>
      </c>
      <c r="AO129" s="59">
        <f t="shared" si="90"/>
        <v>409.9253979841132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50.897848535674257</v>
      </c>
      <c r="AV129" s="21">
        <f>EXP(-LN(2)/25)*AV128+(1-EXP(-LN(2)/25))/(LN(2)/25)*Calculateur!AQ129*Calculateur!AS129*VLOOKUP('Données projet'!$B$10,Paramètres!$A$1:$I$89,3,0)*0.475*44/12</f>
        <v>12.232536508915466</v>
      </c>
      <c r="AW129" s="21">
        <f>EXP(-LN(2)/2)*AW128+(1-EXP(-LN(2)/2))/(LN(2)/2)*AQ129*AT129*VLOOKUP('Données projet'!$B$10,Paramètres!$A$1:$I$89,3,0)*0.475*44/12</f>
        <v>1.0928709033050762E-8</v>
      </c>
      <c r="AX129" s="21">
        <f t="shared" si="60"/>
        <v>63.130385055518431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-6.7984728957526396E-14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279.69031306919914</v>
      </c>
      <c r="BJ129" s="59">
        <f t="shared" si="92"/>
        <v>297.01680128882509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46.177437135299257</v>
      </c>
      <c r="BQ129" s="21">
        <f>EXP(-LN(2)/25)*BQ128+(1-EXP(-LN(2)/25))/(LN(2)/25)*Calculateur!BL129*Calculateur!BN129*VLOOKUP('Données projet'!$B$11,Paramètres!$A$1:$I$89,3,0)*0.475*44/12</f>
        <v>13.875372896826804</v>
      </c>
      <c r="BR129" s="21">
        <f>EXP(-LN(2)/2)*BR128+(1-EXP(-LN(2)/2))/(LN(2)/2)*BL129*BO129*VLOOKUP('Données projet'!$B$11,Paramètres!$A$1:$I$89,3,0)*0.475*44/12</f>
        <v>2.549814643854729E-8</v>
      </c>
      <c r="BS129" s="22">
        <f t="shared" si="63"/>
        <v>60.052810057624207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81.299024916151723</v>
      </c>
      <c r="CE129" s="59">
        <f t="shared" si="94"/>
        <v>88.106373324240167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13.658196896212694</v>
      </c>
      <c r="CL129" s="21">
        <f>EXP(-LN(2)/25)*CL128+(1-EXP(-LN(2)/25))/(LN(2)/25)*Calculateur!CG129*Calculateur!CI129*VLOOKUP('Données projet'!$B$12,Paramètres!$A$1:$I$89,3,0)*0.475*44/12</f>
        <v>3.7118318617553743</v>
      </c>
      <c r="CM129" s="21">
        <f>EXP(-LN(2)/2)*CM128+(1-EXP(-LN(2)/2))/(LN(2)/2)*CG129*CJ129*VLOOKUP('Données projet'!$B$12,Paramètres!$A$1:$I$89,3,0)*0.475*44/12</f>
        <v>2.7946173466915964E-9</v>
      </c>
      <c r="CN129" s="22">
        <f t="shared" si="66"/>
        <v>17.370028760762686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-3.4106051316484809E-13</v>
      </c>
      <c r="CU129" s="17">
        <f>CT129*VLOOKUP('Données projet'!$B$13,Paramètres!$A$1:$I$89,3,0)*VLOOKUP('Données projet'!$B$13,Paramètres!$A$1:$I$89,5,0)</f>
        <v>-1.9065282685915009E-13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475.42482703895411</v>
      </c>
      <c r="CZ129" s="59">
        <f t="shared" si="96"/>
        <v>593.51433014569966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93.299918388592459</v>
      </c>
      <c r="DG129" s="21">
        <f>EXP(-LN(2)/25)*DG128+(1-EXP(-LN(2)/25))/(LN(2)/25)*Calculateur!DB129*Calculateur!DD129*VLOOKUP('Données projet'!$B$13,Paramètres!$A$1:$I$89,3,0)*0.475*44/12</f>
        <v>11.931677777205699</v>
      </c>
      <c r="DH129" s="21">
        <f>EXP(-LN(2)/2)*DH128+(1-EXP(-LN(2)/2))/(LN(2)/2)*DB129*DE129*VLOOKUP('Données projet'!$B$13,Paramètres!$A$1:$I$89,3,0)*0.475*44/12</f>
        <v>3.2405308420849508E-8</v>
      </c>
      <c r="DI129" s="22">
        <f t="shared" si="69"/>
        <v>105.23159619820346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7</v>
      </c>
      <c r="DO129" s="12">
        <f>IF('Données projet'!$A$166&gt;35,DO128+DN129-DW128,IF(A129&lt;'Données projet'!$A$166,$DL$205^A129,IF(A129='Données projet'!$A$166,'Données projet'!$B$166,DO128+DN129-DW128)))</f>
        <v>376.99999999999966</v>
      </c>
      <c r="DP129" s="17">
        <f>DO129*VLOOKUP('Données projet'!$B$14,Paramètres!$A$1:$I$89,3,0)*VLOOKUP('Données projet'!$B$14,Paramètres!$A$1:$I$89,5,0)</f>
        <v>341.10959999999972</v>
      </c>
      <c r="DQ129" s="13">
        <f t="shared" si="97"/>
        <v>79.729153316624988</v>
      </c>
      <c r="DR129" s="20">
        <f t="shared" si="70"/>
        <v>732.96082869312124</v>
      </c>
      <c r="DS129" s="59">
        <f t="shared" si="71"/>
        <v>1026.2941620264546</v>
      </c>
      <c r="DT129" s="59">
        <f ca="1">AVERAGE(OFFSET($DS$3,0,0,'Données projet'!$E$14+1,1))-AVERAGE(OFFSET($H$3,0,0,'Données projet'!$E$14+1,1))</f>
        <v>401.17301323870578</v>
      </c>
      <c r="DU129" s="59">
        <f t="shared" si="98"/>
        <v>201.57993789149754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38.056042111097192</v>
      </c>
      <c r="EB129" s="21">
        <f>EXP(-LN(2)/25)*EB128+(1-EXP(-LN(2)/25))/(LN(2)/25)*Calculateur!DW129*Calculateur!DY129*VLOOKUP('Données projet'!$B$14,Paramètres!$A$1:$I$89,3,0)*0.475*44/12</f>
        <v>18.34320678084638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56.399248891943571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1.7053025658242404E-13</v>
      </c>
      <c r="EK129" s="17">
        <f>EJ129*VLOOKUP('Données projet'!$B$15,Paramètres!$A$1:$I$89,3,0)*VLOOKUP('Données projet'!$B$15,Paramètres!$A$1:$I$89,5,0)</f>
        <v>1.4897523215040567E-13</v>
      </c>
      <c r="EL129" s="13">
        <f t="shared" si="99"/>
        <v>2.136562777003313E-12</v>
      </c>
      <c r="EM129" s="20">
        <f t="shared" si="73"/>
        <v>3.9806453659427267E-12</v>
      </c>
      <c r="EN129" s="59">
        <f t="shared" si="74"/>
        <v>293.33333333333729</v>
      </c>
      <c r="EO129" s="59">
        <f ca="1">AVERAGE(OFFSET($EN$3,0,0,'Données projet'!$E$15+1,1))-AVERAGE(OFFSET($H$3,0,0,'Données projet'!$E$15+1,1))</f>
        <v>237.8483058552178</v>
      </c>
      <c r="EP129" s="59">
        <f t="shared" si="100"/>
        <v>313.36201272119723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26.840259518602384</v>
      </c>
      <c r="EW129" s="21">
        <f>EXP(-LN(2)/25)*EW128+(1-EXP(-LN(2)/25))/(LN(2)/25)*Calculateur!ER129*Calculateur!ET129*VLOOKUP('Données projet'!$B$15,Paramètres!$A$1:$I$89,3,0)*0.475*44/12</f>
        <v>1.1228995825083354</v>
      </c>
      <c r="EX129" s="21">
        <f>EXP(-LN(2)/2)*EX128+(1-EXP(-LN(2)/2))/(LN(2)/2)*ER129*EU129*VLOOKUP('Données projet'!$B$15,Paramètres!$A$1:$I$89,3,0)*0.475*44/12</f>
        <v>1.5344697596921912E-7</v>
      </c>
      <c r="EY129" s="22">
        <f t="shared" si="75"/>
        <v>27.963159254557695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-2.8421709430404007E-13</v>
      </c>
      <c r="FF129" s="17">
        <f>FE129*VLOOKUP('Données projet'!$B$16,Paramètres!$A$1:$I$89,3,0)*VLOOKUP('Données projet'!$B$16,Paramètres!$A$1:$I$89,5,0)</f>
        <v>-2.2168933355715128E-13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318.52984981739411</v>
      </c>
      <c r="FK129" s="59">
        <f t="shared" si="102"/>
        <v>311.56398336941714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47.667555215841965</v>
      </c>
      <c r="FR129" s="21">
        <f>EXP(-LN(2)/25)*FR128+(1-EXP(-LN(2)/25))/(LN(2)/25)*Calculateur!FM129*Calculateur!FO129*VLOOKUP('Données projet'!$B$16,Paramètres!$A$1:$I$89,3,0)*0.475*44/12</f>
        <v>1.1210005102968845</v>
      </c>
      <c r="FS129" s="21">
        <f>EXP(-LN(2)/2)*FS128+(1-EXP(-LN(2)/2))/(LN(2)/2)*FM129*FP129*VLOOKUP('Données projet'!$B$16,Paramètres!$A$1:$I$89,3,0)*0.475*44/12</f>
        <v>6.7387619129775307E-6</v>
      </c>
      <c r="FT129" s="22">
        <f t="shared" si="78"/>
        <v>48.788562464900764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-2.8421709430404007E-13</v>
      </c>
      <c r="GA129" s="17">
        <f>FZ129*VLOOKUP('Données projet'!$B$17,Paramètres!$A$1:$I$89,3,0)*VLOOKUP('Données projet'!$B$17,Paramètres!$A$1:$I$89,5,0)</f>
        <v>-2.2612312022829427E-13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325.72928944930294</v>
      </c>
      <c r="GF129" s="59">
        <f t="shared" si="104"/>
        <v>318.38876834819752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59.928093836474851</v>
      </c>
      <c r="GM129" s="21">
        <f>EXP(-LN(2)/25)*GM128+(1-EXP(-LN(2)/25))/(LN(2)/25)*Calculateur!GH129*Calculateur!GJ129*VLOOKUP('Données projet'!$B$17,Paramètres!$A$1:$I$89,3,0)*0.475*44/12</f>
        <v>1.4093322694569663</v>
      </c>
      <c r="GN129" s="21">
        <f>EXP(-LN(2)/2)*GN128+(1-EXP(-LN(2)/2))/(LN(2)/2)*GH129*GK129*VLOOKUP('Données projet'!$B$17,Paramètres!$A$1:$I$89,3,0)*0.475*44/12</f>
        <v>6.8735371512370711E-6</v>
      </c>
      <c r="GO129" s="21">
        <f t="shared" si="81"/>
        <v>61.337432979468971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-2.8421709430404007E-13</v>
      </c>
      <c r="GV129" s="17">
        <f>GU129*VLOOKUP('Données projet'!$B$18,Paramètres!$A$1:$I$89,3,0)*VLOOKUP('Données projet'!$B$18,Paramètres!$A$1:$I$89,5,0)</f>
        <v>-1.9065282685915009E-13</v>
      </c>
      <c r="GW129" s="13" t="e">
        <f t="shared" si="105"/>
        <v>#NUM!</v>
      </c>
      <c r="GX129" s="20" t="e">
        <f t="shared" si="82"/>
        <v>#NUM!</v>
      </c>
      <c r="GY129" s="59" t="e">
        <f t="shared" si="83"/>
        <v>#NUM!</v>
      </c>
      <c r="GZ129" s="59">
        <f ca="1">AVERAGE(OFFSET($GY$3,0,0,'Données projet'!$E$18+1,1))-AVERAGE(OFFSET($H$3,0,0,'Données projet'!$E$18+1,1))</f>
        <v>268.04554291387961</v>
      </c>
      <c r="HA129" s="59">
        <f t="shared" si="106"/>
        <v>263.70463099437148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50.527608528792491</v>
      </c>
      <c r="HH129" s="21">
        <f>EXP(-LN(2)/25)*HH128+(1-EXP(-LN(2)/25))/(LN(2)/25)*Calculateur!HC129*Calculateur!HE129*VLOOKUP('Données projet'!$B$18,Paramètres!$A$1:$I$89,3,0)*0.475*44/12</f>
        <v>1.1882605409146993</v>
      </c>
      <c r="HI129" s="21">
        <f>EXP(-LN(2)/2)*HI128+(1-EXP(-LN(2)/2))/(LN(2)/2)*HC129*HF129*VLOOKUP('Données projet'!$B$18,Paramètres!$A$1:$I$89,3,0)*0.475*44/12</f>
        <v>5.7953352451606678E-6</v>
      </c>
      <c r="HJ129" s="22">
        <f t="shared" si="84"/>
        <v>51.715874865042437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-2.5124791136477146E-14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46.095319339746538</v>
      </c>
      <c r="T130" s="59">
        <f t="shared" si="88"/>
        <v>48.158174304064403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23.812251642194763</v>
      </c>
      <c r="AA130" s="21">
        <f>EXP(-LN(2)/25)*AA129+(1-EXP(-LN(2)/25))/(LN(2)/25)*Calculateur!V130*Calculateur!X130*VLOOKUP('Données projet'!$B$9,Paramètres!$A$1:$I$89,3,0)*0.475*44/12</f>
        <v>7.4442270783264046</v>
      </c>
      <c r="AB130" s="21">
        <f>EXP(-LN(2)/2)*AB129+(1-EXP(-LN(2)/2))/(LN(2)/2)*V130*Y130*VLOOKUP('Données projet'!$B$9,Paramètres!$A$1:$I$89,3,0)*0.475*44/12</f>
        <v>1.2448329573518047E-6</v>
      </c>
      <c r="AC130" s="22">
        <f t="shared" si="57"/>
        <v>31.256479965354124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-6.7984728957526396E-14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408.84545509668794</v>
      </c>
      <c r="AO130" s="59">
        <f t="shared" si="90"/>
        <v>409.9253979841132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49.899772770511888</v>
      </c>
      <c r="AV130" s="21">
        <f>EXP(-LN(2)/25)*AV129+(1-EXP(-LN(2)/25))/(LN(2)/25)*Calculateur!AQ130*Calculateur!AS130*VLOOKUP('Données projet'!$B$10,Paramètres!$A$1:$I$89,3,0)*0.475*44/12</f>
        <v>11.898037154798036</v>
      </c>
      <c r="AW130" s="21">
        <f>EXP(-LN(2)/2)*AW129+(1-EXP(-LN(2)/2))/(LN(2)/2)*AQ130*AT130*VLOOKUP('Données projet'!$B$10,Paramètres!$A$1:$I$89,3,0)*0.475*44/12</f>
        <v>7.7277642668848705E-9</v>
      </c>
      <c r="AX130" s="21">
        <f t="shared" si="60"/>
        <v>61.797809933037684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-6.7984728957526396E-14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279.69031306919914</v>
      </c>
      <c r="BJ130" s="59">
        <f t="shared" si="92"/>
        <v>297.01680128882509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45.271925758531587</v>
      </c>
      <c r="BQ130" s="21">
        <f>EXP(-LN(2)/25)*BQ129+(1-EXP(-LN(2)/25))/(LN(2)/25)*Calculateur!BL130*Calculateur!BN130*VLOOKUP('Données projet'!$B$11,Paramètres!$A$1:$I$89,3,0)*0.475*44/12</f>
        <v>13.495950095288926</v>
      </c>
      <c r="BR130" s="21">
        <f>EXP(-LN(2)/2)*BR129+(1-EXP(-LN(2)/2))/(LN(2)/2)*BL130*BO130*VLOOKUP('Données projet'!$B$11,Paramètres!$A$1:$I$89,3,0)*0.475*44/12</f>
        <v>1.8029912254384404E-8</v>
      </c>
      <c r="BS130" s="22">
        <f t="shared" si="63"/>
        <v>58.767875871850428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81.299024916151723</v>
      </c>
      <c r="CE130" s="59">
        <f t="shared" si="94"/>
        <v>88.106373324240167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13.390367985755484</v>
      </c>
      <c r="CL130" s="21">
        <f>EXP(-LN(2)/25)*CL129+(1-EXP(-LN(2)/25))/(LN(2)/25)*Calculateur!CG130*Calculateur!CI130*VLOOKUP('Données projet'!$B$12,Paramètres!$A$1:$I$89,3,0)*0.475*44/12</f>
        <v>3.6103316242989196</v>
      </c>
      <c r="CM130" s="21">
        <f>EXP(-LN(2)/2)*CM129+(1-EXP(-LN(2)/2))/(LN(2)/2)*CG130*CJ130*VLOOKUP('Données projet'!$B$12,Paramètres!$A$1:$I$89,3,0)*0.475*44/12</f>
        <v>1.9760928766671846E-9</v>
      </c>
      <c r="CN130" s="22">
        <f t="shared" si="66"/>
        <v>17.000699612030498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-3.4106051316484809E-13</v>
      </c>
      <c r="CU130" s="17">
        <f>CT130*VLOOKUP('Données projet'!$B$13,Paramètres!$A$1:$I$89,3,0)*VLOOKUP('Données projet'!$B$13,Paramètres!$A$1:$I$89,5,0)</f>
        <v>-1.9065282685915009E-13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475.42482703895411</v>
      </c>
      <c r="CZ130" s="59">
        <f t="shared" si="96"/>
        <v>593.51433014569966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91.470363896323249</v>
      </c>
      <c r="DG130" s="21">
        <f>EXP(-LN(2)/25)*DG129+(1-EXP(-LN(2)/25))/(LN(2)/25)*Calculateur!DB130*Calculateur!DD130*VLOOKUP('Données projet'!$B$13,Paramètres!$A$1:$I$89,3,0)*0.475*44/12</f>
        <v>11.605405420928346</v>
      </c>
      <c r="DH130" s="21">
        <f>EXP(-LN(2)/2)*DH129+(1-EXP(-LN(2)/2))/(LN(2)/2)*DB130*DE130*VLOOKUP('Données projet'!$B$13,Paramètres!$A$1:$I$89,3,0)*0.475*44/12</f>
        <v>2.2914013330824219E-8</v>
      </c>
      <c r="DI130" s="22">
        <f t="shared" si="69"/>
        <v>103.07576934016561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7</v>
      </c>
      <c r="DO130" s="12">
        <f>IF('Données projet'!$A$166&gt;35,DO129+DN130-DW129,IF(A130&lt;'Données projet'!$A$166,$DL$205^A130,IF(A130='Données projet'!$A$166,'Données projet'!$B$166,DO129+DN130-DW129)))</f>
        <v>383.99999999999966</v>
      </c>
      <c r="DP130" s="17">
        <f>DO130*VLOOKUP('Données projet'!$B$14,Paramètres!$A$1:$I$89,3,0)*VLOOKUP('Données projet'!$B$14,Paramètres!$A$1:$I$89,5,0)</f>
        <v>347.44319999999971</v>
      </c>
      <c r="DQ130" s="13">
        <f t="shared" si="97"/>
        <v>81.035815119183155</v>
      </c>
      <c r="DR130" s="20">
        <f t="shared" si="70"/>
        <v>746.2676179992435</v>
      </c>
      <c r="DS130" s="59">
        <f t="shared" si="71"/>
        <v>1039.6009513325769</v>
      </c>
      <c r="DT130" s="59">
        <f ca="1">AVERAGE(OFFSET($DS$3,0,0,'Données projet'!$E$14+1,1))-AVERAGE(OFFSET($H$3,0,0,'Données projet'!$E$14+1,1))</f>
        <v>401.17301323870578</v>
      </c>
      <c r="DU130" s="59">
        <f t="shared" si="98"/>
        <v>201.57993789149754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37.309786337192278</v>
      </c>
      <c r="EB130" s="21">
        <f>EXP(-LN(2)/25)*EB129+(1-EXP(-LN(2)/25))/(LN(2)/25)*Calculateur!DW130*Calculateur!DY130*VLOOKUP('Données projet'!$B$14,Paramètres!$A$1:$I$89,3,0)*0.475*44/12</f>
        <v>17.841610826796813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55.151397163989088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1.7053025658242404E-13</v>
      </c>
      <c r="EK130" s="17">
        <f>EJ130*VLOOKUP('Données projet'!$B$15,Paramètres!$A$1:$I$89,3,0)*VLOOKUP('Données projet'!$B$15,Paramètres!$A$1:$I$89,5,0)</f>
        <v>1.4897523215040567E-13</v>
      </c>
      <c r="EL130" s="13">
        <f t="shared" si="99"/>
        <v>2.136562777003313E-12</v>
      </c>
      <c r="EM130" s="20">
        <f t="shared" si="73"/>
        <v>3.9806453659427267E-12</v>
      </c>
      <c r="EN130" s="59">
        <f t="shared" si="74"/>
        <v>293.33333333333729</v>
      </c>
      <c r="EO130" s="59">
        <f ca="1">AVERAGE(OFFSET($EN$3,0,0,'Données projet'!$E$15+1,1))-AVERAGE(OFFSET($H$3,0,0,'Données projet'!$E$15+1,1))</f>
        <v>237.8483058552178</v>
      </c>
      <c r="EP130" s="59">
        <f t="shared" si="100"/>
        <v>313.36201272119723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26.313938400384401</v>
      </c>
      <c r="EW130" s="21">
        <f>EXP(-LN(2)/25)*EW129+(1-EXP(-LN(2)/25))/(LN(2)/25)*Calculateur!ER130*Calculateur!ET130*VLOOKUP('Données projet'!$B$15,Paramètres!$A$1:$I$89,3,0)*0.475*44/12</f>
        <v>1.0921938343739224</v>
      </c>
      <c r="EX130" s="21">
        <f>EXP(-LN(2)/2)*EX129+(1-EXP(-LN(2)/2))/(LN(2)/2)*ER130*EU130*VLOOKUP('Données projet'!$B$15,Paramètres!$A$1:$I$89,3,0)*0.475*44/12</f>
        <v>1.0850339726040404E-7</v>
      </c>
      <c r="EY130" s="22">
        <f t="shared" si="75"/>
        <v>27.406132343261721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-2.8421709430404007E-13</v>
      </c>
      <c r="FF130" s="17">
        <f>FE130*VLOOKUP('Données projet'!$B$16,Paramètres!$A$1:$I$89,3,0)*VLOOKUP('Données projet'!$B$16,Paramètres!$A$1:$I$89,5,0)</f>
        <v>-2.2168933355715128E-13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318.52984981739411</v>
      </c>
      <c r="FK130" s="59">
        <f t="shared" si="102"/>
        <v>311.56398336941714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46.732823532397134</v>
      </c>
      <c r="FR130" s="21">
        <f>EXP(-LN(2)/25)*FR129+(1-EXP(-LN(2)/25))/(LN(2)/25)*Calculateur!FM130*Calculateur!FO130*VLOOKUP('Données projet'!$B$16,Paramètres!$A$1:$I$89,3,0)*0.475*44/12</f>
        <v>1.0903466923919614</v>
      </c>
      <c r="FS130" s="21">
        <f>EXP(-LN(2)/2)*FS129+(1-EXP(-LN(2)/2))/(LN(2)/2)*FM130*FP130*VLOOKUP('Données projet'!$B$16,Paramètres!$A$1:$I$89,3,0)*0.475*44/12</f>
        <v>4.7650242454680432E-6</v>
      </c>
      <c r="FT130" s="22">
        <f t="shared" si="78"/>
        <v>47.823174989813339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-2.8421709430404007E-13</v>
      </c>
      <c r="GA130" s="17">
        <f>FZ130*VLOOKUP('Données projet'!$B$17,Paramètres!$A$1:$I$89,3,0)*VLOOKUP('Données projet'!$B$17,Paramètres!$A$1:$I$89,5,0)</f>
        <v>-2.2612312022829427E-13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325.72928944930294</v>
      </c>
      <c r="GF130" s="59">
        <f t="shared" si="104"/>
        <v>318.38876834819752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58.752940468869554</v>
      </c>
      <c r="GM130" s="21">
        <f>EXP(-LN(2)/25)*GM129+(1-EXP(-LN(2)/25))/(LN(2)/25)*Calculateur!GH130*Calculateur!GJ130*VLOOKUP('Données projet'!$B$17,Paramètres!$A$1:$I$89,3,0)*0.475*44/12</f>
        <v>1.3707940044351026</v>
      </c>
      <c r="GN130" s="21">
        <f>EXP(-LN(2)/2)*GN129+(1-EXP(-LN(2)/2))/(LN(2)/2)*GH130*GK130*VLOOKUP('Données projet'!$B$17,Paramètres!$A$1:$I$89,3,0)*0.475*44/12</f>
        <v>4.8603247303773968E-6</v>
      </c>
      <c r="GO130" s="21">
        <f t="shared" si="81"/>
        <v>60.123739333629388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-2.8421709430404007E-13</v>
      </c>
      <c r="GV130" s="17">
        <f>GU130*VLOOKUP('Données projet'!$B$18,Paramètres!$A$1:$I$89,3,0)*VLOOKUP('Données projet'!$B$18,Paramètres!$A$1:$I$89,5,0)</f>
        <v>-1.9065282685915009E-13</v>
      </c>
      <c r="GW130" s="13" t="e">
        <f t="shared" si="105"/>
        <v>#NUM!</v>
      </c>
      <c r="GX130" s="20" t="e">
        <f t="shared" si="82"/>
        <v>#NUM!</v>
      </c>
      <c r="GY130" s="59" t="e">
        <f t="shared" si="83"/>
        <v>#NUM!</v>
      </c>
      <c r="GZ130" s="59">
        <f ca="1">AVERAGE(OFFSET($GY$3,0,0,'Données projet'!$E$18+1,1))-AVERAGE(OFFSET($H$3,0,0,'Données projet'!$E$18+1,1))</f>
        <v>268.04554291387961</v>
      </c>
      <c r="HA130" s="59">
        <f t="shared" si="106"/>
        <v>263.70463099437148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49.536792944340966</v>
      </c>
      <c r="HH130" s="21">
        <f>EXP(-LN(2)/25)*HH129+(1-EXP(-LN(2)/25))/(LN(2)/25)*Calculateur!HC130*Calculateur!HE130*VLOOKUP('Données projet'!$B$18,Paramètres!$A$1:$I$89,3,0)*0.475*44/12</f>
        <v>1.1557674939354809</v>
      </c>
      <c r="HI130" s="21">
        <f>EXP(-LN(2)/2)*HI129+(1-EXP(-LN(2)/2))/(LN(2)/2)*HC130*HF130*VLOOKUP('Données projet'!$B$18,Paramètres!$A$1:$I$89,3,0)*0.475*44/12</f>
        <v>4.097920851102511E-6</v>
      </c>
      <c r="HJ130" s="22">
        <f t="shared" si="84"/>
        <v>50.692564536197295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-2.5124791136477146E-14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46.095319339746538</v>
      </c>
      <c r="T131" s="59">
        <f t="shared" si="88"/>
        <v>48.158174304064403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23.345307911530696</v>
      </c>
      <c r="AA131" s="21">
        <f>EXP(-LN(2)/25)*AA130+(1-EXP(-LN(2)/25))/(LN(2)/25)*Calculateur!V131*Calculateur!X131*VLOOKUP('Données projet'!$B$9,Paramètres!$A$1:$I$89,3,0)*0.475*44/12</f>
        <v>7.2406642973946811</v>
      </c>
      <c r="AB131" s="21">
        <f>EXP(-LN(2)/2)*AB130+(1-EXP(-LN(2)/2))/(LN(2)/2)*V131*Y131*VLOOKUP('Données projet'!$B$9,Paramètres!$A$1:$I$89,3,0)*0.475*44/12</f>
        <v>8.8022982558796542E-7</v>
      </c>
      <c r="AC131" s="22">
        <f t="shared" si="57"/>
        <v>30.585973089155203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-6.7984728957526396E-14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408.84545509668794</v>
      </c>
      <c r="AO131" s="59">
        <f t="shared" si="90"/>
        <v>409.9253979841132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48.92126866233825</v>
      </c>
      <c r="AV131" s="21">
        <f>EXP(-LN(2)/25)*AV130+(1-EXP(-LN(2)/25))/(LN(2)/25)*Calculateur!AQ131*Calculateur!AS131*VLOOKUP('Données projet'!$B$10,Paramètres!$A$1:$I$89,3,0)*0.475*44/12</f>
        <v>11.572684703109504</v>
      </c>
      <c r="AW131" s="21">
        <f>EXP(-LN(2)/2)*AW130+(1-EXP(-LN(2)/2))/(LN(2)/2)*AQ131*AT131*VLOOKUP('Données projet'!$B$10,Paramètres!$A$1:$I$89,3,0)*0.475*44/12</f>
        <v>5.464354516525381E-9</v>
      </c>
      <c r="AX131" s="21">
        <f t="shared" si="60"/>
        <v>60.493953370912109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-6.7984728957526396E-14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279.69031306919914</v>
      </c>
      <c r="BJ131" s="59">
        <f t="shared" si="92"/>
        <v>297.01680128882509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44.384170907554925</v>
      </c>
      <c r="BQ131" s="21">
        <f>EXP(-LN(2)/25)*BQ130+(1-EXP(-LN(2)/25))/(LN(2)/25)*Calculateur!BL131*Calculateur!BN131*VLOOKUP('Données projet'!$B$11,Paramètres!$A$1:$I$89,3,0)*0.475*44/12</f>
        <v>13.126902630212079</v>
      </c>
      <c r="BR131" s="21">
        <f>EXP(-LN(2)/2)*BR130+(1-EXP(-LN(2)/2))/(LN(2)/2)*BL131*BO131*VLOOKUP('Données projet'!$B$11,Paramètres!$A$1:$I$89,3,0)*0.475*44/12</f>
        <v>1.2749073219273645E-8</v>
      </c>
      <c r="BS131" s="22">
        <f t="shared" si="63"/>
        <v>57.51107355051608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81.299024916151723</v>
      </c>
      <c r="CE131" s="59">
        <f t="shared" si="94"/>
        <v>88.106373324240167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13.127791036872834</v>
      </c>
      <c r="CL131" s="21">
        <f>EXP(-LN(2)/25)*CL130+(1-EXP(-LN(2)/25))/(LN(2)/25)*Calculateur!CG131*Calculateur!CI131*VLOOKUP('Données projet'!$B$12,Paramètres!$A$1:$I$89,3,0)*0.475*44/12</f>
        <v>3.5116069161733772</v>
      </c>
      <c r="CM131" s="21">
        <f>EXP(-LN(2)/2)*CM130+(1-EXP(-LN(2)/2))/(LN(2)/2)*CG131*CJ131*VLOOKUP('Données projet'!$B$12,Paramètres!$A$1:$I$89,3,0)*0.475*44/12</f>
        <v>1.3973086733457982E-9</v>
      </c>
      <c r="CN131" s="22">
        <f t="shared" si="66"/>
        <v>16.639397954443517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-3.4106051316484809E-13</v>
      </c>
      <c r="CU131" s="17">
        <f>CT131*VLOOKUP('Données projet'!$B$13,Paramètres!$A$1:$I$89,3,0)*VLOOKUP('Données projet'!$B$13,Paramètres!$A$1:$I$89,5,0)</f>
        <v>-1.9065282685915009E-13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475.42482703895411</v>
      </c>
      <c r="CZ131" s="59">
        <f t="shared" si="96"/>
        <v>593.51433014569966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89.676685851729388</v>
      </c>
      <c r="DG131" s="21">
        <f>EXP(-LN(2)/25)*DG130+(1-EXP(-LN(2)/25))/(LN(2)/25)*Calculateur!DB131*Calculateur!DD131*VLOOKUP('Données projet'!$B$13,Paramètres!$A$1:$I$89,3,0)*0.475*44/12</f>
        <v>11.288054999391314</v>
      </c>
      <c r="DH131" s="21">
        <f>EXP(-LN(2)/2)*DH130+(1-EXP(-LN(2)/2))/(LN(2)/2)*DB131*DE131*VLOOKUP('Données projet'!$B$13,Paramètres!$A$1:$I$89,3,0)*0.475*44/12</f>
        <v>1.6202654210424754E-8</v>
      </c>
      <c r="DI131" s="22">
        <f t="shared" si="69"/>
        <v>100.96474086732334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7</v>
      </c>
      <c r="DO131" s="12">
        <f>IF('Données projet'!$A$166&gt;35,DO130+DN131-DW130,IF(A131&lt;'Données projet'!$A$166,$DL$205^A131,IF(A131='Données projet'!$A$166,'Données projet'!$B$166,DO130+DN131-DW130)))</f>
        <v>390.99999999999966</v>
      </c>
      <c r="DP131" s="17">
        <f>DO131*VLOOKUP('Données projet'!$B$14,Paramètres!$A$1:$I$89,3,0)*VLOOKUP('Données projet'!$B$14,Paramètres!$A$1:$I$89,5,0)</f>
        <v>353.77679999999964</v>
      </c>
      <c r="DQ131" s="13">
        <f t="shared" si="97"/>
        <v>82.33970712600572</v>
      </c>
      <c r="DR131" s="20">
        <f t="shared" si="70"/>
        <v>759.5695832444593</v>
      </c>
      <c r="DS131" s="59">
        <f t="shared" si="71"/>
        <v>1052.9029165777927</v>
      </c>
      <c r="DT131" s="59">
        <f ca="1">AVERAGE(OFFSET($DS$3,0,0,'Données projet'!$E$14+1,1))-AVERAGE(OFFSET($H$3,0,0,'Données projet'!$E$14+1,1))</f>
        <v>401.17301323870578</v>
      </c>
      <c r="DU131" s="59">
        <f t="shared" si="98"/>
        <v>201.57993789149754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36.578164183842567</v>
      </c>
      <c r="EB131" s="21">
        <f>EXP(-LN(2)/25)*EB130+(1-EXP(-LN(2)/25))/(LN(2)/25)*Calculateur!DW131*Calculateur!DY131*VLOOKUP('Données projet'!$B$14,Paramètres!$A$1:$I$89,3,0)*0.475*44/12</f>
        <v>17.353731040488519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53.931895224331086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1.7053025658242404E-13</v>
      </c>
      <c r="EK131" s="17">
        <f>EJ131*VLOOKUP('Données projet'!$B$15,Paramètres!$A$1:$I$89,3,0)*VLOOKUP('Données projet'!$B$15,Paramètres!$A$1:$I$89,5,0)</f>
        <v>1.4897523215040567E-13</v>
      </c>
      <c r="EL131" s="13">
        <f t="shared" si="99"/>
        <v>2.136562777003313E-12</v>
      </c>
      <c r="EM131" s="20">
        <f t="shared" si="73"/>
        <v>3.9806453659427267E-12</v>
      </c>
      <c r="EN131" s="59">
        <f t="shared" si="74"/>
        <v>293.33333333333729</v>
      </c>
      <c r="EO131" s="59">
        <f ca="1">AVERAGE(OFFSET($EN$3,0,0,'Données projet'!$E$15+1,1))-AVERAGE(OFFSET($H$3,0,0,'Données projet'!$E$15+1,1))</f>
        <v>237.8483058552178</v>
      </c>
      <c r="EP131" s="59">
        <f t="shared" si="100"/>
        <v>313.36201272119723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25.797938118270491</v>
      </c>
      <c r="EW131" s="21">
        <f>EXP(-LN(2)/25)*EW130+(1-EXP(-LN(2)/25))/(LN(2)/25)*Calculateur!ER131*Calculateur!ET131*VLOOKUP('Données projet'!$B$15,Paramètres!$A$1:$I$89,3,0)*0.475*44/12</f>
        <v>1.0623277365369899</v>
      </c>
      <c r="EX131" s="21">
        <f>EXP(-LN(2)/2)*EX130+(1-EXP(-LN(2)/2))/(LN(2)/2)*ER131*EU131*VLOOKUP('Données projet'!$B$15,Paramètres!$A$1:$I$89,3,0)*0.475*44/12</f>
        <v>7.6723487984609558E-8</v>
      </c>
      <c r="EY131" s="22">
        <f t="shared" si="75"/>
        <v>26.860265931530968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-2.8421709430404007E-13</v>
      </c>
      <c r="FF131" s="17">
        <f>FE131*VLOOKUP('Données projet'!$B$16,Paramètres!$A$1:$I$89,3,0)*VLOOKUP('Données projet'!$B$16,Paramètres!$A$1:$I$89,5,0)</f>
        <v>-2.2168933355715128E-13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318.52984981739411</v>
      </c>
      <c r="FK131" s="59">
        <f t="shared" si="102"/>
        <v>311.56398336941714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45.816421367134623</v>
      </c>
      <c r="FR131" s="21">
        <f>EXP(-LN(2)/25)*FR130+(1-EXP(-LN(2)/25))/(LN(2)/25)*Calculateur!FM131*Calculateur!FO131*VLOOKUP('Données projet'!$B$16,Paramètres!$A$1:$I$89,3,0)*0.475*44/12</f>
        <v>1.0605311047496626</v>
      </c>
      <c r="FS131" s="21">
        <f>EXP(-LN(2)/2)*FS130+(1-EXP(-LN(2)/2))/(LN(2)/2)*FM131*FP131*VLOOKUP('Données projet'!$B$16,Paramètres!$A$1:$I$89,3,0)*0.475*44/12</f>
        <v>3.3693809564887654E-6</v>
      </c>
      <c r="FT131" s="22">
        <f t="shared" si="78"/>
        <v>46.876955841265243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-2.8421709430404007E-13</v>
      </c>
      <c r="GA131" s="17">
        <f>FZ131*VLOOKUP('Données projet'!$B$17,Paramètres!$A$1:$I$89,3,0)*VLOOKUP('Données projet'!$B$17,Paramètres!$A$1:$I$89,5,0)</f>
        <v>-2.2612312022829427E-13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325.72928944930294</v>
      </c>
      <c r="GF131" s="59">
        <f t="shared" si="104"/>
        <v>318.38876834819752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57.600831142030223</v>
      </c>
      <c r="GM131" s="21">
        <f>EXP(-LN(2)/25)*GM130+(1-EXP(-LN(2)/25))/(LN(2)/25)*Calculateur!GH131*Calculateur!GJ131*VLOOKUP('Données projet'!$B$17,Paramètres!$A$1:$I$89,3,0)*0.475*44/12</f>
        <v>1.3333095702969009</v>
      </c>
      <c r="GN131" s="21">
        <f>EXP(-LN(2)/2)*GN130+(1-EXP(-LN(2)/2))/(LN(2)/2)*GH131*GK131*VLOOKUP('Données projet'!$B$17,Paramètres!$A$1:$I$89,3,0)*0.475*44/12</f>
        <v>3.4367685756185355E-6</v>
      </c>
      <c r="GO131" s="21">
        <f t="shared" si="81"/>
        <v>58.934144149095694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-2.8421709430404007E-13</v>
      </c>
      <c r="GV131" s="17">
        <f>GU131*VLOOKUP('Données projet'!$B$18,Paramètres!$A$1:$I$89,3,0)*VLOOKUP('Données projet'!$B$18,Paramètres!$A$1:$I$89,5,0)</f>
        <v>-1.9065282685915009E-13</v>
      </c>
      <c r="GW131" s="13" t="e">
        <f t="shared" si="105"/>
        <v>#NUM!</v>
      </c>
      <c r="GX131" s="20" t="e">
        <f t="shared" si="82"/>
        <v>#NUM!</v>
      </c>
      <c r="GY131" s="59" t="e">
        <f t="shared" si="83"/>
        <v>#NUM!</v>
      </c>
      <c r="GZ131" s="59">
        <f ca="1">AVERAGE(OFFSET($GY$3,0,0,'Données projet'!$E$18+1,1))-AVERAGE(OFFSET($H$3,0,0,'Données projet'!$E$18+1,1))</f>
        <v>268.04554291387961</v>
      </c>
      <c r="HA131" s="59">
        <f t="shared" si="106"/>
        <v>263.70463099437148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48.565406649162703</v>
      </c>
      <c r="HH131" s="21">
        <f>EXP(-LN(2)/25)*HH130+(1-EXP(-LN(2)/25))/(LN(2)/25)*Calculateur!HC131*Calculateur!HE131*VLOOKUP('Données projet'!$B$18,Paramètres!$A$1:$I$89,3,0)*0.475*44/12</f>
        <v>1.1241629710346444</v>
      </c>
      <c r="HI131" s="21">
        <f>EXP(-LN(2)/2)*HI130+(1-EXP(-LN(2)/2))/(LN(2)/2)*HC131*HF131*VLOOKUP('Données projet'!$B$18,Paramètres!$A$1:$I$89,3,0)*0.475*44/12</f>
        <v>2.8976676225803339E-6</v>
      </c>
      <c r="HJ131" s="22">
        <f t="shared" si="84"/>
        <v>49.689572517864967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-2.5124791136477146E-14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46.095319339746538</v>
      </c>
      <c r="T132" s="59">
        <f t="shared" si="88"/>
        <v>48.158174304064403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22.887520662617398</v>
      </c>
      <c r="AA132" s="21">
        <f>EXP(-LN(2)/25)*AA131+(1-EXP(-LN(2)/25))/(LN(2)/25)*Calculateur!V132*Calculateur!X132*VLOOKUP('Données projet'!$B$9,Paramètres!$A$1:$I$89,3,0)*0.475*44/12</f>
        <v>7.0426679514124366</v>
      </c>
      <c r="AB132" s="21">
        <f>EXP(-LN(2)/2)*AB131+(1-EXP(-LN(2)/2))/(LN(2)/2)*V132*Y132*VLOOKUP('Données projet'!$B$9,Paramètres!$A$1:$I$89,3,0)*0.475*44/12</f>
        <v>6.2241647867590235E-7</v>
      </c>
      <c r="AC132" s="22">
        <f t="shared" ref="AC132:AC153" si="111">SUM(Z132:AB132)</f>
        <v>29.930189236446314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-6.7984728957526396E-14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408.84545509668794</v>
      </c>
      <c r="AO132" s="59">
        <f t="shared" si="90"/>
        <v>409.9253979841132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47.961952422897319</v>
      </c>
      <c r="AV132" s="21">
        <f>EXP(-LN(2)/25)*AV131+(1-EXP(-LN(2)/25))/(LN(2)/25)*Calculateur!AQ132*Calculateur!AS132*VLOOKUP('Données projet'!$B$10,Paramètres!$A$1:$I$89,3,0)*0.475*44/12</f>
        <v>11.256229031321935</v>
      </c>
      <c r="AW132" s="21">
        <f>EXP(-LN(2)/2)*AW131+(1-EXP(-LN(2)/2))/(LN(2)/2)*AQ132*AT132*VLOOKUP('Données projet'!$B$10,Paramètres!$A$1:$I$89,3,0)*0.475*44/12</f>
        <v>3.8638821334424352E-9</v>
      </c>
      <c r="AX132" s="21">
        <f t="shared" ref="AX132:AX153" si="114">SUM(AU132:AW132)</f>
        <v>59.218181458083137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-6.7984728957526396E-14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279.69031306919914</v>
      </c>
      <c r="BJ132" s="59">
        <f t="shared" si="92"/>
        <v>297.01680128882509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43.513824387728924</v>
      </c>
      <c r="BQ132" s="21">
        <f>EXP(-LN(2)/25)*BQ131+(1-EXP(-LN(2)/25))/(LN(2)/25)*Calculateur!BL132*Calculateur!BN132*VLOOKUP('Données projet'!$B$11,Paramètres!$A$1:$I$89,3,0)*0.475*44/12</f>
        <v>12.767946787475122</v>
      </c>
      <c r="BR132" s="21">
        <f>EXP(-LN(2)/2)*BR131+(1-EXP(-LN(2)/2))/(LN(2)/2)*BL132*BO132*VLOOKUP('Données projet'!$B$11,Paramètres!$A$1:$I$89,3,0)*0.475*44/12</f>
        <v>9.014956127192202E-9</v>
      </c>
      <c r="BS132" s="22">
        <f t="shared" ref="BS132:BS153" si="117">SUM(BP132:BR132)</f>
        <v>56.281771184218996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81.299024916151723</v>
      </c>
      <c r="CE132" s="59">
        <f t="shared" si="94"/>
        <v>88.106373324240167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12.870363061801649</v>
      </c>
      <c r="CL132" s="21">
        <f>EXP(-LN(2)/25)*CL131+(1-EXP(-LN(2)/25))/(LN(2)/25)*Calculateur!CG132*Calculateur!CI132*VLOOKUP('Données projet'!$B$12,Paramètres!$A$1:$I$89,3,0)*0.475*44/12</f>
        <v>3.4155818403832345</v>
      </c>
      <c r="CM132" s="21">
        <f>EXP(-LN(2)/2)*CM131+(1-EXP(-LN(2)/2))/(LN(2)/2)*CG132*CJ132*VLOOKUP('Données projet'!$B$12,Paramètres!$A$1:$I$89,3,0)*0.475*44/12</f>
        <v>9.8804643833359231E-10</v>
      </c>
      <c r="CN132" s="22">
        <f t="shared" ref="CN132:CN153" si="120">SUM(CK132:CM132)</f>
        <v>16.285944903172929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-3.4106051316484809E-13</v>
      </c>
      <c r="CU132" s="17">
        <f>CT132*VLOOKUP('Données projet'!$B$13,Paramètres!$A$1:$I$89,3,0)*VLOOKUP('Données projet'!$B$13,Paramètres!$A$1:$I$89,5,0)</f>
        <v>-1.9065282685915009E-13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475.42482703895411</v>
      </c>
      <c r="CZ132" s="59">
        <f t="shared" si="96"/>
        <v>593.51433014569966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87.91818073955443</v>
      </c>
      <c r="DG132" s="21">
        <f>EXP(-LN(2)/25)*DG131+(1-EXP(-LN(2)/25))/(LN(2)/25)*Calculateur!DB132*Calculateur!DD132*VLOOKUP('Données projet'!$B$13,Paramètres!$A$1:$I$89,3,0)*0.475*44/12</f>
        <v>10.979382541819945</v>
      </c>
      <c r="DH132" s="21">
        <f>EXP(-LN(2)/2)*DH131+(1-EXP(-LN(2)/2))/(LN(2)/2)*DB132*DE132*VLOOKUP('Données projet'!$B$13,Paramètres!$A$1:$I$89,3,0)*0.475*44/12</f>
        <v>1.1457006665412109E-8</v>
      </c>
      <c r="DI132" s="22">
        <f t="shared" ref="DI132:DI153" si="123">SUM(DF132:DH132)</f>
        <v>98.897563292831379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7</v>
      </c>
      <c r="DO132" s="12">
        <f>IF('Données projet'!$A$166&gt;35,DO131+DN132-DW131,IF(A132&lt;'Données projet'!$A$166,$DL$205^A132,IF(A132='Données projet'!$A$166,'Données projet'!$B$166,DO131+DN132-DW131)))</f>
        <v>397.99999999999966</v>
      </c>
      <c r="DP132" s="17">
        <f>DO132*VLOOKUP('Données projet'!$B$14,Paramètres!$A$1:$I$89,3,0)*VLOOKUP('Données projet'!$B$14,Paramètres!$A$1:$I$89,5,0)</f>
        <v>360.11039999999969</v>
      </c>
      <c r="DQ132" s="13">
        <f t="shared" si="97"/>
        <v>83.640884644487258</v>
      </c>
      <c r="DR132" s="20">
        <f t="shared" ref="DR132:DR153" si="124">(DP132+DQ132)*0.475*44/12</f>
        <v>772.86682075581473</v>
      </c>
      <c r="DS132" s="59">
        <f t="shared" ref="DS132:DS195" si="125">DR132+(DJ132+DK132)*44/12</f>
        <v>1066.2001540891481</v>
      </c>
      <c r="DT132" s="59">
        <f ca="1">AVERAGE(OFFSET($DS$3,0,0,'Données projet'!$E$14+1,1))-AVERAGE(OFFSET($H$3,0,0,'Données projet'!$E$14+1,1))</f>
        <v>401.17301323870578</v>
      </c>
      <c r="DU132" s="59">
        <f t="shared" si="98"/>
        <v>201.57993789149754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35.860888694674593</v>
      </c>
      <c r="EB132" s="21">
        <f>EXP(-LN(2)/25)*EB131+(1-EXP(-LN(2)/25))/(LN(2)/25)*Calculateur!DW132*Calculateur!DY132*VLOOKUP('Données projet'!$B$14,Paramètres!$A$1:$I$89,3,0)*0.475*44/12</f>
        <v>16.879192352593307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52.7400810472679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1.7053025658242404E-13</v>
      </c>
      <c r="EK132" s="17">
        <f>EJ132*VLOOKUP('Données projet'!$B$15,Paramètres!$A$1:$I$89,3,0)*VLOOKUP('Données projet'!$B$15,Paramètres!$A$1:$I$89,5,0)</f>
        <v>1.4897523215040567E-13</v>
      </c>
      <c r="EL132" s="13">
        <f t="shared" si="99"/>
        <v>2.136562777003313E-12</v>
      </c>
      <c r="EM132" s="20">
        <f t="shared" ref="EM132:EM153" si="127">(EK132+EL132)*0.475*44/12</f>
        <v>3.9806453659427267E-12</v>
      </c>
      <c r="EN132" s="59">
        <f t="shared" ref="EN132:EN195" si="128">EM132+(EE132+EF132)*44/12</f>
        <v>293.33333333333729</v>
      </c>
      <c r="EO132" s="59">
        <f ca="1">AVERAGE(OFFSET($EN$3,0,0,'Données projet'!$E$15+1,1))-AVERAGE(OFFSET($H$3,0,0,'Données projet'!$E$15+1,1))</f>
        <v>237.8483058552178</v>
      </c>
      <c r="EP132" s="59">
        <f t="shared" si="100"/>
        <v>313.36201272119723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25.292056286959738</v>
      </c>
      <c r="EW132" s="21">
        <f>EXP(-LN(2)/25)*EW131+(1-EXP(-LN(2)/25))/(LN(2)/25)*Calculateur!ER132*Calculateur!ET132*VLOOKUP('Données projet'!$B$15,Paramètres!$A$1:$I$89,3,0)*0.475*44/12</f>
        <v>1.0332783287159981</v>
      </c>
      <c r="EX132" s="21">
        <f>EXP(-LN(2)/2)*EX131+(1-EXP(-LN(2)/2))/(LN(2)/2)*ER132*EU132*VLOOKUP('Données projet'!$B$15,Paramètres!$A$1:$I$89,3,0)*0.475*44/12</f>
        <v>5.425169863020202E-8</v>
      </c>
      <c r="EY132" s="22">
        <f t="shared" ref="EY132:EY153" si="129">SUM(EV132:EX132)</f>
        <v>26.325334669927436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-2.8421709430404007E-13</v>
      </c>
      <c r="FF132" s="17">
        <f>FE132*VLOOKUP('Données projet'!$B$16,Paramètres!$A$1:$I$89,3,0)*VLOOKUP('Données projet'!$B$16,Paramètres!$A$1:$I$89,5,0)</f>
        <v>-2.2168933355715128E-13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318.52984981739411</v>
      </c>
      <c r="FK132" s="59">
        <f t="shared" si="102"/>
        <v>311.56398336941714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44.917989289382781</v>
      </c>
      <c r="FR132" s="21">
        <f>EXP(-LN(2)/25)*FR131+(1-EXP(-LN(2)/25))/(LN(2)/25)*Calculateur!FM132*Calculateur!FO132*VLOOKUP('Données projet'!$B$16,Paramètres!$A$1:$I$89,3,0)*0.475*44/12</f>
        <v>1.0315308259193761</v>
      </c>
      <c r="FS132" s="21">
        <f>EXP(-LN(2)/2)*FS131+(1-EXP(-LN(2)/2))/(LN(2)/2)*FM132*FP132*VLOOKUP('Données projet'!$B$16,Paramètres!$A$1:$I$89,3,0)*0.475*44/12</f>
        <v>2.3825121227340216E-6</v>
      </c>
      <c r="FT132" s="22">
        <f t="shared" ref="FT132:FT153" si="132">SUM(FQ132:FS132)</f>
        <v>45.949522497814279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-2.8421709430404007E-13</v>
      </c>
      <c r="GA132" s="17">
        <f>FZ132*VLOOKUP('Données projet'!$B$17,Paramètres!$A$1:$I$89,3,0)*VLOOKUP('Données projet'!$B$17,Paramètres!$A$1:$I$89,5,0)</f>
        <v>-2.2612312022829427E-13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325.72928944930294</v>
      </c>
      <c r="GF132" s="59">
        <f t="shared" si="104"/>
        <v>318.38876834819752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56.471313976372905</v>
      </c>
      <c r="GM132" s="21">
        <f>EXP(-LN(2)/25)*GM131+(1-EXP(-LN(2)/25))/(LN(2)/25)*Calculateur!GH132*Calculateur!GJ132*VLOOKUP('Données projet'!$B$17,Paramètres!$A$1:$I$89,3,0)*0.475*44/12</f>
        <v>1.2968501499814291</v>
      </c>
      <c r="GN132" s="21">
        <f>EXP(-LN(2)/2)*GN131+(1-EXP(-LN(2)/2))/(LN(2)/2)*GH132*GK132*VLOOKUP('Données projet'!$B$17,Paramètres!$A$1:$I$89,3,0)*0.475*44/12</f>
        <v>2.4301623651886984E-6</v>
      </c>
      <c r="GO132" s="21">
        <f t="shared" ref="GO132:GO153" si="135">SUM(GL132:GN132)</f>
        <v>57.768166556516704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-2.8421709430404007E-13</v>
      </c>
      <c r="GV132" s="17">
        <f>GU132*VLOOKUP('Données projet'!$B$18,Paramètres!$A$1:$I$89,3,0)*VLOOKUP('Données projet'!$B$18,Paramètres!$A$1:$I$89,5,0)</f>
        <v>-1.9065282685915009E-13</v>
      </c>
      <c r="GW132" s="13" t="e">
        <f t="shared" si="105"/>
        <v>#NUM!</v>
      </c>
      <c r="GX132" s="20" t="e">
        <f t="shared" ref="GX132:GX153" si="136">(GV132+GW132)*0.475*44/12</f>
        <v>#NUM!</v>
      </c>
      <c r="GY132" s="59" t="e">
        <f t="shared" ref="GY132:GY195" si="137">GX132+(GP132+GQ132)*44/12</f>
        <v>#NUM!</v>
      </c>
      <c r="GZ132" s="59">
        <f ca="1">AVERAGE(OFFSET($GY$3,0,0,'Données projet'!$E$18+1,1))-AVERAGE(OFFSET($H$3,0,0,'Données projet'!$E$18+1,1))</f>
        <v>268.04554291387961</v>
      </c>
      <c r="HA132" s="59">
        <f t="shared" si="106"/>
        <v>263.70463099437148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47.613068646745752</v>
      </c>
      <c r="HH132" s="21">
        <f>EXP(-LN(2)/25)*HH131+(1-EXP(-LN(2)/25))/(LN(2)/25)*Calculateur!HC132*Calculateur!HE132*VLOOKUP('Données projet'!$B$18,Paramètres!$A$1:$I$89,3,0)*0.475*44/12</f>
        <v>1.0934226754745406</v>
      </c>
      <c r="HI132" s="21">
        <f>EXP(-LN(2)/2)*HI131+(1-EXP(-LN(2)/2))/(LN(2)/2)*HC132*HF132*VLOOKUP('Données projet'!$B$18,Paramètres!$A$1:$I$89,3,0)*0.475*44/12</f>
        <v>2.0489604255512555E-6</v>
      </c>
      <c r="HJ132" s="22">
        <f t="shared" ref="HJ132:HJ153" si="138">SUM(HG132:HI132)</f>
        <v>48.70649337118072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-2.5124791136477146E-14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46.095319339746538</v>
      </c>
      <c r="T133" s="59">
        <f t="shared" ref="T133:T196" si="142">$T$3</f>
        <v>48.158174304064403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22.438710342432639</v>
      </c>
      <c r="AA133" s="21">
        <f>EXP(-LN(2)/25)*AA132+(1-EXP(-LN(2)/25))/(LN(2)/25)*Calculateur!V133*Calculateur!X133*VLOOKUP('Données projet'!$B$9,Paramètres!$A$1:$I$89,3,0)*0.475*44/12</f>
        <v>6.8500858259232524</v>
      </c>
      <c r="AB133" s="21">
        <f>EXP(-LN(2)/2)*AB132+(1-EXP(-LN(2)/2))/(LN(2)/2)*V133*Y133*VLOOKUP('Données projet'!$B$9,Paramètres!$A$1:$I$89,3,0)*0.475*44/12</f>
        <v>4.4011491279398271E-7</v>
      </c>
      <c r="AC133" s="22">
        <f t="shared" si="111"/>
        <v>29.288796608470804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-6.7984728957526396E-14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408.84545509668794</v>
      </c>
      <c r="AO133" s="59">
        <f t="shared" ref="AO133:AO196" si="144">$AO$3</f>
        <v>409.9253979841132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47.021447789786698</v>
      </c>
      <c r="AV133" s="21">
        <f>EXP(-LN(2)/25)*AV132+(1-EXP(-LN(2)/25))/(LN(2)/25)*Calculateur!AQ133*Calculateur!AS133*VLOOKUP('Données projet'!$B$10,Paramètres!$A$1:$I$89,3,0)*0.475*44/12</f>
        <v>10.948426856521078</v>
      </c>
      <c r="AW133" s="21">
        <f>EXP(-LN(2)/2)*AW132+(1-EXP(-LN(2)/2))/(LN(2)/2)*AQ133*AT133*VLOOKUP('Données projet'!$B$10,Paramètres!$A$1:$I$89,3,0)*0.475*44/12</f>
        <v>2.7321772582626905E-9</v>
      </c>
      <c r="AX133" s="21">
        <f t="shared" si="114"/>
        <v>57.969874649039951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-6.7984728957526396E-14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279.69031306919914</v>
      </c>
      <c r="BJ133" s="59">
        <f t="shared" ref="BJ133:BJ196" si="146">$BJ$3</f>
        <v>297.01680128882509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42.660544832297752</v>
      </c>
      <c r="BQ133" s="21">
        <f>EXP(-LN(2)/25)*BQ132+(1-EXP(-LN(2)/25))/(LN(2)/25)*Calculateur!BL133*Calculateur!BN133*VLOOKUP('Données projet'!$B$11,Paramètres!$A$1:$I$89,3,0)*0.475*44/12</f>
        <v>12.418806611134475</v>
      </c>
      <c r="BR133" s="21">
        <f>EXP(-LN(2)/2)*BR132+(1-EXP(-LN(2)/2))/(LN(2)/2)*BL133*BO133*VLOOKUP('Données projet'!$B$11,Paramètres!$A$1:$I$89,3,0)*0.475*44/12</f>
        <v>6.3745366096368224E-9</v>
      </c>
      <c r="BS133" s="22">
        <f t="shared" si="117"/>
        <v>55.079351449806765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81.299024916151723</v>
      </c>
      <c r="CE133" s="59">
        <f t="shared" ref="CE133:CE196" si="148">$CE$3</f>
        <v>88.106373324240167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12.61798309230605</v>
      </c>
      <c r="CL133" s="21">
        <f>EXP(-LN(2)/25)*CL132+(1-EXP(-LN(2)/25))/(LN(2)/25)*Calculateur!CG133*Calculateur!CI133*VLOOKUP('Données projet'!$B$12,Paramètres!$A$1:$I$89,3,0)*0.475*44/12</f>
        <v>3.3221825753403125</v>
      </c>
      <c r="CM133" s="21">
        <f>EXP(-LN(2)/2)*CM132+(1-EXP(-LN(2)/2))/(LN(2)/2)*CG133*CJ133*VLOOKUP('Données projet'!$B$12,Paramètres!$A$1:$I$89,3,0)*0.475*44/12</f>
        <v>6.9865433667289911E-10</v>
      </c>
      <c r="CN133" s="22">
        <f t="shared" si="120"/>
        <v>15.940165668345015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-3.4106051316484809E-13</v>
      </c>
      <c r="CU133" s="17">
        <f>CT133*VLOOKUP('Données projet'!$B$13,Paramètres!$A$1:$I$89,3,0)*VLOOKUP('Données projet'!$B$13,Paramètres!$A$1:$I$89,5,0)</f>
        <v>-1.9065282685915009E-13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475.42482703895411</v>
      </c>
      <c r="CZ133" s="59">
        <f t="shared" ref="CZ133:CZ196" si="150">$CZ$3</f>
        <v>593.51433014569966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86.19415884004701</v>
      </c>
      <c r="DG133" s="21">
        <f>EXP(-LN(2)/25)*DG132+(1-EXP(-LN(2)/25))/(LN(2)/25)*Calculateur!DB133*Calculateur!DD133*VLOOKUP('Données projet'!$B$13,Paramètres!$A$1:$I$89,3,0)*0.475*44/12</f>
        <v>10.679150748833244</v>
      </c>
      <c r="DH133" s="21">
        <f>EXP(-LN(2)/2)*DH132+(1-EXP(-LN(2)/2))/(LN(2)/2)*DB133*DE133*VLOOKUP('Données projet'!$B$13,Paramètres!$A$1:$I$89,3,0)*0.475*44/12</f>
        <v>8.101327105212377E-9</v>
      </c>
      <c r="DI133" s="22">
        <f t="shared" si="123"/>
        <v>96.873309596981585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7</v>
      </c>
      <c r="DO133" s="12">
        <f>IF('Données projet'!$A$166&gt;35,DO132+DN133-DW132,IF(A133&lt;'Données projet'!$A$166,$DL$205^A133,IF(A133='Données projet'!$A$166,'Données projet'!$B$166,DO132+DN133-DW132)))</f>
        <v>404.99999999999966</v>
      </c>
      <c r="DP133" s="17">
        <f>DO133*VLOOKUP('Données projet'!$B$14,Paramètres!$A$1:$I$89,3,0)*VLOOKUP('Données projet'!$B$14,Paramètres!$A$1:$I$89,5,0)</f>
        <v>366.44399999999968</v>
      </c>
      <c r="DQ133" s="13">
        <f t="shared" ref="DQ133:DQ153" si="151">EXP(-1.0587+0.8836*LN(DP133)+0.284)</f>
        <v>84.939400925097203</v>
      </c>
      <c r="DR133" s="20">
        <f t="shared" si="124"/>
        <v>786.15942327787707</v>
      </c>
      <c r="DS133" s="59">
        <f t="shared" si="125"/>
        <v>1079.4927566112103</v>
      </c>
      <c r="DT133" s="59">
        <f ca="1">AVERAGE(OFFSET($DS$3,0,0,'Données projet'!$E$14+1,1))-AVERAGE(OFFSET($H$3,0,0,'Données projet'!$E$14+1,1))</f>
        <v>401.17301323870578</v>
      </c>
      <c r="DU133" s="59">
        <f t="shared" ref="DU133:DU196" si="152">$DU$3</f>
        <v>201.57993789149754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35.157678540354347</v>
      </c>
      <c r="EB133" s="21">
        <f>EXP(-LN(2)/25)*EB132+(1-EXP(-LN(2)/25))/(LN(2)/25)*Calculateur!DW133*Calculateur!DY133*VLOOKUP('Données projet'!$B$14,Paramètres!$A$1:$I$89,3,0)*0.475*44/12</f>
        <v>16.417629950073497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51.575308490427844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1.7053025658242404E-13</v>
      </c>
      <c r="EK133" s="17">
        <f>EJ133*VLOOKUP('Données projet'!$B$15,Paramètres!$A$1:$I$89,3,0)*VLOOKUP('Données projet'!$B$15,Paramètres!$A$1:$I$89,5,0)</f>
        <v>1.4897523215040567E-13</v>
      </c>
      <c r="EL133" s="13">
        <f t="shared" ref="EL133:EL153" si="153">EXP(-1.0587+0.8836*LN(EK133)+0.284)</f>
        <v>2.136562777003313E-12</v>
      </c>
      <c r="EM133" s="20">
        <f t="shared" si="127"/>
        <v>3.9806453659427267E-12</v>
      </c>
      <c r="EN133" s="59">
        <f t="shared" si="128"/>
        <v>293.33333333333729</v>
      </c>
      <c r="EO133" s="59">
        <f ca="1">AVERAGE(OFFSET($EN$3,0,0,'Données projet'!$E$15+1,1))-AVERAGE(OFFSET($H$3,0,0,'Données projet'!$E$15+1,1))</f>
        <v>237.8483058552178</v>
      </c>
      <c r="EP133" s="59">
        <f t="shared" ref="EP133:EP196" si="154">$EP$3</f>
        <v>313.36201272119723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24.79609448980354</v>
      </c>
      <c r="EW133" s="21">
        <f>EXP(-LN(2)/25)*EW132+(1-EXP(-LN(2)/25))/(LN(2)/25)*Calculateur!ER133*Calculateur!ET133*VLOOKUP('Données projet'!$B$15,Paramètres!$A$1:$I$89,3,0)*0.475*44/12</f>
        <v>1.0050232784795134</v>
      </c>
      <c r="EX133" s="21">
        <f>EXP(-LN(2)/2)*EX132+(1-EXP(-LN(2)/2))/(LN(2)/2)*ER133*EU133*VLOOKUP('Données projet'!$B$15,Paramètres!$A$1:$I$89,3,0)*0.475*44/12</f>
        <v>3.8361743992304779E-8</v>
      </c>
      <c r="EY133" s="22">
        <f t="shared" si="129"/>
        <v>25.801117806644797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-2.8421709430404007E-13</v>
      </c>
      <c r="FF133" s="17">
        <f>FE133*VLOOKUP('Données projet'!$B$16,Paramètres!$A$1:$I$89,3,0)*VLOOKUP('Données projet'!$B$16,Paramètres!$A$1:$I$89,5,0)</f>
        <v>-2.2168933355715128E-13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318.52984981739411</v>
      </c>
      <c r="FK133" s="59">
        <f t="shared" ref="FK133:FK196" si="156">$FK$3</f>
        <v>311.56398336941714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44.037174916686197</v>
      </c>
      <c r="FR133" s="21">
        <f>EXP(-LN(2)/25)*FR132+(1-EXP(-LN(2)/25))/(LN(2)/25)*Calculateur!FM133*Calculateur!FO133*VLOOKUP('Données projet'!$B$16,Paramètres!$A$1:$I$89,3,0)*0.475*44/12</f>
        <v>1.0033235612387621</v>
      </c>
      <c r="FS133" s="21">
        <f>EXP(-LN(2)/2)*FS132+(1-EXP(-LN(2)/2))/(LN(2)/2)*FM133*FP133*VLOOKUP('Données projet'!$B$16,Paramètres!$A$1:$I$89,3,0)*0.475*44/12</f>
        <v>1.6846904782443827E-6</v>
      </c>
      <c r="FT133" s="22">
        <f t="shared" si="132"/>
        <v>45.040500162615437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-2.8421709430404007E-13</v>
      </c>
      <c r="GA133" s="17">
        <f>FZ133*VLOOKUP('Données projet'!$B$17,Paramètres!$A$1:$I$89,3,0)*VLOOKUP('Données projet'!$B$17,Paramètres!$A$1:$I$89,5,0)</f>
        <v>-2.2612312022829427E-13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325.72928944930294</v>
      </c>
      <c r="GF133" s="59">
        <f t="shared" ref="GF133:GF196" si="158">$GF$3</f>
        <v>318.38876834819752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55.363945953396687</v>
      </c>
      <c r="GM133" s="21">
        <f>EXP(-LN(2)/25)*GM132+(1-EXP(-LN(2)/25))/(LN(2)/25)*Calculateur!GH133*Calculateur!GJ133*VLOOKUP('Données projet'!$B$17,Paramètres!$A$1:$I$89,3,0)*0.475*44/12</f>
        <v>1.2613877144318015</v>
      </c>
      <c r="GN133" s="21">
        <f>EXP(-LN(2)/2)*GN132+(1-EXP(-LN(2)/2))/(LN(2)/2)*GH133*GK133*VLOOKUP('Données projet'!$B$17,Paramètres!$A$1:$I$89,3,0)*0.475*44/12</f>
        <v>1.7183842878092678E-6</v>
      </c>
      <c r="GO133" s="21">
        <f t="shared" si="135"/>
        <v>56.625335386212775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-2.8421709430404007E-13</v>
      </c>
      <c r="GV133" s="17">
        <f>GU133*VLOOKUP('Données projet'!$B$18,Paramètres!$A$1:$I$89,3,0)*VLOOKUP('Données projet'!$B$18,Paramètres!$A$1:$I$89,5,0)</f>
        <v>-1.9065282685915009E-13</v>
      </c>
      <c r="GW133" s="13" t="e">
        <f t="shared" ref="GW133:GW153" si="159">EXP(-1.0587+0.8836*LN(GV133)+0.284)</f>
        <v>#NUM!</v>
      </c>
      <c r="GX133" s="20" t="e">
        <f t="shared" si="136"/>
        <v>#NUM!</v>
      </c>
      <c r="GY133" s="59" t="e">
        <f t="shared" si="137"/>
        <v>#NUM!</v>
      </c>
      <c r="GZ133" s="59">
        <f ca="1">AVERAGE(OFFSET($GY$3,0,0,'Données projet'!$E$18+1,1))-AVERAGE(OFFSET($H$3,0,0,'Données projet'!$E$18+1,1))</f>
        <v>268.04554291387961</v>
      </c>
      <c r="HA133" s="59">
        <f t="shared" ref="HA133:HA196" si="160">$HA$3</f>
        <v>263.70463099437148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46.67940541168737</v>
      </c>
      <c r="HH133" s="21">
        <f>EXP(-LN(2)/25)*HH132+(1-EXP(-LN(2)/25))/(LN(2)/25)*Calculateur!HC133*Calculateur!HE133*VLOOKUP('Données projet'!$B$18,Paramètres!$A$1:$I$89,3,0)*0.475*44/12</f>
        <v>1.0635229749130899</v>
      </c>
      <c r="HI133" s="21">
        <f>EXP(-LN(2)/2)*HI132+(1-EXP(-LN(2)/2))/(LN(2)/2)*HC133*HF133*VLOOKUP('Données projet'!$B$18,Paramètres!$A$1:$I$89,3,0)*0.475*44/12</f>
        <v>1.448833811290167E-6</v>
      </c>
      <c r="HJ133" s="22">
        <f t="shared" si="138"/>
        <v>47.742929835434275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-2.5124791136477146E-14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46.095319339746538</v>
      </c>
      <c r="T134" s="59">
        <f t="shared" si="142"/>
        <v>48.158174304064403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21.998700918879436</v>
      </c>
      <c r="AA134" s="21">
        <f>EXP(-LN(2)/25)*AA133+(1-EXP(-LN(2)/25))/(LN(2)/25)*Calculateur!V134*Calculateur!X134*VLOOKUP('Données projet'!$B$9,Paramètres!$A$1:$I$89,3,0)*0.475*44/12</f>
        <v>6.6627698687830232</v>
      </c>
      <c r="AB134" s="21">
        <f>EXP(-LN(2)/2)*AB133+(1-EXP(-LN(2)/2))/(LN(2)/2)*V134*Y134*VLOOKUP('Données projet'!$B$9,Paramètres!$A$1:$I$89,3,0)*0.475*44/12</f>
        <v>3.1120823933795117E-7</v>
      </c>
      <c r="AC134" s="22">
        <f t="shared" si="111"/>
        <v>28.661471098870699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-6.7984728957526396E-14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408.84545509668794</v>
      </c>
      <c r="AO134" s="59">
        <f t="shared" si="144"/>
        <v>409.9253979841132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46.099385878880192</v>
      </c>
      <c r="AV134" s="21">
        <f>EXP(-LN(2)/25)*AV133+(1-EXP(-LN(2)/25))/(LN(2)/25)*Calculateur!AQ134*Calculateur!AS134*VLOOKUP('Données projet'!$B$10,Paramètres!$A$1:$I$89,3,0)*0.475*44/12</f>
        <v>10.649041548376763</v>
      </c>
      <c r="AW134" s="21">
        <f>EXP(-LN(2)/2)*AW133+(1-EXP(-LN(2)/2))/(LN(2)/2)*AQ134*AT134*VLOOKUP('Données projet'!$B$10,Paramètres!$A$1:$I$89,3,0)*0.475*44/12</f>
        <v>1.9319410667212176E-9</v>
      </c>
      <c r="AX134" s="21">
        <f t="shared" si="114"/>
        <v>56.748427429188901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-6.7984728957526396E-14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279.69031306919914</v>
      </c>
      <c r="BJ134" s="59">
        <f t="shared" si="146"/>
        <v>297.01680128882509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41.823997568499443</v>
      </c>
      <c r="BQ134" s="21">
        <f>EXP(-LN(2)/25)*BQ133+(1-EXP(-LN(2)/25))/(LN(2)/25)*Calculateur!BL134*Calculateur!BN134*VLOOKUP('Données projet'!$B$11,Paramètres!$A$1:$I$89,3,0)*0.475*44/12</f>
        <v>12.079213691276346</v>
      </c>
      <c r="BR134" s="21">
        <f>EXP(-LN(2)/2)*BR133+(1-EXP(-LN(2)/2))/(LN(2)/2)*BL134*BO134*VLOOKUP('Données projet'!$B$11,Paramètres!$A$1:$I$89,3,0)*0.475*44/12</f>
        <v>4.507478063596101E-9</v>
      </c>
      <c r="BS134" s="22">
        <f t="shared" si="117"/>
        <v>53.903211264283264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81.299024916151723</v>
      </c>
      <c r="CE134" s="59">
        <f t="shared" si="148"/>
        <v>88.106373324240167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12.370552140075677</v>
      </c>
      <c r="CL134" s="21">
        <f>EXP(-LN(2)/25)*CL133+(1-EXP(-LN(2)/25))/(LN(2)/25)*Calculateur!CG134*Calculateur!CI134*VLOOKUP('Données projet'!$B$12,Paramètres!$A$1:$I$89,3,0)*0.475*44/12</f>
        <v>3.2313373181116432</v>
      </c>
      <c r="CM134" s="21">
        <f>EXP(-LN(2)/2)*CM133+(1-EXP(-LN(2)/2))/(LN(2)/2)*CG134*CJ134*VLOOKUP('Données projet'!$B$12,Paramètres!$A$1:$I$89,3,0)*0.475*44/12</f>
        <v>4.9402321916679616E-10</v>
      </c>
      <c r="CN134" s="22">
        <f t="shared" si="120"/>
        <v>15.601889458681343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-3.4106051316484809E-13</v>
      </c>
      <c r="CU134" s="17">
        <f>CT134*VLOOKUP('Données projet'!$B$13,Paramètres!$A$1:$I$89,3,0)*VLOOKUP('Données projet'!$B$13,Paramètres!$A$1:$I$89,5,0)</f>
        <v>-1.9065282685915009E-13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475.42482703895411</v>
      </c>
      <c r="CZ134" s="59">
        <f t="shared" si="150"/>
        <v>593.51433014569966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84.503943958439407</v>
      </c>
      <c r="DG134" s="21">
        <f>EXP(-LN(2)/25)*DG133+(1-EXP(-LN(2)/25))/(LN(2)/25)*Calculateur!DB134*Calculateur!DD134*VLOOKUP('Données projet'!$B$13,Paramètres!$A$1:$I$89,3,0)*0.475*44/12</f>
        <v>10.38712881001427</v>
      </c>
      <c r="DH134" s="21">
        <f>EXP(-LN(2)/2)*DH133+(1-EXP(-LN(2)/2))/(LN(2)/2)*DB134*DE134*VLOOKUP('Données projet'!$B$13,Paramètres!$A$1:$I$89,3,0)*0.475*44/12</f>
        <v>5.7285033327060547E-9</v>
      </c>
      <c r="DI134" s="22">
        <f t="shared" si="123"/>
        <v>94.891072774182192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7</v>
      </c>
      <c r="DO134" s="12">
        <f>IF('Données projet'!$A$166&gt;35,DO133+DN134-DW133,IF(A134&lt;'Données projet'!$A$166,$DL$205^A134,IF(A134='Données projet'!$A$166,'Données projet'!$B$166,DO133+DN134-DW133)))</f>
        <v>411.99999999999966</v>
      </c>
      <c r="DP134" s="17">
        <f>DO134*VLOOKUP('Données projet'!$B$14,Paramètres!$A$1:$I$89,3,0)*VLOOKUP('Données projet'!$B$14,Paramètres!$A$1:$I$89,5,0)</f>
        <v>372.77759999999967</v>
      </c>
      <c r="DQ134" s="13">
        <f t="shared" si="151"/>
        <v>86.23530727208437</v>
      </c>
      <c r="DR134" s="20">
        <f t="shared" si="124"/>
        <v>799.44748016554638</v>
      </c>
      <c r="DS134" s="59">
        <f t="shared" si="125"/>
        <v>1092.7808134988798</v>
      </c>
      <c r="DT134" s="59">
        <f ca="1">AVERAGE(OFFSET($DS$3,0,0,'Données projet'!$E$14+1,1))-AVERAGE(OFFSET($H$3,0,0,'Données projet'!$E$14+1,1))</f>
        <v>401.17301323870578</v>
      </c>
      <c r="DU134" s="59">
        <f t="shared" si="152"/>
        <v>201.57993789149754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34.468257908244482</v>
      </c>
      <c r="EB134" s="21">
        <f>EXP(-LN(2)/25)*EB133+(1-EXP(-LN(2)/25))/(LN(2)/25)*Calculateur!DW134*Calculateur!DY134*VLOOKUP('Données projet'!$B$14,Paramètres!$A$1:$I$89,3,0)*0.475*44/12</f>
        <v>15.968688995723101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50.436946903967581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1.7053025658242404E-13</v>
      </c>
      <c r="EK134" s="17">
        <f>EJ134*VLOOKUP('Données projet'!$B$15,Paramètres!$A$1:$I$89,3,0)*VLOOKUP('Données projet'!$B$15,Paramètres!$A$1:$I$89,5,0)</f>
        <v>1.4897523215040567E-13</v>
      </c>
      <c r="EL134" s="13">
        <f t="shared" si="153"/>
        <v>2.136562777003313E-12</v>
      </c>
      <c r="EM134" s="20">
        <f t="shared" si="127"/>
        <v>3.9806453659427267E-12</v>
      </c>
      <c r="EN134" s="59">
        <f t="shared" si="128"/>
        <v>293.33333333333729</v>
      </c>
      <c r="EO134" s="59">
        <f ca="1">AVERAGE(OFFSET($EN$3,0,0,'Données projet'!$E$15+1,1))-AVERAGE(OFFSET($H$3,0,0,'Données projet'!$E$15+1,1))</f>
        <v>237.8483058552178</v>
      </c>
      <c r="EP134" s="59">
        <f t="shared" si="154"/>
        <v>313.36201272119723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24.309858200982749</v>
      </c>
      <c r="EW134" s="21">
        <f>EXP(-LN(2)/25)*EW133+(1-EXP(-LN(2)/25))/(LN(2)/25)*Calculateur!ER134*Calculateur!ET134*VLOOKUP('Données projet'!$B$15,Paramètres!$A$1:$I$89,3,0)*0.475*44/12</f>
        <v>0.97754086407761398</v>
      </c>
      <c r="EX134" s="21">
        <f>EXP(-LN(2)/2)*EX133+(1-EXP(-LN(2)/2))/(LN(2)/2)*ER134*EU134*VLOOKUP('Données projet'!$B$15,Paramètres!$A$1:$I$89,3,0)*0.475*44/12</f>
        <v>2.712584931510101E-8</v>
      </c>
      <c r="EY134" s="22">
        <f t="shared" si="129"/>
        <v>25.287399092186213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-2.8421709430404007E-13</v>
      </c>
      <c r="FF134" s="17">
        <f>FE134*VLOOKUP('Données projet'!$B$16,Paramètres!$A$1:$I$89,3,0)*VLOOKUP('Données projet'!$B$16,Paramètres!$A$1:$I$89,5,0)</f>
        <v>-2.2168933355715128E-13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318.52984981739411</v>
      </c>
      <c r="FK134" s="59">
        <f t="shared" si="156"/>
        <v>311.56398336941714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43.173632776594474</v>
      </c>
      <c r="FR134" s="21">
        <f>EXP(-LN(2)/25)*FR133+(1-EXP(-LN(2)/25))/(LN(2)/25)*Calculateur!FM134*Calculateur!FO134*VLOOKUP('Données projet'!$B$16,Paramètres!$A$1:$I$89,3,0)*0.475*44/12</f>
        <v>0.97588762569419518</v>
      </c>
      <c r="FS134" s="21">
        <f>EXP(-LN(2)/2)*FS133+(1-EXP(-LN(2)/2))/(LN(2)/2)*FM134*FP134*VLOOKUP('Données projet'!$B$16,Paramètres!$A$1:$I$89,3,0)*0.475*44/12</f>
        <v>1.1912560613670108E-6</v>
      </c>
      <c r="FT134" s="22">
        <f t="shared" si="132"/>
        <v>44.149521593544726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-2.8421709430404007E-13</v>
      </c>
      <c r="GA134" s="17">
        <f>FZ134*VLOOKUP('Données projet'!$B$17,Paramètres!$A$1:$I$89,3,0)*VLOOKUP('Données projet'!$B$17,Paramètres!$A$1:$I$89,5,0)</f>
        <v>-2.2612312022829427E-13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325.72928944930294</v>
      </c>
      <c r="GF134" s="59">
        <f t="shared" si="158"/>
        <v>318.38876834819752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54.278292741923231</v>
      </c>
      <c r="GM134" s="21">
        <f>EXP(-LN(2)/25)*GM133+(1-EXP(-LN(2)/25))/(LN(2)/25)*Calculateur!GH134*Calculateur!GJ134*VLOOKUP('Données projet'!$B$17,Paramètres!$A$1:$I$89,3,0)*0.475*44/12</f>
        <v>1.2268950010471669</v>
      </c>
      <c r="GN134" s="21">
        <f>EXP(-LN(2)/2)*GN133+(1-EXP(-LN(2)/2))/(LN(2)/2)*GH134*GK134*VLOOKUP('Données projet'!$B$17,Paramètres!$A$1:$I$89,3,0)*0.475*44/12</f>
        <v>1.2150811825943492E-6</v>
      </c>
      <c r="GO134" s="21">
        <f t="shared" si="135"/>
        <v>55.505188958051583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-2.8421709430404007E-13</v>
      </c>
      <c r="GV134" s="17">
        <f>GU134*VLOOKUP('Données projet'!$B$18,Paramètres!$A$1:$I$89,3,0)*VLOOKUP('Données projet'!$B$18,Paramètres!$A$1:$I$89,5,0)</f>
        <v>-1.9065282685915009E-13</v>
      </c>
      <c r="GW134" s="13" t="e">
        <f t="shared" si="159"/>
        <v>#NUM!</v>
      </c>
      <c r="GX134" s="20" t="e">
        <f t="shared" si="136"/>
        <v>#NUM!</v>
      </c>
      <c r="GY134" s="59" t="e">
        <f t="shared" si="137"/>
        <v>#NUM!</v>
      </c>
      <c r="GZ134" s="59">
        <f ca="1">AVERAGE(OFFSET($GY$3,0,0,'Données projet'!$E$18+1,1))-AVERAGE(OFFSET($H$3,0,0,'Données projet'!$E$18+1,1))</f>
        <v>268.04554291387961</v>
      </c>
      <c r="HA134" s="59">
        <f t="shared" si="160"/>
        <v>263.70463099437148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45.76405074319014</v>
      </c>
      <c r="HH134" s="21">
        <f>EXP(-LN(2)/25)*HH133+(1-EXP(-LN(2)/25))/(LN(2)/25)*Calculateur!HC134*Calculateur!HE134*VLOOKUP('Données projet'!$B$18,Paramètres!$A$1:$I$89,3,0)*0.475*44/12</f>
        <v>1.0344408832358489</v>
      </c>
      <c r="HI134" s="21">
        <f>EXP(-LN(2)/2)*HI133+(1-EXP(-LN(2)/2))/(LN(2)/2)*HC134*HF134*VLOOKUP('Données projet'!$B$18,Paramètres!$A$1:$I$89,3,0)*0.475*44/12</f>
        <v>1.0244802127756278E-6</v>
      </c>
      <c r="HJ134" s="22">
        <f t="shared" si="138"/>
        <v>46.798492650906198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-2.5124791136477146E-14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46.095319339746538</v>
      </c>
      <c r="T135" s="59">
        <f t="shared" si="142"/>
        <v>48.158174304064403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21.567319811742866</v>
      </c>
      <c r="AA135" s="21">
        <f>EXP(-LN(2)/25)*AA134+(1-EXP(-LN(2)/25))/(LN(2)/25)*Calculateur!V135*Calculateur!X135*VLOOKUP('Données projet'!$B$9,Paramètres!$A$1:$I$89,3,0)*0.475*44/12</f>
        <v>6.4805760763413121</v>
      </c>
      <c r="AB135" s="21">
        <f>EXP(-LN(2)/2)*AB134+(1-EXP(-LN(2)/2))/(LN(2)/2)*V135*Y135*VLOOKUP('Données projet'!$B$9,Paramètres!$A$1:$I$89,3,0)*0.475*44/12</f>
        <v>2.2005745639699136E-7</v>
      </c>
      <c r="AC135" s="22">
        <f t="shared" si="111"/>
        <v>28.047896108141632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-6.7984728957526396E-14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408.84545509668794</v>
      </c>
      <c r="AO135" s="59">
        <f t="shared" si="144"/>
        <v>409.9253979841132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45.195405039644328</v>
      </c>
      <c r="AV135" s="21">
        <f>EXP(-LN(2)/25)*AV134+(1-EXP(-LN(2)/25))/(LN(2)/25)*Calculateur!AQ135*Calculateur!AS135*VLOOKUP('Données projet'!$B$10,Paramètres!$A$1:$I$89,3,0)*0.475*44/12</f>
        <v>10.357842947227644</v>
      </c>
      <c r="AW135" s="21">
        <f>EXP(-LN(2)/2)*AW134+(1-EXP(-LN(2)/2))/(LN(2)/2)*AQ135*AT135*VLOOKUP('Données projet'!$B$10,Paramètres!$A$1:$I$89,3,0)*0.475*44/12</f>
        <v>1.3660886291313453E-9</v>
      </c>
      <c r="AX135" s="21">
        <f t="shared" si="114"/>
        <v>55.553247988238063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-6.7984728957526396E-14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279.69031306919914</v>
      </c>
      <c r="BJ135" s="59">
        <f t="shared" si="146"/>
        <v>297.01680128882509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41.003854486300774</v>
      </c>
      <c r="BQ135" s="21">
        <f>EXP(-LN(2)/25)*BQ134+(1-EXP(-LN(2)/25))/(LN(2)/25)*Calculateur!BL135*Calculateur!BN135*VLOOKUP('Données projet'!$B$11,Paramètres!$A$1:$I$89,3,0)*0.475*44/12</f>
        <v>11.748906957670153</v>
      </c>
      <c r="BR135" s="21">
        <f>EXP(-LN(2)/2)*BR134+(1-EXP(-LN(2)/2))/(LN(2)/2)*BL135*BO135*VLOOKUP('Données projet'!$B$11,Paramètres!$A$1:$I$89,3,0)*0.475*44/12</f>
        <v>3.1872683048184112E-9</v>
      </c>
      <c r="BS135" s="22">
        <f t="shared" si="117"/>
        <v>52.752761447158193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81.299024916151723</v>
      </c>
      <c r="CE135" s="59">
        <f t="shared" si="148"/>
        <v>88.106373324240167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12.127973157900563</v>
      </c>
      <c r="CL135" s="21">
        <f>EXP(-LN(2)/25)*CL134+(1-EXP(-LN(2)/25))/(LN(2)/25)*Calculateur!CG135*Calculateur!CI135*VLOOKUP('Données projet'!$B$12,Paramètres!$A$1:$I$89,3,0)*0.475*44/12</f>
        <v>3.142976229219236</v>
      </c>
      <c r="CM135" s="21">
        <f>EXP(-LN(2)/2)*CM134+(1-EXP(-LN(2)/2))/(LN(2)/2)*CG135*CJ135*VLOOKUP('Données projet'!$B$12,Paramètres!$A$1:$I$89,3,0)*0.475*44/12</f>
        <v>3.4932716833644955E-10</v>
      </c>
      <c r="CN135" s="22">
        <f t="shared" si="120"/>
        <v>15.270949387469127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-3.4106051316484809E-13</v>
      </c>
      <c r="CU135" s="17">
        <f>CT135*VLOOKUP('Données projet'!$B$13,Paramètres!$A$1:$I$89,3,0)*VLOOKUP('Données projet'!$B$13,Paramètres!$A$1:$I$89,5,0)</f>
        <v>-1.9065282685915009E-13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475.42482703895411</v>
      </c>
      <c r="CZ135" s="59">
        <f t="shared" si="150"/>
        <v>593.51433014569966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82.846873159730848</v>
      </c>
      <c r="DG135" s="21">
        <f>EXP(-LN(2)/25)*DG134+(1-EXP(-LN(2)/25))/(LN(2)/25)*Calculateur!DB135*Calculateur!DD135*VLOOKUP('Données projet'!$B$13,Paramètres!$A$1:$I$89,3,0)*0.475*44/12</f>
        <v>10.103092226469066</v>
      </c>
      <c r="DH135" s="21">
        <f>EXP(-LN(2)/2)*DH134+(1-EXP(-LN(2)/2))/(LN(2)/2)*DB135*DE135*VLOOKUP('Données projet'!$B$13,Paramètres!$A$1:$I$89,3,0)*0.475*44/12</f>
        <v>4.0506635526061885E-9</v>
      </c>
      <c r="DI135" s="22">
        <f t="shared" si="123"/>
        <v>92.949965390250583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>
        <f>VLOOKUP(A135,'Données projet'!$A$165:$I$185,2,0)</f>
        <v>419</v>
      </c>
      <c r="DM135" s="12">
        <f>VLOOKUP(A135,'Données projet'!$A$165:$I$185,9,0)</f>
        <v>7</v>
      </c>
      <c r="DN135" s="12">
        <f t="array" ref="DN135">INDEX(DM:DM,MIN(IF(ISNUMBER(DM135:DM331),ROW(DM135:DM331),"")))</f>
        <v>7</v>
      </c>
      <c r="DO135" s="12">
        <f>IF('Données projet'!$A$166&gt;35,DO134+DN135-DW134,IF(A135&lt;'Données projet'!$A$166,$DL$205^A135,IF(A135='Données projet'!$A$166,'Données projet'!$B$166,DO134+DN135-DW134)))</f>
        <v>418.99999999999966</v>
      </c>
      <c r="DP135" s="17">
        <f>DO135*VLOOKUP('Données projet'!$B$14,Paramètres!$A$1:$I$89,3,0)*VLOOKUP('Données projet'!$B$14,Paramètres!$A$1:$I$89,5,0)</f>
        <v>379.11119999999966</v>
      </c>
      <c r="DQ135" s="13">
        <f t="shared" si="151"/>
        <v>87.528653146444213</v>
      </c>
      <c r="DR135" s="20">
        <f t="shared" si="124"/>
        <v>812.7310775633897</v>
      </c>
      <c r="DS135" s="59">
        <f t="shared" si="125"/>
        <v>1106.0644108967231</v>
      </c>
      <c r="DT135" s="59">
        <f ca="1">AVERAGE(OFFSET($DS$3,0,0,'Données projet'!$E$14+1,1))-AVERAGE(OFFSET($H$3,0,0,'Données projet'!$E$14+1,1))</f>
        <v>401.17301323870578</v>
      </c>
      <c r="DU135" s="59">
        <f t="shared" si="152"/>
        <v>201.57993789149754</v>
      </c>
      <c r="DV135" s="15">
        <f>IF(ISNA(VLOOKUP(A135,'Données projet'!$A$165:$I$185,3,0)),0,VLOOKUP(A135,'Données projet'!$A$165:$I$185,3,0))</f>
        <v>12</v>
      </c>
      <c r="DW135" s="15">
        <f>IF(ISNA(VLOOKUP(A135,'Données projet'!$A$165:$I$185,4,0)),0,VLOOKUP(A135,'Données projet'!$A$165:$I$185,4,0))</f>
        <v>42</v>
      </c>
      <c r="DX135" s="16">
        <f>IF(ISNA(VLOOKUP(A135,'Données projet'!$A$165:$I$185,5,0)),0%,VLOOKUP(A135,'Données projet'!$A$165:$I$185,5,0)*VLOOKUP('Données projet'!$B$14,Paramètres!$A$1:$I$89,7,0))</f>
        <v>0.30099999999999999</v>
      </c>
      <c r="DY135" s="16">
        <f>IF(ISNA(VLOOKUP(A135,'Données projet'!$A$165:$I$185,6,0)),0%,VLOOKUP(A135,'Données projet'!$A$165:$I$185,6,0)*VLOOKUP('Données projet'!$B$14,Paramètres!$A$1:$I$89,7,0))</f>
        <v>4.3000000000000003E-2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46.437258989857895</v>
      </c>
      <c r="EB135" s="21">
        <f>EXP(-LN(2)/25)*EB134+(1-EXP(-LN(2)/25))/(LN(2)/25)*Calculateur!DW135*Calculateur!DY135*VLOOKUP('Données projet'!$B$14,Paramètres!$A$1:$I$89,3,0)*0.475*44/12</f>
        <v>17.331326469096485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63.768585458954377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1.7053025658242404E-13</v>
      </c>
      <c r="EK135" s="17">
        <f>EJ135*VLOOKUP('Données projet'!$B$15,Paramètres!$A$1:$I$89,3,0)*VLOOKUP('Données projet'!$B$15,Paramètres!$A$1:$I$89,5,0)</f>
        <v>1.4897523215040567E-13</v>
      </c>
      <c r="EL135" s="13">
        <f t="shared" si="153"/>
        <v>2.136562777003313E-12</v>
      </c>
      <c r="EM135" s="20">
        <f t="shared" si="127"/>
        <v>3.9806453659427267E-12</v>
      </c>
      <c r="EN135" s="59">
        <f t="shared" si="128"/>
        <v>293.33333333333729</v>
      </c>
      <c r="EO135" s="59">
        <f ca="1">AVERAGE(OFFSET($EN$3,0,0,'Données projet'!$E$15+1,1))-AVERAGE(OFFSET($H$3,0,0,'Données projet'!$E$15+1,1))</f>
        <v>237.8483058552178</v>
      </c>
      <c r="EP135" s="59">
        <f t="shared" si="154"/>
        <v>313.36201272119723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23.833156709210879</v>
      </c>
      <c r="EW135" s="21">
        <f>EXP(-LN(2)/25)*EW134+(1-EXP(-LN(2)/25))/(LN(2)/25)*Calculateur!ER135*Calculateur!ET135*VLOOKUP('Données projet'!$B$15,Paramètres!$A$1:$I$89,3,0)*0.475*44/12</f>
        <v>0.95080995774277177</v>
      </c>
      <c r="EX135" s="21">
        <f>EXP(-LN(2)/2)*EX134+(1-EXP(-LN(2)/2))/(LN(2)/2)*ER135*EU135*VLOOKUP('Données projet'!$B$15,Paramètres!$A$1:$I$89,3,0)*0.475*44/12</f>
        <v>1.918087199615239E-8</v>
      </c>
      <c r="EY135" s="22">
        <f t="shared" si="129"/>
        <v>24.783966686134523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-2.8421709430404007E-13</v>
      </c>
      <c r="FF135" s="17">
        <f>FE135*VLOOKUP('Données projet'!$B$16,Paramètres!$A$1:$I$89,3,0)*VLOOKUP('Données projet'!$B$16,Paramètres!$A$1:$I$89,5,0)</f>
        <v>-2.2168933355715128E-13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318.52984981739411</v>
      </c>
      <c r="FK135" s="59">
        <f t="shared" si="156"/>
        <v>311.56398336941714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42.327024171161248</v>
      </c>
      <c r="FR135" s="21">
        <f>EXP(-LN(2)/25)*FR134+(1-EXP(-LN(2)/25))/(LN(2)/25)*Calculateur!FM135*Calculateur!FO135*VLOOKUP('Données projet'!$B$16,Paramètres!$A$1:$I$89,3,0)*0.475*44/12</f>
        <v>0.94920192724988761</v>
      </c>
      <c r="FS135" s="21">
        <f>EXP(-LN(2)/2)*FS134+(1-EXP(-LN(2)/2))/(LN(2)/2)*FM135*FP135*VLOOKUP('Données projet'!$B$16,Paramètres!$A$1:$I$89,3,0)*0.475*44/12</f>
        <v>8.4234523912219134E-7</v>
      </c>
      <c r="FT135" s="22">
        <f t="shared" si="132"/>
        <v>43.276226940756374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-2.8421709430404007E-13</v>
      </c>
      <c r="GA135" s="17">
        <f>FZ135*VLOOKUP('Données projet'!$B$17,Paramètres!$A$1:$I$89,3,0)*VLOOKUP('Données projet'!$B$17,Paramètres!$A$1:$I$89,5,0)</f>
        <v>-2.2612312022829427E-13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325.72928944930294</v>
      </c>
      <c r="GF135" s="59">
        <f t="shared" si="158"/>
        <v>318.38876834819752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53.213928527743697</v>
      </c>
      <c r="GM135" s="21">
        <f>EXP(-LN(2)/25)*GM134+(1-EXP(-LN(2)/25))/(LN(2)/25)*Calculateur!GH135*Calculateur!GJ135*VLOOKUP('Données projet'!$B$17,Paramètres!$A$1:$I$89,3,0)*0.475*44/12</f>
        <v>1.193345492723928</v>
      </c>
      <c r="GN135" s="21">
        <f>EXP(-LN(2)/2)*GN134+(1-EXP(-LN(2)/2))/(LN(2)/2)*GH135*GK135*VLOOKUP('Données projet'!$B$17,Paramètres!$A$1:$I$89,3,0)*0.475*44/12</f>
        <v>8.5919214390463389E-7</v>
      </c>
      <c r="GO135" s="21">
        <f t="shared" si="135"/>
        <v>54.407274879659766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-2.8421709430404007E-13</v>
      </c>
      <c r="GV135" s="17">
        <f>GU135*VLOOKUP('Données projet'!$B$18,Paramètres!$A$1:$I$89,3,0)*VLOOKUP('Données projet'!$B$18,Paramètres!$A$1:$I$89,5,0)</f>
        <v>-1.9065282685915009E-13</v>
      </c>
      <c r="GW135" s="13" t="e">
        <f t="shared" si="159"/>
        <v>#NUM!</v>
      </c>
      <c r="GX135" s="20" t="e">
        <f t="shared" si="136"/>
        <v>#NUM!</v>
      </c>
      <c r="GY135" s="59" t="e">
        <f t="shared" si="137"/>
        <v>#NUM!</v>
      </c>
      <c r="GZ135" s="59">
        <f ca="1">AVERAGE(OFFSET($GY$3,0,0,'Données projet'!$E$18+1,1))-AVERAGE(OFFSET($H$3,0,0,'Données projet'!$E$18+1,1))</f>
        <v>268.04554291387961</v>
      </c>
      <c r="HA135" s="59">
        <f t="shared" si="160"/>
        <v>263.70463099437148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44.866645621430926</v>
      </c>
      <c r="HH135" s="21">
        <f>EXP(-LN(2)/25)*HH134+(1-EXP(-LN(2)/25))/(LN(2)/25)*Calculateur!HC135*Calculateur!HE135*VLOOKUP('Données projet'!$B$18,Paramètres!$A$1:$I$89,3,0)*0.475*44/12</f>
        <v>1.0061540428848827</v>
      </c>
      <c r="HI135" s="21">
        <f>EXP(-LN(2)/2)*HI134+(1-EXP(-LN(2)/2))/(LN(2)/2)*HC135*HF135*VLOOKUP('Données projet'!$B$18,Paramètres!$A$1:$I$89,3,0)*0.475*44/12</f>
        <v>7.2441690564508348E-7</v>
      </c>
      <c r="HJ135" s="22">
        <f t="shared" si="138"/>
        <v>45.872800388732713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-2.5124791136477146E-14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46.095319339746538</v>
      </c>
      <c r="T136" s="59">
        <f t="shared" si="142"/>
        <v>48.158174304064403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21.144397825000748</v>
      </c>
      <c r="AA136" s="21">
        <f>EXP(-LN(2)/25)*AA135+(1-EXP(-LN(2)/25))/(LN(2)/25)*Calculateur!V136*Calculateur!X136*VLOOKUP('Données projet'!$B$9,Paramètres!$A$1:$I$89,3,0)*0.475*44/12</f>
        <v>6.3033643827350749</v>
      </c>
      <c r="AB136" s="21">
        <f>EXP(-LN(2)/2)*AB135+(1-EXP(-LN(2)/2))/(LN(2)/2)*V136*Y136*VLOOKUP('Données projet'!$B$9,Paramètres!$A$1:$I$89,3,0)*0.475*44/12</f>
        <v>1.5560411966897559E-7</v>
      </c>
      <c r="AC136" s="22">
        <f t="shared" si="111"/>
        <v>27.447762363339944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-6.7984728957526396E-14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408.84545509668794</v>
      </c>
      <c r="AO136" s="59">
        <f t="shared" si="144"/>
        <v>409.9253979841132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44.309150713292013</v>
      </c>
      <c r="AV136" s="21">
        <f>EXP(-LN(2)/25)*AV135+(1-EXP(-LN(2)/25))/(LN(2)/25)*Calculateur!AQ136*Calculateur!AS136*VLOOKUP('Données projet'!$B$10,Paramètres!$A$1:$I$89,3,0)*0.475*44/12</f>
        <v>10.074607187140415</v>
      </c>
      <c r="AW136" s="21">
        <f>EXP(-LN(2)/2)*AW135+(1-EXP(-LN(2)/2))/(LN(2)/2)*AQ136*AT136*VLOOKUP('Données projet'!$B$10,Paramètres!$A$1:$I$89,3,0)*0.475*44/12</f>
        <v>9.6597053336060881E-10</v>
      </c>
      <c r="AX136" s="21">
        <f t="shared" si="114"/>
        <v>54.383757901398397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-6.7984728957526396E-14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279.69031306919914</v>
      </c>
      <c r="BJ136" s="59">
        <f t="shared" si="146"/>
        <v>297.01680128882509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40.199793909706131</v>
      </c>
      <c r="BQ136" s="21">
        <f>EXP(-LN(2)/25)*BQ135+(1-EXP(-LN(2)/25))/(LN(2)/25)*Calculateur!BL136*Calculateur!BN136*VLOOKUP('Données projet'!$B$11,Paramètres!$A$1:$I$89,3,0)*0.475*44/12</f>
        <v>11.427632479064497</v>
      </c>
      <c r="BR136" s="21">
        <f>EXP(-LN(2)/2)*BR135+(1-EXP(-LN(2)/2))/(LN(2)/2)*BL136*BO136*VLOOKUP('Données projet'!$B$11,Paramètres!$A$1:$I$89,3,0)*0.475*44/12</f>
        <v>2.2537390317980505E-9</v>
      </c>
      <c r="BS136" s="22">
        <f t="shared" si="117"/>
        <v>51.627426391024372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81.299024916151723</v>
      </c>
      <c r="CE136" s="59">
        <f t="shared" si="148"/>
        <v>88.106373324240167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11.890151001607332</v>
      </c>
      <c r="CL136" s="21">
        <f>EXP(-LN(2)/25)*CL135+(1-EXP(-LN(2)/25))/(LN(2)/25)*Calculateur!CG136*Calculateur!CI136*VLOOKUP('Données projet'!$B$12,Paramètres!$A$1:$I$89,3,0)*0.475*44/12</f>
        <v>3.0570313789492993</v>
      </c>
      <c r="CM136" s="21">
        <f>EXP(-LN(2)/2)*CM135+(1-EXP(-LN(2)/2))/(LN(2)/2)*CG136*CJ136*VLOOKUP('Données projet'!$B$12,Paramètres!$A$1:$I$89,3,0)*0.475*44/12</f>
        <v>2.4701160958339808E-10</v>
      </c>
      <c r="CN136" s="22">
        <f t="shared" si="120"/>
        <v>14.947182380803643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-3.4106051316484809E-13</v>
      </c>
      <c r="CU136" s="17">
        <f>CT136*VLOOKUP('Données projet'!$B$13,Paramètres!$A$1:$I$89,3,0)*VLOOKUP('Données projet'!$B$13,Paramètres!$A$1:$I$89,5,0)</f>
        <v>-1.9065282685915009E-13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475.42482703895411</v>
      </c>
      <c r="CZ136" s="59">
        <f t="shared" si="150"/>
        <v>593.51433014569966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81.222296508671576</v>
      </c>
      <c r="DG136" s="21">
        <f>EXP(-LN(2)/25)*DG135+(1-EXP(-LN(2)/25))/(LN(2)/25)*Calculateur!DB136*Calculateur!DD136*VLOOKUP('Données projet'!$B$13,Paramètres!$A$1:$I$89,3,0)*0.475*44/12</f>
        <v>9.8268226382377399</v>
      </c>
      <c r="DH136" s="21">
        <f>EXP(-LN(2)/2)*DH135+(1-EXP(-LN(2)/2))/(LN(2)/2)*DB136*DE136*VLOOKUP('Données projet'!$B$13,Paramètres!$A$1:$I$89,3,0)*0.475*44/12</f>
        <v>2.8642516663530274E-9</v>
      </c>
      <c r="DI136" s="22">
        <f t="shared" si="123"/>
        <v>91.049119149773574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7.1111111111111107</v>
      </c>
      <c r="DO136" s="12">
        <f>IF('Données projet'!$A$166&gt;35,DO135+DN136-DW135,IF(A136&lt;'Données projet'!$A$166,$DL$205^A136,IF(A136='Données projet'!$A$166,'Données projet'!$B$166,DO135+DN136-DW135)))</f>
        <v>384.11111111111074</v>
      </c>
      <c r="DP136" s="17">
        <f>DO136*VLOOKUP('Données projet'!$B$14,Paramètres!$A$1:$I$89,3,0)*VLOOKUP('Données projet'!$B$14,Paramètres!$A$1:$I$89,5,0)</f>
        <v>347.54373333333297</v>
      </c>
      <c r="DQ136" s="13">
        <f t="shared" si="151"/>
        <v>81.05653330221287</v>
      </c>
      <c r="DR136" s="20">
        <f t="shared" si="124"/>
        <v>746.47879772357555</v>
      </c>
      <c r="DS136" s="59">
        <f t="shared" si="125"/>
        <v>1039.8121310569088</v>
      </c>
      <c r="DT136" s="59">
        <f ca="1">AVERAGE(OFFSET($DS$3,0,0,'Données projet'!$E$14+1,1))-AVERAGE(OFFSET($H$3,0,0,'Données projet'!$E$14+1,1))</f>
        <v>401.17301323870578</v>
      </c>
      <c r="DU136" s="59">
        <f t="shared" si="152"/>
        <v>201.57993789149754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45.526652664998011</v>
      </c>
      <c r="EB136" s="21">
        <f>EXP(-LN(2)/25)*EB135+(1-EXP(-LN(2)/25))/(LN(2)/25)*Calculateur!DW136*Calculateur!DY136*VLOOKUP('Données projet'!$B$14,Paramètres!$A$1:$I$89,3,0)*0.475*44/12</f>
        <v>16.857400435384193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62.384053100382204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1.7053025658242404E-13</v>
      </c>
      <c r="EK136" s="17">
        <f>EJ136*VLOOKUP('Données projet'!$B$15,Paramètres!$A$1:$I$89,3,0)*VLOOKUP('Données projet'!$B$15,Paramètres!$A$1:$I$89,5,0)</f>
        <v>1.4897523215040567E-13</v>
      </c>
      <c r="EL136" s="13">
        <f t="shared" si="153"/>
        <v>2.136562777003313E-12</v>
      </c>
      <c r="EM136" s="20">
        <f t="shared" si="127"/>
        <v>3.9806453659427267E-12</v>
      </c>
      <c r="EN136" s="59">
        <f t="shared" si="128"/>
        <v>293.33333333333729</v>
      </c>
      <c r="EO136" s="59">
        <f ca="1">AVERAGE(OFFSET($EN$3,0,0,'Données projet'!$E$15+1,1))-AVERAGE(OFFSET($H$3,0,0,'Données projet'!$E$15+1,1))</f>
        <v>237.8483058552178</v>
      </c>
      <c r="EP136" s="59">
        <f t="shared" si="154"/>
        <v>313.36201272119723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23.365803042933457</v>
      </c>
      <c r="EW136" s="21">
        <f>EXP(-LN(2)/25)*EW135+(1-EXP(-LN(2)/25))/(LN(2)/25)*Calculateur!ER136*Calculateur!ET136*VLOOKUP('Données projet'!$B$15,Paramètres!$A$1:$I$89,3,0)*0.475*44/12</f>
        <v>0.92481000944737313</v>
      </c>
      <c r="EX136" s="21">
        <f>EXP(-LN(2)/2)*EX135+(1-EXP(-LN(2)/2))/(LN(2)/2)*ER136*EU136*VLOOKUP('Données projet'!$B$15,Paramètres!$A$1:$I$89,3,0)*0.475*44/12</f>
        <v>1.3562924657550505E-8</v>
      </c>
      <c r="EY136" s="22">
        <f t="shared" si="129"/>
        <v>24.290613065943756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-2.8421709430404007E-13</v>
      </c>
      <c r="FF136" s="17">
        <f>FE136*VLOOKUP('Données projet'!$B$16,Paramètres!$A$1:$I$89,3,0)*VLOOKUP('Données projet'!$B$16,Paramètres!$A$1:$I$89,5,0)</f>
        <v>-2.2168933355715128E-13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318.52984981739411</v>
      </c>
      <c r="FK136" s="59">
        <f t="shared" si="156"/>
        <v>311.56398336941714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41.497017044100311</v>
      </c>
      <c r="FR136" s="21">
        <f>EXP(-LN(2)/25)*FR135+(1-EXP(-LN(2)/25))/(LN(2)/25)*Calculateur!FM136*Calculateur!FO136*VLOOKUP('Données projet'!$B$16,Paramètres!$A$1:$I$89,3,0)*0.475*44/12</f>
        <v>0.92324595063287951</v>
      </c>
      <c r="FS136" s="21">
        <f>EXP(-LN(2)/2)*FS135+(1-EXP(-LN(2)/2))/(LN(2)/2)*FM136*FP136*VLOOKUP('Données projet'!$B$16,Paramètres!$A$1:$I$89,3,0)*0.475*44/12</f>
        <v>5.956280306835054E-7</v>
      </c>
      <c r="FT136" s="22">
        <f t="shared" si="132"/>
        <v>42.420263590361223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-2.8421709430404007E-13</v>
      </c>
      <c r="GA136" s="17">
        <f>FZ136*VLOOKUP('Données projet'!$B$17,Paramètres!$A$1:$I$89,3,0)*VLOOKUP('Données projet'!$B$17,Paramètres!$A$1:$I$89,5,0)</f>
        <v>-2.2612312022829427E-13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325.72928944930294</v>
      </c>
      <c r="GF136" s="59">
        <f t="shared" si="158"/>
        <v>318.38876834819752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52.170435846606154</v>
      </c>
      <c r="GM136" s="21">
        <f>EXP(-LN(2)/25)*GM135+(1-EXP(-LN(2)/25))/(LN(2)/25)*Calculateur!GH136*Calculateur!GJ136*VLOOKUP('Données projet'!$B$17,Paramètres!$A$1:$I$89,3,0)*0.475*44/12</f>
        <v>1.1607133974700801</v>
      </c>
      <c r="GN136" s="21">
        <f>EXP(-LN(2)/2)*GN135+(1-EXP(-LN(2)/2))/(LN(2)/2)*GH136*GK136*VLOOKUP('Données projet'!$B$17,Paramètres!$A$1:$I$89,3,0)*0.475*44/12</f>
        <v>6.075405912971746E-7</v>
      </c>
      <c r="GO136" s="21">
        <f t="shared" si="135"/>
        <v>53.331149851616829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-2.8421709430404007E-13</v>
      </c>
      <c r="GV136" s="17">
        <f>GU136*VLOOKUP('Données projet'!$B$18,Paramètres!$A$1:$I$89,3,0)*VLOOKUP('Données projet'!$B$18,Paramètres!$A$1:$I$89,5,0)</f>
        <v>-1.9065282685915009E-13</v>
      </c>
      <c r="GW136" s="13" t="e">
        <f t="shared" si="159"/>
        <v>#NUM!</v>
      </c>
      <c r="GX136" s="20" t="e">
        <f t="shared" si="136"/>
        <v>#NUM!</v>
      </c>
      <c r="GY136" s="59" t="e">
        <f t="shared" si="137"/>
        <v>#NUM!</v>
      </c>
      <c r="GZ136" s="59">
        <f ca="1">AVERAGE(OFFSET($GY$3,0,0,'Données projet'!$E$18+1,1))-AVERAGE(OFFSET($H$3,0,0,'Données projet'!$E$18+1,1))</f>
        <v>268.04554291387961</v>
      </c>
      <c r="HA136" s="59">
        <f t="shared" si="160"/>
        <v>263.70463099437148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43.98683806674633</v>
      </c>
      <c r="HH136" s="21">
        <f>EXP(-LN(2)/25)*HH135+(1-EXP(-LN(2)/25))/(LN(2)/25)*Calculateur!HC136*Calculateur!HE136*VLOOKUP('Données projet'!$B$18,Paramètres!$A$1:$I$89,3,0)*0.475*44/12</f>
        <v>0.97864070767085409</v>
      </c>
      <c r="HI136" s="21">
        <f>EXP(-LN(2)/2)*HI135+(1-EXP(-LN(2)/2))/(LN(2)/2)*HC136*HF136*VLOOKUP('Données projet'!$B$18,Paramètres!$A$1:$I$89,3,0)*0.475*44/12</f>
        <v>5.1224010638781388E-7</v>
      </c>
      <c r="HJ136" s="22">
        <f t="shared" si="138"/>
        <v>44.965479286657292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-2.5124791136477146E-14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46.095319339746538</v>
      </c>
      <c r="T137" s="59">
        <f t="shared" si="142"/>
        <v>48.158174304064403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20.729769080461704</v>
      </c>
      <c r="AA137" s="21">
        <f>EXP(-LN(2)/25)*AA136+(1-EXP(-LN(2)/25))/(LN(2)/25)*Calculateur!V137*Calculateur!X137*VLOOKUP('Données projet'!$B$9,Paramètres!$A$1:$I$89,3,0)*0.475*44/12</f>
        <v>6.1309985522096584</v>
      </c>
      <c r="AB137" s="21">
        <f>EXP(-LN(2)/2)*AB136+(1-EXP(-LN(2)/2))/(LN(2)/2)*V137*Y137*VLOOKUP('Données projet'!$B$9,Paramètres!$A$1:$I$89,3,0)*0.475*44/12</f>
        <v>1.1002872819849568E-7</v>
      </c>
      <c r="AC137" s="22">
        <f t="shared" si="111"/>
        <v>26.860767742700091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-6.7984728957526396E-14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408.84545509668794</v>
      </c>
      <c r="AO137" s="59">
        <f t="shared" si="144"/>
        <v>409.9253979841132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43.440275293717704</v>
      </c>
      <c r="AV137" s="21">
        <f>EXP(-LN(2)/25)*AV136+(1-EXP(-LN(2)/25))/(LN(2)/25)*Calculateur!AQ137*Calculateur!AS137*VLOOKUP('Données projet'!$B$10,Paramètres!$A$1:$I$89,3,0)*0.475*44/12</f>
        <v>9.7991165238074949</v>
      </c>
      <c r="AW137" s="21">
        <f>EXP(-LN(2)/2)*AW136+(1-EXP(-LN(2)/2))/(LN(2)/2)*AQ137*AT137*VLOOKUP('Données projet'!$B$10,Paramètres!$A$1:$I$89,3,0)*0.475*44/12</f>
        <v>6.8304431456567263E-10</v>
      </c>
      <c r="AX137" s="21">
        <f t="shared" si="114"/>
        <v>53.239391818208247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-6.7984728957526396E-14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279.69031306919914</v>
      </c>
      <c r="BJ137" s="59">
        <f t="shared" si="146"/>
        <v>297.01680128882509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39.411500470589985</v>
      </c>
      <c r="BQ137" s="21">
        <f>EXP(-LN(2)/25)*BQ136+(1-EXP(-LN(2)/25))/(LN(2)/25)*Calculateur!BL137*Calculateur!BN137*VLOOKUP('Données projet'!$B$11,Paramètres!$A$1:$I$89,3,0)*0.475*44/12</f>
        <v>11.115143267971405</v>
      </c>
      <c r="BR137" s="21">
        <f>EXP(-LN(2)/2)*BR136+(1-EXP(-LN(2)/2))/(LN(2)/2)*BL137*BO137*VLOOKUP('Données projet'!$B$11,Paramètres!$A$1:$I$89,3,0)*0.475*44/12</f>
        <v>1.5936341524092056E-9</v>
      </c>
      <c r="BS137" s="22">
        <f t="shared" si="117"/>
        <v>50.526643740155023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81.299024916151723</v>
      </c>
      <c r="CE137" s="59">
        <f t="shared" si="148"/>
        <v>88.106373324240167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11.65699239274182</v>
      </c>
      <c r="CL137" s="21">
        <f>EXP(-LN(2)/25)*CL136+(1-EXP(-LN(2)/25))/(LN(2)/25)*Calculateur!CG137*Calculateur!CI137*VLOOKUP('Données projet'!$B$12,Paramètres!$A$1:$I$89,3,0)*0.475*44/12</f>
        <v>2.9734366951296374</v>
      </c>
      <c r="CM137" s="21">
        <f>EXP(-LN(2)/2)*CM136+(1-EXP(-LN(2)/2))/(LN(2)/2)*CG137*CJ137*VLOOKUP('Données projet'!$B$12,Paramètres!$A$1:$I$89,3,0)*0.475*44/12</f>
        <v>1.7466358416822478E-10</v>
      </c>
      <c r="CN137" s="22">
        <f t="shared" si="120"/>
        <v>14.630429088046121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-3.4106051316484809E-13</v>
      </c>
      <c r="CU137" s="17">
        <f>CT137*VLOOKUP('Données projet'!$B$13,Paramètres!$A$1:$I$89,3,0)*VLOOKUP('Données projet'!$B$13,Paramètres!$A$1:$I$89,5,0)</f>
        <v>-1.9065282685915009E-13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475.42482703895411</v>
      </c>
      <c r="CZ137" s="59">
        <f t="shared" si="150"/>
        <v>593.51433014569966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79.629576814845663</v>
      </c>
      <c r="DG137" s="21">
        <f>EXP(-LN(2)/25)*DG136+(1-EXP(-LN(2)/25))/(LN(2)/25)*Calculateur!DB137*Calculateur!DD137*VLOOKUP('Données projet'!$B$13,Paramètres!$A$1:$I$89,3,0)*0.475*44/12</f>
        <v>9.5581076564249852</v>
      </c>
      <c r="DH137" s="21">
        <f>EXP(-LN(2)/2)*DH136+(1-EXP(-LN(2)/2))/(LN(2)/2)*DB137*DE137*VLOOKUP('Données projet'!$B$13,Paramètres!$A$1:$I$89,3,0)*0.475*44/12</f>
        <v>2.0253317763030942E-9</v>
      </c>
      <c r="DI137" s="22">
        <f t="shared" si="123"/>
        <v>89.187684473295974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7.1111111111111107</v>
      </c>
      <c r="DO137" s="12">
        <f>IF('Données projet'!$A$166&gt;35,DO136+DN137-DW136,IF(A137&lt;'Données projet'!$A$166,$DL$205^A137,IF(A137='Données projet'!$A$166,'Données projet'!$B$166,DO136+DN137-DW136)))</f>
        <v>391.22222222222183</v>
      </c>
      <c r="DP137" s="17">
        <f>DO137*VLOOKUP('Données projet'!$B$14,Paramètres!$A$1:$I$89,3,0)*VLOOKUP('Données projet'!$B$14,Paramètres!$A$1:$I$89,5,0)</f>
        <v>353.97786666666627</v>
      </c>
      <c r="DQ137" s="13">
        <f t="shared" si="151"/>
        <v>82.381055781393044</v>
      </c>
      <c r="DR137" s="20">
        <f t="shared" si="124"/>
        <v>759.99178993037003</v>
      </c>
      <c r="DS137" s="59">
        <f t="shared" si="125"/>
        <v>1053.3251232637033</v>
      </c>
      <c r="DT137" s="59">
        <f ca="1">AVERAGE(OFFSET($DS$3,0,0,'Données projet'!$E$14+1,1))-AVERAGE(OFFSET($H$3,0,0,'Données projet'!$E$14+1,1))</f>
        <v>401.17301323870578</v>
      </c>
      <c r="DU137" s="59">
        <f t="shared" si="152"/>
        <v>201.57993789149754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44.633902774753615</v>
      </c>
      <c r="EB137" s="21">
        <f>EXP(-LN(2)/25)*EB136+(1-EXP(-LN(2)/25))/(LN(2)/25)*Calculateur!DW137*Calculateur!DY137*VLOOKUP('Données projet'!$B$14,Paramètres!$A$1:$I$89,3,0)*0.475*44/12</f>
        <v>16.396433933986451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61.030336708740066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1.7053025658242404E-13</v>
      </c>
      <c r="EK137" s="17">
        <f>EJ137*VLOOKUP('Données projet'!$B$15,Paramètres!$A$1:$I$89,3,0)*VLOOKUP('Données projet'!$B$15,Paramètres!$A$1:$I$89,5,0)</f>
        <v>1.4897523215040567E-13</v>
      </c>
      <c r="EL137" s="13">
        <f t="shared" si="153"/>
        <v>2.136562777003313E-12</v>
      </c>
      <c r="EM137" s="20">
        <f t="shared" si="127"/>
        <v>3.9806453659427267E-12</v>
      </c>
      <c r="EN137" s="59">
        <f t="shared" si="128"/>
        <v>293.33333333333729</v>
      </c>
      <c r="EO137" s="59">
        <f ca="1">AVERAGE(OFFSET($EN$3,0,0,'Données projet'!$E$15+1,1))-AVERAGE(OFFSET($H$3,0,0,'Données projet'!$E$15+1,1))</f>
        <v>237.8483058552178</v>
      </c>
      <c r="EP137" s="59">
        <f t="shared" si="154"/>
        <v>313.36201272119723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22.907613896994146</v>
      </c>
      <c r="EW137" s="21">
        <f>EXP(-LN(2)/25)*EW136+(1-EXP(-LN(2)/25))/(LN(2)/25)*Calculateur!ER137*Calculateur!ET137*VLOOKUP('Données projet'!$B$15,Paramètres!$A$1:$I$89,3,0)*0.475*44/12</f>
        <v>0.89952103110538995</v>
      </c>
      <c r="EX137" s="21">
        <f>EXP(-LN(2)/2)*EX136+(1-EXP(-LN(2)/2))/(LN(2)/2)*ER137*EU137*VLOOKUP('Données projet'!$B$15,Paramètres!$A$1:$I$89,3,0)*0.475*44/12</f>
        <v>9.5904359980761948E-9</v>
      </c>
      <c r="EY137" s="22">
        <f t="shared" si="129"/>
        <v>23.807134937689973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-2.8421709430404007E-13</v>
      </c>
      <c r="FF137" s="17">
        <f>FE137*VLOOKUP('Données projet'!$B$16,Paramètres!$A$1:$I$89,3,0)*VLOOKUP('Données projet'!$B$16,Paramètres!$A$1:$I$89,5,0)</f>
        <v>-2.2168933355715128E-13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318.52984981739411</v>
      </c>
      <c r="FK137" s="59">
        <f t="shared" si="156"/>
        <v>311.56398336941714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40.683285850546682</v>
      </c>
      <c r="FR137" s="21">
        <f>EXP(-LN(2)/25)*FR136+(1-EXP(-LN(2)/25))/(LN(2)/25)*Calculateur!FM137*Calculateur!FO137*VLOOKUP('Données projet'!$B$16,Paramètres!$A$1:$I$89,3,0)*0.475*44/12</f>
        <v>0.89799974156142903</v>
      </c>
      <c r="FS137" s="21">
        <f>EXP(-LN(2)/2)*FS136+(1-EXP(-LN(2)/2))/(LN(2)/2)*FM137*FP137*VLOOKUP('Données projet'!$B$16,Paramètres!$A$1:$I$89,3,0)*0.475*44/12</f>
        <v>4.2117261956109567E-7</v>
      </c>
      <c r="FT137" s="22">
        <f t="shared" si="132"/>
        <v>41.581286013280732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-2.8421709430404007E-13</v>
      </c>
      <c r="GA137" s="17">
        <f>FZ137*VLOOKUP('Données projet'!$B$17,Paramètres!$A$1:$I$89,3,0)*VLOOKUP('Données projet'!$B$17,Paramètres!$A$1:$I$89,5,0)</f>
        <v>-2.2612312022829427E-13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325.72928944930294</v>
      </c>
      <c r="GF137" s="59">
        <f t="shared" si="158"/>
        <v>318.38876834819752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51.14740542047803</v>
      </c>
      <c r="GM137" s="21">
        <f>EXP(-LN(2)/25)*GM136+(1-EXP(-LN(2)/25))/(LN(2)/25)*Calculateur!GH137*Calculateur!GJ137*VLOOKUP('Données projet'!$B$17,Paramètres!$A$1:$I$89,3,0)*0.475*44/12</f>
        <v>1.128973628576996</v>
      </c>
      <c r="GN137" s="21">
        <f>EXP(-LN(2)/2)*GN136+(1-EXP(-LN(2)/2))/(LN(2)/2)*GH137*GK137*VLOOKUP('Données projet'!$B$17,Paramètres!$A$1:$I$89,3,0)*0.475*44/12</f>
        <v>4.2959607195231694E-7</v>
      </c>
      <c r="GO137" s="21">
        <f t="shared" si="135"/>
        <v>52.276379478651094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-2.8421709430404007E-13</v>
      </c>
      <c r="GV137" s="17">
        <f>GU137*VLOOKUP('Données projet'!$B$18,Paramètres!$A$1:$I$89,3,0)*VLOOKUP('Données projet'!$B$18,Paramètres!$A$1:$I$89,5,0)</f>
        <v>-1.9065282685915009E-13</v>
      </c>
      <c r="GW137" s="13" t="e">
        <f t="shared" si="159"/>
        <v>#NUM!</v>
      </c>
      <c r="GX137" s="20" t="e">
        <f t="shared" si="136"/>
        <v>#NUM!</v>
      </c>
      <c r="GY137" s="59" t="e">
        <f t="shared" si="137"/>
        <v>#NUM!</v>
      </c>
      <c r="GZ137" s="59">
        <f ca="1">AVERAGE(OFFSET($GY$3,0,0,'Données projet'!$E$18+1,1))-AVERAGE(OFFSET($H$3,0,0,'Données projet'!$E$18+1,1))</f>
        <v>268.04554291387961</v>
      </c>
      <c r="HA137" s="59">
        <f t="shared" si="160"/>
        <v>263.70463099437148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43.124283001579478</v>
      </c>
      <c r="HH137" s="21">
        <f>EXP(-LN(2)/25)*HH136+(1-EXP(-LN(2)/25))/(LN(2)/25)*Calculateur!HC137*Calculateur!HE137*VLOOKUP('Données projet'!$B$18,Paramètres!$A$1:$I$89,3,0)*0.475*44/12</f>
        <v>0.9518797260551165</v>
      </c>
      <c r="HI137" s="21">
        <f>EXP(-LN(2)/2)*HI136+(1-EXP(-LN(2)/2))/(LN(2)/2)*HC137*HF137*VLOOKUP('Données projet'!$B$18,Paramètres!$A$1:$I$89,3,0)*0.475*44/12</f>
        <v>3.6220845282254174E-7</v>
      </c>
      <c r="HJ137" s="22">
        <f t="shared" si="138"/>
        <v>44.07616308984305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-2.5124791136477146E-14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46.095319339746538</v>
      </c>
      <c r="T138" s="59">
        <f t="shared" si="142"/>
        <v>48.158174304064403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20.323270952704508</v>
      </c>
      <c r="AA138" s="21">
        <f>EXP(-LN(2)/25)*AA137+(1-EXP(-LN(2)/25))/(LN(2)/25)*Calculateur!V138*Calculateur!X138*VLOOKUP('Données projet'!$B$9,Paramètres!$A$1:$I$89,3,0)*0.475*44/12</f>
        <v>5.9633460743842841</v>
      </c>
      <c r="AB138" s="21">
        <f>EXP(-LN(2)/2)*AB137+(1-EXP(-LN(2)/2))/(LN(2)/2)*V138*Y138*VLOOKUP('Données projet'!$B$9,Paramètres!$A$1:$I$89,3,0)*0.475*44/12</f>
        <v>7.7802059834487793E-8</v>
      </c>
      <c r="AC138" s="22">
        <f t="shared" si="111"/>
        <v>26.286617104890851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-6.7984728957526396E-14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408.84545509668794</v>
      </c>
      <c r="AO138" s="59">
        <f t="shared" si="144"/>
        <v>409.9253979841132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42.588437991159573</v>
      </c>
      <c r="AV138" s="21">
        <f>EXP(-LN(2)/25)*AV137+(1-EXP(-LN(2)/25))/(LN(2)/25)*Calculateur!AQ138*Calculateur!AS138*VLOOKUP('Données projet'!$B$10,Paramètres!$A$1:$I$89,3,0)*0.475*44/12</f>
        <v>9.5311591671508378</v>
      </c>
      <c r="AW138" s="21">
        <f>EXP(-LN(2)/2)*AW137+(1-EXP(-LN(2)/2))/(LN(2)/2)*AQ138*AT138*VLOOKUP('Données projet'!$B$10,Paramètres!$A$1:$I$89,3,0)*0.475*44/12</f>
        <v>4.8298526668030441E-10</v>
      </c>
      <c r="AX138" s="21">
        <f t="shared" si="114"/>
        <v>52.119597158793397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-6.7984728957526396E-14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279.69031306919914</v>
      </c>
      <c r="BJ138" s="59">
        <f t="shared" si="146"/>
        <v>297.01680128882509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38.638664985003381</v>
      </c>
      <c r="BQ138" s="21">
        <f>EXP(-LN(2)/25)*BQ137+(1-EXP(-LN(2)/25))/(LN(2)/25)*Calculateur!BL138*Calculateur!BN138*VLOOKUP('Données projet'!$B$11,Paramètres!$A$1:$I$89,3,0)*0.475*44/12</f>
        <v>10.811199090788746</v>
      </c>
      <c r="BR138" s="21">
        <f>EXP(-LN(2)/2)*BR137+(1-EXP(-LN(2)/2))/(LN(2)/2)*BL138*BO138*VLOOKUP('Données projet'!$B$11,Paramètres!$A$1:$I$89,3,0)*0.475*44/12</f>
        <v>1.1268695158990252E-9</v>
      </c>
      <c r="BS138" s="22">
        <f t="shared" si="117"/>
        <v>49.449864076918999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81.299024916151723</v>
      </c>
      <c r="CE138" s="59">
        <f t="shared" si="148"/>
        <v>88.106373324240167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11.428405881983453</v>
      </c>
      <c r="CL138" s="21">
        <f>EXP(-LN(2)/25)*CL137+(1-EXP(-LN(2)/25))/(LN(2)/25)*Calculateur!CG138*Calculateur!CI138*VLOOKUP('Données projet'!$B$12,Paramètres!$A$1:$I$89,3,0)*0.475*44/12</f>
        <v>2.8921279123350776</v>
      </c>
      <c r="CM138" s="21">
        <f>EXP(-LN(2)/2)*CM137+(1-EXP(-LN(2)/2))/(LN(2)/2)*CG138*CJ138*VLOOKUP('Données projet'!$B$12,Paramètres!$A$1:$I$89,3,0)*0.475*44/12</f>
        <v>1.2350580479169904E-10</v>
      </c>
      <c r="CN138" s="22">
        <f t="shared" si="120"/>
        <v>14.320533794442037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-3.4106051316484809E-13</v>
      </c>
      <c r="CU138" s="17">
        <f>CT138*VLOOKUP('Données projet'!$B$13,Paramètres!$A$1:$I$89,3,0)*VLOOKUP('Données projet'!$B$13,Paramètres!$A$1:$I$89,5,0)</f>
        <v>-1.9065282685915009E-13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475.42482703895411</v>
      </c>
      <c r="CZ138" s="59">
        <f t="shared" si="150"/>
        <v>593.51433014569966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78.068089382752575</v>
      </c>
      <c r="DG138" s="21">
        <f>EXP(-LN(2)/25)*DG137+(1-EXP(-LN(2)/25))/(LN(2)/25)*Calculateur!DB138*Calculateur!DD138*VLOOKUP('Données projet'!$B$13,Paramètres!$A$1:$I$89,3,0)*0.475*44/12</f>
        <v>9.296740699921008</v>
      </c>
      <c r="DH138" s="21">
        <f>EXP(-LN(2)/2)*DH137+(1-EXP(-LN(2)/2))/(LN(2)/2)*DB138*DE138*VLOOKUP('Données projet'!$B$13,Paramètres!$A$1:$I$89,3,0)*0.475*44/12</f>
        <v>1.4321258331765137E-9</v>
      </c>
      <c r="DI138" s="22">
        <f t="shared" si="123"/>
        <v>87.364830084105705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7.1111111111111107</v>
      </c>
      <c r="DO138" s="12">
        <f>IF('Données projet'!$A$166&gt;35,DO137+DN138-DW137,IF(A138&lt;'Données projet'!$A$166,$DL$205^A138,IF(A138='Données projet'!$A$166,'Données projet'!$B$166,DO137+DN138-DW137)))</f>
        <v>398.33333333333292</v>
      </c>
      <c r="DP138" s="17">
        <f>DO138*VLOOKUP('Données projet'!$B$14,Paramètres!$A$1:$I$89,3,0)*VLOOKUP('Données projet'!$B$14,Paramètres!$A$1:$I$89,5,0)</f>
        <v>360.41199999999964</v>
      </c>
      <c r="DQ138" s="13">
        <f t="shared" si="151"/>
        <v>83.70277868501104</v>
      </c>
      <c r="DR138" s="20">
        <f t="shared" si="124"/>
        <v>773.49990620972676</v>
      </c>
      <c r="DS138" s="59">
        <f t="shared" si="125"/>
        <v>1066.83323954306</v>
      </c>
      <c r="DT138" s="59">
        <f ca="1">AVERAGE(OFFSET($DS$3,0,0,'Données projet'!$E$14+1,1))-AVERAGE(OFFSET($H$3,0,0,'Données projet'!$E$14+1,1))</f>
        <v>401.17301323870578</v>
      </c>
      <c r="DU138" s="59">
        <f t="shared" si="152"/>
        <v>201.57993789149754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43.758659165333242</v>
      </c>
      <c r="EB138" s="21">
        <f>EXP(-LN(2)/25)*EB137+(1-EXP(-LN(2)/25))/(LN(2)/25)*Calculateur!DW138*Calculateur!DY138*VLOOKUP('Données projet'!$B$14,Paramètres!$A$1:$I$89,3,0)*0.475*44/12</f>
        <v>15.948072585810605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59.706731751143849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1.7053025658242404E-13</v>
      </c>
      <c r="EK138" s="17">
        <f>EJ138*VLOOKUP('Données projet'!$B$15,Paramètres!$A$1:$I$89,3,0)*VLOOKUP('Données projet'!$B$15,Paramètres!$A$1:$I$89,5,0)</f>
        <v>1.4897523215040567E-13</v>
      </c>
      <c r="EL138" s="13">
        <f t="shared" si="153"/>
        <v>2.136562777003313E-12</v>
      </c>
      <c r="EM138" s="20">
        <f t="shared" si="127"/>
        <v>3.9806453659427267E-12</v>
      </c>
      <c r="EN138" s="59">
        <f t="shared" si="128"/>
        <v>293.33333333333729</v>
      </c>
      <c r="EO138" s="59">
        <f ca="1">AVERAGE(OFFSET($EN$3,0,0,'Données projet'!$E$15+1,1))-AVERAGE(OFFSET($H$3,0,0,'Données projet'!$E$15+1,1))</f>
        <v>237.8483058552178</v>
      </c>
      <c r="EP138" s="59">
        <f t="shared" si="154"/>
        <v>313.36201272119723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22.458409560738922</v>
      </c>
      <c r="EW138" s="21">
        <f>EXP(-LN(2)/25)*EW137+(1-EXP(-LN(2)/25))/(LN(2)/25)*Calculateur!ER138*Calculateur!ET138*VLOOKUP('Données projet'!$B$15,Paramètres!$A$1:$I$89,3,0)*0.475*44/12</f>
        <v>0.87492358120605795</v>
      </c>
      <c r="EX138" s="21">
        <f>EXP(-LN(2)/2)*EX137+(1-EXP(-LN(2)/2))/(LN(2)/2)*ER138*EU138*VLOOKUP('Données projet'!$B$15,Paramètres!$A$1:$I$89,3,0)*0.475*44/12</f>
        <v>6.7814623287752525E-9</v>
      </c>
      <c r="EY138" s="22">
        <f t="shared" si="129"/>
        <v>23.333333148726442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-2.8421709430404007E-13</v>
      </c>
      <c r="FF138" s="17">
        <f>FE138*VLOOKUP('Données projet'!$B$16,Paramètres!$A$1:$I$89,3,0)*VLOOKUP('Données projet'!$B$16,Paramètres!$A$1:$I$89,5,0)</f>
        <v>-2.2168933355715128E-13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318.52984981739411</v>
      </c>
      <c r="FK138" s="59">
        <f t="shared" si="156"/>
        <v>311.56398336941714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39.885511429371618</v>
      </c>
      <c r="FR138" s="21">
        <f>EXP(-LN(2)/25)*FR137+(1-EXP(-LN(2)/25))/(LN(2)/25)*Calculateur!FM138*Calculateur!FO138*VLOOKUP('Données projet'!$B$16,Paramètres!$A$1:$I$89,3,0)*0.475*44/12</f>
        <v>0.87344389140467771</v>
      </c>
      <c r="FS138" s="21">
        <f>EXP(-LN(2)/2)*FS137+(1-EXP(-LN(2)/2))/(LN(2)/2)*FM138*FP138*VLOOKUP('Données projet'!$B$16,Paramètres!$A$1:$I$89,3,0)*0.475*44/12</f>
        <v>2.978140153417527E-7</v>
      </c>
      <c r="FT138" s="22">
        <f t="shared" si="132"/>
        <v>40.758955618590313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-2.8421709430404007E-13</v>
      </c>
      <c r="GA138" s="17">
        <f>FZ138*VLOOKUP('Données projet'!$B$17,Paramètres!$A$1:$I$89,3,0)*VLOOKUP('Données projet'!$B$17,Paramètres!$A$1:$I$89,5,0)</f>
        <v>-2.2612312022829427E-13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325.72928944930294</v>
      </c>
      <c r="GF138" s="59">
        <f t="shared" si="158"/>
        <v>318.38876834819752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50.144435997019329</v>
      </c>
      <c r="GM138" s="21">
        <f>EXP(-LN(2)/25)*GM137+(1-EXP(-LN(2)/25))/(LN(2)/25)*Calculateur!GH138*Calculateur!GJ138*VLOOKUP('Données projet'!$B$17,Paramètres!$A$1:$I$89,3,0)*0.475*44/12</f>
        <v>1.0981017853334152</v>
      </c>
      <c r="GN138" s="21">
        <f>EXP(-LN(2)/2)*GN137+(1-EXP(-LN(2)/2))/(LN(2)/2)*GH138*GK138*VLOOKUP('Données projet'!$B$17,Paramètres!$A$1:$I$89,3,0)*0.475*44/12</f>
        <v>3.037702956485873E-7</v>
      </c>
      <c r="GO138" s="21">
        <f t="shared" si="135"/>
        <v>51.242538086123034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-2.8421709430404007E-13</v>
      </c>
      <c r="GV138" s="17">
        <f>GU138*VLOOKUP('Données projet'!$B$18,Paramètres!$A$1:$I$89,3,0)*VLOOKUP('Données projet'!$B$18,Paramètres!$A$1:$I$89,5,0)</f>
        <v>-1.9065282685915009E-13</v>
      </c>
      <c r="GW138" s="13" t="e">
        <f t="shared" si="159"/>
        <v>#NUM!</v>
      </c>
      <c r="GX138" s="20" t="e">
        <f t="shared" si="136"/>
        <v>#NUM!</v>
      </c>
      <c r="GY138" s="59" t="e">
        <f t="shared" si="137"/>
        <v>#NUM!</v>
      </c>
      <c r="GZ138" s="59">
        <f ca="1">AVERAGE(OFFSET($GY$3,0,0,'Données projet'!$E$18+1,1))-AVERAGE(OFFSET($H$3,0,0,'Données projet'!$E$18+1,1))</f>
        <v>268.04554291387961</v>
      </c>
      <c r="HA138" s="59">
        <f t="shared" si="160"/>
        <v>263.70463099437148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42.278642115133906</v>
      </c>
      <c r="HH138" s="21">
        <f>EXP(-LN(2)/25)*HH137+(1-EXP(-LN(2)/25))/(LN(2)/25)*Calculateur!HC138*Calculateur!HE138*VLOOKUP('Données projet'!$B$18,Paramètres!$A$1:$I$89,3,0)*0.475*44/12</f>
        <v>0.92585052488896014</v>
      </c>
      <c r="HI138" s="21">
        <f>EXP(-LN(2)/2)*HI137+(1-EXP(-LN(2)/2))/(LN(2)/2)*HC138*HF138*VLOOKUP('Données projet'!$B$18,Paramètres!$A$1:$I$89,3,0)*0.475*44/12</f>
        <v>2.5612005319390694E-7</v>
      </c>
      <c r="HJ138" s="22">
        <f t="shared" si="138"/>
        <v>43.204492896142916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-2.5124791136477146E-14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46.095319339746538</v>
      </c>
      <c r="T139" s="59">
        <f t="shared" si="142"/>
        <v>48.158174304064403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19.924744005293253</v>
      </c>
      <c r="AA139" s="21">
        <f>EXP(-LN(2)/25)*AA138+(1-EXP(-LN(2)/25))/(LN(2)/25)*Calculateur!V139*Calculateur!X139*VLOOKUP('Données projet'!$B$9,Paramètres!$A$1:$I$89,3,0)*0.475*44/12</f>
        <v>5.8002780623815049</v>
      </c>
      <c r="AB139" s="21">
        <f>EXP(-LN(2)/2)*AB138+(1-EXP(-LN(2)/2))/(LN(2)/2)*V139*Y139*VLOOKUP('Données projet'!$B$9,Paramètres!$A$1:$I$89,3,0)*0.475*44/12</f>
        <v>5.5014364099247839E-8</v>
      </c>
      <c r="AC139" s="22">
        <f t="shared" si="111"/>
        <v>25.725022122689122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-6.7984728957526396E-14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408.84545509668794</v>
      </c>
      <c r="AO139" s="59">
        <f t="shared" si="144"/>
        <v>409.9253979841132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41.753304698535153</v>
      </c>
      <c r="AV139" s="21">
        <f>EXP(-LN(2)/25)*AV138+(1-EXP(-LN(2)/25))/(LN(2)/25)*Calculateur!AQ139*Calculateur!AS139*VLOOKUP('Données projet'!$B$10,Paramètres!$A$1:$I$89,3,0)*0.475*44/12</f>
        <v>9.2705291185032213</v>
      </c>
      <c r="AW139" s="21">
        <f>EXP(-LN(2)/2)*AW138+(1-EXP(-LN(2)/2))/(LN(2)/2)*AQ139*AT139*VLOOKUP('Données projet'!$B$10,Paramètres!$A$1:$I$89,3,0)*0.475*44/12</f>
        <v>3.4152215728283631E-10</v>
      </c>
      <c r="AX139" s="21">
        <f t="shared" si="114"/>
        <v>51.023833817379895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-6.7984728957526396E-14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279.69031306919914</v>
      </c>
      <c r="BJ139" s="59">
        <f t="shared" si="146"/>
        <v>297.01680128882509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37.880984331906035</v>
      </c>
      <c r="BQ139" s="21">
        <f>EXP(-LN(2)/25)*BQ138+(1-EXP(-LN(2)/25))/(LN(2)/25)*Calculateur!BL139*Calculateur!BN139*VLOOKUP('Données projet'!$B$11,Paramètres!$A$1:$I$89,3,0)*0.475*44/12</f>
        <v>10.515566283114877</v>
      </c>
      <c r="BR139" s="21">
        <f>EXP(-LN(2)/2)*BR138+(1-EXP(-LN(2)/2))/(LN(2)/2)*BL139*BO139*VLOOKUP('Données projet'!$B$11,Paramètres!$A$1:$I$89,3,0)*0.475*44/12</f>
        <v>7.968170762046028E-10</v>
      </c>
      <c r="BS139" s="22">
        <f t="shared" si="117"/>
        <v>48.396550615817731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81.299024916151723</v>
      </c>
      <c r="CE139" s="59">
        <f t="shared" si="148"/>
        <v>88.106373324240167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11.204301813277052</v>
      </c>
      <c r="CL139" s="21">
        <f>EXP(-LN(2)/25)*CL138+(1-EXP(-LN(2)/25))/(LN(2)/25)*Calculateur!CG139*Calculateur!CI139*VLOOKUP('Données projet'!$B$12,Paramètres!$A$1:$I$89,3,0)*0.475*44/12</f>
        <v>2.813042522481878</v>
      </c>
      <c r="CM139" s="21">
        <f>EXP(-LN(2)/2)*CM138+(1-EXP(-LN(2)/2))/(LN(2)/2)*CG139*CJ139*VLOOKUP('Données projet'!$B$12,Paramètres!$A$1:$I$89,3,0)*0.475*44/12</f>
        <v>8.7331792084112388E-11</v>
      </c>
      <c r="CN139" s="22">
        <f t="shared" si="120"/>
        <v>14.017344335846261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-3.4106051316484809E-13</v>
      </c>
      <c r="CU139" s="17">
        <f>CT139*VLOOKUP('Données projet'!$B$13,Paramètres!$A$1:$I$89,3,0)*VLOOKUP('Données projet'!$B$13,Paramètres!$A$1:$I$89,5,0)</f>
        <v>-1.9065282685915009E-13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475.42482703895411</v>
      </c>
      <c r="CZ139" s="59">
        <f t="shared" si="150"/>
        <v>593.51433014569966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76.537221766789543</v>
      </c>
      <c r="DG139" s="21">
        <f>EXP(-LN(2)/25)*DG138+(1-EXP(-LN(2)/25))/(LN(2)/25)*Calculateur!DB139*Calculateur!DD139*VLOOKUP('Données projet'!$B$13,Paramètres!$A$1:$I$89,3,0)*0.475*44/12</f>
        <v>9.0425208365873235</v>
      </c>
      <c r="DH139" s="21">
        <f>EXP(-LN(2)/2)*DH138+(1-EXP(-LN(2)/2))/(LN(2)/2)*DB139*DE139*VLOOKUP('Données projet'!$B$13,Paramètres!$A$1:$I$89,3,0)*0.475*44/12</f>
        <v>1.0126658881515471E-9</v>
      </c>
      <c r="DI139" s="22">
        <f t="shared" si="123"/>
        <v>85.579742604389537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7.1111111111111107</v>
      </c>
      <c r="DO139" s="12">
        <f>IF('Données projet'!$A$166&gt;35,DO138+DN139-DW138,IF(A139&lt;'Données projet'!$A$166,$DL$205^A139,IF(A139='Données projet'!$A$166,'Données projet'!$B$166,DO138+DN139-DW138)))</f>
        <v>405.444444444444</v>
      </c>
      <c r="DP139" s="17">
        <f>DO139*VLOOKUP('Données projet'!$B$14,Paramètres!$A$1:$I$89,3,0)*VLOOKUP('Données projet'!$B$14,Paramètres!$A$1:$I$89,5,0)</f>
        <v>366.84613333333294</v>
      </c>
      <c r="DQ139" s="13">
        <f t="shared" si="151"/>
        <v>85.021757757075406</v>
      </c>
      <c r="DR139" s="20">
        <f t="shared" si="124"/>
        <v>787.00324364912785</v>
      </c>
      <c r="DS139" s="59">
        <f t="shared" si="125"/>
        <v>1080.3365769824611</v>
      </c>
      <c r="DT139" s="59">
        <f ca="1">AVERAGE(OFFSET($DS$3,0,0,'Données projet'!$E$14+1,1))-AVERAGE(OFFSET($H$3,0,0,'Données projet'!$E$14+1,1))</f>
        <v>401.17301323870578</v>
      </c>
      <c r="DU139" s="59">
        <f t="shared" si="152"/>
        <v>201.57993789149754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42.900578549247712</v>
      </c>
      <c r="EB139" s="21">
        <f>EXP(-LN(2)/25)*EB138+(1-EXP(-LN(2)/25))/(LN(2)/25)*Calculateur!DW139*Calculateur!DY139*VLOOKUP('Données projet'!$B$14,Paramètres!$A$1:$I$89,3,0)*0.475*44/12</f>
        <v>15.511971702278927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58.412550251526639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1.7053025658242404E-13</v>
      </c>
      <c r="EK139" s="17">
        <f>EJ139*VLOOKUP('Données projet'!$B$15,Paramètres!$A$1:$I$89,3,0)*VLOOKUP('Données projet'!$B$15,Paramètres!$A$1:$I$89,5,0)</f>
        <v>1.4897523215040567E-13</v>
      </c>
      <c r="EL139" s="13">
        <f t="shared" si="153"/>
        <v>2.136562777003313E-12</v>
      </c>
      <c r="EM139" s="20">
        <f t="shared" si="127"/>
        <v>3.9806453659427267E-12</v>
      </c>
      <c r="EN139" s="59">
        <f t="shared" si="128"/>
        <v>293.33333333333729</v>
      </c>
      <c r="EO139" s="59">
        <f ca="1">AVERAGE(OFFSET($EN$3,0,0,'Données projet'!$E$15+1,1))-AVERAGE(OFFSET($H$3,0,0,'Données projet'!$E$15+1,1))</f>
        <v>237.8483058552178</v>
      </c>
      <c r="EP139" s="59">
        <f t="shared" si="154"/>
        <v>313.36201272119723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22.018013847530071</v>
      </c>
      <c r="EW139" s="21">
        <f>EXP(-LN(2)/25)*EW138+(1-EXP(-LN(2)/25))/(LN(2)/25)*Calculateur!ER139*Calculateur!ET139*VLOOKUP('Données projet'!$B$15,Paramètres!$A$1:$I$89,3,0)*0.475*44/12</f>
        <v>0.85099874986774682</v>
      </c>
      <c r="EX139" s="21">
        <f>EXP(-LN(2)/2)*EX138+(1-EXP(-LN(2)/2))/(LN(2)/2)*ER139*EU139*VLOOKUP('Données projet'!$B$15,Paramètres!$A$1:$I$89,3,0)*0.475*44/12</f>
        <v>4.7952179990380974E-9</v>
      </c>
      <c r="EY139" s="22">
        <f t="shared" si="129"/>
        <v>22.869012602193035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-2.8421709430404007E-13</v>
      </c>
      <c r="FF139" s="17">
        <f>FE139*VLOOKUP('Données projet'!$B$16,Paramètres!$A$1:$I$89,3,0)*VLOOKUP('Données projet'!$B$16,Paramètres!$A$1:$I$89,5,0)</f>
        <v>-2.2168933355715128E-13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318.52984981739411</v>
      </c>
      <c r="FK139" s="59">
        <f t="shared" si="156"/>
        <v>311.56398336941714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39.103380878001445</v>
      </c>
      <c r="FR139" s="21">
        <f>EXP(-LN(2)/25)*FR138+(1-EXP(-LN(2)/25))/(LN(2)/25)*Calculateur!FM139*Calculateur!FO139*VLOOKUP('Données projet'!$B$16,Paramètres!$A$1:$I$89,3,0)*0.475*44/12</f>
        <v>0.84955952226179887</v>
      </c>
      <c r="FS139" s="21">
        <f>EXP(-LN(2)/2)*FS138+(1-EXP(-LN(2)/2))/(LN(2)/2)*FM139*FP139*VLOOKUP('Données projet'!$B$16,Paramètres!$A$1:$I$89,3,0)*0.475*44/12</f>
        <v>2.1058630978054784E-7</v>
      </c>
      <c r="FT139" s="22">
        <f t="shared" si="132"/>
        <v>39.952940610849552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-2.8421709430404007E-13</v>
      </c>
      <c r="GA139" s="17">
        <f>FZ139*VLOOKUP('Données projet'!$B$17,Paramètres!$A$1:$I$89,3,0)*VLOOKUP('Données projet'!$B$17,Paramètres!$A$1:$I$89,5,0)</f>
        <v>-2.2612312022829427E-13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325.72928944930294</v>
      </c>
      <c r="GF139" s="59">
        <f t="shared" si="158"/>
        <v>318.38876834819752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49.161134192203711</v>
      </c>
      <c r="GM139" s="21">
        <f>EXP(-LN(2)/25)*GM138+(1-EXP(-LN(2)/25))/(LN(2)/25)*Calculateur!GH139*Calculateur!GJ139*VLOOKUP('Données projet'!$B$17,Paramètres!$A$1:$I$89,3,0)*0.475*44/12</f>
        <v>1.0680741342668099</v>
      </c>
      <c r="GN139" s="21">
        <f>EXP(-LN(2)/2)*GN138+(1-EXP(-LN(2)/2))/(LN(2)/2)*GH139*GK139*VLOOKUP('Données projet'!$B$17,Paramètres!$A$1:$I$89,3,0)*0.475*44/12</f>
        <v>2.1479803597615847E-7</v>
      </c>
      <c r="GO139" s="21">
        <f t="shared" si="135"/>
        <v>50.229208541268555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-2.8421709430404007E-13</v>
      </c>
      <c r="GV139" s="17">
        <f>GU139*VLOOKUP('Données projet'!$B$18,Paramètres!$A$1:$I$89,3,0)*VLOOKUP('Données projet'!$B$18,Paramètres!$A$1:$I$89,5,0)</f>
        <v>-1.9065282685915009E-13</v>
      </c>
      <c r="GW139" s="13" t="e">
        <f t="shared" si="159"/>
        <v>#NUM!</v>
      </c>
      <c r="GX139" s="20" t="e">
        <f t="shared" si="136"/>
        <v>#NUM!</v>
      </c>
      <c r="GY139" s="59" t="e">
        <f t="shared" si="137"/>
        <v>#NUM!</v>
      </c>
      <c r="GZ139" s="59">
        <f ca="1">AVERAGE(OFFSET($GY$3,0,0,'Données projet'!$E$18+1,1))-AVERAGE(OFFSET($H$3,0,0,'Données projet'!$E$18+1,1))</f>
        <v>268.04554291387961</v>
      </c>
      <c r="HA139" s="59">
        <f t="shared" si="160"/>
        <v>263.70463099437148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41.449583730681525</v>
      </c>
      <c r="HH139" s="21">
        <f>EXP(-LN(2)/25)*HH138+(1-EXP(-LN(2)/25))/(LN(2)/25)*Calculateur!HC139*Calculateur!HE139*VLOOKUP('Données projet'!$B$18,Paramètres!$A$1:$I$89,3,0)*0.475*44/12</f>
        <v>0.90053309359750844</v>
      </c>
      <c r="HI139" s="21">
        <f>EXP(-LN(2)/2)*HI138+(1-EXP(-LN(2)/2))/(LN(2)/2)*HC139*HF139*VLOOKUP('Données projet'!$B$18,Paramètres!$A$1:$I$89,3,0)*0.475*44/12</f>
        <v>1.8110422641127087E-7</v>
      </c>
      <c r="HJ139" s="22">
        <f t="shared" si="138"/>
        <v>42.350117005383261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-2.5124791136477146E-14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46.095319339746538</v>
      </c>
      <c r="T140" s="59">
        <f t="shared" si="142"/>
        <v>48.158174304064403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19.534031928243298</v>
      </c>
      <c r="AA140" s="21">
        <f>EXP(-LN(2)/25)*AA139+(1-EXP(-LN(2)/25))/(LN(2)/25)*Calculateur!V140*Calculateur!X140*VLOOKUP('Données projet'!$B$9,Paramètres!$A$1:$I$89,3,0)*0.475*44/12</f>
        <v>5.641669153742316</v>
      </c>
      <c r="AB140" s="21">
        <f>EXP(-LN(2)/2)*AB139+(1-EXP(-LN(2)/2))/(LN(2)/2)*V140*Y140*VLOOKUP('Données projet'!$B$9,Paramètres!$A$1:$I$89,3,0)*0.475*44/12</f>
        <v>3.8901029917243897E-8</v>
      </c>
      <c r="AC140" s="22">
        <f t="shared" si="111"/>
        <v>25.175701120886643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-6.7984728957526396E-14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408.84545509668794</v>
      </c>
      <c r="AO140" s="59">
        <f t="shared" si="144"/>
        <v>409.9253979841132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40.934547860398091</v>
      </c>
      <c r="AV140" s="21">
        <f>EXP(-LN(2)/25)*AV139+(1-EXP(-LN(2)/25))/(LN(2)/25)*Calculateur!AQ140*Calculateur!AS140*VLOOKUP('Données projet'!$B$10,Paramètres!$A$1:$I$89,3,0)*0.475*44/12</f>
        <v>9.0170260122418124</v>
      </c>
      <c r="AW140" s="21">
        <f>EXP(-LN(2)/2)*AW139+(1-EXP(-LN(2)/2))/(LN(2)/2)*AQ140*AT140*VLOOKUP('Données projet'!$B$10,Paramètres!$A$1:$I$89,3,0)*0.475*44/12</f>
        <v>2.414926333401522E-10</v>
      </c>
      <c r="AX140" s="21">
        <f t="shared" si="114"/>
        <v>49.951573872881397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-6.7984728957526396E-14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279.69031306919914</v>
      </c>
      <c r="BJ140" s="59">
        <f t="shared" si="146"/>
        <v>297.01680128882509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37.138161334276361</v>
      </c>
      <c r="BQ140" s="21">
        <f>EXP(-LN(2)/25)*BQ139+(1-EXP(-LN(2)/25))/(LN(2)/25)*Calculateur!BL140*Calculateur!BN140*VLOOKUP('Données projet'!$B$11,Paramètres!$A$1:$I$89,3,0)*0.475*44/12</f>
        <v>10.228017570113504</v>
      </c>
      <c r="BR140" s="21">
        <f>EXP(-LN(2)/2)*BR139+(1-EXP(-LN(2)/2))/(LN(2)/2)*BL140*BO140*VLOOKUP('Données projet'!$B$11,Paramètres!$A$1:$I$89,3,0)*0.475*44/12</f>
        <v>5.6343475794951262E-10</v>
      </c>
      <c r="BS140" s="22">
        <f t="shared" si="117"/>
        <v>47.366178904953301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81.299024916151723</v>
      </c>
      <c r="CE140" s="59">
        <f t="shared" si="148"/>
        <v>88.106373324240167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10.984592288667999</v>
      </c>
      <c r="CL140" s="21">
        <f>EXP(-LN(2)/25)*CL139+(1-EXP(-LN(2)/25))/(LN(2)/25)*Calculateur!CG140*Calculateur!CI140*VLOOKUP('Données projet'!$B$12,Paramètres!$A$1:$I$89,3,0)*0.475*44/12</f>
        <v>2.7361197267731341</v>
      </c>
      <c r="CM140" s="21">
        <f>EXP(-LN(2)/2)*CM139+(1-EXP(-LN(2)/2))/(LN(2)/2)*CG140*CJ140*VLOOKUP('Données projet'!$B$12,Paramètres!$A$1:$I$89,3,0)*0.475*44/12</f>
        <v>6.175290239584952E-11</v>
      </c>
      <c r="CN140" s="22">
        <f t="shared" si="120"/>
        <v>13.720712015502887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-3.4106051316484809E-13</v>
      </c>
      <c r="CU140" s="17">
        <f>CT140*VLOOKUP('Données projet'!$B$13,Paramètres!$A$1:$I$89,3,0)*VLOOKUP('Données projet'!$B$13,Paramètres!$A$1:$I$89,5,0)</f>
        <v>-1.9065282685915009E-13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475.42482703895411</v>
      </c>
      <c r="CZ140" s="59">
        <f t="shared" si="150"/>
        <v>593.51433014569966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75.036373531038507</v>
      </c>
      <c r="DG140" s="21">
        <f>EXP(-LN(2)/25)*DG139+(1-EXP(-LN(2)/25))/(LN(2)/25)*Calculateur!DB140*Calculateur!DD140*VLOOKUP('Données projet'!$B$13,Paramètres!$A$1:$I$89,3,0)*0.475*44/12</f>
        <v>8.7952526287853399</v>
      </c>
      <c r="DH140" s="21">
        <f>EXP(-LN(2)/2)*DH139+(1-EXP(-LN(2)/2))/(LN(2)/2)*DB140*DE140*VLOOKUP('Données projet'!$B$13,Paramètres!$A$1:$I$89,3,0)*0.475*44/12</f>
        <v>7.1606291658825684E-10</v>
      </c>
      <c r="DI140" s="22">
        <f t="shared" si="123"/>
        <v>83.831626160539898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7.1111111111111107</v>
      </c>
      <c r="DO140" s="12">
        <f>IF('Données projet'!$A$166&gt;35,DO139+DN140-DW139,IF(A140&lt;'Données projet'!$A$166,$DL$205^A140,IF(A140='Données projet'!$A$166,'Données projet'!$B$166,DO139+DN140-DW139)))</f>
        <v>412.55555555555509</v>
      </c>
      <c r="DP140" s="17">
        <f>DO140*VLOOKUP('Données projet'!$B$14,Paramètres!$A$1:$I$89,3,0)*VLOOKUP('Données projet'!$B$14,Paramètres!$A$1:$I$89,5,0)</f>
        <v>373.28026666666625</v>
      </c>
      <c r="DQ140" s="13">
        <f t="shared" si="151"/>
        <v>86.338046674190522</v>
      </c>
      <c r="DR140" s="20">
        <f t="shared" si="124"/>
        <v>800.50189573532555</v>
      </c>
      <c r="DS140" s="59">
        <f t="shared" si="125"/>
        <v>1093.8352290686589</v>
      </c>
      <c r="DT140" s="59">
        <f ca="1">AVERAGE(OFFSET($DS$3,0,0,'Données projet'!$E$14+1,1))-AVERAGE(OFFSET($H$3,0,0,'Données projet'!$E$14+1,1))</f>
        <v>401.17301323870578</v>
      </c>
      <c r="DU140" s="59">
        <f t="shared" si="152"/>
        <v>201.57993789149754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42.059324370666126</v>
      </c>
      <c r="EB140" s="21">
        <f>EXP(-LN(2)/25)*EB139+(1-EXP(-LN(2)/25))/(LN(2)/25)*Calculateur!DW140*Calculateur!DY140*VLOOKUP('Données projet'!$B$14,Paramètres!$A$1:$I$89,3,0)*0.475*44/12</f>
        <v>15.087796020340971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57.147120391007093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1.7053025658242404E-13</v>
      </c>
      <c r="EK140" s="17">
        <f>EJ140*VLOOKUP('Données projet'!$B$15,Paramètres!$A$1:$I$89,3,0)*VLOOKUP('Données projet'!$B$15,Paramètres!$A$1:$I$89,5,0)</f>
        <v>1.4897523215040567E-13</v>
      </c>
      <c r="EL140" s="13">
        <f t="shared" si="153"/>
        <v>2.136562777003313E-12</v>
      </c>
      <c r="EM140" s="20">
        <f t="shared" si="127"/>
        <v>3.9806453659427267E-12</v>
      </c>
      <c r="EN140" s="59">
        <f t="shared" si="128"/>
        <v>293.33333333333729</v>
      </c>
      <c r="EO140" s="59">
        <f ca="1">AVERAGE(OFFSET($EN$3,0,0,'Données projet'!$E$15+1,1))-AVERAGE(OFFSET($H$3,0,0,'Données projet'!$E$15+1,1))</f>
        <v>237.8483058552178</v>
      </c>
      <c r="EP140" s="59">
        <f t="shared" si="154"/>
        <v>313.36201272119723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21.586254025642383</v>
      </c>
      <c r="EW140" s="21">
        <f>EXP(-LN(2)/25)*EW139+(1-EXP(-LN(2)/25))/(LN(2)/25)*Calculateur!ER140*Calculateur!ET140*VLOOKUP('Données projet'!$B$15,Paramètres!$A$1:$I$89,3,0)*0.475*44/12</f>
        <v>0.82772814430053399</v>
      </c>
      <c r="EX140" s="21">
        <f>EXP(-LN(2)/2)*EX139+(1-EXP(-LN(2)/2))/(LN(2)/2)*ER140*EU140*VLOOKUP('Données projet'!$B$15,Paramètres!$A$1:$I$89,3,0)*0.475*44/12</f>
        <v>3.3907311643876263E-9</v>
      </c>
      <c r="EY140" s="22">
        <f t="shared" si="129"/>
        <v>22.413982173333647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-2.8421709430404007E-13</v>
      </c>
      <c r="FF140" s="17">
        <f>FE140*VLOOKUP('Données projet'!$B$16,Paramètres!$A$1:$I$89,3,0)*VLOOKUP('Données projet'!$B$16,Paramètres!$A$1:$I$89,5,0)</f>
        <v>-2.2168933355715128E-13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318.52984981739411</v>
      </c>
      <c r="FK140" s="59">
        <f t="shared" si="156"/>
        <v>311.56398336941714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38.336587429691107</v>
      </c>
      <c r="FR140" s="21">
        <f>EXP(-LN(2)/25)*FR139+(1-EXP(-LN(2)/25))/(LN(2)/25)*Calculateur!FM140*Calculateur!FO140*VLOOKUP('Données projet'!$B$16,Paramètres!$A$1:$I$89,3,0)*0.475*44/12</f>
        <v>0.82632827244915641</v>
      </c>
      <c r="FS140" s="21">
        <f>EXP(-LN(2)/2)*FS139+(1-EXP(-LN(2)/2))/(LN(2)/2)*FM140*FP140*VLOOKUP('Données projet'!$B$16,Paramètres!$A$1:$I$89,3,0)*0.475*44/12</f>
        <v>1.4890700767087635E-7</v>
      </c>
      <c r="FT140" s="22">
        <f t="shared" si="132"/>
        <v>39.162915851047266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-2.8421709430404007E-13</v>
      </c>
      <c r="GA140" s="17">
        <f>FZ140*VLOOKUP('Données projet'!$B$17,Paramètres!$A$1:$I$89,3,0)*VLOOKUP('Données projet'!$B$17,Paramètres!$A$1:$I$89,5,0)</f>
        <v>-2.2612312022829427E-13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325.72928944930294</v>
      </c>
      <c r="GF140" s="59">
        <f t="shared" si="158"/>
        <v>318.38876834819752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48.197114336025649</v>
      </c>
      <c r="GM140" s="21">
        <f>EXP(-LN(2)/25)*GM139+(1-EXP(-LN(2)/25))/(LN(2)/25)*Calculateur!GH140*Calculateur!GJ140*VLOOKUP('Données projet'!$B$17,Paramètres!$A$1:$I$89,3,0)*0.475*44/12</f>
        <v>1.0388675908977063</v>
      </c>
      <c r="GN140" s="21">
        <f>EXP(-LN(2)/2)*GN139+(1-EXP(-LN(2)/2))/(LN(2)/2)*GH140*GK140*VLOOKUP('Données projet'!$B$17,Paramètres!$A$1:$I$89,3,0)*0.475*44/12</f>
        <v>1.5188514782429365E-7</v>
      </c>
      <c r="GO140" s="21">
        <f t="shared" si="135"/>
        <v>49.235982078808505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-2.8421709430404007E-13</v>
      </c>
      <c r="GV140" s="17">
        <f>GU140*VLOOKUP('Données projet'!$B$18,Paramètres!$A$1:$I$89,3,0)*VLOOKUP('Données projet'!$B$18,Paramètres!$A$1:$I$89,5,0)</f>
        <v>-1.9065282685915009E-13</v>
      </c>
      <c r="GW140" s="13" t="e">
        <f t="shared" si="159"/>
        <v>#NUM!</v>
      </c>
      <c r="GX140" s="20" t="e">
        <f t="shared" si="136"/>
        <v>#NUM!</v>
      </c>
      <c r="GY140" s="59" t="e">
        <f t="shared" si="137"/>
        <v>#NUM!</v>
      </c>
      <c r="GZ140" s="59">
        <f ca="1">AVERAGE(OFFSET($GY$3,0,0,'Données projet'!$E$18+1,1))-AVERAGE(OFFSET($H$3,0,0,'Données projet'!$E$18+1,1))</f>
        <v>268.04554291387961</v>
      </c>
      <c r="HA140" s="59">
        <f t="shared" si="160"/>
        <v>263.70463099437148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40.636782675472567</v>
      </c>
      <c r="HH140" s="21">
        <f>EXP(-LN(2)/25)*HH139+(1-EXP(-LN(2)/25))/(LN(2)/25)*Calculateur!HC140*Calculateur!HE140*VLOOKUP('Données projet'!$B$18,Paramètres!$A$1:$I$89,3,0)*0.475*44/12</f>
        <v>0.87590796879610733</v>
      </c>
      <c r="HI140" s="21">
        <f>EXP(-LN(2)/2)*HI139+(1-EXP(-LN(2)/2))/(LN(2)/2)*HC140*HF140*VLOOKUP('Données projet'!$B$18,Paramètres!$A$1:$I$89,3,0)*0.475*44/12</f>
        <v>1.2806002659695347E-7</v>
      </c>
      <c r="HJ140" s="22">
        <f t="shared" si="138"/>
        <v>41.512690772328703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-2.5124791136477146E-14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46.095319339746538</v>
      </c>
      <c r="T141" s="59">
        <f t="shared" si="142"/>
        <v>48.158174304064403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19.150981476713454</v>
      </c>
      <c r="AA141" s="21">
        <f>EXP(-LN(2)/25)*AA140+(1-EXP(-LN(2)/25))/(LN(2)/25)*Calculateur!V141*Calculateur!X141*VLOOKUP('Données projet'!$B$9,Paramètres!$A$1:$I$89,3,0)*0.475*44/12</f>
        <v>5.4873974140507462</v>
      </c>
      <c r="AB141" s="21">
        <f>EXP(-LN(2)/2)*AB140+(1-EXP(-LN(2)/2))/(LN(2)/2)*V141*Y141*VLOOKUP('Données projet'!$B$9,Paramètres!$A$1:$I$89,3,0)*0.475*44/12</f>
        <v>2.7507182049623919E-8</v>
      </c>
      <c r="AC141" s="22">
        <f t="shared" si="111"/>
        <v>24.638378918271382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-6.7984728957526396E-14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408.84545509668794</v>
      </c>
      <c r="AO141" s="59">
        <f t="shared" si="144"/>
        <v>409.9253979841132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40.131846344464535</v>
      </c>
      <c r="AV141" s="21">
        <f>EXP(-LN(2)/25)*AV140+(1-EXP(-LN(2)/25))/(LN(2)/25)*Calculateur!AQ141*Calculateur!AS141*VLOOKUP('Données projet'!$B$10,Paramètres!$A$1:$I$89,3,0)*0.475*44/12</f>
        <v>8.7704549617522716</v>
      </c>
      <c r="AW141" s="21">
        <f>EXP(-LN(2)/2)*AW140+(1-EXP(-LN(2)/2))/(LN(2)/2)*AQ141*AT141*VLOOKUP('Données projet'!$B$10,Paramètres!$A$1:$I$89,3,0)*0.475*44/12</f>
        <v>1.7076107864141816E-10</v>
      </c>
      <c r="AX141" s="21">
        <f t="shared" si="114"/>
        <v>48.902301306387564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-6.7984728957526396E-14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279.69031306919914</v>
      </c>
      <c r="BJ141" s="59">
        <f t="shared" si="146"/>
        <v>297.01680128882509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36.40990464255291</v>
      </c>
      <c r="BQ141" s="21">
        <f>EXP(-LN(2)/25)*BQ140+(1-EXP(-LN(2)/25))/(LN(2)/25)*Calculateur!BL141*Calculateur!BN141*VLOOKUP('Données projet'!$B$11,Paramètres!$A$1:$I$89,3,0)*0.475*44/12</f>
        <v>9.9483318917906836</v>
      </c>
      <c r="BR141" s="21">
        <f>EXP(-LN(2)/2)*BR140+(1-EXP(-LN(2)/2))/(LN(2)/2)*BL141*BO141*VLOOKUP('Données projet'!$B$11,Paramètres!$A$1:$I$89,3,0)*0.475*44/12</f>
        <v>3.984085381023014E-10</v>
      </c>
      <c r="BS141" s="22">
        <f t="shared" si="117"/>
        <v>46.358236534741998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81.299024916151723</v>
      </c>
      <c r="CE141" s="59">
        <f t="shared" si="148"/>
        <v>88.106373324240167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10.769191133826952</v>
      </c>
      <c r="CL141" s="21">
        <f>EXP(-LN(2)/25)*CL140+(1-EXP(-LN(2)/25))/(LN(2)/25)*Calculateur!CG141*Calculateur!CI141*VLOOKUP('Données projet'!$B$12,Paramètres!$A$1:$I$89,3,0)*0.475*44/12</f>
        <v>2.6613003889582396</v>
      </c>
      <c r="CM141" s="21">
        <f>EXP(-LN(2)/2)*CM140+(1-EXP(-LN(2)/2))/(LN(2)/2)*CG141*CJ141*VLOOKUP('Données projet'!$B$12,Paramètres!$A$1:$I$89,3,0)*0.475*44/12</f>
        <v>4.3665896042056194E-11</v>
      </c>
      <c r="CN141" s="22">
        <f t="shared" si="120"/>
        <v>13.430491522828859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-3.4106051316484809E-13</v>
      </c>
      <c r="CU141" s="17">
        <f>CT141*VLOOKUP('Données projet'!$B$13,Paramètres!$A$1:$I$89,3,0)*VLOOKUP('Données projet'!$B$13,Paramètres!$A$1:$I$89,5,0)</f>
        <v>-1.9065282685915009E-13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475.42482703895411</v>
      </c>
      <c r="CZ141" s="59">
        <f t="shared" si="150"/>
        <v>593.51433014569966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73.564956013763521</v>
      </c>
      <c r="DG141" s="21">
        <f>EXP(-LN(2)/25)*DG140+(1-EXP(-LN(2)/25))/(LN(2)/25)*Calculateur!DB141*Calculateur!DD141*VLOOKUP('Données projet'!$B$13,Paramètres!$A$1:$I$89,3,0)*0.475*44/12</f>
        <v>8.5547459831289707</v>
      </c>
      <c r="DH141" s="21">
        <f>EXP(-LN(2)/2)*DH140+(1-EXP(-LN(2)/2))/(LN(2)/2)*DB141*DE141*VLOOKUP('Données projet'!$B$13,Paramètres!$A$1:$I$89,3,0)*0.475*44/12</f>
        <v>5.0633294407577356E-10</v>
      </c>
      <c r="DI141" s="22">
        <f t="shared" si="123"/>
        <v>82.11970199739882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7.1111111111111107</v>
      </c>
      <c r="DO141" s="12">
        <f>IF('Données projet'!$A$166&gt;35,DO140+DN141-DW140,IF(A141&lt;'Données projet'!$A$166,$DL$205^A141,IF(A141='Données projet'!$A$166,'Données projet'!$B$166,DO140+DN141-DW140)))</f>
        <v>419.66666666666617</v>
      </c>
      <c r="DP141" s="17">
        <f>DO141*VLOOKUP('Données projet'!$B$14,Paramètres!$A$1:$I$89,3,0)*VLOOKUP('Données projet'!$B$14,Paramètres!$A$1:$I$89,5,0)</f>
        <v>379.7143999999995</v>
      </c>
      <c r="DQ141" s="13">
        <f t="shared" si="151"/>
        <v>87.65169715652047</v>
      </c>
      <c r="DR141" s="20">
        <f t="shared" si="124"/>
        <v>813.9959525476055</v>
      </c>
      <c r="DS141" s="59">
        <f t="shared" si="125"/>
        <v>1107.3292858809389</v>
      </c>
      <c r="DT141" s="59">
        <f ca="1">AVERAGE(OFFSET($DS$3,0,0,'Données projet'!$E$14+1,1))-AVERAGE(OFFSET($H$3,0,0,'Données projet'!$E$14+1,1))</f>
        <v>401.17301323870578</v>
      </c>
      <c r="DU141" s="59">
        <f t="shared" si="152"/>
        <v>201.57993789149754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41.234566673412139</v>
      </c>
      <c r="EB141" s="21">
        <f>EXP(-LN(2)/25)*EB140+(1-EXP(-LN(2)/25))/(LN(2)/25)*Calculateur!DW141*Calculateur!DY141*VLOOKUP('Données projet'!$B$14,Paramètres!$A$1:$I$89,3,0)*0.475*44/12</f>
        <v>14.675219444732038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55.909786118144176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1.7053025658242404E-13</v>
      </c>
      <c r="EK141" s="17">
        <f>EJ141*VLOOKUP('Données projet'!$B$15,Paramètres!$A$1:$I$89,3,0)*VLOOKUP('Données projet'!$B$15,Paramètres!$A$1:$I$89,5,0)</f>
        <v>1.4897523215040567E-13</v>
      </c>
      <c r="EL141" s="13">
        <f t="shared" si="153"/>
        <v>2.136562777003313E-12</v>
      </c>
      <c r="EM141" s="20">
        <f t="shared" si="127"/>
        <v>3.9806453659427267E-12</v>
      </c>
      <c r="EN141" s="59">
        <f t="shared" si="128"/>
        <v>293.33333333333729</v>
      </c>
      <c r="EO141" s="59">
        <f ca="1">AVERAGE(OFFSET($EN$3,0,0,'Données projet'!$E$15+1,1))-AVERAGE(OFFSET($H$3,0,0,'Données projet'!$E$15+1,1))</f>
        <v>237.8483058552178</v>
      </c>
      <c r="EP141" s="59">
        <f t="shared" si="154"/>
        <v>313.36201272119723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21.162960750514426</v>
      </c>
      <c r="EW141" s="21">
        <f>EXP(-LN(2)/25)*EW140+(1-EXP(-LN(2)/25))/(LN(2)/25)*Calculateur!ER141*Calculateur!ET141*VLOOKUP('Données projet'!$B$15,Paramètres!$A$1:$I$89,3,0)*0.475*44/12</f>
        <v>0.80509387466630455</v>
      </c>
      <c r="EX141" s="21">
        <f>EXP(-LN(2)/2)*EX140+(1-EXP(-LN(2)/2))/(LN(2)/2)*ER141*EU141*VLOOKUP('Données projet'!$B$15,Paramètres!$A$1:$I$89,3,0)*0.475*44/12</f>
        <v>2.3976089995190487E-9</v>
      </c>
      <c r="EY141" s="22">
        <f t="shared" si="129"/>
        <v>21.96805462757834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-2.8421709430404007E-13</v>
      </c>
      <c r="FF141" s="17">
        <f>FE141*VLOOKUP('Données projet'!$B$16,Paramètres!$A$1:$I$89,3,0)*VLOOKUP('Données projet'!$B$16,Paramètres!$A$1:$I$89,5,0)</f>
        <v>-2.2168933355715128E-13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318.52984981739411</v>
      </c>
      <c r="FK141" s="59">
        <f t="shared" si="156"/>
        <v>311.56398336941714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37.584830333204316</v>
      </c>
      <c r="FR141" s="21">
        <f>EXP(-LN(2)/25)*FR140+(1-EXP(-LN(2)/25))/(LN(2)/25)*Calculateur!FM141*Calculateur!FO141*VLOOKUP('Données projet'!$B$16,Paramètres!$A$1:$I$89,3,0)*0.475*44/12</f>
        <v>0.80373228238431893</v>
      </c>
      <c r="FS141" s="21">
        <f>EXP(-LN(2)/2)*FS140+(1-EXP(-LN(2)/2))/(LN(2)/2)*FM141*FP141*VLOOKUP('Données projet'!$B$16,Paramètres!$A$1:$I$89,3,0)*0.475*44/12</f>
        <v>1.0529315489027392E-7</v>
      </c>
      <c r="FT141" s="22">
        <f t="shared" si="132"/>
        <v>38.388562720881787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-2.8421709430404007E-13</v>
      </c>
      <c r="GA141" s="17">
        <f>FZ141*VLOOKUP('Données projet'!$B$17,Paramètres!$A$1:$I$89,3,0)*VLOOKUP('Données projet'!$B$17,Paramètres!$A$1:$I$89,5,0)</f>
        <v>-2.2612312022829427E-13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325.72928944930294</v>
      </c>
      <c r="GF141" s="59">
        <f t="shared" si="158"/>
        <v>318.38876834819752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47.251998321233188</v>
      </c>
      <c r="GM141" s="21">
        <f>EXP(-LN(2)/25)*GM140+(1-EXP(-LN(2)/25))/(LN(2)/25)*Calculateur!GH141*Calculateur!GJ141*VLOOKUP('Données projet'!$B$17,Paramètres!$A$1:$I$89,3,0)*0.475*44/12</f>
        <v>1.0104597019929362</v>
      </c>
      <c r="GN141" s="21">
        <f>EXP(-LN(2)/2)*GN140+(1-EXP(-LN(2)/2))/(LN(2)/2)*GH141*GK141*VLOOKUP('Données projet'!$B$17,Paramètres!$A$1:$I$89,3,0)*0.475*44/12</f>
        <v>1.0739901798807924E-7</v>
      </c>
      <c r="GO141" s="21">
        <f t="shared" si="135"/>
        <v>48.262458130625141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-2.8421709430404007E-13</v>
      </c>
      <c r="GV141" s="17">
        <f>GU141*VLOOKUP('Données projet'!$B$18,Paramètres!$A$1:$I$89,3,0)*VLOOKUP('Données projet'!$B$18,Paramètres!$A$1:$I$89,5,0)</f>
        <v>-1.9065282685915009E-13</v>
      </c>
      <c r="GW141" s="13" t="e">
        <f t="shared" si="159"/>
        <v>#NUM!</v>
      </c>
      <c r="GX141" s="20" t="e">
        <f t="shared" si="136"/>
        <v>#NUM!</v>
      </c>
      <c r="GY141" s="59" t="e">
        <f t="shared" si="137"/>
        <v>#NUM!</v>
      </c>
      <c r="GZ141" s="59">
        <f ca="1">AVERAGE(OFFSET($GY$3,0,0,'Données projet'!$E$18+1,1))-AVERAGE(OFFSET($H$3,0,0,'Données projet'!$E$18+1,1))</f>
        <v>268.04554291387961</v>
      </c>
      <c r="HA141" s="59">
        <f t="shared" si="160"/>
        <v>263.70463099437148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39.839920153196566</v>
      </c>
      <c r="HH141" s="21">
        <f>EXP(-LN(2)/25)*HH140+(1-EXP(-LN(2)/25))/(LN(2)/25)*Calculateur!HC141*Calculateur!HE141*VLOOKUP('Données projet'!$B$18,Paramètres!$A$1:$I$89,3,0)*0.475*44/12</f>
        <v>0.85195621932737964</v>
      </c>
      <c r="HI141" s="21">
        <f>EXP(-LN(2)/2)*HI140+(1-EXP(-LN(2)/2))/(LN(2)/2)*HC141*HF141*VLOOKUP('Données projet'!$B$18,Paramètres!$A$1:$I$89,3,0)*0.475*44/12</f>
        <v>9.0552113205635435E-8</v>
      </c>
      <c r="HJ141" s="22">
        <f t="shared" si="138"/>
        <v>40.691876463076056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-2.5124791136477146E-14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46.095319339746538</v>
      </c>
      <c r="T142" s="59">
        <f t="shared" si="142"/>
        <v>48.158174304064403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18.775442410900407</v>
      </c>
      <c r="AA142" s="21">
        <f>EXP(-LN(2)/25)*AA141+(1-EXP(-LN(2)/25))/(LN(2)/25)*Calculateur!V142*Calculateur!X142*VLOOKUP('Données projet'!$B$9,Paramètres!$A$1:$I$89,3,0)*0.475*44/12</f>
        <v>5.33734424319384</v>
      </c>
      <c r="AB142" s="21">
        <f>EXP(-LN(2)/2)*AB141+(1-EXP(-LN(2)/2))/(LN(2)/2)*V142*Y142*VLOOKUP('Données projet'!$B$9,Paramètres!$A$1:$I$89,3,0)*0.475*44/12</f>
        <v>1.9450514958621948E-8</v>
      </c>
      <c r="AC142" s="22">
        <f t="shared" si="111"/>
        <v>24.112786673544761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-6.7984728957526396E-14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408.84545509668794</v>
      </c>
      <c r="AO142" s="59">
        <f t="shared" si="144"/>
        <v>409.9253979841132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39.34488531565885</v>
      </c>
      <c r="AV142" s="21">
        <f>EXP(-LN(2)/25)*AV141+(1-EXP(-LN(2)/25))/(LN(2)/25)*Calculateur!AQ142*Calculateur!AS142*VLOOKUP('Données projet'!$B$10,Paramètres!$A$1:$I$89,3,0)*0.475*44/12</f>
        <v>8.5306264096049738</v>
      </c>
      <c r="AW142" s="21">
        <f>EXP(-LN(2)/2)*AW141+(1-EXP(-LN(2)/2))/(LN(2)/2)*AQ142*AT142*VLOOKUP('Données projet'!$B$10,Paramètres!$A$1:$I$89,3,0)*0.475*44/12</f>
        <v>1.207463166700761E-10</v>
      </c>
      <c r="AX142" s="21">
        <f t="shared" si="114"/>
        <v>47.87551172538457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-6.7984728957526396E-14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279.69031306919914</v>
      </c>
      <c r="BJ142" s="59">
        <f t="shared" si="146"/>
        <v>297.01680128882509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35.695928620361435</v>
      </c>
      <c r="BQ142" s="21">
        <f>EXP(-LN(2)/25)*BQ141+(1-EXP(-LN(2)/25))/(LN(2)/25)*Calculateur!BL142*Calculateur!BN142*VLOOKUP('Données projet'!$B$11,Paramètres!$A$1:$I$89,3,0)*0.475*44/12</f>
        <v>9.6762942330496298</v>
      </c>
      <c r="BR142" s="21">
        <f>EXP(-LN(2)/2)*BR141+(1-EXP(-LN(2)/2))/(LN(2)/2)*BL142*BO142*VLOOKUP('Données projet'!$B$11,Paramètres!$A$1:$I$89,3,0)*0.475*44/12</f>
        <v>2.8171737897475631E-10</v>
      </c>
      <c r="BS142" s="22">
        <f t="shared" si="117"/>
        <v>45.372222853692783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81.299024916151723</v>
      </c>
      <c r="CE142" s="59">
        <f t="shared" si="148"/>
        <v>88.106373324240167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10.558013864250606</v>
      </c>
      <c r="CL142" s="21">
        <f>EXP(-LN(2)/25)*CL141+(1-EXP(-LN(2)/25))/(LN(2)/25)*Calculateur!CG142*Calculateur!CI142*VLOOKUP('Données projet'!$B$12,Paramètres!$A$1:$I$89,3,0)*0.475*44/12</f>
        <v>2.5885269898704717</v>
      </c>
      <c r="CM142" s="21">
        <f>EXP(-LN(2)/2)*CM141+(1-EXP(-LN(2)/2))/(LN(2)/2)*CG142*CJ142*VLOOKUP('Données projet'!$B$12,Paramètres!$A$1:$I$89,3,0)*0.475*44/12</f>
        <v>3.087645119792476E-11</v>
      </c>
      <c r="CN142" s="22">
        <f t="shared" si="120"/>
        <v>13.146540854151954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-3.4106051316484809E-13</v>
      </c>
      <c r="CU142" s="17">
        <f>CT142*VLOOKUP('Données projet'!$B$13,Paramètres!$A$1:$I$89,3,0)*VLOOKUP('Données projet'!$B$13,Paramètres!$A$1:$I$89,5,0)</f>
        <v>-1.9065282685915009E-13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475.42482703895411</v>
      </c>
      <c r="CZ142" s="59">
        <f t="shared" si="150"/>
        <v>593.51433014569966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72.122392096526227</v>
      </c>
      <c r="DG142" s="21">
        <f>EXP(-LN(2)/25)*DG141+(1-EXP(-LN(2)/25))/(LN(2)/25)*Calculateur!DB142*Calculateur!DD142*VLOOKUP('Données projet'!$B$13,Paramètres!$A$1:$I$89,3,0)*0.475*44/12</f>
        <v>8.3208160043457706</v>
      </c>
      <c r="DH142" s="21">
        <f>EXP(-LN(2)/2)*DH141+(1-EXP(-LN(2)/2))/(LN(2)/2)*DB142*DE142*VLOOKUP('Données projet'!$B$13,Paramètres!$A$1:$I$89,3,0)*0.475*44/12</f>
        <v>3.5803145829412842E-10</v>
      </c>
      <c r="DI142" s="22">
        <f t="shared" si="123"/>
        <v>80.443208101230027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7.1111111111111107</v>
      </c>
      <c r="DO142" s="12">
        <f>IF('Données projet'!$A$166&gt;35,DO141+DN142-DW141,IF(A142&lt;'Données projet'!$A$166,$DL$205^A142,IF(A142='Données projet'!$A$166,'Données projet'!$B$166,DO141+DN142-DW141)))</f>
        <v>426.77777777777726</v>
      </c>
      <c r="DP142" s="17">
        <f>DO142*VLOOKUP('Données projet'!$B$14,Paramètres!$A$1:$I$89,3,0)*VLOOKUP('Données projet'!$B$14,Paramètres!$A$1:$I$89,5,0)</f>
        <v>386.14853333333286</v>
      </c>
      <c r="DQ142" s="13">
        <f t="shared" si="151"/>
        <v>88.962759071019875</v>
      </c>
      <c r="DR142" s="20">
        <f t="shared" si="124"/>
        <v>827.48550093758092</v>
      </c>
      <c r="DS142" s="59">
        <f t="shared" si="125"/>
        <v>1120.8188342709143</v>
      </c>
      <c r="DT142" s="59">
        <f ca="1">AVERAGE(OFFSET($DS$3,0,0,'Données projet'!$E$14+1,1))-AVERAGE(OFFSET($H$3,0,0,'Données projet'!$E$14+1,1))</f>
        <v>401.17301323870578</v>
      </c>
      <c r="DU142" s="59">
        <f t="shared" si="152"/>
        <v>201.57993789149754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40.425981971548779</v>
      </c>
      <c r="EB142" s="21">
        <f>EXP(-LN(2)/25)*EB141+(1-EXP(-LN(2)/25))/(LN(2)/25)*Calculateur!DW142*Calculateur!DY142*VLOOKUP('Données projet'!$B$14,Paramètres!$A$1:$I$89,3,0)*0.475*44/12</f>
        <v>14.273924797279591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54.69990676882837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1.7053025658242404E-13</v>
      </c>
      <c r="EK142" s="17">
        <f>EJ142*VLOOKUP('Données projet'!$B$15,Paramètres!$A$1:$I$89,3,0)*VLOOKUP('Données projet'!$B$15,Paramètres!$A$1:$I$89,5,0)</f>
        <v>1.4897523215040567E-13</v>
      </c>
      <c r="EL142" s="13">
        <f t="shared" si="153"/>
        <v>2.136562777003313E-12</v>
      </c>
      <c r="EM142" s="20">
        <f t="shared" si="127"/>
        <v>3.9806453659427267E-12</v>
      </c>
      <c r="EN142" s="59">
        <f t="shared" si="128"/>
        <v>293.33333333333729</v>
      </c>
      <c r="EO142" s="59">
        <f ca="1">AVERAGE(OFFSET($EN$3,0,0,'Données projet'!$E$15+1,1))-AVERAGE(OFFSET($H$3,0,0,'Données projet'!$E$15+1,1))</f>
        <v>237.8483058552178</v>
      </c>
      <c r="EP142" s="59">
        <f t="shared" si="154"/>
        <v>313.36201272119723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20.747967998328324</v>
      </c>
      <c r="EW142" s="21">
        <f>EXP(-LN(2)/25)*EW141+(1-EXP(-LN(2)/25))/(LN(2)/25)*Calculateur!ER142*Calculateur!ET142*VLOOKUP('Données projet'!$B$15,Paramètres!$A$1:$I$89,3,0)*0.475*44/12</f>
        <v>0.78307854032550761</v>
      </c>
      <c r="EX142" s="21">
        <f>EXP(-LN(2)/2)*EX141+(1-EXP(-LN(2)/2))/(LN(2)/2)*ER142*EU142*VLOOKUP('Données projet'!$B$15,Paramètres!$A$1:$I$89,3,0)*0.475*44/12</f>
        <v>1.6953655821938131E-9</v>
      </c>
      <c r="EY142" s="22">
        <f t="shared" si="129"/>
        <v>21.531046540349198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-2.8421709430404007E-13</v>
      </c>
      <c r="FF142" s="17">
        <f>FE142*VLOOKUP('Données projet'!$B$16,Paramètres!$A$1:$I$89,3,0)*VLOOKUP('Données projet'!$B$16,Paramètres!$A$1:$I$89,5,0)</f>
        <v>-2.2168933355715128E-13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318.52984981739411</v>
      </c>
      <c r="FK142" s="59">
        <f t="shared" si="156"/>
        <v>311.56398336941714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36.847814734853081</v>
      </c>
      <c r="FR142" s="21">
        <f>EXP(-LN(2)/25)*FR141+(1-EXP(-LN(2)/25))/(LN(2)/25)*Calculateur!FM142*Calculateur!FO142*VLOOKUP('Données projet'!$B$16,Paramètres!$A$1:$I$89,3,0)*0.475*44/12</f>
        <v>0.78175418085607595</v>
      </c>
      <c r="FS142" s="21">
        <f>EXP(-LN(2)/2)*FS141+(1-EXP(-LN(2)/2))/(LN(2)/2)*FM142*FP142*VLOOKUP('Données projet'!$B$16,Paramètres!$A$1:$I$89,3,0)*0.475*44/12</f>
        <v>7.4453503835438175E-8</v>
      </c>
      <c r="FT142" s="22">
        <f t="shared" si="132"/>
        <v>37.62956899016266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-2.8421709430404007E-13</v>
      </c>
      <c r="GA142" s="17">
        <f>FZ142*VLOOKUP('Données projet'!$B$17,Paramètres!$A$1:$I$89,3,0)*VLOOKUP('Données projet'!$B$17,Paramètres!$A$1:$I$89,5,0)</f>
        <v>-2.2612312022829427E-13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325.72928944930294</v>
      </c>
      <c r="GF142" s="59">
        <f t="shared" si="158"/>
        <v>318.38876834819752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46.325415455026956</v>
      </c>
      <c r="GM142" s="21">
        <f>EXP(-LN(2)/25)*GM141+(1-EXP(-LN(2)/25))/(LN(2)/25)*Calculateur!GH142*Calculateur!GJ142*VLOOKUP('Données projet'!$B$17,Paramètres!$A$1:$I$89,3,0)*0.475*44/12</f>
        <v>0.98282862830417306</v>
      </c>
      <c r="GN142" s="21">
        <f>EXP(-LN(2)/2)*GN141+(1-EXP(-LN(2)/2))/(LN(2)/2)*GH142*GK142*VLOOKUP('Données projet'!$B$17,Paramètres!$A$1:$I$89,3,0)*0.475*44/12</f>
        <v>7.5942573912146825E-8</v>
      </c>
      <c r="GO142" s="21">
        <f t="shared" si="135"/>
        <v>47.308244159273706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-2.8421709430404007E-13</v>
      </c>
      <c r="GV142" s="17">
        <f>GU142*VLOOKUP('Données projet'!$B$18,Paramètres!$A$1:$I$89,3,0)*VLOOKUP('Données projet'!$B$18,Paramètres!$A$1:$I$89,5,0)</f>
        <v>-1.9065282685915009E-13</v>
      </c>
      <c r="GW142" s="13" t="e">
        <f t="shared" si="159"/>
        <v>#NUM!</v>
      </c>
      <c r="GX142" s="20" t="e">
        <f t="shared" si="136"/>
        <v>#NUM!</v>
      </c>
      <c r="GY142" s="59" t="e">
        <f t="shared" si="137"/>
        <v>#NUM!</v>
      </c>
      <c r="GZ142" s="59">
        <f ca="1">AVERAGE(OFFSET($GY$3,0,0,'Données projet'!$E$18+1,1))-AVERAGE(OFFSET($H$3,0,0,'Données projet'!$E$18+1,1))</f>
        <v>268.04554291387961</v>
      </c>
      <c r="HA142" s="59">
        <f t="shared" si="160"/>
        <v>263.70463099437148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39.058683618944251</v>
      </c>
      <c r="HH142" s="21">
        <f>EXP(-LN(2)/25)*HH141+(1-EXP(-LN(2)/25))/(LN(2)/25)*Calculateur!HC142*Calculateur!HE142*VLOOKUP('Données projet'!$B$18,Paramètres!$A$1:$I$89,3,0)*0.475*44/12</f>
        <v>0.82865943170744205</v>
      </c>
      <c r="HI142" s="21">
        <f>EXP(-LN(2)/2)*HI141+(1-EXP(-LN(2)/2))/(LN(2)/2)*HC142*HF142*VLOOKUP('Données projet'!$B$18,Paramètres!$A$1:$I$89,3,0)*0.475*44/12</f>
        <v>6.4030013298476735E-8</v>
      </c>
      <c r="HJ142" s="22">
        <f t="shared" si="138"/>
        <v>39.887343114681705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-2.5124791136477146E-14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46.095319339746538</v>
      </c>
      <c r="T143" s="59">
        <f t="shared" si="142"/>
        <v>48.158174304064403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18.407267437111742</v>
      </c>
      <c r="AA143" s="21">
        <f>EXP(-LN(2)/25)*AA142+(1-EXP(-LN(2)/25))/(LN(2)/25)*Calculateur!V143*Calculateur!X143*VLOOKUP('Données projet'!$B$9,Paramètres!$A$1:$I$89,3,0)*0.475*44/12</f>
        <v>5.1913942841849696</v>
      </c>
      <c r="AB143" s="21">
        <f>EXP(-LN(2)/2)*AB142+(1-EXP(-LN(2)/2))/(LN(2)/2)*V143*Y143*VLOOKUP('Données projet'!$B$9,Paramètres!$A$1:$I$89,3,0)*0.475*44/12</f>
        <v>1.375359102481196E-8</v>
      </c>
      <c r="AC143" s="22">
        <f t="shared" si="111"/>
        <v>23.598661735050303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-6.7984728957526396E-14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408.84545509668794</v>
      </c>
      <c r="AO143" s="59">
        <f t="shared" si="144"/>
        <v>409.9253979841132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38.573356112629213</v>
      </c>
      <c r="AV143" s="21">
        <f>EXP(-LN(2)/25)*AV142+(1-EXP(-LN(2)/25))/(LN(2)/25)*Calculateur!AQ143*Calculateur!AS143*VLOOKUP('Données projet'!$B$10,Paramètres!$A$1:$I$89,3,0)*0.475*44/12</f>
        <v>8.2973559818281792</v>
      </c>
      <c r="AW143" s="21">
        <f>EXP(-LN(2)/2)*AW142+(1-EXP(-LN(2)/2))/(LN(2)/2)*AQ143*AT143*VLOOKUP('Données projet'!$B$10,Paramètres!$A$1:$I$89,3,0)*0.475*44/12</f>
        <v>8.5380539320709079E-11</v>
      </c>
      <c r="AX143" s="21">
        <f t="shared" si="114"/>
        <v>46.870712094542768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-6.7984728957526396E-14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279.69031306919914</v>
      </c>
      <c r="BJ143" s="59">
        <f t="shared" si="146"/>
        <v>297.01680128882509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34.995953232482762</v>
      </c>
      <c r="BQ143" s="21">
        <f>EXP(-LN(2)/25)*BQ142+(1-EXP(-LN(2)/25))/(LN(2)/25)*Calculateur!BL143*Calculateur!BN143*VLOOKUP('Données projet'!$B$11,Paramètres!$A$1:$I$89,3,0)*0.475*44/12</f>
        <v>9.4116954583926891</v>
      </c>
      <c r="BR143" s="21">
        <f>EXP(-LN(2)/2)*BR142+(1-EXP(-LN(2)/2))/(LN(2)/2)*BL143*BO143*VLOOKUP('Données projet'!$B$11,Paramètres!$A$1:$I$89,3,0)*0.475*44/12</f>
        <v>1.992042690511507E-10</v>
      </c>
      <c r="BS143" s="22">
        <f t="shared" si="117"/>
        <v>44.407648691074655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81.299024916151723</v>
      </c>
      <c r="CE143" s="59">
        <f t="shared" si="148"/>
        <v>88.106373324240167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10.350977652125236</v>
      </c>
      <c r="CL143" s="21">
        <f>EXP(-LN(2)/25)*CL142+(1-EXP(-LN(2)/25))/(LN(2)/25)*Calculateur!CG143*Calculateur!CI143*VLOOKUP('Données projet'!$B$12,Paramètres!$A$1:$I$89,3,0)*0.475*44/12</f>
        <v>2.5177435832077455</v>
      </c>
      <c r="CM143" s="21">
        <f>EXP(-LN(2)/2)*CM142+(1-EXP(-LN(2)/2))/(LN(2)/2)*CG143*CJ143*VLOOKUP('Données projet'!$B$12,Paramètres!$A$1:$I$89,3,0)*0.475*44/12</f>
        <v>2.1832948021028097E-11</v>
      </c>
      <c r="CN143" s="22">
        <f t="shared" si="120"/>
        <v>12.868721235354814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-3.4106051316484809E-13</v>
      </c>
      <c r="CU143" s="17">
        <f>CT143*VLOOKUP('Données projet'!$B$13,Paramètres!$A$1:$I$89,3,0)*VLOOKUP('Données projet'!$B$13,Paramètres!$A$1:$I$89,5,0)</f>
        <v>-1.9065282685915009E-13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475.42482703895411</v>
      </c>
      <c r="CZ143" s="59">
        <f t="shared" si="150"/>
        <v>593.51433014569966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70.70811597782884</v>
      </c>
      <c r="DG143" s="21">
        <f>EXP(-LN(2)/25)*DG142+(1-EXP(-LN(2)/25))/(LN(2)/25)*Calculateur!DB143*Calculateur!DD143*VLOOKUP('Données projet'!$B$13,Paramètres!$A$1:$I$89,3,0)*0.475*44/12</f>
        <v>8.0932828531342391</v>
      </c>
      <c r="DH143" s="21">
        <f>EXP(-LN(2)/2)*DH142+(1-EXP(-LN(2)/2))/(LN(2)/2)*DB143*DE143*VLOOKUP('Données projet'!$B$13,Paramètres!$A$1:$I$89,3,0)*0.475*44/12</f>
        <v>2.5316647203788678E-10</v>
      </c>
      <c r="DI143" s="22">
        <f t="shared" si="123"/>
        <v>78.801398831216247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7.1111111111111107</v>
      </c>
      <c r="DO143" s="12">
        <f>IF('Données projet'!$A$166&gt;35,DO142+DN143-DW142,IF(A143&lt;'Données projet'!$A$166,$DL$205^A143,IF(A143='Données projet'!$A$166,'Données projet'!$B$166,DO142+DN143-DW142)))</f>
        <v>433.88888888888835</v>
      </c>
      <c r="DP143" s="17">
        <f>DO143*VLOOKUP('Données projet'!$B$14,Paramètres!$A$1:$I$89,3,0)*VLOOKUP('Données projet'!$B$14,Paramètres!$A$1:$I$89,5,0)</f>
        <v>392.58266666666617</v>
      </c>
      <c r="DQ143" s="13">
        <f t="shared" si="151"/>
        <v>90.271280527588644</v>
      </c>
      <c r="DR143" s="20">
        <f t="shared" si="124"/>
        <v>840.97062469666037</v>
      </c>
      <c r="DS143" s="59">
        <f t="shared" si="125"/>
        <v>1134.3039580299937</v>
      </c>
      <c r="DT143" s="59">
        <f ca="1">AVERAGE(OFFSET($DS$3,0,0,'Données projet'!$E$14+1,1))-AVERAGE(OFFSET($H$3,0,0,'Données projet'!$E$14+1,1))</f>
        <v>401.17301323870578</v>
      </c>
      <c r="DU143" s="59">
        <f t="shared" si="152"/>
        <v>201.57993789149754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39.633253122500996</v>
      </c>
      <c r="EB143" s="21">
        <f>EXP(-LN(2)/25)*EB142+(1-EXP(-LN(2)/25))/(LN(2)/25)*Calculateur!DW143*Calculateur!DY143*VLOOKUP('Données projet'!$B$14,Paramètres!$A$1:$I$89,3,0)*0.475*44/12</f>
        <v>13.883603573064899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53.516856695565892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1.7053025658242404E-13</v>
      </c>
      <c r="EK143" s="17">
        <f>EJ143*VLOOKUP('Données projet'!$B$15,Paramètres!$A$1:$I$89,3,0)*VLOOKUP('Données projet'!$B$15,Paramètres!$A$1:$I$89,5,0)</f>
        <v>1.4897523215040567E-13</v>
      </c>
      <c r="EL143" s="13">
        <f t="shared" si="153"/>
        <v>2.136562777003313E-12</v>
      </c>
      <c r="EM143" s="20">
        <f t="shared" si="127"/>
        <v>3.9806453659427267E-12</v>
      </c>
      <c r="EN143" s="59">
        <f t="shared" si="128"/>
        <v>293.33333333333729</v>
      </c>
      <c r="EO143" s="59">
        <f ca="1">AVERAGE(OFFSET($EN$3,0,0,'Données projet'!$E$15+1,1))-AVERAGE(OFFSET($H$3,0,0,'Données projet'!$E$15+1,1))</f>
        <v>237.8483058552178</v>
      </c>
      <c r="EP143" s="59">
        <f t="shared" si="154"/>
        <v>313.36201272119723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20.341113000892005</v>
      </c>
      <c r="EW143" s="21">
        <f>EXP(-LN(2)/25)*EW142+(1-EXP(-LN(2)/25))/(LN(2)/25)*Calculateur!ER143*Calculateur!ET143*VLOOKUP('Données projet'!$B$15,Paramètres!$A$1:$I$89,3,0)*0.475*44/12</f>
        <v>0.76166521645999596</v>
      </c>
      <c r="EX143" s="21">
        <f>EXP(-LN(2)/2)*EX142+(1-EXP(-LN(2)/2))/(LN(2)/2)*ER143*EU143*VLOOKUP('Données projet'!$B$15,Paramètres!$A$1:$I$89,3,0)*0.475*44/12</f>
        <v>1.1988044997595244E-9</v>
      </c>
      <c r="EY143" s="22">
        <f t="shared" si="129"/>
        <v>21.102778218550803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-2.8421709430404007E-13</v>
      </c>
      <c r="FF143" s="17">
        <f>FE143*VLOOKUP('Données projet'!$B$16,Paramètres!$A$1:$I$89,3,0)*VLOOKUP('Données projet'!$B$16,Paramètres!$A$1:$I$89,5,0)</f>
        <v>-2.2168933355715128E-13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318.52984981739411</v>
      </c>
      <c r="FK143" s="59">
        <f t="shared" si="156"/>
        <v>311.56398336941714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36.125251562850387</v>
      </c>
      <c r="FR143" s="21">
        <f>EXP(-LN(2)/25)*FR142+(1-EXP(-LN(2)/25))/(LN(2)/25)*Calculateur!FM143*Calculateur!FO143*VLOOKUP('Données projet'!$B$16,Paramètres!$A$1:$I$89,3,0)*0.475*44/12</f>
        <v>0.76037707166990087</v>
      </c>
      <c r="FS143" s="21">
        <f>EXP(-LN(2)/2)*FS142+(1-EXP(-LN(2)/2))/(LN(2)/2)*FM143*FP143*VLOOKUP('Données projet'!$B$16,Paramètres!$A$1:$I$89,3,0)*0.475*44/12</f>
        <v>5.2646577445136959E-8</v>
      </c>
      <c r="FT143" s="22">
        <f t="shared" si="132"/>
        <v>36.885628687166864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-2.8421709430404007E-13</v>
      </c>
      <c r="GA143" s="17">
        <f>FZ143*VLOOKUP('Données projet'!$B$17,Paramètres!$A$1:$I$89,3,0)*VLOOKUP('Données projet'!$B$17,Paramètres!$A$1:$I$89,5,0)</f>
        <v>-2.2612312022829427E-13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325.72928944930294</v>
      </c>
      <c r="GF143" s="59">
        <f t="shared" si="158"/>
        <v>318.38876834819752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45.417002313667282</v>
      </c>
      <c r="GM143" s="21">
        <f>EXP(-LN(2)/25)*GM142+(1-EXP(-LN(2)/25))/(LN(2)/25)*Calculateur!GH143*Calculateur!GJ143*VLOOKUP('Données projet'!$B$17,Paramètres!$A$1:$I$89,3,0)*0.475*44/12</f>
        <v>0.95595312777848418</v>
      </c>
      <c r="GN143" s="21">
        <f>EXP(-LN(2)/2)*GN142+(1-EXP(-LN(2)/2))/(LN(2)/2)*GH143*GK143*VLOOKUP('Données projet'!$B$17,Paramètres!$A$1:$I$89,3,0)*0.475*44/12</f>
        <v>5.3699508994039618E-8</v>
      </c>
      <c r="GO143" s="21">
        <f t="shared" si="135"/>
        <v>46.372955495145277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-2.8421709430404007E-13</v>
      </c>
      <c r="GV143" s="17">
        <f>GU143*VLOOKUP('Données projet'!$B$18,Paramètres!$A$1:$I$89,3,0)*VLOOKUP('Données projet'!$B$18,Paramètres!$A$1:$I$89,5,0)</f>
        <v>-1.9065282685915009E-13</v>
      </c>
      <c r="GW143" s="13" t="e">
        <f t="shared" si="159"/>
        <v>#NUM!</v>
      </c>
      <c r="GX143" s="20" t="e">
        <f t="shared" si="136"/>
        <v>#NUM!</v>
      </c>
      <c r="GY143" s="59" t="e">
        <f t="shared" si="137"/>
        <v>#NUM!</v>
      </c>
      <c r="GZ143" s="59">
        <f ca="1">AVERAGE(OFFSET($GY$3,0,0,'Données projet'!$E$18+1,1))-AVERAGE(OFFSET($H$3,0,0,'Données projet'!$E$18+1,1))</f>
        <v>268.04554291387961</v>
      </c>
      <c r="HA143" s="59">
        <f t="shared" si="160"/>
        <v>263.70463099437148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38.292766656621389</v>
      </c>
      <c r="HH143" s="21">
        <f>EXP(-LN(2)/25)*HH142+(1-EXP(-LN(2)/25))/(LN(2)/25)*Calculateur!HC143*Calculateur!HE143*VLOOKUP('Données projet'!$B$18,Paramètres!$A$1:$I$89,3,0)*0.475*44/12</f>
        <v>0.80599969597009646</v>
      </c>
      <c r="HI143" s="21">
        <f>EXP(-LN(2)/2)*HI142+(1-EXP(-LN(2)/2))/(LN(2)/2)*HC143*HF143*VLOOKUP('Données projet'!$B$18,Paramètres!$A$1:$I$89,3,0)*0.475*44/12</f>
        <v>4.5276056602817717E-8</v>
      </c>
      <c r="HJ143" s="22">
        <f t="shared" si="138"/>
        <v>39.098766397867536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-2.5124791136477146E-14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46.095319339746538</v>
      </c>
      <c r="T144" s="59">
        <f t="shared" si="142"/>
        <v>48.158174304064403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18.04631214999451</v>
      </c>
      <c r="AA144" s="21">
        <f>EXP(-LN(2)/25)*AA143+(1-EXP(-LN(2)/25))/(LN(2)/25)*Calculateur!V144*Calculateur!X144*VLOOKUP('Données projet'!$B$9,Paramètres!$A$1:$I$89,3,0)*0.475*44/12</f>
        <v>5.0494353344803713</v>
      </c>
      <c r="AB144" s="21">
        <f>EXP(-LN(2)/2)*AB143+(1-EXP(-LN(2)/2))/(LN(2)/2)*V144*Y144*VLOOKUP('Données projet'!$B$9,Paramètres!$A$1:$I$89,3,0)*0.475*44/12</f>
        <v>9.7252574793109742E-9</v>
      </c>
      <c r="AC144" s="22">
        <f t="shared" si="111"/>
        <v>23.09574749420014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-6.7984728957526396E-14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408.84545509668794</v>
      </c>
      <c r="AO144" s="59">
        <f t="shared" si="144"/>
        <v>409.9253979841132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37.816956126684644</v>
      </c>
      <c r="AV144" s="21">
        <f>EXP(-LN(2)/25)*AV143+(1-EXP(-LN(2)/25))/(LN(2)/25)*Calculateur!AQ144*Calculateur!AS144*VLOOKUP('Données projet'!$B$10,Paramètres!$A$1:$I$89,3,0)*0.475*44/12</f>
        <v>8.0704643461660996</v>
      </c>
      <c r="AW144" s="21">
        <f>EXP(-LN(2)/2)*AW143+(1-EXP(-LN(2)/2))/(LN(2)/2)*AQ144*AT144*VLOOKUP('Données projet'!$B$10,Paramètres!$A$1:$I$89,3,0)*0.475*44/12</f>
        <v>6.0373158335038051E-11</v>
      </c>
      <c r="AX144" s="21">
        <f t="shared" si="114"/>
        <v>45.887420472911117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-6.7984728957526396E-14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279.69031306919914</v>
      </c>
      <c r="BJ144" s="59">
        <f t="shared" si="146"/>
        <v>297.01680128882509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34.309703935017559</v>
      </c>
      <c r="BQ144" s="21">
        <f>EXP(-LN(2)/25)*BQ143+(1-EXP(-LN(2)/25))/(LN(2)/25)*Calculateur!BL144*Calculateur!BN144*VLOOKUP('Données projet'!$B$11,Paramètres!$A$1:$I$89,3,0)*0.475*44/12</f>
        <v>9.1543321511433877</v>
      </c>
      <c r="BR144" s="21">
        <f>EXP(-LN(2)/2)*BR143+(1-EXP(-LN(2)/2))/(LN(2)/2)*BL144*BO144*VLOOKUP('Données projet'!$B$11,Paramètres!$A$1:$I$89,3,0)*0.475*44/12</f>
        <v>1.4085868948737816E-10</v>
      </c>
      <c r="BS144" s="22">
        <f t="shared" si="117"/>
        <v>43.464036086301803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81.299024916151723</v>
      </c>
      <c r="CE144" s="59">
        <f t="shared" si="148"/>
        <v>88.106373324240167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10.148001293840025</v>
      </c>
      <c r="CL144" s="21">
        <f>EXP(-LN(2)/25)*CL143+(1-EXP(-LN(2)/25))/(LN(2)/25)*Calculateur!CG144*Calculateur!CI144*VLOOKUP('Données projet'!$B$12,Paramètres!$A$1:$I$89,3,0)*0.475*44/12</f>
        <v>2.448895752522549</v>
      </c>
      <c r="CM144" s="21">
        <f>EXP(-LN(2)/2)*CM143+(1-EXP(-LN(2)/2))/(LN(2)/2)*CG144*CJ144*VLOOKUP('Données projet'!$B$12,Paramètres!$A$1:$I$89,3,0)*0.475*44/12</f>
        <v>1.543822559896238E-11</v>
      </c>
      <c r="CN144" s="22">
        <f t="shared" si="120"/>
        <v>12.596897046378013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-3.4106051316484809E-13</v>
      </c>
      <c r="CU144" s="17">
        <f>CT144*VLOOKUP('Données projet'!$B$13,Paramètres!$A$1:$I$89,3,0)*VLOOKUP('Données projet'!$B$13,Paramètres!$A$1:$I$89,5,0)</f>
        <v>-1.9065282685915009E-13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475.42482703895411</v>
      </c>
      <c r="CZ144" s="59">
        <f t="shared" si="150"/>
        <v>593.51433014569966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69.321572951195861</v>
      </c>
      <c r="DG144" s="21">
        <f>EXP(-LN(2)/25)*DG143+(1-EXP(-LN(2)/25))/(LN(2)/25)*Calculateur!DB144*Calculateur!DD144*VLOOKUP('Données projet'!$B$13,Paramètres!$A$1:$I$89,3,0)*0.475*44/12</f>
        <v>7.8719716079080353</v>
      </c>
      <c r="DH144" s="21">
        <f>EXP(-LN(2)/2)*DH143+(1-EXP(-LN(2)/2))/(LN(2)/2)*DB144*DE144*VLOOKUP('Données projet'!$B$13,Paramètres!$A$1:$I$89,3,0)*0.475*44/12</f>
        <v>1.7901572914706421E-10</v>
      </c>
      <c r="DI144" s="22">
        <f t="shared" si="123"/>
        <v>77.193544559282913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>
        <f>VLOOKUP(A144,'Données projet'!$A$165:$I$185,2,0)</f>
        <v>441</v>
      </c>
      <c r="DM144" s="12">
        <f>VLOOKUP(A144,'Données projet'!$A$165:$I$185,9,0)</f>
        <v>7.1111111111111107</v>
      </c>
      <c r="DN144" s="12">
        <f t="array" ref="DN144">INDEX(DM:DM,MIN(IF(ISNUMBER(DM144:DM340),ROW(DM144:DM340),"")))</f>
        <v>7.1111111111111107</v>
      </c>
      <c r="DO144" s="12">
        <f>IF('Données projet'!$A$166&gt;35,DO143+DN144-DW143,IF(A144&lt;'Données projet'!$A$166,$DL$205^A144,IF(A144='Données projet'!$A$166,'Données projet'!$B$166,DO143+DN144-DW143)))</f>
        <v>440.99999999999943</v>
      </c>
      <c r="DP144" s="17">
        <f>DO144*VLOOKUP('Données projet'!$B$14,Paramètres!$A$1:$I$89,3,0)*VLOOKUP('Données projet'!$B$14,Paramètres!$A$1:$I$89,5,0)</f>
        <v>399.01679999999948</v>
      </c>
      <c r="DQ144" s="13">
        <f t="shared" si="151"/>
        <v>91.577307968744961</v>
      </c>
      <c r="DR144" s="20">
        <f t="shared" si="124"/>
        <v>854.45140471222987</v>
      </c>
      <c r="DS144" s="59">
        <f t="shared" si="125"/>
        <v>1147.7847380455632</v>
      </c>
      <c r="DT144" s="59">
        <f ca="1">AVERAGE(OFFSET($DS$3,0,0,'Données projet'!$E$14+1,1))-AVERAGE(OFFSET($H$3,0,0,'Données projet'!$E$14+1,1))</f>
        <v>401.17301323870578</v>
      </c>
      <c r="DU144" s="59">
        <f t="shared" si="152"/>
        <v>201.57993789149754</v>
      </c>
      <c r="DV144" s="15">
        <f>IF(ISNA(VLOOKUP(A144,'Données projet'!$A$165:$I$185,3,0)),0,VLOOKUP(A144,'Données projet'!$A$165:$I$185,3,0))</f>
        <v>13</v>
      </c>
      <c r="DW144" s="15">
        <f>IF(ISNA(VLOOKUP(A144,'Données projet'!$A$165:$I$185,4,0)),0,VLOOKUP(A144,'Données projet'!$A$165:$I$185,4,0))</f>
        <v>45</v>
      </c>
      <c r="DX144" s="16">
        <f>IF(ISNA(VLOOKUP(A144,'Données projet'!$A$165:$I$185,5,0)),0%,VLOOKUP(A144,'Données projet'!$A$165:$I$185,5,0)*VLOOKUP('Données projet'!$B$14,Paramètres!$A$1:$I$89,7,0))</f>
        <v>0.30099999999999999</v>
      </c>
      <c r="DY144" s="16">
        <f>IF(ISNA(VLOOKUP(A144,'Données projet'!$A$165:$I$185,6,0)),0%,VLOOKUP(A144,'Données projet'!$A$165:$I$185,6,0)*VLOOKUP('Données projet'!$B$14,Paramètres!$A$1:$I$89,7,0))</f>
        <v>4.3000000000000003E-2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52.404179126558326</v>
      </c>
      <c r="EB144" s="21">
        <f>EXP(-LN(2)/25)*EB143+(1-EXP(-LN(2)/25))/(LN(2)/25)*Calculateur!DW144*Calculateur!DY144*VLOOKUP('Données projet'!$B$14,Paramètres!$A$1:$I$89,3,0)*0.475*44/12</f>
        <v>15.431779396522057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67.835958523080379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1.7053025658242404E-13</v>
      </c>
      <c r="EK144" s="17">
        <f>EJ144*VLOOKUP('Données projet'!$B$15,Paramètres!$A$1:$I$89,3,0)*VLOOKUP('Données projet'!$B$15,Paramètres!$A$1:$I$89,5,0)</f>
        <v>1.4897523215040567E-13</v>
      </c>
      <c r="EL144" s="13">
        <f t="shared" si="153"/>
        <v>2.136562777003313E-12</v>
      </c>
      <c r="EM144" s="20">
        <f t="shared" si="127"/>
        <v>3.9806453659427267E-12</v>
      </c>
      <c r="EN144" s="59">
        <f t="shared" si="128"/>
        <v>293.33333333333729</v>
      </c>
      <c r="EO144" s="59">
        <f ca="1">AVERAGE(OFFSET($EN$3,0,0,'Données projet'!$E$15+1,1))-AVERAGE(OFFSET($H$3,0,0,'Données projet'!$E$15+1,1))</f>
        <v>237.8483058552178</v>
      </c>
      <c r="EP144" s="59">
        <f t="shared" si="154"/>
        <v>313.36201272119723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19.942236181798368</v>
      </c>
      <c r="EW144" s="21">
        <f>EXP(-LN(2)/25)*EW143+(1-EXP(-LN(2)/25))/(LN(2)/25)*Calculateur!ER144*Calculateur!ET144*VLOOKUP('Données projet'!$B$15,Paramètres!$A$1:$I$89,3,0)*0.475*44/12</f>
        <v>0.74083744106166449</v>
      </c>
      <c r="EX144" s="21">
        <f>EXP(-LN(2)/2)*EX143+(1-EXP(-LN(2)/2))/(LN(2)/2)*ER144*EU144*VLOOKUP('Données projet'!$B$15,Paramètres!$A$1:$I$89,3,0)*0.475*44/12</f>
        <v>8.4768279109690656E-10</v>
      </c>
      <c r="EY144" s="22">
        <f t="shared" si="129"/>
        <v>20.683073623707713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-2.8421709430404007E-13</v>
      </c>
      <c r="FF144" s="17">
        <f>FE144*VLOOKUP('Données projet'!$B$16,Paramètres!$A$1:$I$89,3,0)*VLOOKUP('Données projet'!$B$16,Paramètres!$A$1:$I$89,5,0)</f>
        <v>-2.2168933355715128E-13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318.52984981739411</v>
      </c>
      <c r="FK144" s="59">
        <f t="shared" si="156"/>
        <v>311.56398336941714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35.416857413930643</v>
      </c>
      <c r="FR144" s="21">
        <f>EXP(-LN(2)/25)*FR143+(1-EXP(-LN(2)/25))/(LN(2)/25)*Calculateur!FM144*Calculateur!FO144*VLOOKUP('Données projet'!$B$16,Paramètres!$A$1:$I$89,3,0)*0.475*44/12</f>
        <v>0.73958452065859515</v>
      </c>
      <c r="FS144" s="21">
        <f>EXP(-LN(2)/2)*FS143+(1-EXP(-LN(2)/2))/(LN(2)/2)*FM144*FP144*VLOOKUP('Données projet'!$B$16,Paramètres!$A$1:$I$89,3,0)*0.475*44/12</f>
        <v>3.7226751917719087E-8</v>
      </c>
      <c r="FT144" s="22">
        <f t="shared" si="132"/>
        <v>36.156441971815994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-2.8421709430404007E-13</v>
      </c>
      <c r="GA144" s="17">
        <f>FZ144*VLOOKUP('Données projet'!$B$17,Paramètres!$A$1:$I$89,3,0)*VLOOKUP('Données projet'!$B$17,Paramètres!$A$1:$I$89,5,0)</f>
        <v>-2.2612312022829427E-13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325.72928944930294</v>
      </c>
      <c r="GF144" s="59">
        <f t="shared" si="158"/>
        <v>318.38876834819752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44.526402599932368</v>
      </c>
      <c r="GM144" s="21">
        <f>EXP(-LN(2)/25)*GM143+(1-EXP(-LN(2)/25))/(LN(2)/25)*Calculateur!GH144*Calculateur!GJ144*VLOOKUP('Données projet'!$B$17,Paramètres!$A$1:$I$89,3,0)*0.475*44/12</f>
        <v>0.92981253922799145</v>
      </c>
      <c r="GN144" s="21">
        <f>EXP(-LN(2)/2)*GN143+(1-EXP(-LN(2)/2))/(LN(2)/2)*GH144*GK144*VLOOKUP('Données projet'!$B$17,Paramètres!$A$1:$I$89,3,0)*0.475*44/12</f>
        <v>3.7971286956073413E-8</v>
      </c>
      <c r="GO144" s="21">
        <f t="shared" si="135"/>
        <v>45.456215177131646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-2.8421709430404007E-13</v>
      </c>
      <c r="GV144" s="17">
        <f>GU144*VLOOKUP('Données projet'!$B$18,Paramètres!$A$1:$I$89,3,0)*VLOOKUP('Données projet'!$B$18,Paramètres!$A$1:$I$89,5,0)</f>
        <v>-1.9065282685915009E-13</v>
      </c>
      <c r="GW144" s="13" t="e">
        <f t="shared" si="159"/>
        <v>#NUM!</v>
      </c>
      <c r="GX144" s="20" t="e">
        <f t="shared" si="136"/>
        <v>#NUM!</v>
      </c>
      <c r="GY144" s="59" t="e">
        <f t="shared" si="137"/>
        <v>#NUM!</v>
      </c>
      <c r="GZ144" s="59">
        <f ca="1">AVERAGE(OFFSET($GY$3,0,0,'Données projet'!$E$18+1,1))-AVERAGE(OFFSET($H$3,0,0,'Données projet'!$E$18+1,1))</f>
        <v>268.04554291387961</v>
      </c>
      <c r="HA144" s="59">
        <f t="shared" si="160"/>
        <v>263.70463099437148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37.541868858766463</v>
      </c>
      <c r="HH144" s="21">
        <f>EXP(-LN(2)/25)*HH143+(1-EXP(-LN(2)/25))/(LN(2)/25)*Calculateur!HC144*Calculateur!HE144*VLOOKUP('Données projet'!$B$18,Paramètres!$A$1:$I$89,3,0)*0.475*44/12</f>
        <v>0.78395959189811226</v>
      </c>
      <c r="HI144" s="21">
        <f>EXP(-LN(2)/2)*HI143+(1-EXP(-LN(2)/2))/(LN(2)/2)*HC144*HF144*VLOOKUP('Données projet'!$B$18,Paramètres!$A$1:$I$89,3,0)*0.475*44/12</f>
        <v>3.2015006649238367E-8</v>
      </c>
      <c r="HJ144" s="22">
        <f t="shared" si="138"/>
        <v>38.325828482679583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-2.5124791136477146E-14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46.095319339746538</v>
      </c>
      <c r="T145" s="59">
        <f t="shared" si="142"/>
        <v>48.158174304064403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17.69243497589666</v>
      </c>
      <c r="AA145" s="21">
        <f>EXP(-LN(2)/25)*AA144+(1-EXP(-LN(2)/25))/(LN(2)/25)*Calculateur!V145*Calculateur!X145*VLOOKUP('Données projet'!$B$9,Paramètres!$A$1:$I$89,3,0)*0.475*44/12</f>
        <v>4.9113582597207417</v>
      </c>
      <c r="AB145" s="21">
        <f>EXP(-LN(2)/2)*AB144+(1-EXP(-LN(2)/2))/(LN(2)/2)*V145*Y145*VLOOKUP('Données projet'!$B$9,Paramètres!$A$1:$I$89,3,0)*0.475*44/12</f>
        <v>6.8767955124059798E-9</v>
      </c>
      <c r="AC145" s="22">
        <f t="shared" si="111"/>
        <v>22.603793242494199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-6.7984728957526396E-14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408.84545509668794</v>
      </c>
      <c r="AO145" s="59">
        <f t="shared" si="144"/>
        <v>409.9253979841132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37.075388683106013</v>
      </c>
      <c r="AV145" s="21">
        <f>EXP(-LN(2)/25)*AV144+(1-EXP(-LN(2)/25))/(LN(2)/25)*Calculateur!AQ145*Calculateur!AS145*VLOOKUP('Données projet'!$B$10,Paramètres!$A$1:$I$89,3,0)*0.475*44/12</f>
        <v>7.8497770742129127</v>
      </c>
      <c r="AW145" s="21">
        <f>EXP(-LN(2)/2)*AW144+(1-EXP(-LN(2)/2))/(LN(2)/2)*AQ145*AT145*VLOOKUP('Données projet'!$B$10,Paramètres!$A$1:$I$89,3,0)*0.475*44/12</f>
        <v>4.2690269660354539E-11</v>
      </c>
      <c r="AX145" s="21">
        <f t="shared" si="114"/>
        <v>44.925165757361611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-6.7984728957526396E-14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279.69031306919914</v>
      </c>
      <c r="BJ145" s="59">
        <f t="shared" si="146"/>
        <v>297.01680128882509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33.636911567704907</v>
      </c>
      <c r="BQ145" s="21">
        <f>EXP(-LN(2)/25)*BQ144+(1-EXP(-LN(2)/25))/(LN(2)/25)*Calculateur!BL145*Calculateur!BN145*VLOOKUP('Données projet'!$B$11,Paramètres!$A$1:$I$89,3,0)*0.475*44/12</f>
        <v>8.9040064570649662</v>
      </c>
      <c r="BR145" s="21">
        <f>EXP(-LN(2)/2)*BR144+(1-EXP(-LN(2)/2))/(LN(2)/2)*BL145*BO145*VLOOKUP('Données projet'!$B$11,Paramètres!$A$1:$I$89,3,0)*0.475*44/12</f>
        <v>9.960213452557535E-11</v>
      </c>
      <c r="BS145" s="22">
        <f t="shared" si="117"/>
        <v>42.540918024869477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81.299024916151723</v>
      </c>
      <c r="CE145" s="59">
        <f t="shared" si="148"/>
        <v>88.106373324240167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9.9490051781374316</v>
      </c>
      <c r="CL145" s="21">
        <f>EXP(-LN(2)/25)*CL144+(1-EXP(-LN(2)/25))/(LN(2)/25)*Calculateur!CG145*Calculateur!CI145*VLOOKUP('Données projet'!$B$12,Paramètres!$A$1:$I$89,3,0)*0.475*44/12</f>
        <v>2.3819305693879893</v>
      </c>
      <c r="CM145" s="21">
        <f>EXP(-LN(2)/2)*CM144+(1-EXP(-LN(2)/2))/(LN(2)/2)*CG145*CJ145*VLOOKUP('Données projet'!$B$12,Paramètres!$A$1:$I$89,3,0)*0.475*44/12</f>
        <v>1.0916474010514049E-11</v>
      </c>
      <c r="CN145" s="22">
        <f t="shared" si="120"/>
        <v>12.330935747536337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-3.4106051316484809E-13</v>
      </c>
      <c r="CU145" s="17">
        <f>CT145*VLOOKUP('Données projet'!$B$13,Paramètres!$A$1:$I$89,3,0)*VLOOKUP('Données projet'!$B$13,Paramètres!$A$1:$I$89,5,0)</f>
        <v>-1.9065282685915009E-13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475.42482703895411</v>
      </c>
      <c r="CZ145" s="59">
        <f t="shared" si="150"/>
        <v>593.51433014569966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67.962219187607417</v>
      </c>
      <c r="DG145" s="21">
        <f>EXP(-LN(2)/25)*DG144+(1-EXP(-LN(2)/25))/(LN(2)/25)*Calculateur!DB145*Calculateur!DD145*VLOOKUP('Données projet'!$B$13,Paramètres!$A$1:$I$89,3,0)*0.475*44/12</f>
        <v>7.6567121303207948</v>
      </c>
      <c r="DH145" s="21">
        <f>EXP(-LN(2)/2)*DH144+(1-EXP(-LN(2)/2))/(LN(2)/2)*DB145*DE145*VLOOKUP('Données projet'!$B$13,Paramètres!$A$1:$I$89,3,0)*0.475*44/12</f>
        <v>1.2658323601894339E-10</v>
      </c>
      <c r="DI145" s="22">
        <f t="shared" si="123"/>
        <v>75.618931318054806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7.083333333333333</v>
      </c>
      <c r="DO145" s="12">
        <f>IF('Données projet'!$A$166&gt;35,DO144+DN145-DW144,IF(A145&lt;'Données projet'!$A$166,$DL$205^A145,IF(A145='Données projet'!$A$166,'Données projet'!$B$166,DO144+DN145-DW144)))</f>
        <v>403.08333333333275</v>
      </c>
      <c r="DP145" s="17">
        <f>DO145*VLOOKUP('Données projet'!$B$14,Paramètres!$A$1:$I$89,3,0)*VLOOKUP('Données projet'!$B$14,Paramètres!$A$1:$I$89,5,0)</f>
        <v>364.70979999999946</v>
      </c>
      <c r="DQ145" s="13">
        <f t="shared" si="151"/>
        <v>84.584116408796319</v>
      </c>
      <c r="DR145" s="20">
        <f t="shared" si="124"/>
        <v>782.52023774531926</v>
      </c>
      <c r="DS145" s="59">
        <f t="shared" si="125"/>
        <v>1075.8535710786525</v>
      </c>
      <c r="DT145" s="59">
        <f ca="1">AVERAGE(OFFSET($DS$3,0,0,'Données projet'!$E$14+1,1))-AVERAGE(OFFSET($H$3,0,0,'Données projet'!$E$14+1,1))</f>
        <v>401.17301323870578</v>
      </c>
      <c r="DU145" s="59">
        <f t="shared" si="152"/>
        <v>201.57993789149754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51.376565137279663</v>
      </c>
      <c r="EB145" s="21">
        <f>EXP(-LN(2)/25)*EB144+(1-EXP(-LN(2)/25))/(LN(2)/25)*Calculateur!DW145*Calculateur!DY145*VLOOKUP('Données projet'!$B$14,Paramètres!$A$1:$I$89,3,0)*0.475*44/12</f>
        <v>15.009796577402152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66.386361714681811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1.7053025658242404E-13</v>
      </c>
      <c r="EK145" s="17">
        <f>EJ145*VLOOKUP('Données projet'!$B$15,Paramètres!$A$1:$I$89,3,0)*VLOOKUP('Données projet'!$B$15,Paramètres!$A$1:$I$89,5,0)</f>
        <v>1.4897523215040567E-13</v>
      </c>
      <c r="EL145" s="13">
        <f t="shared" si="153"/>
        <v>2.136562777003313E-12</v>
      </c>
      <c r="EM145" s="20">
        <f t="shared" si="127"/>
        <v>3.9806453659427267E-12</v>
      </c>
      <c r="EN145" s="59">
        <f t="shared" si="128"/>
        <v>293.33333333333729</v>
      </c>
      <c r="EO145" s="59">
        <f ca="1">AVERAGE(OFFSET($EN$3,0,0,'Données projet'!$E$15+1,1))-AVERAGE(OFFSET($H$3,0,0,'Données projet'!$E$15+1,1))</f>
        <v>237.8483058552178</v>
      </c>
      <c r="EP145" s="59">
        <f t="shared" si="154"/>
        <v>313.36201272119723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19.55118109383632</v>
      </c>
      <c r="EW145" s="21">
        <f>EXP(-LN(2)/25)*EW144+(1-EXP(-LN(2)/25))/(LN(2)/25)*Calculateur!ER145*Calculateur!ET145*VLOOKUP('Données projet'!$B$15,Paramètres!$A$1:$I$89,3,0)*0.475*44/12</f>
        <v>0.72057920227688543</v>
      </c>
      <c r="EX145" s="21">
        <f>EXP(-LN(2)/2)*EX144+(1-EXP(-LN(2)/2))/(LN(2)/2)*ER145*EU145*VLOOKUP('Données projet'!$B$15,Paramètres!$A$1:$I$89,3,0)*0.475*44/12</f>
        <v>5.9940224987976218E-10</v>
      </c>
      <c r="EY145" s="22">
        <f t="shared" si="129"/>
        <v>20.271760296712607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-2.8421709430404007E-13</v>
      </c>
      <c r="FF145" s="17">
        <f>FE145*VLOOKUP('Données projet'!$B$16,Paramètres!$A$1:$I$89,3,0)*VLOOKUP('Données projet'!$B$16,Paramètres!$A$1:$I$89,5,0)</f>
        <v>-2.2168933355715128E-13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318.52984981739411</v>
      </c>
      <c r="FK145" s="59">
        <f t="shared" si="156"/>
        <v>311.56398336941714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34.722354442193449</v>
      </c>
      <c r="FR145" s="21">
        <f>EXP(-LN(2)/25)*FR144+(1-EXP(-LN(2)/25))/(LN(2)/25)*Calculateur!FM145*Calculateur!FO145*VLOOKUP('Données projet'!$B$16,Paramètres!$A$1:$I$89,3,0)*0.475*44/12</f>
        <v>0.71936054304812624</v>
      </c>
      <c r="FS145" s="21">
        <f>EXP(-LN(2)/2)*FS144+(1-EXP(-LN(2)/2))/(LN(2)/2)*FM145*FP145*VLOOKUP('Données projet'!$B$16,Paramètres!$A$1:$I$89,3,0)*0.475*44/12</f>
        <v>2.6323288722568479E-8</v>
      </c>
      <c r="FT145" s="22">
        <f t="shared" si="132"/>
        <v>35.441715011564867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-2.8421709430404007E-13</v>
      </c>
      <c r="GA145" s="17">
        <f>FZ145*VLOOKUP('Données projet'!$B$17,Paramètres!$A$1:$I$89,3,0)*VLOOKUP('Données projet'!$B$17,Paramètres!$A$1:$I$89,5,0)</f>
        <v>-2.2612312022829427E-13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325.72928944930294</v>
      </c>
      <c r="GF145" s="59">
        <f t="shared" si="158"/>
        <v>318.38876834819752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43.65326700337161</v>
      </c>
      <c r="GM145" s="21">
        <f>EXP(-LN(2)/25)*GM144+(1-EXP(-LN(2)/25))/(LN(2)/25)*Calculateur!GH145*Calculateur!GJ145*VLOOKUP('Données projet'!$B$17,Paramètres!$A$1:$I$89,3,0)*0.475*44/12</f>
        <v>0.90438676644608573</v>
      </c>
      <c r="GN145" s="21">
        <f>EXP(-LN(2)/2)*GN144+(1-EXP(-LN(2)/2))/(LN(2)/2)*GH145*GK145*VLOOKUP('Données projet'!$B$17,Paramètres!$A$1:$I$89,3,0)*0.475*44/12</f>
        <v>2.6849754497019809E-8</v>
      </c>
      <c r="GO145" s="21">
        <f t="shared" si="135"/>
        <v>44.557653796667452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-2.8421709430404007E-13</v>
      </c>
      <c r="GV145" s="17">
        <f>GU145*VLOOKUP('Données projet'!$B$18,Paramètres!$A$1:$I$89,3,0)*VLOOKUP('Données projet'!$B$18,Paramètres!$A$1:$I$89,5,0)</f>
        <v>-1.9065282685915009E-13</v>
      </c>
      <c r="GW145" s="13" t="e">
        <f t="shared" si="159"/>
        <v>#NUM!</v>
      </c>
      <c r="GX145" s="20" t="e">
        <f t="shared" si="136"/>
        <v>#NUM!</v>
      </c>
      <c r="GY145" s="59" t="e">
        <f t="shared" si="137"/>
        <v>#NUM!</v>
      </c>
      <c r="GZ145" s="59">
        <f ca="1">AVERAGE(OFFSET($GY$3,0,0,'Données projet'!$E$18+1,1))-AVERAGE(OFFSET($H$3,0,0,'Données projet'!$E$18+1,1))</f>
        <v>268.04554291387961</v>
      </c>
      <c r="HA145" s="59">
        <f t="shared" si="160"/>
        <v>263.70463099437148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36.80569570872504</v>
      </c>
      <c r="HH145" s="21">
        <f>EXP(-LN(2)/25)*HH144+(1-EXP(-LN(2)/25))/(LN(2)/25)*Calculateur!HC145*Calculateur!HE145*VLOOKUP('Données projet'!$B$18,Paramètres!$A$1:$I$89,3,0)*0.475*44/12</f>
        <v>0.76252217563101521</v>
      </c>
      <c r="HI145" s="21">
        <f>EXP(-LN(2)/2)*HI144+(1-EXP(-LN(2)/2))/(LN(2)/2)*HC145*HF145*VLOOKUP('Données projet'!$B$18,Paramètres!$A$1:$I$89,3,0)*0.475*44/12</f>
        <v>2.2638028301408859E-8</v>
      </c>
      <c r="HJ145" s="22">
        <f t="shared" si="138"/>
        <v>37.568217906994079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-2.5124791136477146E-14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46.095319339746538</v>
      </c>
      <c r="T146" s="59">
        <f t="shared" si="142"/>
        <v>48.158174304064403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17.345497117339107</v>
      </c>
      <c r="AA146" s="21">
        <f>EXP(-LN(2)/25)*AA145+(1-EXP(-LN(2)/25))/(LN(2)/25)*Calculateur!V146*Calculateur!X146*VLOOKUP('Données projet'!$B$9,Paramètres!$A$1:$I$89,3,0)*0.475*44/12</f>
        <v>4.7770569098315718</v>
      </c>
      <c r="AB146" s="21">
        <f>EXP(-LN(2)/2)*AB145+(1-EXP(-LN(2)/2))/(LN(2)/2)*V146*Y146*VLOOKUP('Données projet'!$B$9,Paramètres!$A$1:$I$89,3,0)*0.475*44/12</f>
        <v>4.8626287396554871E-9</v>
      </c>
      <c r="AC146" s="22">
        <f t="shared" si="111"/>
        <v>22.122554032033307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-6.7984728957526396E-14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408.84545509668794</v>
      </c>
      <c r="AO146" s="59">
        <f t="shared" si="144"/>
        <v>409.9253979841132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36.348362924784475</v>
      </c>
      <c r="AV146" s="21">
        <f>EXP(-LN(2)/25)*AV145+(1-EXP(-LN(2)/25))/(LN(2)/25)*Calculateur!AQ146*Calculateur!AS146*VLOOKUP('Données projet'!$B$10,Paramètres!$A$1:$I$89,3,0)*0.475*44/12</f>
        <v>7.6351245073167249</v>
      </c>
      <c r="AW146" s="21">
        <f>EXP(-LN(2)/2)*AW145+(1-EXP(-LN(2)/2))/(LN(2)/2)*AQ146*AT146*VLOOKUP('Données projet'!$B$10,Paramètres!$A$1:$I$89,3,0)*0.475*44/12</f>
        <v>3.0186579167519025E-11</v>
      </c>
      <c r="AX146" s="21">
        <f t="shared" si="114"/>
        <v>43.983487432131383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-6.7984728957526396E-14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279.69031306919914</v>
      </c>
      <c r="BJ146" s="59">
        <f t="shared" si="146"/>
        <v>297.01680128882509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32.977312248352433</v>
      </c>
      <c r="BQ146" s="21">
        <f>EXP(-LN(2)/25)*BQ145+(1-EXP(-LN(2)/25))/(LN(2)/25)*Calculateur!BL146*Calculateur!BN146*VLOOKUP('Données projet'!$B$11,Paramètres!$A$1:$I$89,3,0)*0.475*44/12</f>
        <v>8.660525932255176</v>
      </c>
      <c r="BR146" s="21">
        <f>EXP(-LN(2)/2)*BR145+(1-EXP(-LN(2)/2))/(LN(2)/2)*BL146*BO146*VLOOKUP('Données projet'!$B$11,Paramètres!$A$1:$I$89,3,0)*0.475*44/12</f>
        <v>7.0429344743689078E-11</v>
      </c>
      <c r="BS146" s="22">
        <f t="shared" si="117"/>
        <v>41.637838180678038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81.299024916151723</v>
      </c>
      <c r="CE146" s="59">
        <f t="shared" si="148"/>
        <v>88.106373324240167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9.7539112548881217</v>
      </c>
      <c r="CL146" s="21">
        <f>EXP(-LN(2)/25)*CL145+(1-EXP(-LN(2)/25))/(LN(2)/25)*Calculateur!CG146*Calculateur!CI146*VLOOKUP('Données projet'!$B$12,Paramètres!$A$1:$I$89,3,0)*0.475*44/12</f>
        <v>2.3167965527077903</v>
      </c>
      <c r="CM146" s="21">
        <f>EXP(-LN(2)/2)*CM145+(1-EXP(-LN(2)/2))/(LN(2)/2)*CG146*CJ146*VLOOKUP('Données projet'!$B$12,Paramètres!$A$1:$I$89,3,0)*0.475*44/12</f>
        <v>7.71911279948119E-12</v>
      </c>
      <c r="CN146" s="22">
        <f t="shared" si="120"/>
        <v>12.070707807603631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-3.4106051316484809E-13</v>
      </c>
      <c r="CU146" s="17">
        <f>CT146*VLOOKUP('Données projet'!$B$13,Paramètres!$A$1:$I$89,3,0)*VLOOKUP('Données projet'!$B$13,Paramètres!$A$1:$I$89,5,0)</f>
        <v>-1.9065282685915009E-13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475.42482703895411</v>
      </c>
      <c r="CZ146" s="59">
        <f t="shared" si="150"/>
        <v>593.51433014569966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66.629521522199013</v>
      </c>
      <c r="DG146" s="21">
        <f>EXP(-LN(2)/25)*DG145+(1-EXP(-LN(2)/25))/(LN(2)/25)*Calculateur!DB146*Calculateur!DD146*VLOOKUP('Données projet'!$B$13,Paramètres!$A$1:$I$89,3,0)*0.475*44/12</f>
        <v>7.4473389344681813</v>
      </c>
      <c r="DH146" s="21">
        <f>EXP(-LN(2)/2)*DH145+(1-EXP(-LN(2)/2))/(LN(2)/2)*DB146*DE146*VLOOKUP('Données projet'!$B$13,Paramètres!$A$1:$I$89,3,0)*0.475*44/12</f>
        <v>8.9507864573532105E-11</v>
      </c>
      <c r="DI146" s="22">
        <f t="shared" si="123"/>
        <v>74.076860456756705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7.083333333333333</v>
      </c>
      <c r="DO146" s="12">
        <f>IF('Données projet'!$A$166&gt;35,DO145+DN146-DW145,IF(A146&lt;'Données projet'!$A$166,$DL$205^A146,IF(A146='Données projet'!$A$166,'Données projet'!$B$166,DO145+DN146-DW145)))</f>
        <v>410.16666666666606</v>
      </c>
      <c r="DP146" s="17">
        <f>DO146*VLOOKUP('Données projet'!$B$14,Paramètres!$A$1:$I$89,3,0)*VLOOKUP('Données projet'!$B$14,Paramètres!$A$1:$I$89,5,0)</f>
        <v>371.11879999999945</v>
      </c>
      <c r="DQ146" s="13">
        <f t="shared" si="151"/>
        <v>85.896152691454517</v>
      </c>
      <c r="DR146" s="20">
        <f t="shared" si="124"/>
        <v>795.96770927094894</v>
      </c>
      <c r="DS146" s="59">
        <f t="shared" si="125"/>
        <v>1089.3010426042822</v>
      </c>
      <c r="DT146" s="59">
        <f ca="1">AVERAGE(OFFSET($DS$3,0,0,'Données projet'!$E$14+1,1))-AVERAGE(OFFSET($H$3,0,0,'Données projet'!$E$14+1,1))</f>
        <v>401.17301323870578</v>
      </c>
      <c r="DU146" s="59">
        <f t="shared" si="152"/>
        <v>201.57993789149754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50.36910203154811</v>
      </c>
      <c r="EB146" s="21">
        <f>EXP(-LN(2)/25)*EB145+(1-EXP(-LN(2)/25))/(LN(2)/25)*Calculateur!DW146*Calculateur!DY146*VLOOKUP('Données projet'!$B$14,Paramètres!$A$1:$I$89,3,0)*0.475*44/12</f>
        <v>14.599352900662193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64.968454932210307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1.7053025658242404E-13</v>
      </c>
      <c r="EK146" s="17">
        <f>EJ146*VLOOKUP('Données projet'!$B$15,Paramètres!$A$1:$I$89,3,0)*VLOOKUP('Données projet'!$B$15,Paramètres!$A$1:$I$89,5,0)</f>
        <v>1.4897523215040567E-13</v>
      </c>
      <c r="EL146" s="13">
        <f t="shared" si="153"/>
        <v>2.136562777003313E-12</v>
      </c>
      <c r="EM146" s="20">
        <f t="shared" si="127"/>
        <v>3.9806453659427267E-12</v>
      </c>
      <c r="EN146" s="59">
        <f t="shared" si="128"/>
        <v>293.33333333333729</v>
      </c>
      <c r="EO146" s="59">
        <f ca="1">AVERAGE(OFFSET($EN$3,0,0,'Données projet'!$E$15+1,1))-AVERAGE(OFFSET($H$3,0,0,'Données projet'!$E$15+1,1))</f>
        <v>237.8483058552178</v>
      </c>
      <c r="EP146" s="59">
        <f t="shared" si="154"/>
        <v>313.36201272119723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19.167794357629155</v>
      </c>
      <c r="EW146" s="21">
        <f>EXP(-LN(2)/25)*EW145+(1-EXP(-LN(2)/25))/(LN(2)/25)*Calculateur!ER146*Calculateur!ET146*VLOOKUP('Données projet'!$B$15,Paramètres!$A$1:$I$89,3,0)*0.475*44/12</f>
        <v>0.70087492609701063</v>
      </c>
      <c r="EX146" s="21">
        <f>EXP(-LN(2)/2)*EX145+(1-EXP(-LN(2)/2))/(LN(2)/2)*ER146*EU146*VLOOKUP('Données projet'!$B$15,Paramètres!$A$1:$I$89,3,0)*0.475*44/12</f>
        <v>4.2384139554845328E-10</v>
      </c>
      <c r="EY146" s="22">
        <f t="shared" si="129"/>
        <v>19.868669284150009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-2.8421709430404007E-13</v>
      </c>
      <c r="FF146" s="17">
        <f>FE146*VLOOKUP('Données projet'!$B$16,Paramètres!$A$1:$I$89,3,0)*VLOOKUP('Données projet'!$B$16,Paramètres!$A$1:$I$89,5,0)</f>
        <v>-2.2168933355715128E-13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318.52984981739411</v>
      </c>
      <c r="FK146" s="59">
        <f t="shared" si="156"/>
        <v>311.56398336941714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34.041470250127041</v>
      </c>
      <c r="FR146" s="21">
        <f>EXP(-LN(2)/25)*FR145+(1-EXP(-LN(2)/25))/(LN(2)/25)*Calculateur!FM146*Calculateur!FO146*VLOOKUP('Données projet'!$B$16,Paramètres!$A$1:$I$89,3,0)*0.475*44/12</f>
        <v>0.69968959116894835</v>
      </c>
      <c r="FS146" s="21">
        <f>EXP(-LN(2)/2)*FS145+(1-EXP(-LN(2)/2))/(LN(2)/2)*FM146*FP146*VLOOKUP('Données projet'!$B$16,Paramètres!$A$1:$I$89,3,0)*0.475*44/12</f>
        <v>1.8613375958859544E-8</v>
      </c>
      <c r="FT146" s="22">
        <f t="shared" si="132"/>
        <v>34.741159859909367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-2.8421709430404007E-13</v>
      </c>
      <c r="GA146" s="17">
        <f>FZ146*VLOOKUP('Données projet'!$B$17,Paramètres!$A$1:$I$89,3,0)*VLOOKUP('Données projet'!$B$17,Paramètres!$A$1:$I$89,5,0)</f>
        <v>-2.2612312022829427E-13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325.72928944930294</v>
      </c>
      <c r="GF146" s="59">
        <f t="shared" si="158"/>
        <v>318.38876834819752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42.79725306329928</v>
      </c>
      <c r="GM146" s="21">
        <f>EXP(-LN(2)/25)*GM145+(1-EXP(-LN(2)/25))/(LN(2)/25)*Calculateur!GH146*Calculateur!GJ146*VLOOKUP('Données projet'!$B$17,Paramètres!$A$1:$I$89,3,0)*0.475*44/12</f>
        <v>0.87965626275798448</v>
      </c>
      <c r="GN146" s="21">
        <f>EXP(-LN(2)/2)*GN145+(1-EXP(-LN(2)/2))/(LN(2)/2)*GH146*GK146*VLOOKUP('Données projet'!$B$17,Paramètres!$A$1:$I$89,3,0)*0.475*44/12</f>
        <v>1.8985643478036706E-8</v>
      </c>
      <c r="GO146" s="21">
        <f t="shared" si="135"/>
        <v>43.676909345042908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-2.8421709430404007E-13</v>
      </c>
      <c r="GV146" s="17">
        <f>GU146*VLOOKUP('Données projet'!$B$18,Paramètres!$A$1:$I$89,3,0)*VLOOKUP('Données projet'!$B$18,Paramètres!$A$1:$I$89,5,0)</f>
        <v>-1.9065282685915009E-13</v>
      </c>
      <c r="GW146" s="13" t="e">
        <f t="shared" si="159"/>
        <v>#NUM!</v>
      </c>
      <c r="GX146" s="20" t="e">
        <f t="shared" si="136"/>
        <v>#NUM!</v>
      </c>
      <c r="GY146" s="59" t="e">
        <f t="shared" si="137"/>
        <v>#NUM!</v>
      </c>
      <c r="GZ146" s="59">
        <f ca="1">AVERAGE(OFFSET($GY$3,0,0,'Données projet'!$E$18+1,1))-AVERAGE(OFFSET($H$3,0,0,'Données projet'!$E$18+1,1))</f>
        <v>268.04554291387961</v>
      </c>
      <c r="HA146" s="59">
        <f t="shared" si="160"/>
        <v>263.70463099437148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36.083958465134643</v>
      </c>
      <c r="HH146" s="21">
        <f>EXP(-LN(2)/25)*HH145+(1-EXP(-LN(2)/25))/(LN(2)/25)*Calculateur!HC146*Calculateur!HE146*VLOOKUP('Données projet'!$B$18,Paramètres!$A$1:$I$89,3,0)*0.475*44/12</f>
        <v>0.7416709666390866</v>
      </c>
      <c r="HI146" s="21">
        <f>EXP(-LN(2)/2)*HI145+(1-EXP(-LN(2)/2))/(LN(2)/2)*HC146*HF146*VLOOKUP('Données projet'!$B$18,Paramètres!$A$1:$I$89,3,0)*0.475*44/12</f>
        <v>1.6007503324619184E-8</v>
      </c>
      <c r="HJ146" s="22">
        <f t="shared" si="138"/>
        <v>36.825629447781232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-2.5124791136477146E-14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46.095319339746538</v>
      </c>
      <c r="T147" s="59">
        <f t="shared" si="142"/>
        <v>48.158174304064403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17.00536249857667</v>
      </c>
      <c r="AA147" s="21">
        <f>EXP(-LN(2)/25)*AA146+(1-EXP(-LN(2)/25))/(LN(2)/25)*Calculateur!V147*Calculateur!X147*VLOOKUP('Données projet'!$B$9,Paramètres!$A$1:$I$89,3,0)*0.475*44/12</f>
        <v>4.6464280374177225</v>
      </c>
      <c r="AB147" s="21">
        <f>EXP(-LN(2)/2)*AB146+(1-EXP(-LN(2)/2))/(LN(2)/2)*V147*Y147*VLOOKUP('Données projet'!$B$9,Paramètres!$A$1:$I$89,3,0)*0.475*44/12</f>
        <v>3.4383977562029899E-9</v>
      </c>
      <c r="AC147" s="22">
        <f t="shared" si="111"/>
        <v>21.651790539432792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-6.7984728957526396E-14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408.84545509668794</v>
      </c>
      <c r="AO147" s="59">
        <f t="shared" si="144"/>
        <v>409.9253979841132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35.635593698141697</v>
      </c>
      <c r="AV147" s="21">
        <f>EXP(-LN(2)/25)*AV146+(1-EXP(-LN(2)/25))/(LN(2)/25)*Calculateur!AQ147*Calculateur!AS147*VLOOKUP('Données projet'!$B$10,Paramètres!$A$1:$I$89,3,0)*0.475*44/12</f>
        <v>7.4263416261504016</v>
      </c>
      <c r="AW147" s="21">
        <f>EXP(-LN(2)/2)*AW146+(1-EXP(-LN(2)/2))/(LN(2)/2)*AQ147*AT147*VLOOKUP('Données projet'!$B$10,Paramètres!$A$1:$I$89,3,0)*0.475*44/12</f>
        <v>2.134513483017727E-11</v>
      </c>
      <c r="AX147" s="21">
        <f t="shared" si="114"/>
        <v>43.061935324313446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-6.7984728957526396E-14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279.69031306919914</v>
      </c>
      <c r="BJ147" s="59">
        <f t="shared" si="146"/>
        <v>297.01680128882509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32.330647269336602</v>
      </c>
      <c r="BQ147" s="21">
        <f>EXP(-LN(2)/25)*BQ146+(1-EXP(-LN(2)/25))/(LN(2)/25)*Calculateur!BL147*Calculateur!BN147*VLOOKUP('Données projet'!$B$11,Paramètres!$A$1:$I$89,3,0)*0.475*44/12</f>
        <v>8.423703395200393</v>
      </c>
      <c r="BR147" s="21">
        <f>EXP(-LN(2)/2)*BR146+(1-EXP(-LN(2)/2))/(LN(2)/2)*BL147*BO147*VLOOKUP('Données projet'!$B$11,Paramètres!$A$1:$I$89,3,0)*0.475*44/12</f>
        <v>4.9801067262787675E-11</v>
      </c>
      <c r="BS147" s="22">
        <f t="shared" si="117"/>
        <v>40.754350664586795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81.299024916151723</v>
      </c>
      <c r="CE147" s="59">
        <f t="shared" si="148"/>
        <v>88.106373324240167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9.5626430044781863</v>
      </c>
      <c r="CL147" s="21">
        <f>EXP(-LN(2)/25)*CL146+(1-EXP(-LN(2)/25))/(LN(2)/25)*Calculateur!CG147*Calculateur!CI147*VLOOKUP('Données projet'!$B$12,Paramètres!$A$1:$I$89,3,0)*0.475*44/12</f>
        <v>2.2534436291389603</v>
      </c>
      <c r="CM147" s="21">
        <f>EXP(-LN(2)/2)*CM146+(1-EXP(-LN(2)/2))/(LN(2)/2)*CG147*CJ147*VLOOKUP('Données projet'!$B$12,Paramètres!$A$1:$I$89,3,0)*0.475*44/12</f>
        <v>5.4582370052570243E-12</v>
      </c>
      <c r="CN147" s="22">
        <f t="shared" si="120"/>
        <v>11.816086633622605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-3.4106051316484809E-13</v>
      </c>
      <c r="CU147" s="17">
        <f>CT147*VLOOKUP('Données projet'!$B$13,Paramètres!$A$1:$I$89,3,0)*VLOOKUP('Données projet'!$B$13,Paramètres!$A$1:$I$89,5,0)</f>
        <v>-1.9065282685915009E-13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475.42482703895411</v>
      </c>
      <c r="CZ147" s="59">
        <f t="shared" si="150"/>
        <v>593.51433014569966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65.322957245143954</v>
      </c>
      <c r="DG147" s="21">
        <f>EXP(-LN(2)/25)*DG146+(1-EXP(-LN(2)/25))/(LN(2)/25)*Calculateur!DB147*Calculateur!DD147*VLOOKUP('Données projet'!$B$13,Paramètres!$A$1:$I$89,3,0)*0.475*44/12</f>
        <v>7.2436910596666158</v>
      </c>
      <c r="DH147" s="21">
        <f>EXP(-LN(2)/2)*DH146+(1-EXP(-LN(2)/2))/(LN(2)/2)*DB147*DE147*VLOOKUP('Données projet'!$B$13,Paramètres!$A$1:$I$89,3,0)*0.475*44/12</f>
        <v>6.3291618009471695E-11</v>
      </c>
      <c r="DI147" s="22">
        <f t="shared" si="123"/>
        <v>72.566648304873866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7.083333333333333</v>
      </c>
      <c r="DO147" s="12">
        <f>IF('Données projet'!$A$166&gt;35,DO146+DN147-DW146,IF(A147&lt;'Données projet'!$A$166,$DL$205^A147,IF(A147='Données projet'!$A$166,'Données projet'!$B$166,DO146+DN147-DW146)))</f>
        <v>417.24999999999937</v>
      </c>
      <c r="DP147" s="17">
        <f>DO147*VLOOKUP('Données projet'!$B$14,Paramètres!$A$1:$I$89,3,0)*VLOOKUP('Données projet'!$B$14,Paramètres!$A$1:$I$89,5,0)</f>
        <v>377.52779999999944</v>
      </c>
      <c r="DQ147" s="13">
        <f t="shared" si="151"/>
        <v>87.205554083823728</v>
      </c>
      <c r="DR147" s="20">
        <f t="shared" si="124"/>
        <v>809.41059169599203</v>
      </c>
      <c r="DS147" s="59">
        <f t="shared" si="125"/>
        <v>1102.7439250293253</v>
      </c>
      <c r="DT147" s="59">
        <f ca="1">AVERAGE(OFFSET($DS$3,0,0,'Données projet'!$E$14+1,1))-AVERAGE(OFFSET($H$3,0,0,'Données projet'!$E$14+1,1))</f>
        <v>401.17301323870578</v>
      </c>
      <c r="DU147" s="59">
        <f t="shared" si="152"/>
        <v>201.57993789149754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49.381394662828136</v>
      </c>
      <c r="EB147" s="21">
        <f>EXP(-LN(2)/25)*EB146+(1-EXP(-LN(2)/25))/(LN(2)/25)*Calculateur!DW147*Calculateur!DY147*VLOOKUP('Données projet'!$B$14,Paramètres!$A$1:$I$89,3,0)*0.475*44/12</f>
        <v>14.200132827846984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63.581527490675121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1.7053025658242404E-13</v>
      </c>
      <c r="EK147" s="17">
        <f>EJ147*VLOOKUP('Données projet'!$B$15,Paramètres!$A$1:$I$89,3,0)*VLOOKUP('Données projet'!$B$15,Paramètres!$A$1:$I$89,5,0)</f>
        <v>1.4897523215040567E-13</v>
      </c>
      <c r="EL147" s="13">
        <f t="shared" si="153"/>
        <v>2.136562777003313E-12</v>
      </c>
      <c r="EM147" s="20">
        <f t="shared" si="127"/>
        <v>3.9806453659427267E-12</v>
      </c>
      <c r="EN147" s="59">
        <f t="shared" si="128"/>
        <v>293.33333333333729</v>
      </c>
      <c r="EO147" s="59">
        <f ca="1">AVERAGE(OFFSET($EN$3,0,0,'Données projet'!$E$15+1,1))-AVERAGE(OFFSET($H$3,0,0,'Données projet'!$E$15+1,1))</f>
        <v>237.8483058552178</v>
      </c>
      <c r="EP147" s="59">
        <f t="shared" si="154"/>
        <v>313.36201272119723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18.791925601476194</v>
      </c>
      <c r="EW147" s="21">
        <f>EXP(-LN(2)/25)*EW146+(1-EXP(-LN(2)/25))/(LN(2)/25)*Calculateur!ER147*Calculateur!ET147*VLOOKUP('Données projet'!$B$15,Paramètres!$A$1:$I$89,3,0)*0.475*44/12</f>
        <v>0.68170946438547741</v>
      </c>
      <c r="EX147" s="21">
        <f>EXP(-LN(2)/2)*EX146+(1-EXP(-LN(2)/2))/(LN(2)/2)*ER147*EU147*VLOOKUP('Données projet'!$B$15,Paramètres!$A$1:$I$89,3,0)*0.475*44/12</f>
        <v>2.9970112493988109E-10</v>
      </c>
      <c r="EY147" s="22">
        <f t="shared" si="129"/>
        <v>19.473635066161371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-2.8421709430404007E-13</v>
      </c>
      <c r="FF147" s="17">
        <f>FE147*VLOOKUP('Données projet'!$B$16,Paramètres!$A$1:$I$89,3,0)*VLOOKUP('Données projet'!$B$16,Paramètres!$A$1:$I$89,5,0)</f>
        <v>-2.2168933355715128E-13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318.52984981739411</v>
      </c>
      <c r="FK147" s="59">
        <f t="shared" si="156"/>
        <v>311.56398336941714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33.373937781768703</v>
      </c>
      <c r="FR147" s="21">
        <f>EXP(-LN(2)/25)*FR146+(1-EXP(-LN(2)/25))/(LN(2)/25)*Calculateur!FM147*Calculateur!FO147*VLOOKUP('Données projet'!$B$16,Paramètres!$A$1:$I$89,3,0)*0.475*44/12</f>
        <v>0.68055654250335706</v>
      </c>
      <c r="FS147" s="21">
        <f>EXP(-LN(2)/2)*FS146+(1-EXP(-LN(2)/2))/(LN(2)/2)*FM147*FP147*VLOOKUP('Données projet'!$B$16,Paramètres!$A$1:$I$89,3,0)*0.475*44/12</f>
        <v>1.316164436128424E-8</v>
      </c>
      <c r="FT147" s="22">
        <f t="shared" si="132"/>
        <v>34.054494337433702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-2.8421709430404007E-13</v>
      </c>
      <c r="GA147" s="17">
        <f>FZ147*VLOOKUP('Données projet'!$B$17,Paramètres!$A$1:$I$89,3,0)*VLOOKUP('Données projet'!$B$17,Paramètres!$A$1:$I$89,5,0)</f>
        <v>-2.2612312022829427E-13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325.72928944930294</v>
      </c>
      <c r="GF147" s="59">
        <f t="shared" si="158"/>
        <v>318.38876834819752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41.958025034474822</v>
      </c>
      <c r="GM147" s="21">
        <f>EXP(-LN(2)/25)*GM146+(1-EXP(-LN(2)/25))/(LN(2)/25)*Calculateur!GH147*Calculateur!GJ147*VLOOKUP('Données projet'!$B$17,Paramètres!$A$1:$I$89,3,0)*0.475*44/12</f>
        <v>0.85560201599375496</v>
      </c>
      <c r="GN147" s="21">
        <f>EXP(-LN(2)/2)*GN146+(1-EXP(-LN(2)/2))/(LN(2)/2)*GH147*GK147*VLOOKUP('Données projet'!$B$17,Paramètres!$A$1:$I$89,3,0)*0.475*44/12</f>
        <v>1.3424877248509904E-8</v>
      </c>
      <c r="GO147" s="21">
        <f t="shared" si="135"/>
        <v>42.813627063893456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-2.8421709430404007E-13</v>
      </c>
      <c r="GV147" s="17">
        <f>GU147*VLOOKUP('Données projet'!$B$18,Paramètres!$A$1:$I$89,3,0)*VLOOKUP('Données projet'!$B$18,Paramètres!$A$1:$I$89,5,0)</f>
        <v>-1.9065282685915009E-13</v>
      </c>
      <c r="GW147" s="13" t="e">
        <f t="shared" si="159"/>
        <v>#NUM!</v>
      </c>
      <c r="GX147" s="20" t="e">
        <f t="shared" si="136"/>
        <v>#NUM!</v>
      </c>
      <c r="GY147" s="59" t="e">
        <f t="shared" si="137"/>
        <v>#NUM!</v>
      </c>
      <c r="GZ147" s="59">
        <f ca="1">AVERAGE(OFFSET($GY$3,0,0,'Données projet'!$E$18+1,1))-AVERAGE(OFFSET($H$3,0,0,'Données projet'!$E$18+1,1))</f>
        <v>268.04554291387961</v>
      </c>
      <c r="HA147" s="59">
        <f t="shared" si="160"/>
        <v>263.70463099437148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35.376374048674805</v>
      </c>
      <c r="HH147" s="21">
        <f>EXP(-LN(2)/25)*HH146+(1-EXP(-LN(2)/25))/(LN(2)/25)*Calculateur!HC147*Calculateur!HE147*VLOOKUP('Données projet'!$B$18,Paramètres!$A$1:$I$89,3,0)*0.475*44/12</f>
        <v>0.72138993505355975</v>
      </c>
      <c r="HI147" s="21">
        <f>EXP(-LN(2)/2)*HI146+(1-EXP(-LN(2)/2))/(LN(2)/2)*HC147*HF147*VLOOKUP('Données projet'!$B$18,Paramètres!$A$1:$I$89,3,0)*0.475*44/12</f>
        <v>1.1319014150704429E-8</v>
      </c>
      <c r="HJ147" s="22">
        <f t="shared" si="138"/>
        <v>36.09776399504738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-2.5124791136477146E-14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46.095319339746538</v>
      </c>
      <c r="T148" s="59">
        <f t="shared" si="142"/>
        <v>48.158174304064403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16.671897712226531</v>
      </c>
      <c r="AA148" s="21">
        <f>EXP(-LN(2)/25)*AA147+(1-EXP(-LN(2)/25))/(LN(2)/25)*Calculateur!V148*Calculateur!X148*VLOOKUP('Données projet'!$B$9,Paramètres!$A$1:$I$89,3,0)*0.475*44/12</f>
        <v>4.5193712183895043</v>
      </c>
      <c r="AB148" s="21">
        <f>EXP(-LN(2)/2)*AB147+(1-EXP(-LN(2)/2))/(LN(2)/2)*V148*Y148*VLOOKUP('Données projet'!$B$9,Paramètres!$A$1:$I$89,3,0)*0.475*44/12</f>
        <v>2.4313143698277435E-9</v>
      </c>
      <c r="AC148" s="22">
        <f t="shared" si="111"/>
        <v>21.19126893304735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-6.7984728957526396E-14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408.84545509668794</v>
      </c>
      <c r="AO148" s="59">
        <f t="shared" si="144"/>
        <v>409.9253979841132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34.936801441287088</v>
      </c>
      <c r="AV148" s="21">
        <f>EXP(-LN(2)/25)*AV147+(1-EXP(-LN(2)/25))/(LN(2)/25)*Calculateur!AQ148*Calculateur!AS148*VLOOKUP('Données projet'!$B$10,Paramètres!$A$1:$I$89,3,0)*0.475*44/12</f>
        <v>7.2232679238489856</v>
      </c>
      <c r="AW148" s="21">
        <f>EXP(-LN(2)/2)*AW147+(1-EXP(-LN(2)/2))/(LN(2)/2)*AQ148*AT148*VLOOKUP('Données projet'!$B$10,Paramètres!$A$1:$I$89,3,0)*0.475*44/12</f>
        <v>1.5093289583759513E-11</v>
      </c>
      <c r="AX148" s="21">
        <f t="shared" si="114"/>
        <v>42.160069365151166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-6.7984728957526396E-14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279.69031306919914</v>
      </c>
      <c r="BJ148" s="59">
        <f t="shared" si="146"/>
        <v>297.01680128882509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31.696662996132581</v>
      </c>
      <c r="BQ148" s="21">
        <f>EXP(-LN(2)/25)*BQ147+(1-EXP(-LN(2)/25))/(LN(2)/25)*Calculateur!BL148*Calculateur!BN148*VLOOKUP('Données projet'!$B$11,Paramètres!$A$1:$I$89,3,0)*0.475*44/12</f>
        <v>8.1933567828753286</v>
      </c>
      <c r="BR148" s="21">
        <f>EXP(-LN(2)/2)*BR147+(1-EXP(-LN(2)/2))/(LN(2)/2)*BL148*BO148*VLOOKUP('Données projet'!$B$11,Paramètres!$A$1:$I$89,3,0)*0.475*44/12</f>
        <v>3.5214672371844539E-11</v>
      </c>
      <c r="BS148" s="22">
        <f t="shared" si="117"/>
        <v>39.890019779043122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81.299024916151723</v>
      </c>
      <c r="CE148" s="59">
        <f t="shared" si="148"/>
        <v>88.106373324240167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9.375125407796677</v>
      </c>
      <c r="CL148" s="21">
        <f>EXP(-LN(2)/25)*CL147+(1-EXP(-LN(2)/25))/(LN(2)/25)*Calculateur!CG148*Calculateur!CI148*VLOOKUP('Données projet'!$B$12,Paramètres!$A$1:$I$89,3,0)*0.475*44/12</f>
        <v>2.1918230945967054</v>
      </c>
      <c r="CM148" s="21">
        <f>EXP(-LN(2)/2)*CM147+(1-EXP(-LN(2)/2))/(LN(2)/2)*CG148*CJ148*VLOOKUP('Données projet'!$B$12,Paramètres!$A$1:$I$89,3,0)*0.475*44/12</f>
        <v>3.859556399740595E-12</v>
      </c>
      <c r="CN148" s="22">
        <f t="shared" si="120"/>
        <v>11.566948502397242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-3.4106051316484809E-13</v>
      </c>
      <c r="CU148" s="17">
        <f>CT148*VLOOKUP('Données projet'!$B$13,Paramètres!$A$1:$I$89,3,0)*VLOOKUP('Données projet'!$B$13,Paramètres!$A$1:$I$89,5,0)</f>
        <v>-1.9065282685915009E-13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475.42482703895411</v>
      </c>
      <c r="CZ148" s="59">
        <f t="shared" si="150"/>
        <v>593.51433014569966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64.042013896636419</v>
      </c>
      <c r="DG148" s="21">
        <f>EXP(-LN(2)/25)*DG147+(1-EXP(-LN(2)/25))/(LN(2)/25)*Calculateur!DB148*Calculateur!DD148*VLOOKUP('Données projet'!$B$13,Paramètres!$A$1:$I$89,3,0)*0.475*44/12</f>
        <v>7.0456119467108751</v>
      </c>
      <c r="DH148" s="21">
        <f>EXP(-LN(2)/2)*DH147+(1-EXP(-LN(2)/2))/(LN(2)/2)*DB148*DE148*VLOOKUP('Données projet'!$B$13,Paramètres!$A$1:$I$89,3,0)*0.475*44/12</f>
        <v>4.4753932286766053E-11</v>
      </c>
      <c r="DI148" s="22">
        <f t="shared" si="123"/>
        <v>71.087625843392047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7.083333333333333</v>
      </c>
      <c r="DO148" s="12">
        <f>IF('Données projet'!$A$166&gt;35,DO147+DN148-DW147,IF(A148&lt;'Données projet'!$A$166,$DL$205^A148,IF(A148='Données projet'!$A$166,'Données projet'!$B$166,DO147+DN148-DW147)))</f>
        <v>424.33333333333269</v>
      </c>
      <c r="DP148" s="17">
        <f>DO148*VLOOKUP('Données projet'!$B$14,Paramètres!$A$1:$I$89,3,0)*VLOOKUP('Données projet'!$B$14,Paramètres!$A$1:$I$89,5,0)</f>
        <v>383.93679999999944</v>
      </c>
      <c r="DQ148" s="13">
        <f t="shared" si="151"/>
        <v>88.512370478571057</v>
      </c>
      <c r="DR148" s="20">
        <f t="shared" si="124"/>
        <v>822.84897191684365</v>
      </c>
      <c r="DS148" s="59">
        <f t="shared" si="125"/>
        <v>1116.182305250177</v>
      </c>
      <c r="DT148" s="59">
        <f ca="1">AVERAGE(OFFSET($DS$3,0,0,'Données projet'!$E$14+1,1))-AVERAGE(OFFSET($H$3,0,0,'Données projet'!$E$14+1,1))</f>
        <v>401.17301323870578</v>
      </c>
      <c r="DU148" s="59">
        <f t="shared" si="152"/>
        <v>201.57993789149754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48.413055633166749</v>
      </c>
      <c r="EB148" s="21">
        <f>EXP(-LN(2)/25)*EB147+(1-EXP(-LN(2)/25))/(LN(2)/25)*Calculateur!DW148*Calculateur!DY148*VLOOKUP('Données projet'!$B$14,Paramètres!$A$1:$I$89,3,0)*0.475*44/12</f>
        <v>13.811829448916978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62.22488508208373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1.7053025658242404E-13</v>
      </c>
      <c r="EK148" s="17">
        <f>EJ148*VLOOKUP('Données projet'!$B$15,Paramètres!$A$1:$I$89,3,0)*VLOOKUP('Données projet'!$B$15,Paramètres!$A$1:$I$89,5,0)</f>
        <v>1.4897523215040567E-13</v>
      </c>
      <c r="EL148" s="13">
        <f t="shared" si="153"/>
        <v>2.136562777003313E-12</v>
      </c>
      <c r="EM148" s="20">
        <f t="shared" si="127"/>
        <v>3.9806453659427267E-12</v>
      </c>
      <c r="EN148" s="59">
        <f t="shared" si="128"/>
        <v>293.33333333333729</v>
      </c>
      <c r="EO148" s="59">
        <f ca="1">AVERAGE(OFFSET($EN$3,0,0,'Données projet'!$E$15+1,1))-AVERAGE(OFFSET($H$3,0,0,'Données projet'!$E$15+1,1))</f>
        <v>237.8483058552178</v>
      </c>
      <c r="EP148" s="59">
        <f t="shared" si="154"/>
        <v>313.36201272119723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18.423427402374092</v>
      </c>
      <c r="EW148" s="21">
        <f>EXP(-LN(2)/25)*EW147+(1-EXP(-LN(2)/25))/(LN(2)/25)*Calculateur!ER148*Calculateur!ET148*VLOOKUP('Données projet'!$B$15,Paramètres!$A$1:$I$89,3,0)*0.475*44/12</f>
        <v>0.66306808323231392</v>
      </c>
      <c r="EX148" s="21">
        <f>EXP(-LN(2)/2)*EX147+(1-EXP(-LN(2)/2))/(LN(2)/2)*ER148*EU148*VLOOKUP('Données projet'!$B$15,Paramètres!$A$1:$I$89,3,0)*0.475*44/12</f>
        <v>2.1192069777422664E-10</v>
      </c>
      <c r="EY148" s="22">
        <f t="shared" si="129"/>
        <v>19.086495485818325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-2.8421709430404007E-13</v>
      </c>
      <c r="FF148" s="17">
        <f>FE148*VLOOKUP('Données projet'!$B$16,Paramètres!$A$1:$I$89,3,0)*VLOOKUP('Données projet'!$B$16,Paramètres!$A$1:$I$89,5,0)</f>
        <v>-2.2168933355715128E-13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318.52984981739411</v>
      </c>
      <c r="FK148" s="59">
        <f t="shared" si="156"/>
        <v>311.56398336941714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32.719495217960265</v>
      </c>
      <c r="FR148" s="21">
        <f>EXP(-LN(2)/25)*FR147+(1-EXP(-LN(2)/25))/(LN(2)/25)*Calculateur!FM148*Calculateur!FO148*VLOOKUP('Données projet'!$B$16,Paramètres!$A$1:$I$89,3,0)*0.475*44/12</f>
        <v>0.66194668805968959</v>
      </c>
      <c r="FS148" s="21">
        <f>EXP(-LN(2)/2)*FS147+(1-EXP(-LN(2)/2))/(LN(2)/2)*FM148*FP148*VLOOKUP('Données projet'!$B$16,Paramètres!$A$1:$I$89,3,0)*0.475*44/12</f>
        <v>9.3066879794297718E-9</v>
      </c>
      <c r="FT148" s="22">
        <f t="shared" si="132"/>
        <v>33.381441915326647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-2.8421709430404007E-13</v>
      </c>
      <c r="GA148" s="17">
        <f>FZ148*VLOOKUP('Données projet'!$B$17,Paramètres!$A$1:$I$89,3,0)*VLOOKUP('Données projet'!$B$17,Paramètres!$A$1:$I$89,5,0)</f>
        <v>-2.2612312022829427E-13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325.72928944930294</v>
      </c>
      <c r="GF148" s="59">
        <f t="shared" si="158"/>
        <v>318.38876834819752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41.135253755417054</v>
      </c>
      <c r="GM148" s="21">
        <f>EXP(-LN(2)/25)*GM147+(1-EXP(-LN(2)/25))/(LN(2)/25)*Calculateur!GH148*Calculateur!GJ148*VLOOKUP('Données projet'!$B$17,Paramètres!$A$1:$I$89,3,0)*0.475*44/12</f>
        <v>0.83220553387225127</v>
      </c>
      <c r="GN148" s="21">
        <f>EXP(-LN(2)/2)*GN147+(1-EXP(-LN(2)/2))/(LN(2)/2)*GH148*GK148*VLOOKUP('Données projet'!$B$17,Paramètres!$A$1:$I$89,3,0)*0.475*44/12</f>
        <v>9.4928217390183531E-9</v>
      </c>
      <c r="GO148" s="21">
        <f t="shared" si="135"/>
        <v>41.967459298782124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-2.8421709430404007E-13</v>
      </c>
      <c r="GV148" s="17">
        <f>GU148*VLOOKUP('Données projet'!$B$18,Paramètres!$A$1:$I$89,3,0)*VLOOKUP('Données projet'!$B$18,Paramètres!$A$1:$I$89,5,0)</f>
        <v>-1.9065282685915009E-13</v>
      </c>
      <c r="GW148" s="13" t="e">
        <f t="shared" si="159"/>
        <v>#NUM!</v>
      </c>
      <c r="GX148" s="20" t="e">
        <f t="shared" si="136"/>
        <v>#NUM!</v>
      </c>
      <c r="GY148" s="59" t="e">
        <f t="shared" si="137"/>
        <v>#NUM!</v>
      </c>
      <c r="GZ148" s="59">
        <f ca="1">AVERAGE(OFFSET($GY$3,0,0,'Données projet'!$E$18+1,1))-AVERAGE(OFFSET($H$3,0,0,'Données projet'!$E$18+1,1))</f>
        <v>268.04554291387961</v>
      </c>
      <c r="HA148" s="59">
        <f t="shared" si="160"/>
        <v>263.70463099437148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34.682664931037863</v>
      </c>
      <c r="HH148" s="21">
        <f>EXP(-LN(2)/25)*HH147+(1-EXP(-LN(2)/25))/(LN(2)/25)*Calculateur!HC148*Calculateur!HE148*VLOOKUP('Données projet'!$B$18,Paramètres!$A$1:$I$89,3,0)*0.475*44/12</f>
        <v>0.70166348934327227</v>
      </c>
      <c r="HI148" s="21">
        <f>EXP(-LN(2)/2)*HI147+(1-EXP(-LN(2)/2))/(LN(2)/2)*HC148*HF148*VLOOKUP('Données projet'!$B$18,Paramètres!$A$1:$I$89,3,0)*0.475*44/12</f>
        <v>8.0037516623095918E-9</v>
      </c>
      <c r="HJ148" s="22">
        <f t="shared" si="138"/>
        <v>35.38432842838489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-2.5124791136477146E-14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46.095319339746538</v>
      </c>
      <c r="T149" s="59">
        <f t="shared" si="142"/>
        <v>48.158174304064403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16.344971966943284</v>
      </c>
      <c r="AA149" s="21">
        <f>EXP(-LN(2)/25)*AA148+(1-EXP(-LN(2)/25))/(LN(2)/25)*Calculateur!V149*Calculateur!X149*VLOOKUP('Données projet'!$B$9,Paramètres!$A$1:$I$89,3,0)*0.475*44/12</f>
        <v>4.3957887747592403</v>
      </c>
      <c r="AB149" s="21">
        <f>EXP(-LN(2)/2)*AB148+(1-EXP(-LN(2)/2))/(LN(2)/2)*V149*Y149*VLOOKUP('Données projet'!$B$9,Paramètres!$A$1:$I$89,3,0)*0.475*44/12</f>
        <v>1.719198878101495E-9</v>
      </c>
      <c r="AC149" s="22">
        <f t="shared" si="111"/>
        <v>20.74076074342172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-6.7984728957526396E-14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408.84545509668794</v>
      </c>
      <c r="AO149" s="59">
        <f t="shared" si="144"/>
        <v>409.9253979841132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34.251712074368207</v>
      </c>
      <c r="AV149" s="21">
        <f>EXP(-LN(2)/25)*AV148+(1-EXP(-LN(2)/25))/(LN(2)/25)*Calculateur!AQ149*Calculateur!AS149*VLOOKUP('Données projet'!$B$10,Paramètres!$A$1:$I$89,3,0)*0.475*44/12</f>
        <v>7.0257472826161838</v>
      </c>
      <c r="AW149" s="21">
        <f>EXP(-LN(2)/2)*AW148+(1-EXP(-LN(2)/2))/(LN(2)/2)*AQ149*AT149*VLOOKUP('Données projet'!$B$10,Paramètres!$A$1:$I$89,3,0)*0.475*44/12</f>
        <v>1.0672567415088635E-11</v>
      </c>
      <c r="AX149" s="21">
        <f t="shared" si="114"/>
        <v>41.277459356995067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-6.7984728957526396E-14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279.69031306919914</v>
      </c>
      <c r="BJ149" s="59">
        <f t="shared" si="146"/>
        <v>297.01680128882509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31.075110767833866</v>
      </c>
      <c r="BQ149" s="21">
        <f>EXP(-LN(2)/25)*BQ148+(1-EXP(-LN(2)/25))/(LN(2)/25)*Calculateur!BL149*Calculateur!BN149*VLOOKUP('Données projet'!$B$11,Paramètres!$A$1:$I$89,3,0)*0.475*44/12</f>
        <v>7.969309010777696</v>
      </c>
      <c r="BR149" s="21">
        <f>EXP(-LN(2)/2)*BR148+(1-EXP(-LN(2)/2))/(LN(2)/2)*BL149*BO149*VLOOKUP('Données projet'!$B$11,Paramètres!$A$1:$I$89,3,0)*0.475*44/12</f>
        <v>2.4900533631393838E-11</v>
      </c>
      <c r="BS149" s="22">
        <f t="shared" si="117"/>
        <v>39.04441977863646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81.299024916151723</v>
      </c>
      <c r="CE149" s="59">
        <f t="shared" si="148"/>
        <v>88.106373324240167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9.1912849168116519</v>
      </c>
      <c r="CL149" s="21">
        <f>EXP(-LN(2)/25)*CL148+(1-EXP(-LN(2)/25))/(LN(2)/25)*Calculateur!CG149*Calculateur!CI149*VLOOKUP('Données projet'!$B$12,Paramètres!$A$1:$I$89,3,0)*0.475*44/12</f>
        <v>2.1318875768119914</v>
      </c>
      <c r="CM149" s="21">
        <f>EXP(-LN(2)/2)*CM148+(1-EXP(-LN(2)/2))/(LN(2)/2)*CG149*CJ149*VLOOKUP('Données projet'!$B$12,Paramètres!$A$1:$I$89,3,0)*0.475*44/12</f>
        <v>2.7291185026285121E-12</v>
      </c>
      <c r="CN149" s="22">
        <f t="shared" si="120"/>
        <v>11.323172493626371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-3.4106051316484809E-13</v>
      </c>
      <c r="CU149" s="17">
        <f>CT149*VLOOKUP('Données projet'!$B$13,Paramètres!$A$1:$I$89,3,0)*VLOOKUP('Données projet'!$B$13,Paramètres!$A$1:$I$89,5,0)</f>
        <v>-1.9065282685915009E-13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475.42482703895411</v>
      </c>
      <c r="CZ149" s="59">
        <f t="shared" si="150"/>
        <v>593.51433014569966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62.786189065894824</v>
      </c>
      <c r="DG149" s="21">
        <f>EXP(-LN(2)/25)*DG148+(1-EXP(-LN(2)/25))/(LN(2)/25)*Calculateur!DB149*Calculateur!DD149*VLOOKUP('Données projet'!$B$13,Paramètres!$A$1:$I$89,3,0)*0.475*44/12</f>
        <v>6.8529493175154368</v>
      </c>
      <c r="DH149" s="21">
        <f>EXP(-LN(2)/2)*DH148+(1-EXP(-LN(2)/2))/(LN(2)/2)*DB149*DE149*VLOOKUP('Données projet'!$B$13,Paramètres!$A$1:$I$89,3,0)*0.475*44/12</f>
        <v>3.1645809004735848E-11</v>
      </c>
      <c r="DI149" s="22">
        <f t="shared" si="123"/>
        <v>69.639138383441903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7.083333333333333</v>
      </c>
      <c r="DO149" s="12">
        <f>IF('Données projet'!$A$166&gt;35,DO148+DN149-DW148,IF(A149&lt;'Données projet'!$A$166,$DL$205^A149,IF(A149='Données projet'!$A$166,'Données projet'!$B$166,DO148+DN149-DW148)))</f>
        <v>431.416666666666</v>
      </c>
      <c r="DP149" s="17">
        <f>DO149*VLOOKUP('Données projet'!$B$14,Paramètres!$A$1:$I$89,3,0)*VLOOKUP('Données projet'!$B$14,Paramètres!$A$1:$I$89,5,0)</f>
        <v>390.34579999999937</v>
      </c>
      <c r="DQ149" s="13">
        <f t="shared" si="151"/>
        <v>89.816650007185274</v>
      </c>
      <c r="DR149" s="20">
        <f t="shared" si="124"/>
        <v>836.28293376251315</v>
      </c>
      <c r="DS149" s="59">
        <f t="shared" si="125"/>
        <v>1129.6162670958465</v>
      </c>
      <c r="DT149" s="59">
        <f ca="1">AVERAGE(OFFSET($DS$3,0,0,'Données projet'!$E$14+1,1))-AVERAGE(OFFSET($H$3,0,0,'Données projet'!$E$14+1,1))</f>
        <v>401.17301323870578</v>
      </c>
      <c r="DU149" s="59">
        <f t="shared" si="152"/>
        <v>201.57993789149754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47.463705141248532</v>
      </c>
      <c r="EB149" s="21">
        <f>EXP(-LN(2)/25)*EB148+(1-EXP(-LN(2)/25))/(LN(2)/25)*Calculateur!DW149*Calculateur!DY149*VLOOKUP('Données projet'!$B$14,Paramètres!$A$1:$I$89,3,0)*0.475*44/12</f>
        <v>13.4341442463038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60.897849387552334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1.7053025658242404E-13</v>
      </c>
      <c r="EK149" s="17">
        <f>EJ149*VLOOKUP('Données projet'!$B$15,Paramètres!$A$1:$I$89,3,0)*VLOOKUP('Données projet'!$B$15,Paramètres!$A$1:$I$89,5,0)</f>
        <v>1.4897523215040567E-13</v>
      </c>
      <c r="EL149" s="13">
        <f t="shared" si="153"/>
        <v>2.136562777003313E-12</v>
      </c>
      <c r="EM149" s="20">
        <f t="shared" si="127"/>
        <v>3.9806453659427267E-12</v>
      </c>
      <c r="EN149" s="59">
        <f t="shared" si="128"/>
        <v>293.33333333333729</v>
      </c>
      <c r="EO149" s="59">
        <f ca="1">AVERAGE(OFFSET($EN$3,0,0,'Données projet'!$E$15+1,1))-AVERAGE(OFFSET($H$3,0,0,'Données projet'!$E$15+1,1))</f>
        <v>237.8483058552178</v>
      </c>
      <c r="EP149" s="59">
        <f t="shared" si="154"/>
        <v>313.36201272119723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18.062155228194673</v>
      </c>
      <c r="EW149" s="21">
        <f>EXP(-LN(2)/25)*EW148+(1-EXP(-LN(2)/25))/(LN(2)/25)*Calculateur!ER149*Calculateur!ET149*VLOOKUP('Données projet'!$B$15,Paramètres!$A$1:$I$89,3,0)*0.475*44/12</f>
        <v>0.64493645162709123</v>
      </c>
      <c r="EX149" s="21">
        <f>EXP(-LN(2)/2)*EX148+(1-EXP(-LN(2)/2))/(LN(2)/2)*ER149*EU149*VLOOKUP('Données projet'!$B$15,Paramètres!$A$1:$I$89,3,0)*0.475*44/12</f>
        <v>1.4985056246994054E-10</v>
      </c>
      <c r="EY149" s="22">
        <f t="shared" si="129"/>
        <v>18.707091679971615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-2.8421709430404007E-13</v>
      </c>
      <c r="FF149" s="17">
        <f>FE149*VLOOKUP('Données projet'!$B$16,Paramètres!$A$1:$I$89,3,0)*VLOOKUP('Données projet'!$B$16,Paramètres!$A$1:$I$89,5,0)</f>
        <v>-2.2168933355715128E-13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318.52984981739411</v>
      </c>
      <c r="FK149" s="59">
        <f t="shared" si="156"/>
        <v>311.56398336941714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32.077885873657564</v>
      </c>
      <c r="FR149" s="21">
        <f>EXP(-LN(2)/25)*FR148+(1-EXP(-LN(2)/25))/(LN(2)/25)*Calculateur!FM149*Calculateur!FO149*VLOOKUP('Données projet'!$B$16,Paramètres!$A$1:$I$89,3,0)*0.475*44/12</f>
        <v>0.64384572106443394</v>
      </c>
      <c r="FS149" s="21">
        <f>EXP(-LN(2)/2)*FS148+(1-EXP(-LN(2)/2))/(LN(2)/2)*FM149*FP149*VLOOKUP('Données projet'!$B$16,Paramètres!$A$1:$I$89,3,0)*0.475*44/12</f>
        <v>6.5808221806421199E-9</v>
      </c>
      <c r="FT149" s="22">
        <f t="shared" si="132"/>
        <v>32.721731601302821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-2.8421709430404007E-13</v>
      </c>
      <c r="GA149" s="17">
        <f>FZ149*VLOOKUP('Données projet'!$B$17,Paramètres!$A$1:$I$89,3,0)*VLOOKUP('Données projet'!$B$17,Paramètres!$A$1:$I$89,5,0)</f>
        <v>-2.2612312022829427E-13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325.72928944930294</v>
      </c>
      <c r="GF149" s="59">
        <f t="shared" si="158"/>
        <v>318.38876834819752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40.328616519300681</v>
      </c>
      <c r="GM149" s="21">
        <f>EXP(-LN(2)/25)*GM148+(1-EXP(-LN(2)/25))/(LN(2)/25)*Calculateur!GH149*Calculateur!GJ149*VLOOKUP('Données projet'!$B$17,Paramètres!$A$1:$I$89,3,0)*0.475*44/12</f>
        <v>0.80944882978472754</v>
      </c>
      <c r="GN149" s="21">
        <f>EXP(-LN(2)/2)*GN148+(1-EXP(-LN(2)/2))/(LN(2)/2)*GH149*GK149*VLOOKUP('Données projet'!$B$17,Paramètres!$A$1:$I$89,3,0)*0.475*44/12</f>
        <v>6.7124386242549522E-9</v>
      </c>
      <c r="GO149" s="21">
        <f t="shared" si="135"/>
        <v>41.138065355797849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-2.8421709430404007E-13</v>
      </c>
      <c r="GV149" s="17">
        <f>GU149*VLOOKUP('Données projet'!$B$18,Paramètres!$A$1:$I$89,3,0)*VLOOKUP('Données projet'!$B$18,Paramètres!$A$1:$I$89,5,0)</f>
        <v>-1.9065282685915009E-13</v>
      </c>
      <c r="GW149" s="13" t="e">
        <f t="shared" si="159"/>
        <v>#NUM!</v>
      </c>
      <c r="GX149" s="20" t="e">
        <f t="shared" si="136"/>
        <v>#NUM!</v>
      </c>
      <c r="GY149" s="59" t="e">
        <f t="shared" si="137"/>
        <v>#NUM!</v>
      </c>
      <c r="GZ149" s="59">
        <f ca="1">AVERAGE(OFFSET($GY$3,0,0,'Données projet'!$E$18+1,1))-AVERAGE(OFFSET($H$3,0,0,'Données projet'!$E$18+1,1))</f>
        <v>268.04554291387961</v>
      </c>
      <c r="HA149" s="59">
        <f t="shared" si="160"/>
        <v>263.70463099437148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34.002559026077002</v>
      </c>
      <c r="HH149" s="21">
        <f>EXP(-LN(2)/25)*HH148+(1-EXP(-LN(2)/25))/(LN(2)/25)*Calculateur!HC149*Calculateur!HE149*VLOOKUP('Données projet'!$B$18,Paramètres!$A$1:$I$89,3,0)*0.475*44/12</f>
        <v>0.68247646432830122</v>
      </c>
      <c r="HI149" s="21">
        <f>EXP(-LN(2)/2)*HI148+(1-EXP(-LN(2)/2))/(LN(2)/2)*HC149*HF149*VLOOKUP('Données projet'!$B$18,Paramètres!$A$1:$I$89,3,0)*0.475*44/12</f>
        <v>5.6595070753522147E-9</v>
      </c>
      <c r="HJ149" s="22">
        <f t="shared" si="138"/>
        <v>34.685035496064813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-2.5124791136477146E-14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46.095319339746538</v>
      </c>
      <c r="T150" s="59">
        <f t="shared" si="142"/>
        <v>48.158174304064403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16.024457036120026</v>
      </c>
      <c r="AA150" s="21">
        <f>EXP(-LN(2)/25)*AA149+(1-EXP(-LN(2)/25))/(LN(2)/25)*Calculateur!V150*Calculateur!X150*VLOOKUP('Données projet'!$B$9,Paramètres!$A$1:$I$89,3,0)*0.475*44/12</f>
        <v>4.2755856995489641</v>
      </c>
      <c r="AB150" s="21">
        <f>EXP(-LN(2)/2)*AB149+(1-EXP(-LN(2)/2))/(LN(2)/2)*V150*Y150*VLOOKUP('Données projet'!$B$9,Paramètres!$A$1:$I$89,3,0)*0.475*44/12</f>
        <v>1.2156571849138718E-9</v>
      </c>
      <c r="AC150" s="22">
        <f t="shared" si="111"/>
        <v>20.300042736884645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-6.7984728957526396E-14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408.84545509668794</v>
      </c>
      <c r="AO150" s="59">
        <f t="shared" si="144"/>
        <v>409.9253979841132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33.580056892071347</v>
      </c>
      <c r="AV150" s="21">
        <f>EXP(-LN(2)/25)*AV149+(1-EXP(-LN(2)/25))/(LN(2)/25)*Calculateur!AQ150*Calculateur!AS150*VLOOKUP('Données projet'!$B$10,Paramètres!$A$1:$I$89,3,0)*0.475*44/12</f>
        <v>6.8336278537050523</v>
      </c>
      <c r="AW150" s="21">
        <f>EXP(-LN(2)/2)*AW149+(1-EXP(-LN(2)/2))/(LN(2)/2)*AQ150*AT150*VLOOKUP('Données projet'!$B$10,Paramètres!$A$1:$I$89,3,0)*0.475*44/12</f>
        <v>7.5466447918797563E-12</v>
      </c>
      <c r="AX150" s="21">
        <f t="shared" si="114"/>
        <v>40.413684745783947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-6.7984728957526396E-14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279.69031306919914</v>
      </c>
      <c r="BJ150" s="59">
        <f t="shared" si="146"/>
        <v>297.01680128882509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30.465746799622664</v>
      </c>
      <c r="BQ150" s="21">
        <f>EXP(-LN(2)/25)*BQ149+(1-EXP(-LN(2)/25))/(LN(2)/25)*Calculateur!BL150*Calculateur!BN150*VLOOKUP('Données projet'!$B$11,Paramètres!$A$1:$I$89,3,0)*0.475*44/12</f>
        <v>7.7513878367902329</v>
      </c>
      <c r="BR150" s="21">
        <f>EXP(-LN(2)/2)*BR149+(1-EXP(-LN(2)/2))/(LN(2)/2)*BL150*BO150*VLOOKUP('Données projet'!$B$11,Paramètres!$A$1:$I$89,3,0)*0.475*44/12</f>
        <v>1.760733618592227E-11</v>
      </c>
      <c r="BS150" s="22">
        <f t="shared" si="117"/>
        <v>38.217134636430501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81.299024916151723</v>
      </c>
      <c r="CE150" s="59">
        <f t="shared" si="148"/>
        <v>88.106373324240167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9.0110494257232148</v>
      </c>
      <c r="CL150" s="21">
        <f>EXP(-LN(2)/25)*CL149+(1-EXP(-LN(2)/25))/(LN(2)/25)*Calculateur!CG150*Calculateur!CI150*VLOOKUP('Données projet'!$B$12,Paramètres!$A$1:$I$89,3,0)*0.475*44/12</f>
        <v>2.0735909989129722</v>
      </c>
      <c r="CM150" s="21">
        <f>EXP(-LN(2)/2)*CM149+(1-EXP(-LN(2)/2))/(LN(2)/2)*CG150*CJ150*VLOOKUP('Données projet'!$B$12,Paramètres!$A$1:$I$89,3,0)*0.475*44/12</f>
        <v>1.9297781998702975E-12</v>
      </c>
      <c r="CN150" s="22">
        <f t="shared" si="120"/>
        <v>11.084640424638117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-3.4106051316484809E-13</v>
      </c>
      <c r="CU150" s="17">
        <f>CT150*VLOOKUP('Données projet'!$B$13,Paramètres!$A$1:$I$89,3,0)*VLOOKUP('Données projet'!$B$13,Paramètres!$A$1:$I$89,5,0)</f>
        <v>-1.9065282685915009E-13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475.42482703895411</v>
      </c>
      <c r="CZ150" s="59">
        <f t="shared" si="150"/>
        <v>593.51433014569966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61.554990194106558</v>
      </c>
      <c r="DG150" s="21">
        <f>EXP(-LN(2)/25)*DG149+(1-EXP(-LN(2)/25))/(LN(2)/25)*Calculateur!DB150*Calculateur!DD150*VLOOKUP('Données projet'!$B$13,Paramètres!$A$1:$I$89,3,0)*0.475*44/12</f>
        <v>6.6655550580470351</v>
      </c>
      <c r="DH150" s="21">
        <f>EXP(-LN(2)/2)*DH149+(1-EXP(-LN(2)/2))/(LN(2)/2)*DB150*DE150*VLOOKUP('Données projet'!$B$13,Paramètres!$A$1:$I$89,3,0)*0.475*44/12</f>
        <v>2.2376966143383026E-11</v>
      </c>
      <c r="DI150" s="22">
        <f t="shared" si="123"/>
        <v>68.220545252175981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7.083333333333333</v>
      </c>
      <c r="DO150" s="12">
        <f>IF('Données projet'!$A$166&gt;35,DO149+DN150-DW149,IF(A150&lt;'Données projet'!$A$166,$DL$205^A150,IF(A150='Données projet'!$A$166,'Données projet'!$B$166,DO149+DN150-DW149)))</f>
        <v>438.49999999999932</v>
      </c>
      <c r="DP150" s="17">
        <f>DO150*VLOOKUP('Données projet'!$B$14,Paramètres!$A$1:$I$89,3,0)*VLOOKUP('Données projet'!$B$14,Paramètres!$A$1:$I$89,5,0)</f>
        <v>396.75479999999936</v>
      </c>
      <c r="DQ150" s="13">
        <f t="shared" si="151"/>
        <v>91.118439130021159</v>
      </c>
      <c r="DR150" s="20">
        <f t="shared" si="124"/>
        <v>849.71255815145241</v>
      </c>
      <c r="DS150" s="59">
        <f t="shared" si="125"/>
        <v>1143.0458914847857</v>
      </c>
      <c r="DT150" s="59">
        <f ca="1">AVERAGE(OFFSET($DS$3,0,0,'Données projet'!$E$14+1,1))-AVERAGE(OFFSET($H$3,0,0,'Données projet'!$E$14+1,1))</f>
        <v>401.17301323870578</v>
      </c>
      <c r="DU150" s="59">
        <f t="shared" si="152"/>
        <v>201.57993789149754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46.532970833430213</v>
      </c>
      <c r="EB150" s="21">
        <f>EXP(-LN(2)/25)*EB149+(1-EXP(-LN(2)/25))/(LN(2)/25)*Calculateur!DW150*Calculateur!DY150*VLOOKUP('Données projet'!$B$14,Paramètres!$A$1:$I$89,3,0)*0.475*44/12</f>
        <v>13.066786865417681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59.599757698847895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1.7053025658242404E-13</v>
      </c>
      <c r="EK150" s="17">
        <f>EJ150*VLOOKUP('Données projet'!$B$15,Paramètres!$A$1:$I$89,3,0)*VLOOKUP('Données projet'!$B$15,Paramètres!$A$1:$I$89,5,0)</f>
        <v>1.4897523215040567E-13</v>
      </c>
      <c r="EL150" s="13">
        <f t="shared" si="153"/>
        <v>2.136562777003313E-12</v>
      </c>
      <c r="EM150" s="20">
        <f t="shared" si="127"/>
        <v>3.9806453659427267E-12</v>
      </c>
      <c r="EN150" s="59">
        <f t="shared" si="128"/>
        <v>293.33333333333729</v>
      </c>
      <c r="EO150" s="59">
        <f ca="1">AVERAGE(OFFSET($EN$3,0,0,'Données projet'!$E$15+1,1))-AVERAGE(OFFSET($H$3,0,0,'Données projet'!$E$15+1,1))</f>
        <v>237.8483058552178</v>
      </c>
      <c r="EP150" s="59">
        <f t="shared" si="154"/>
        <v>313.36201272119723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17.707967380996642</v>
      </c>
      <c r="EW150" s="21">
        <f>EXP(-LN(2)/25)*EW149+(1-EXP(-LN(2)/25))/(LN(2)/25)*Calculateur!ER150*Calculateur!ET150*VLOOKUP('Données projet'!$B$15,Paramètres!$A$1:$I$89,3,0)*0.475*44/12</f>
        <v>0.62730063044161444</v>
      </c>
      <c r="EX150" s="21">
        <f>EXP(-LN(2)/2)*EX149+(1-EXP(-LN(2)/2))/(LN(2)/2)*ER150*EU150*VLOOKUP('Données projet'!$B$15,Paramètres!$A$1:$I$89,3,0)*0.475*44/12</f>
        <v>1.0596034888711332E-10</v>
      </c>
      <c r="EY150" s="22">
        <f t="shared" si="129"/>
        <v>18.335268011544215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-2.8421709430404007E-13</v>
      </c>
      <c r="FF150" s="17">
        <f>FE150*VLOOKUP('Données projet'!$B$16,Paramètres!$A$1:$I$89,3,0)*VLOOKUP('Données projet'!$B$16,Paramètres!$A$1:$I$89,5,0)</f>
        <v>-2.2168933355715128E-13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318.52984981739411</v>
      </c>
      <c r="FK150" s="59">
        <f t="shared" si="156"/>
        <v>311.56398336941714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31.448858097253581</v>
      </c>
      <c r="FR150" s="21">
        <f>EXP(-LN(2)/25)*FR149+(1-EXP(-LN(2)/25))/(LN(2)/25)*Calculateur!FM150*Calculateur!FO150*VLOOKUP('Données projet'!$B$16,Paramètres!$A$1:$I$89,3,0)*0.475*44/12</f>
        <v>0.62623972596355204</v>
      </c>
      <c r="FS150" s="21">
        <f>EXP(-LN(2)/2)*FS149+(1-EXP(-LN(2)/2))/(LN(2)/2)*FM150*FP150*VLOOKUP('Données projet'!$B$16,Paramètres!$A$1:$I$89,3,0)*0.475*44/12</f>
        <v>4.6533439897148859E-9</v>
      </c>
      <c r="FT150" s="22">
        <f t="shared" si="132"/>
        <v>32.075097827870479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-2.8421709430404007E-13</v>
      </c>
      <c r="GA150" s="17">
        <f>FZ150*VLOOKUP('Données projet'!$B$17,Paramètres!$A$1:$I$89,3,0)*VLOOKUP('Données projet'!$B$17,Paramètres!$A$1:$I$89,5,0)</f>
        <v>-2.2612312022829427E-13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325.72928944930294</v>
      </c>
      <c r="GF150" s="59">
        <f t="shared" si="158"/>
        <v>318.38876834819752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39.537796947384415</v>
      </c>
      <c r="GM150" s="21">
        <f>EXP(-LN(2)/25)*GM149+(1-EXP(-LN(2)/25))/(LN(2)/25)*Calculateur!GH150*Calculateur!GJ150*VLOOKUP('Données projet'!$B$17,Paramètres!$A$1:$I$89,3,0)*0.475*44/12</f>
        <v>0.78731440896720017</v>
      </c>
      <c r="GN150" s="21">
        <f>EXP(-LN(2)/2)*GN149+(1-EXP(-LN(2)/2))/(LN(2)/2)*GH150*GK150*VLOOKUP('Données projet'!$B$17,Paramètres!$A$1:$I$89,3,0)*0.475*44/12</f>
        <v>4.7464108695091766E-9</v>
      </c>
      <c r="GO150" s="21">
        <f t="shared" si="135"/>
        <v>40.325111361098024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-2.8421709430404007E-13</v>
      </c>
      <c r="GV150" s="17">
        <f>GU150*VLOOKUP('Données projet'!$B$18,Paramètres!$A$1:$I$89,3,0)*VLOOKUP('Données projet'!$B$18,Paramètres!$A$1:$I$89,5,0)</f>
        <v>-1.9065282685915009E-13</v>
      </c>
      <c r="GW150" s="13" t="e">
        <f t="shared" si="159"/>
        <v>#NUM!</v>
      </c>
      <c r="GX150" s="20" t="e">
        <f t="shared" si="136"/>
        <v>#NUM!</v>
      </c>
      <c r="GY150" s="59" t="e">
        <f t="shared" si="137"/>
        <v>#NUM!</v>
      </c>
      <c r="GZ150" s="59">
        <f ca="1">AVERAGE(OFFSET($GY$3,0,0,'Données projet'!$E$18+1,1))-AVERAGE(OFFSET($H$3,0,0,'Données projet'!$E$18+1,1))</f>
        <v>268.04554291387961</v>
      </c>
      <c r="HA150" s="59">
        <f t="shared" si="160"/>
        <v>263.70463099437148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33.335789583088783</v>
      </c>
      <c r="HH150" s="21">
        <f>EXP(-LN(2)/25)*HH149+(1-EXP(-LN(2)/25))/(LN(2)/25)*Calculateur!HC150*Calculateur!HE150*VLOOKUP('Données projet'!$B$18,Paramètres!$A$1:$I$89,3,0)*0.475*44/12</f>
        <v>0.66381410952136644</v>
      </c>
      <c r="HI150" s="21">
        <f>EXP(-LN(2)/2)*HI149+(1-EXP(-LN(2)/2))/(LN(2)/2)*HC150*HF150*VLOOKUP('Données projet'!$B$18,Paramètres!$A$1:$I$89,3,0)*0.475*44/12</f>
        <v>4.0018758311547959E-9</v>
      </c>
      <c r="HJ150" s="22">
        <f t="shared" si="138"/>
        <v>33.999603696612027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-2.5124791136477146E-14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46.095319339746538</v>
      </c>
      <c r="T151" s="59">
        <f t="shared" si="142"/>
        <v>48.158174304064403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15.710227207595407</v>
      </c>
      <c r="AA151" s="21">
        <f>EXP(-LN(2)/25)*AA150+(1-EXP(-LN(2)/25))/(LN(2)/25)*Calculateur!V151*Calculateur!X151*VLOOKUP('Données projet'!$B$9,Paramètres!$A$1:$I$89,3,0)*0.475*44/12</f>
        <v>4.158669583751518</v>
      </c>
      <c r="AB151" s="21">
        <f>EXP(-LN(2)/2)*AB150+(1-EXP(-LN(2)/2))/(LN(2)/2)*V151*Y151*VLOOKUP('Données projet'!$B$9,Paramètres!$A$1:$I$89,3,0)*0.475*44/12</f>
        <v>8.5959943905074748E-10</v>
      </c>
      <c r="AC151" s="22">
        <f t="shared" si="111"/>
        <v>19.868896792206527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-6.7984728957526396E-14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408.84545509668794</v>
      </c>
      <c r="AO151" s="59">
        <f t="shared" si="144"/>
        <v>409.9253979841132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32.921572458230123</v>
      </c>
      <c r="AV151" s="21">
        <f>EXP(-LN(2)/25)*AV150+(1-EXP(-LN(2)/25))/(LN(2)/25)*Calculateur!AQ151*Calculateur!AS151*VLOOKUP('Données projet'!$B$10,Paramètres!$A$1:$I$89,3,0)*0.475*44/12</f>
        <v>6.6467619406806175</v>
      </c>
      <c r="AW151" s="21">
        <f>EXP(-LN(2)/2)*AW150+(1-EXP(-LN(2)/2))/(LN(2)/2)*AQ151*AT151*VLOOKUP('Données projet'!$B$10,Paramètres!$A$1:$I$89,3,0)*0.475*44/12</f>
        <v>5.3362837075443174E-12</v>
      </c>
      <c r="AX151" s="21">
        <f t="shared" si="114"/>
        <v>39.568334398916079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-6.7984728957526396E-14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279.69031306919914</v>
      </c>
      <c r="BJ151" s="59">
        <f t="shared" si="146"/>
        <v>297.01680128882509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29.868332087152766</v>
      </c>
      <c r="BQ151" s="21">
        <f>EXP(-LN(2)/25)*BQ150+(1-EXP(-LN(2)/25))/(LN(2)/25)*Calculateur!BL151*Calculateur!BN151*VLOOKUP('Données projet'!$B$11,Paramètres!$A$1:$I$89,3,0)*0.475*44/12</f>
        <v>7.5394257287654334</v>
      </c>
      <c r="BR151" s="21">
        <f>EXP(-LN(2)/2)*BR150+(1-EXP(-LN(2)/2))/(LN(2)/2)*BL151*BO151*VLOOKUP('Données projet'!$B$11,Paramètres!$A$1:$I$89,3,0)*0.475*44/12</f>
        <v>1.2450266815696919E-11</v>
      </c>
      <c r="BS151" s="22">
        <f t="shared" si="117"/>
        <v>37.407757815930651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81.299024916151723</v>
      </c>
      <c r="CE151" s="59">
        <f t="shared" si="148"/>
        <v>88.106373324240167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8.8343482426822284</v>
      </c>
      <c r="CL151" s="21">
        <f>EXP(-LN(2)/25)*CL150+(1-EXP(-LN(2)/25))/(LN(2)/25)*Calculateur!CG151*Calculateur!CI151*VLOOKUP('Données projet'!$B$12,Paramètres!$A$1:$I$89,3,0)*0.475*44/12</f>
        <v>2.0168885440022857</v>
      </c>
      <c r="CM151" s="21">
        <f>EXP(-LN(2)/2)*CM150+(1-EXP(-LN(2)/2))/(LN(2)/2)*CG151*CJ151*VLOOKUP('Données projet'!$B$12,Paramètres!$A$1:$I$89,3,0)*0.475*44/12</f>
        <v>1.3645592513142561E-12</v>
      </c>
      <c r="CN151" s="22">
        <f t="shared" si="120"/>
        <v>10.851236786685877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-3.4106051316484809E-13</v>
      </c>
      <c r="CU151" s="17">
        <f>CT151*VLOOKUP('Données projet'!$B$13,Paramètres!$A$1:$I$89,3,0)*VLOOKUP('Données projet'!$B$13,Paramètres!$A$1:$I$89,5,0)</f>
        <v>-1.9065282685915009E-13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475.42482703895411</v>
      </c>
      <c r="CZ151" s="59">
        <f t="shared" si="150"/>
        <v>593.51433014569966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60.347934381236904</v>
      </c>
      <c r="DG151" s="21">
        <f>EXP(-LN(2)/25)*DG150+(1-EXP(-LN(2)/25))/(LN(2)/25)*Calculateur!DB151*Calculateur!DD151*VLOOKUP('Données projet'!$B$13,Paramètres!$A$1:$I$89,3,0)*0.475*44/12</f>
        <v>6.4832851044584325</v>
      </c>
      <c r="DH151" s="21">
        <f>EXP(-LN(2)/2)*DH150+(1-EXP(-LN(2)/2))/(LN(2)/2)*DB151*DE151*VLOOKUP('Données projet'!$B$13,Paramètres!$A$1:$I$89,3,0)*0.475*44/12</f>
        <v>1.5822904502367924E-11</v>
      </c>
      <c r="DI151" s="22">
        <f t="shared" si="123"/>
        <v>66.831219485711159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7.083333333333333</v>
      </c>
      <c r="DO151" s="12">
        <f>IF('Données projet'!$A$166&gt;35,DO150+DN151-DW150,IF(A151&lt;'Données projet'!$A$166,$DL$205^A151,IF(A151='Données projet'!$A$166,'Données projet'!$B$166,DO150+DN151-DW150)))</f>
        <v>445.58333333333263</v>
      </c>
      <c r="DP151" s="17">
        <f>DO151*VLOOKUP('Données projet'!$B$14,Paramètres!$A$1:$I$89,3,0)*VLOOKUP('Données projet'!$B$14,Paramètres!$A$1:$I$89,5,0)</f>
        <v>403.16379999999941</v>
      </c>
      <c r="DQ151" s="13">
        <f t="shared" si="151"/>
        <v>92.417782720361771</v>
      </c>
      <c r="DR151" s="20">
        <f t="shared" si="124"/>
        <v>863.13792323796235</v>
      </c>
      <c r="DS151" s="59">
        <f t="shared" si="125"/>
        <v>1156.4712565712957</v>
      </c>
      <c r="DT151" s="59">
        <f ca="1">AVERAGE(OFFSET($DS$3,0,0,'Données projet'!$E$14+1,1))-AVERAGE(OFFSET($H$3,0,0,'Données projet'!$E$14+1,1))</f>
        <v>401.17301323870578</v>
      </c>
      <c r="DU151" s="59">
        <f t="shared" si="152"/>
        <v>201.57993789149754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45.620487657696337</v>
      </c>
      <c r="EB151" s="21">
        <f>EXP(-LN(2)/25)*EB150+(1-EXP(-LN(2)/25))/(LN(2)/25)*Calculateur!DW151*Calculateur!DY151*VLOOKUP('Données projet'!$B$14,Paramètres!$A$1:$I$89,3,0)*0.475*44/12</f>
        <v>12.709474891430379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58.329962549126719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1.7053025658242404E-13</v>
      </c>
      <c r="EK151" s="17">
        <f>EJ151*VLOOKUP('Données projet'!$B$15,Paramètres!$A$1:$I$89,3,0)*VLOOKUP('Données projet'!$B$15,Paramètres!$A$1:$I$89,5,0)</f>
        <v>1.4897523215040567E-13</v>
      </c>
      <c r="EL151" s="13">
        <f t="shared" si="153"/>
        <v>2.136562777003313E-12</v>
      </c>
      <c r="EM151" s="20">
        <f t="shared" si="127"/>
        <v>3.9806453659427267E-12</v>
      </c>
      <c r="EN151" s="59">
        <f t="shared" si="128"/>
        <v>293.33333333333729</v>
      </c>
      <c r="EO151" s="59">
        <f ca="1">AVERAGE(OFFSET($EN$3,0,0,'Données projet'!$E$15+1,1))-AVERAGE(OFFSET($H$3,0,0,'Données projet'!$E$15+1,1))</f>
        <v>237.8483058552178</v>
      </c>
      <c r="EP151" s="59">
        <f t="shared" si="154"/>
        <v>313.36201272119723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17.360724941448911</v>
      </c>
      <c r="EW151" s="21">
        <f>EXP(-LN(2)/25)*EW150+(1-EXP(-LN(2)/25))/(LN(2)/25)*Calculateur!ER151*Calculateur!ET151*VLOOKUP('Données projet'!$B$15,Paramètres!$A$1:$I$89,3,0)*0.475*44/12</f>
        <v>0.610147061713882</v>
      </c>
      <c r="EX151" s="21">
        <f>EXP(-LN(2)/2)*EX150+(1-EXP(-LN(2)/2))/(LN(2)/2)*ER151*EU151*VLOOKUP('Données projet'!$B$15,Paramètres!$A$1:$I$89,3,0)*0.475*44/12</f>
        <v>7.4925281234970272E-11</v>
      </c>
      <c r="EY151" s="22">
        <f t="shared" si="129"/>
        <v>17.970872003237719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-2.8421709430404007E-13</v>
      </c>
      <c r="FF151" s="17">
        <f>FE151*VLOOKUP('Données projet'!$B$16,Paramètres!$A$1:$I$89,3,0)*VLOOKUP('Données projet'!$B$16,Paramètres!$A$1:$I$89,5,0)</f>
        <v>-2.2168933355715128E-13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318.52984981739411</v>
      </c>
      <c r="FK151" s="59">
        <f t="shared" si="156"/>
        <v>311.56398336941714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30.832165171875822</v>
      </c>
      <c r="FR151" s="21">
        <f>EXP(-LN(2)/25)*FR150+(1-EXP(-LN(2)/25))/(LN(2)/25)*Calculateur!FM151*Calculateur!FO151*VLOOKUP('Données projet'!$B$16,Paramètres!$A$1:$I$89,3,0)*0.475*44/12</f>
        <v>0.60911516772456287</v>
      </c>
      <c r="FS151" s="21">
        <f>EXP(-LN(2)/2)*FS150+(1-EXP(-LN(2)/2))/(LN(2)/2)*FM151*FP151*VLOOKUP('Données projet'!$B$16,Paramètres!$A$1:$I$89,3,0)*0.475*44/12</f>
        <v>3.2904110903210599E-9</v>
      </c>
      <c r="FT151" s="22">
        <f t="shared" si="132"/>
        <v>31.441280342890796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-2.8421709430404007E-13</v>
      </c>
      <c r="GA151" s="17">
        <f>FZ151*VLOOKUP('Données projet'!$B$17,Paramètres!$A$1:$I$89,3,0)*VLOOKUP('Données projet'!$B$17,Paramètres!$A$1:$I$89,5,0)</f>
        <v>-2.2612312022829427E-13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325.72928944930294</v>
      </c>
      <c r="GF151" s="59">
        <f t="shared" si="158"/>
        <v>318.38876834819752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38.76248486492112</v>
      </c>
      <c r="GM151" s="21">
        <f>EXP(-LN(2)/25)*GM150+(1-EXP(-LN(2)/25))/(LN(2)/25)*Calculateur!GH151*Calculateur!GJ151*VLOOKUP('Données projet'!$B$17,Paramètres!$A$1:$I$89,3,0)*0.475*44/12</f>
        <v>0.76578525505092676</v>
      </c>
      <c r="GN151" s="21">
        <f>EXP(-LN(2)/2)*GN150+(1-EXP(-LN(2)/2))/(LN(2)/2)*GH151*GK151*VLOOKUP('Données projet'!$B$17,Paramètres!$A$1:$I$89,3,0)*0.475*44/12</f>
        <v>3.3562193121274761E-9</v>
      </c>
      <c r="GO151" s="21">
        <f t="shared" si="135"/>
        <v>39.528270123328269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-2.8421709430404007E-13</v>
      </c>
      <c r="GV151" s="17">
        <f>GU151*VLOOKUP('Données projet'!$B$18,Paramètres!$A$1:$I$89,3,0)*VLOOKUP('Données projet'!$B$18,Paramètres!$A$1:$I$89,5,0)</f>
        <v>-1.9065282685915009E-13</v>
      </c>
      <c r="GW151" s="13" t="e">
        <f t="shared" si="159"/>
        <v>#NUM!</v>
      </c>
      <c r="GX151" s="20" t="e">
        <f t="shared" si="136"/>
        <v>#NUM!</v>
      </c>
      <c r="GY151" s="59" t="e">
        <f t="shared" si="137"/>
        <v>#NUM!</v>
      </c>
      <c r="GZ151" s="59">
        <f ca="1">AVERAGE(OFFSET($GY$3,0,0,'Données projet'!$E$18+1,1))-AVERAGE(OFFSET($H$3,0,0,'Données projet'!$E$18+1,1))</f>
        <v>268.04554291387961</v>
      </c>
      <c r="HA151" s="59">
        <f t="shared" si="160"/>
        <v>263.70463099437148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32.682095082188354</v>
      </c>
      <c r="HH151" s="21">
        <f>EXP(-LN(2)/25)*HH150+(1-EXP(-LN(2)/25))/(LN(2)/25)*Calculateur!HC151*Calculateur!HE151*VLOOKUP('Données projet'!$B$18,Paramètres!$A$1:$I$89,3,0)*0.475*44/12</f>
        <v>0.64566207778803786</v>
      </c>
      <c r="HI151" s="21">
        <f>EXP(-LN(2)/2)*HI150+(1-EXP(-LN(2)/2))/(LN(2)/2)*HC151*HF151*VLOOKUP('Données projet'!$B$18,Paramètres!$A$1:$I$89,3,0)*0.475*44/12</f>
        <v>2.8297535376761073E-9</v>
      </c>
      <c r="HJ151" s="22">
        <f t="shared" si="138"/>
        <v>33.327757162806144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-2.5124791136477146E-14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46.095319339746538</v>
      </c>
      <c r="T152" s="59">
        <f t="shared" si="142"/>
        <v>48.158174304064403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15.402159234346884</v>
      </c>
      <c r="AA152" s="21">
        <f>EXP(-LN(2)/25)*AA151+(1-EXP(-LN(2)/25))/(LN(2)/25)*Calculateur!V152*Calculateur!X152*VLOOKUP('Données projet'!$B$9,Paramètres!$A$1:$I$89,3,0)*0.475*44/12</f>
        <v>4.0449505452889039</v>
      </c>
      <c r="AB152" s="21">
        <f>EXP(-LN(2)/2)*AB151+(1-EXP(-LN(2)/2))/(LN(2)/2)*V152*Y152*VLOOKUP('Données projet'!$B$9,Paramètres!$A$1:$I$89,3,0)*0.475*44/12</f>
        <v>6.0782859245693589E-10</v>
      </c>
      <c r="AC152" s="22">
        <f t="shared" si="111"/>
        <v>19.447109780243618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-6.7984728957526396E-14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408.84545509668794</v>
      </c>
      <c r="AO152" s="59">
        <f t="shared" si="144"/>
        <v>409.9253979841132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32.276000502500679</v>
      </c>
      <c r="AV152" s="21">
        <f>EXP(-LN(2)/25)*AV151+(1-EXP(-LN(2)/25))/(LN(2)/25)*Calculateur!AQ152*Calculateur!AS152*VLOOKUP('Données projet'!$B$10,Paramètres!$A$1:$I$89,3,0)*0.475*44/12</f>
        <v>6.4650058858746871</v>
      </c>
      <c r="AW152" s="21">
        <f>EXP(-LN(2)/2)*AW151+(1-EXP(-LN(2)/2))/(LN(2)/2)*AQ152*AT152*VLOOKUP('Données projet'!$B$10,Paramètres!$A$1:$I$89,3,0)*0.475*44/12</f>
        <v>3.7733223959398782E-12</v>
      </c>
      <c r="AX152" s="21">
        <f t="shared" si="114"/>
        <v>38.741006388379141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-6.7984728957526396E-14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279.69031306919914</v>
      </c>
      <c r="BJ152" s="59">
        <f t="shared" si="146"/>
        <v>297.01680128882509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29.282632312807408</v>
      </c>
      <c r="BQ152" s="21">
        <f>EXP(-LN(2)/25)*BQ151+(1-EXP(-LN(2)/25))/(LN(2)/25)*Calculateur!BL152*Calculateur!BN152*VLOOKUP('Données projet'!$B$11,Paramètres!$A$1:$I$89,3,0)*0.475*44/12</f>
        <v>7.3332597357311755</v>
      </c>
      <c r="BR152" s="21">
        <f>EXP(-LN(2)/2)*BR151+(1-EXP(-LN(2)/2))/(LN(2)/2)*BL152*BO152*VLOOKUP('Données projet'!$B$11,Paramètres!$A$1:$I$89,3,0)*0.475*44/12</f>
        <v>8.8036680929611348E-12</v>
      </c>
      <c r="BS152" s="22">
        <f t="shared" si="117"/>
        <v>36.615892048547387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81.299024916151723</v>
      </c>
      <c r="CE152" s="59">
        <f t="shared" si="148"/>
        <v>88.106373324240167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8.6611120620635962</v>
      </c>
      <c r="CL152" s="21">
        <f>EXP(-LN(2)/25)*CL151+(1-EXP(-LN(2)/25))/(LN(2)/25)*Calculateur!CG152*Calculateur!CI152*VLOOKUP('Données projet'!$B$12,Paramètres!$A$1:$I$89,3,0)*0.475*44/12</f>
        <v>1.9617366207029843</v>
      </c>
      <c r="CM152" s="21">
        <f>EXP(-LN(2)/2)*CM151+(1-EXP(-LN(2)/2))/(LN(2)/2)*CG152*CJ152*VLOOKUP('Données projet'!$B$12,Paramètres!$A$1:$I$89,3,0)*0.475*44/12</f>
        <v>9.6488909993514874E-13</v>
      </c>
      <c r="CN152" s="22">
        <f t="shared" si="120"/>
        <v>10.622848682767545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-3.4106051316484809E-13</v>
      </c>
      <c r="CU152" s="17">
        <f>CT152*VLOOKUP('Données projet'!$B$13,Paramètres!$A$1:$I$89,3,0)*VLOOKUP('Données projet'!$B$13,Paramètres!$A$1:$I$89,5,0)</f>
        <v>-1.9065282685915009E-13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475.42482703895411</v>
      </c>
      <c r="CZ152" s="59">
        <f t="shared" si="150"/>
        <v>593.51433014569966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59.164548196626271</v>
      </c>
      <c r="DG152" s="21">
        <f>EXP(-LN(2)/25)*DG151+(1-EXP(-LN(2)/25))/(LN(2)/25)*Calculateur!DB152*Calculateur!DD152*VLOOKUP('Données projet'!$B$13,Paramètres!$A$1:$I$89,3,0)*0.475*44/12</f>
        <v>6.3059993323358707</v>
      </c>
      <c r="DH152" s="21">
        <f>EXP(-LN(2)/2)*DH151+(1-EXP(-LN(2)/2))/(LN(2)/2)*DB152*DE152*VLOOKUP('Données projet'!$B$13,Paramètres!$A$1:$I$89,3,0)*0.475*44/12</f>
        <v>1.1188483071691513E-11</v>
      </c>
      <c r="DI152" s="22">
        <f t="shared" si="123"/>
        <v>65.470547528973327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7.083333333333333</v>
      </c>
      <c r="DO152" s="12">
        <f>IF('Données projet'!$A$166&gt;35,DO151+DN152-DW151,IF(A152&lt;'Données projet'!$A$166,$DL$205^A152,IF(A152='Données projet'!$A$166,'Données projet'!$B$166,DO151+DN152-DW151)))</f>
        <v>452.66666666666595</v>
      </c>
      <c r="DP152" s="17">
        <f>DO152*VLOOKUP('Données projet'!$B$14,Paramètres!$A$1:$I$89,3,0)*VLOOKUP('Données projet'!$B$14,Paramètres!$A$1:$I$89,5,0)</f>
        <v>409.57279999999935</v>
      </c>
      <c r="DQ152" s="13">
        <f t="shared" si="151"/>
        <v>93.714724142983599</v>
      </c>
      <c r="DR152" s="20">
        <f t="shared" si="124"/>
        <v>876.55910454902858</v>
      </c>
      <c r="DS152" s="59">
        <f t="shared" si="125"/>
        <v>1169.8924378823619</v>
      </c>
      <c r="DT152" s="59">
        <f ca="1">AVERAGE(OFFSET($DS$3,0,0,'Données projet'!$E$14+1,1))-AVERAGE(OFFSET($H$3,0,0,'Données projet'!$E$14+1,1))</f>
        <v>401.17301323870578</v>
      </c>
      <c r="DU152" s="59">
        <f t="shared" si="152"/>
        <v>201.57993789149754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44.72589772047882</v>
      </c>
      <c r="EB152" s="21">
        <f>EXP(-LN(2)/25)*EB151+(1-EXP(-LN(2)/25))/(LN(2)/25)*Calculateur!DW152*Calculateur!DY152*VLOOKUP('Données projet'!$B$14,Paramètres!$A$1:$I$89,3,0)*0.475*44/12</f>
        <v>12.361933632161978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57.087831352640798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1.7053025658242404E-13</v>
      </c>
      <c r="EK152" s="17">
        <f>EJ152*VLOOKUP('Données projet'!$B$15,Paramètres!$A$1:$I$89,3,0)*VLOOKUP('Données projet'!$B$15,Paramètres!$A$1:$I$89,5,0)</f>
        <v>1.4897523215040567E-13</v>
      </c>
      <c r="EL152" s="13">
        <f t="shared" si="153"/>
        <v>2.136562777003313E-12</v>
      </c>
      <c r="EM152" s="20">
        <f t="shared" si="127"/>
        <v>3.9806453659427267E-12</v>
      </c>
      <c r="EN152" s="59">
        <f t="shared" si="128"/>
        <v>293.33333333333729</v>
      </c>
      <c r="EO152" s="59">
        <f ca="1">AVERAGE(OFFSET($EN$3,0,0,'Données projet'!$E$15+1,1))-AVERAGE(OFFSET($H$3,0,0,'Données projet'!$E$15+1,1))</f>
        <v>237.8483058552178</v>
      </c>
      <c r="EP152" s="59">
        <f t="shared" si="154"/>
        <v>313.36201272119723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17.020291714343735</v>
      </c>
      <c r="EW152" s="21">
        <f>EXP(-LN(2)/25)*EW151+(1-EXP(-LN(2)/25))/(LN(2)/25)*Calculateur!ER152*Calculateur!ET152*VLOOKUP('Données projet'!$B$15,Paramètres!$A$1:$I$89,3,0)*0.475*44/12</f>
        <v>0.59346255822507643</v>
      </c>
      <c r="EX152" s="21">
        <f>EXP(-LN(2)/2)*EX151+(1-EXP(-LN(2)/2))/(LN(2)/2)*ER152*EU152*VLOOKUP('Données projet'!$B$15,Paramètres!$A$1:$I$89,3,0)*0.475*44/12</f>
        <v>5.298017444355666E-11</v>
      </c>
      <c r="EY152" s="22">
        <f t="shared" si="129"/>
        <v>17.613754272621794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-2.8421709430404007E-13</v>
      </c>
      <c r="FF152" s="17">
        <f>FE152*VLOOKUP('Données projet'!$B$16,Paramètres!$A$1:$I$89,3,0)*VLOOKUP('Données projet'!$B$16,Paramètres!$A$1:$I$89,5,0)</f>
        <v>-2.2168933355715128E-13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318.52984981739411</v>
      </c>
      <c r="FK152" s="59">
        <f t="shared" si="156"/>
        <v>311.56398336941714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30.227565218619176</v>
      </c>
      <c r="FR152" s="21">
        <f>EXP(-LN(2)/25)*FR151+(1-EXP(-LN(2)/25))/(LN(2)/25)*Calculateur!FM152*Calculateur!FO152*VLOOKUP('Données projet'!$B$16,Paramètres!$A$1:$I$89,3,0)*0.475*44/12</f>
        <v>0.59245888143116021</v>
      </c>
      <c r="FS152" s="21">
        <f>EXP(-LN(2)/2)*FS151+(1-EXP(-LN(2)/2))/(LN(2)/2)*FM152*FP152*VLOOKUP('Données projet'!$B$16,Paramètres!$A$1:$I$89,3,0)*0.475*44/12</f>
        <v>2.326671994857443E-9</v>
      </c>
      <c r="FT152" s="22">
        <f t="shared" si="132"/>
        <v>30.820024102377008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-2.8421709430404007E-13</v>
      </c>
      <c r="GA152" s="17">
        <f>FZ152*VLOOKUP('Données projet'!$B$17,Paramètres!$A$1:$I$89,3,0)*VLOOKUP('Données projet'!$B$17,Paramètres!$A$1:$I$89,5,0)</f>
        <v>-2.2612312022829427E-13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325.72928944930294</v>
      </c>
      <c r="GF152" s="59">
        <f t="shared" si="158"/>
        <v>318.38876834819752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38.002376179501255</v>
      </c>
      <c r="GM152" s="21">
        <f>EXP(-LN(2)/25)*GM151+(1-EXP(-LN(2)/25))/(LN(2)/25)*Calculateur!GH152*Calculateur!GJ152*VLOOKUP('Données projet'!$B$17,Paramètres!$A$1:$I$89,3,0)*0.475*44/12</f>
        <v>0.74484481698066285</v>
      </c>
      <c r="GN152" s="21">
        <f>EXP(-LN(2)/2)*GN151+(1-EXP(-LN(2)/2))/(LN(2)/2)*GH152*GK152*VLOOKUP('Données projet'!$B$17,Paramètres!$A$1:$I$89,3,0)*0.475*44/12</f>
        <v>2.3732054347545883E-9</v>
      </c>
      <c r="GO152" s="21">
        <f t="shared" si="135"/>
        <v>38.74722099885512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-2.8421709430404007E-13</v>
      </c>
      <c r="GV152" s="17">
        <f>GU152*VLOOKUP('Données projet'!$B$18,Paramètres!$A$1:$I$89,3,0)*VLOOKUP('Données projet'!$B$18,Paramètres!$A$1:$I$89,5,0)</f>
        <v>-1.9065282685915009E-13</v>
      </c>
      <c r="GW152" s="13" t="e">
        <f t="shared" si="159"/>
        <v>#NUM!</v>
      </c>
      <c r="GX152" s="20" t="e">
        <f t="shared" si="136"/>
        <v>#NUM!</v>
      </c>
      <c r="GY152" s="59" t="e">
        <f t="shared" si="137"/>
        <v>#NUM!</v>
      </c>
      <c r="GZ152" s="59">
        <f ca="1">AVERAGE(OFFSET($GY$3,0,0,'Données projet'!$E$18+1,1))-AVERAGE(OFFSET($H$3,0,0,'Données projet'!$E$18+1,1))</f>
        <v>268.04554291387961</v>
      </c>
      <c r="HA152" s="59">
        <f t="shared" si="160"/>
        <v>263.70463099437148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32.041219131736312</v>
      </c>
      <c r="HH152" s="21">
        <f>EXP(-LN(2)/25)*HH151+(1-EXP(-LN(2)/25))/(LN(2)/25)*Calculateur!HC152*Calculateur!HE152*VLOOKUP('Données projet'!$B$18,Paramètres!$A$1:$I$89,3,0)*0.475*44/12</f>
        <v>0.62800641431703097</v>
      </c>
      <c r="HI152" s="21">
        <f>EXP(-LN(2)/2)*HI151+(1-EXP(-LN(2)/2))/(LN(2)/2)*HC152*HF152*VLOOKUP('Données projet'!$B$18,Paramètres!$A$1:$I$89,3,0)*0.475*44/12</f>
        <v>2.000937915577398E-9</v>
      </c>
      <c r="HJ152" s="22">
        <f t="shared" si="138"/>
        <v>32.669225548054278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-2.5124791136477146E-14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46.095319339746538</v>
      </c>
      <c r="T153" s="59">
        <f t="shared" si="142"/>
        <v>48.158174304064403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15.100132286150856</v>
      </c>
      <c r="AA153" s="21">
        <f>EXP(-LN(2)/25)*AA152+(1-EXP(-LN(2)/25))/(LN(2)/25)*Calculateur!V153*Calculateur!X153*VLOOKUP('Données projet'!$B$9,Paramètres!$A$1:$I$89,3,0)*0.475*44/12</f>
        <v>3.9343411599132745</v>
      </c>
      <c r="AB153" s="21">
        <f>EXP(-LN(2)/2)*AB152+(1-EXP(-LN(2)/2))/(LN(2)/2)*V153*Y153*VLOOKUP('Données projet'!$B$9,Paramètres!$A$1:$I$89,3,0)*0.475*44/12</f>
        <v>4.2979971952537374E-10</v>
      </c>
      <c r="AC153" s="22">
        <f t="shared" si="111"/>
        <v>19.03447344649393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-6.7984728957526396E-14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408.84545509668794</v>
      </c>
      <c r="AO153" s="59">
        <f t="shared" si="144"/>
        <v>409.9253979841132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31.643087819063076</v>
      </c>
      <c r="AV153" s="21">
        <f>EXP(-LN(2)/25)*AV152+(1-EXP(-LN(2)/25))/(LN(2)/25)*Calculateur!AQ153*Calculateur!AS153*VLOOKUP('Données projet'!$B$10,Paramètres!$A$1:$I$89,3,0)*0.475*44/12</f>
        <v>6.2882199599455602</v>
      </c>
      <c r="AW153" s="21">
        <f>EXP(-LN(2)/2)*AW152+(1-EXP(-LN(2)/2))/(LN(2)/2)*AQ153*AT153*VLOOKUP('Données projet'!$B$10,Paramètres!$A$1:$I$89,3,0)*0.475*44/12</f>
        <v>2.6681418537721587E-12</v>
      </c>
      <c r="AX153" s="21">
        <f t="shared" si="114"/>
        <v>37.931307779011306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-6.7984728957526396E-14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279.69031306919914</v>
      </c>
      <c r="BJ153" s="59">
        <f t="shared" si="146"/>
        <v>297.01680128882509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28.708417753795374</v>
      </c>
      <c r="BQ153" s="21">
        <f>EXP(-LN(2)/25)*BQ152+(1-EXP(-LN(2)/25))/(LN(2)/25)*Calculateur!BL153*Calculateur!BN153*VLOOKUP('Données projet'!$B$11,Paramètres!$A$1:$I$89,3,0)*0.475*44/12</f>
        <v>7.1327313626182374</v>
      </c>
      <c r="BR153" s="21">
        <f>EXP(-LN(2)/2)*BR152+(1-EXP(-LN(2)/2))/(LN(2)/2)*BL153*BO153*VLOOKUP('Données projet'!$B$11,Paramètres!$A$1:$I$89,3,0)*0.475*44/12</f>
        <v>6.2251334078484594E-12</v>
      </c>
      <c r="BS153" s="22">
        <f t="shared" si="117"/>
        <v>35.841149116419835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81.299024916151723</v>
      </c>
      <c r="CE153" s="59">
        <f t="shared" si="148"/>
        <v>88.106373324240167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8.4912729372832576</v>
      </c>
      <c r="CL153" s="21">
        <f>EXP(-LN(2)/25)*CL152+(1-EXP(-LN(2)/25))/(LN(2)/25)*Calculateur!CG153*Calculateur!CI153*VLOOKUP('Données projet'!$B$12,Paramètres!$A$1:$I$89,3,0)*0.475*44/12</f>
        <v>1.908092829646616</v>
      </c>
      <c r="CM153" s="21">
        <f>EXP(-LN(2)/2)*CM152+(1-EXP(-LN(2)/2))/(LN(2)/2)*CG153*CJ153*VLOOKUP('Données projet'!$B$12,Paramètres!$A$1:$I$89,3,0)*0.475*44/12</f>
        <v>6.8227962565712803E-13</v>
      </c>
      <c r="CN153" s="22">
        <f t="shared" si="120"/>
        <v>10.399365766930556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-3.4106051316484809E-13</v>
      </c>
      <c r="CU153" s="17">
        <f>CT153*VLOOKUP('Données projet'!$B$13,Paramètres!$A$1:$I$89,3,0)*VLOOKUP('Données projet'!$B$13,Paramètres!$A$1:$I$89,5,0)</f>
        <v>-1.9065282685915009E-13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475.42482703895411</v>
      </c>
      <c r="CZ153" s="59">
        <f t="shared" si="150"/>
        <v>593.51433014569966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58.004367493301551</v>
      </c>
      <c r="DG153" s="21">
        <f>EXP(-LN(2)/25)*DG152+(1-EXP(-LN(2)/25))/(LN(2)/25)*Calculateur!DB153*Calculateur!DD153*VLOOKUP('Données projet'!$B$13,Paramètres!$A$1:$I$89,3,0)*0.475*44/12</f>
        <v>6.1335614489750538</v>
      </c>
      <c r="DH153" s="21">
        <f>EXP(-LN(2)/2)*DH152+(1-EXP(-LN(2)/2))/(LN(2)/2)*DB153*DE153*VLOOKUP('Données projet'!$B$13,Paramètres!$A$1:$I$89,3,0)*0.475*44/12</f>
        <v>7.9114522511839619E-12</v>
      </c>
      <c r="DI153" s="22">
        <f t="shared" si="123"/>
        <v>64.137928942284518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7.083333333333333</v>
      </c>
      <c r="DO153" s="12">
        <f>IF('Données projet'!$A$166&gt;35,DO152+DN153-DW152,IF(A153&lt;'Données projet'!$A$166,$DL$205^A153,IF(A153='Données projet'!$A$166,'Données projet'!$B$166,DO152+DN153-DW152)))</f>
        <v>459.74999999999926</v>
      </c>
      <c r="DP153" s="17">
        <f>DO153*VLOOKUP('Données projet'!$B$14,Paramètres!$A$1:$I$89,3,0)*VLOOKUP('Données projet'!$B$14,Paramètres!$A$1:$I$89,5,0)</f>
        <v>415.98179999999934</v>
      </c>
      <c r="DQ153" s="13">
        <f t="shared" si="151"/>
        <v>95.009305327664421</v>
      </c>
      <c r="DR153" s="20">
        <f t="shared" si="124"/>
        <v>889.97617511234773</v>
      </c>
      <c r="DS153" s="59">
        <f t="shared" si="125"/>
        <v>1183.3095084456811</v>
      </c>
      <c r="DT153" s="59">
        <f ca="1">AVERAGE(OFFSET($DS$3,0,0,'Données projet'!$E$14+1,1))-AVERAGE(OFFSET($H$3,0,0,'Données projet'!$E$14+1,1))</f>
        <v>401.17301323870578</v>
      </c>
      <c r="DU153" s="59">
        <f t="shared" si="152"/>
        <v>201.57993789149754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43.84885014628415</v>
      </c>
      <c r="EB153" s="21">
        <f>EXP(-LN(2)/25)*EB152+(1-EXP(-LN(2)/25))/(LN(2)/25)*Calculateur!DW153*Calculateur!DY153*VLOOKUP('Données projet'!$B$14,Paramètres!$A$1:$I$89,3,0)*0.475*44/12</f>
        <v>12.023895906904674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55.87274605318882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1.7053025658242404E-13</v>
      </c>
      <c r="EK153" s="17">
        <f>EJ153*VLOOKUP('Données projet'!$B$15,Paramètres!$A$1:$I$89,3,0)*VLOOKUP('Données projet'!$B$15,Paramètres!$A$1:$I$89,5,0)</f>
        <v>1.4897523215040567E-13</v>
      </c>
      <c r="EL153" s="13">
        <f t="shared" si="153"/>
        <v>2.136562777003313E-12</v>
      </c>
      <c r="EM153" s="20">
        <f t="shared" si="127"/>
        <v>3.9806453659427267E-12</v>
      </c>
      <c r="EN153" s="59">
        <f t="shared" si="128"/>
        <v>293.33333333333729</v>
      </c>
      <c r="EO153" s="59">
        <f ca="1">AVERAGE(OFFSET($EN$3,0,0,'Données projet'!$E$15+1,1))-AVERAGE(OFFSET($H$3,0,0,'Données projet'!$E$15+1,1))</f>
        <v>237.8483058552178</v>
      </c>
      <c r="EP153" s="59">
        <f t="shared" si="154"/>
        <v>313.36201272119723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16.686534175178327</v>
      </c>
      <c r="EW153" s="21">
        <f>EXP(-LN(2)/25)*EW152+(1-EXP(-LN(2)/25))/(LN(2)/25)*Calculateur!ER153*Calculateur!ET153*VLOOKUP('Données projet'!$B$15,Paramètres!$A$1:$I$89,3,0)*0.475*44/12</f>
        <v>0.57723429336157217</v>
      </c>
      <c r="EX153" s="21">
        <f>EXP(-LN(2)/2)*EX152+(1-EXP(-LN(2)/2))/(LN(2)/2)*ER153*EU153*VLOOKUP('Données projet'!$B$15,Paramètres!$A$1:$I$89,3,0)*0.475*44/12</f>
        <v>3.7462640617485136E-11</v>
      </c>
      <c r="EY153" s="22">
        <f t="shared" si="129"/>
        <v>17.263768468577364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-2.8421709430404007E-13</v>
      </c>
      <c r="FF153" s="17">
        <f>FE153*VLOOKUP('Données projet'!$B$16,Paramètres!$A$1:$I$89,3,0)*VLOOKUP('Données projet'!$B$16,Paramètres!$A$1:$I$89,5,0)</f>
        <v>-2.2168933355715128E-13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318.52984981739411</v>
      </c>
      <c r="FK153" s="59">
        <f t="shared" si="156"/>
        <v>311.56398336941714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29.634821101676337</v>
      </c>
      <c r="FR153" s="21">
        <f>EXP(-LN(2)/25)*FR152+(1-EXP(-LN(2)/25))/(LN(2)/25)*Calculateur!FM153*Calculateur!FO153*VLOOKUP('Données projet'!$B$16,Paramètres!$A$1:$I$89,3,0)*0.475*44/12</f>
        <v>0.57625806216236664</v>
      </c>
      <c r="FS153" s="21">
        <f>EXP(-LN(2)/2)*FS152+(1-EXP(-LN(2)/2))/(LN(2)/2)*FM153*FP153*VLOOKUP('Données projet'!$B$16,Paramètres!$A$1:$I$89,3,0)*0.475*44/12</f>
        <v>1.64520554516053E-9</v>
      </c>
      <c r="FT153" s="22">
        <f t="shared" si="132"/>
        <v>30.211079165483909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-2.8421709430404007E-13</v>
      </c>
      <c r="GA153" s="17">
        <f>FZ153*VLOOKUP('Données projet'!$B$17,Paramètres!$A$1:$I$89,3,0)*VLOOKUP('Données projet'!$B$17,Paramètres!$A$1:$I$89,5,0)</f>
        <v>-2.2612312022829427E-13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325.72928944930294</v>
      </c>
      <c r="GF153" s="59">
        <f t="shared" si="158"/>
        <v>318.38876834819752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37.257172761781952</v>
      </c>
      <c r="GM153" s="21">
        <f>EXP(-LN(2)/25)*GM152+(1-EXP(-LN(2)/25))/(LN(2)/25)*Calculateur!GH153*Calculateur!GJ153*VLOOKUP('Données projet'!$B$17,Paramètres!$A$1:$I$89,3,0)*0.475*44/12</f>
        <v>0.72447699629064011</v>
      </c>
      <c r="GN153" s="21">
        <f>EXP(-LN(2)/2)*GN152+(1-EXP(-LN(2)/2))/(LN(2)/2)*GH153*GK153*VLOOKUP('Données projet'!$B$17,Paramètres!$A$1:$I$89,3,0)*0.475*44/12</f>
        <v>1.6781096560637381E-9</v>
      </c>
      <c r="GO153" s="21">
        <f t="shared" si="135"/>
        <v>37.981649759750702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-2.8421709430404007E-13</v>
      </c>
      <c r="GV153" s="17">
        <f>GU153*VLOOKUP('Données projet'!$B$18,Paramètres!$A$1:$I$89,3,0)*VLOOKUP('Données projet'!$B$18,Paramètres!$A$1:$I$89,5,0)</f>
        <v>-1.9065282685915009E-13</v>
      </c>
      <c r="GW153" s="13" t="e">
        <f t="shared" si="159"/>
        <v>#NUM!</v>
      </c>
      <c r="GX153" s="20" t="e">
        <f t="shared" si="136"/>
        <v>#NUM!</v>
      </c>
      <c r="GY153" s="59" t="e">
        <f t="shared" si="137"/>
        <v>#NUM!</v>
      </c>
      <c r="GZ153" s="59">
        <f ca="1">AVERAGE(OFFSET($GY$3,0,0,'Données projet'!$E$18+1,1))-AVERAGE(OFFSET($H$3,0,0,'Données projet'!$E$18+1,1))</f>
        <v>268.04554291387961</v>
      </c>
      <c r="HA153" s="59">
        <f t="shared" si="160"/>
        <v>263.70463099437148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31.412910367776902</v>
      </c>
      <c r="HH153" s="21">
        <f>EXP(-LN(2)/25)*HH152+(1-EXP(-LN(2)/25))/(LN(2)/25)*Calculateur!HC153*Calculateur!HE153*VLOOKUP('Données projet'!$B$18,Paramètres!$A$1:$I$89,3,0)*0.475*44/12</f>
        <v>0.61083354589210981</v>
      </c>
      <c r="HI153" s="21">
        <f>EXP(-LN(2)/2)*HI152+(1-EXP(-LN(2)/2))/(LN(2)/2)*HC153*HF153*VLOOKUP('Données projet'!$B$18,Paramètres!$A$1:$I$89,3,0)*0.475*44/12</f>
        <v>1.4148767688380537E-9</v>
      </c>
      <c r="HJ153" s="22">
        <f t="shared" si="138"/>
        <v>32.023743915083891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-2.5124791136477146E-14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46.095319339746538</v>
      </c>
      <c r="T154" s="59">
        <f t="shared" si="142"/>
        <v>48.158174304064403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14.804027902190704</v>
      </c>
      <c r="AA154" s="21">
        <f>EXP(-LN(2)/25)*AA153+(1-EXP(-LN(2)/25))/(LN(2)/25)*Calculateur!V154*Calculateur!X154*VLOOKUP('Données projet'!$B$9,Paramètres!$A$1:$I$89,3,0)*0.475*44/12</f>
        <v>3.8267563939974365</v>
      </c>
      <c r="AB154" s="21">
        <f>EXP(-LN(2)/2)*AB153+(1-EXP(-LN(2)/2))/(LN(2)/2)*V154*Y154*VLOOKUP('Données projet'!$B$9,Paramètres!$A$1:$I$89,3,0)*0.475*44/12</f>
        <v>3.0391429622846794E-10</v>
      </c>
      <c r="AC154" s="22">
        <f t="shared" ref="AC154:AC203" si="163">SUM(Z154:AB154)</f>
        <v>18.630784296492052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-6.7984728957526396E-14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408.84545509668794</v>
      </c>
      <c r="AO154" s="59">
        <f t="shared" si="144"/>
        <v>409.9253979841132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31.022586167309065</v>
      </c>
      <c r="AV154" s="21">
        <f>EXP(-LN(2)/25)*AV153+(1-EXP(-LN(2)/25))/(LN(2)/25)*Calculateur!AQ154*Calculateur!AS154*VLOOKUP('Données projet'!$B$10,Paramètres!$A$1:$I$89,3,0)*0.475*44/12</f>
        <v>6.1162682544577329</v>
      </c>
      <c r="AW154" s="21">
        <f>EXP(-LN(2)/2)*AW153+(1-EXP(-LN(2)/2))/(LN(2)/2)*AQ154*AT154*VLOOKUP('Données projet'!$B$10,Paramètres!$A$1:$I$89,3,0)*0.475*44/12</f>
        <v>1.8866611979699391E-12</v>
      </c>
      <c r="AX154" s="21">
        <f t="shared" ref="AX154:AX203" si="166">SUM(AU154:AW154)</f>
        <v>37.138854421768684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-6.7984728957526396E-14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279.69031306919914</v>
      </c>
      <c r="BJ154" s="59">
        <f t="shared" si="146"/>
        <v>297.01680128882509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28.145463192049267</v>
      </c>
      <c r="BQ154" s="21">
        <f>EXP(-LN(2)/25)*BQ153+(1-EXP(-LN(2)/25))/(LN(2)/25)*Calculateur!BL154*Calculateur!BN154*VLOOKUP('Données projet'!$B$11,Paramètres!$A$1:$I$89,3,0)*0.475*44/12</f>
        <v>6.9376864484134018</v>
      </c>
      <c r="BR154" s="21">
        <f>EXP(-LN(2)/2)*BR153+(1-EXP(-LN(2)/2))/(LN(2)/2)*BL154*BO154*VLOOKUP('Données projet'!$B$11,Paramètres!$A$1:$I$89,3,0)*0.475*44/12</f>
        <v>4.4018340464805674E-12</v>
      </c>
      <c r="BS154" s="22">
        <f t="shared" ref="BS154:BS203" si="169">SUM(BP154:BR154)</f>
        <v>35.08314964046707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81.299024916151723</v>
      </c>
      <c r="CE154" s="59">
        <f t="shared" si="148"/>
        <v>88.106373324240167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8.3247642541482243</v>
      </c>
      <c r="CL154" s="21">
        <f>EXP(-LN(2)/25)*CL153+(1-EXP(-LN(2)/25))/(LN(2)/25)*Calculateur!CG154*Calculateur!CI154*VLOOKUP('Données projet'!$B$12,Paramètres!$A$1:$I$89,3,0)*0.475*44/12</f>
        <v>1.8559159308776882</v>
      </c>
      <c r="CM154" s="21">
        <f>EXP(-LN(2)/2)*CM153+(1-EXP(-LN(2)/2))/(LN(2)/2)*CG154*CJ154*VLOOKUP('Données projet'!$B$12,Paramètres!$A$1:$I$89,3,0)*0.475*44/12</f>
        <v>4.8244454996757437E-13</v>
      </c>
      <c r="CN154" s="22">
        <f t="shared" ref="CN154:CN203" si="172">SUM(CK154:CM154)</f>
        <v>10.180680185026397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-3.4106051316484809E-13</v>
      </c>
      <c r="CU154" s="17">
        <f>CT154*VLOOKUP('Données projet'!$B$13,Paramètres!$A$1:$I$89,3,0)*VLOOKUP('Données projet'!$B$13,Paramètres!$A$1:$I$89,5,0)</f>
        <v>-1.9065282685915009E-13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475.42482703895411</v>
      </c>
      <c r="CZ154" s="59">
        <f t="shared" si="150"/>
        <v>593.51433014569966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56.866937225928673</v>
      </c>
      <c r="DG154" s="21">
        <f>EXP(-LN(2)/25)*DG153+(1-EXP(-LN(2)/25))/(LN(2)/25)*Calculateur!DB154*Calculateur!DD154*VLOOKUP('Données projet'!$B$13,Paramètres!$A$1:$I$89,3,0)*0.475*44/12</f>
        <v>5.9658388886028533</v>
      </c>
      <c r="DH154" s="21">
        <f>EXP(-LN(2)/2)*DH153+(1-EXP(-LN(2)/2))/(LN(2)/2)*DB154*DE154*VLOOKUP('Données projet'!$B$13,Paramètres!$A$1:$I$89,3,0)*0.475*44/12</f>
        <v>5.5942415358457566E-12</v>
      </c>
      <c r="DI154" s="22">
        <f t="shared" ref="DI154:DI203" si="175">SUM(DF154:DH154)</f>
        <v>62.832776114537118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7.083333333333333</v>
      </c>
      <c r="DO154" s="12">
        <f>IF('Données projet'!$A$166&gt;35,DO153+DN154-DW153,IF(A154&lt;'Données projet'!$A$166,$DL$205^A154,IF(A154='Données projet'!$A$166,'Données projet'!$B$166,DO153+DN154-DW153)))</f>
        <v>466.83333333333258</v>
      </c>
      <c r="DP154" s="17">
        <f>DO154*VLOOKUP('Données projet'!$B$14,Paramètres!$A$1:$I$89,3,0)*VLOOKUP('Données projet'!$B$14,Paramètres!$A$1:$I$89,5,0)</f>
        <v>422.39079999999927</v>
      </c>
      <c r="DQ154" s="13">
        <f t="shared" ref="DQ154:DQ203" si="176">EXP(-1.0587+0.8836*LN(DP154)+0.284)</f>
        <v>96.301566838032542</v>
      </c>
      <c r="DR154" s="20">
        <f t="shared" ref="DR154:DR203" si="177">(DP154+DQ154)*0.475*44/12</f>
        <v>903.38920557623862</v>
      </c>
      <c r="DS154" s="59">
        <f t="shared" si="125"/>
        <v>1196.722538909572</v>
      </c>
      <c r="DT154" s="59">
        <f ca="1">AVERAGE(OFFSET($DS$3,0,0,'Données projet'!$E$14+1,1))-AVERAGE(OFFSET($H$3,0,0,'Données projet'!$E$14+1,1))</f>
        <v>401.17301323870578</v>
      </c>
      <c r="DU154" s="59">
        <f t="shared" si="152"/>
        <v>201.57993789149754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42.98900094007324</v>
      </c>
      <c r="EB154" s="21">
        <f>EXP(-LN(2)/25)*EB153+(1-EXP(-LN(2)/25))/(LN(2)/25)*Calculateur!DW154*Calculateur!DY154*VLOOKUP('Données projet'!$B$14,Paramètres!$A$1:$I$89,3,0)*0.475*44/12</f>
        <v>11.695101841021161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54.684102781094403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1.7053025658242404E-13</v>
      </c>
      <c r="EK154" s="17">
        <f>EJ154*VLOOKUP('Données projet'!$B$15,Paramètres!$A$1:$I$89,3,0)*VLOOKUP('Données projet'!$B$15,Paramètres!$A$1:$I$89,5,0)</f>
        <v>1.4897523215040567E-13</v>
      </c>
      <c r="EL154" s="13">
        <f t="shared" ref="EL154:EL203" si="179">EXP(-1.0587+0.8836*LN(EK154)+0.284)</f>
        <v>2.136562777003313E-12</v>
      </c>
      <c r="EM154" s="20">
        <f t="shared" ref="EM154:EM203" si="180">(EK154+EL154)*0.475*44/12</f>
        <v>3.9806453659427267E-12</v>
      </c>
      <c r="EN154" s="59">
        <f t="shared" si="128"/>
        <v>293.33333333333729</v>
      </c>
      <c r="EO154" s="59">
        <f ca="1">AVERAGE(OFFSET($EN$3,0,0,'Données projet'!$E$15+1,1))-AVERAGE(OFFSET($H$3,0,0,'Données projet'!$E$15+1,1))</f>
        <v>237.8483058552178</v>
      </c>
      <c r="EP154" s="59">
        <f t="shared" si="154"/>
        <v>313.36201272119723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16.359321417783953</v>
      </c>
      <c r="EW154" s="21">
        <f>EXP(-LN(2)/25)*EW153+(1-EXP(-LN(2)/25))/(LN(2)/25)*Calculateur!ER154*Calculateur!ET154*VLOOKUP('Données projet'!$B$15,Paramètres!$A$1:$I$89,3,0)*0.475*44/12</f>
        <v>0.56144979125416783</v>
      </c>
      <c r="EX154" s="21">
        <f>EXP(-LN(2)/2)*EX153+(1-EXP(-LN(2)/2))/(LN(2)/2)*ER154*EU154*VLOOKUP('Données projet'!$B$15,Paramètres!$A$1:$I$89,3,0)*0.475*44/12</f>
        <v>2.649008722177833E-11</v>
      </c>
      <c r="EY154" s="22">
        <f t="shared" ref="EY154:EY203" si="181">SUM(EV154:EX154)</f>
        <v>16.920771209064611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-2.8421709430404007E-13</v>
      </c>
      <c r="FF154" s="17">
        <f>FE154*VLOOKUP('Données projet'!$B$16,Paramètres!$A$1:$I$89,3,0)*VLOOKUP('Données projet'!$B$16,Paramètres!$A$1:$I$89,5,0)</f>
        <v>-2.2168933355715128E-13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318.52984981739411</v>
      </c>
      <c r="FK154" s="59">
        <f t="shared" si="156"/>
        <v>311.56398336941714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29.053700335328532</v>
      </c>
      <c r="FR154" s="21">
        <f>EXP(-LN(2)/25)*FR153+(1-EXP(-LN(2)/25))/(LN(2)/25)*Calculateur!FM154*Calculateur!FO154*VLOOKUP('Données projet'!$B$16,Paramètres!$A$1:$I$89,3,0)*0.475*44/12</f>
        <v>0.56050025514844226</v>
      </c>
      <c r="FS154" s="21">
        <f>EXP(-LN(2)/2)*FS153+(1-EXP(-LN(2)/2))/(LN(2)/2)*FM154*FP154*VLOOKUP('Données projet'!$B$16,Paramètres!$A$1:$I$89,3,0)*0.475*44/12</f>
        <v>1.1633359974287215E-9</v>
      </c>
      <c r="FT154" s="22">
        <f t="shared" ref="FT154:FT203" si="184">SUM(FQ154:FS154)</f>
        <v>29.614200591640312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-2.8421709430404007E-13</v>
      </c>
      <c r="GA154" s="17">
        <f>FZ154*VLOOKUP('Données projet'!$B$17,Paramètres!$A$1:$I$89,3,0)*VLOOKUP('Données projet'!$B$17,Paramètres!$A$1:$I$89,5,0)</f>
        <v>-2.2612312022829427E-13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325.72928944930294</v>
      </c>
      <c r="GF154" s="59">
        <f t="shared" si="158"/>
        <v>318.38876834819752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36.526582328554923</v>
      </c>
      <c r="GM154" s="21">
        <f>EXP(-LN(2)/25)*GM153+(1-EXP(-LN(2)/25))/(LN(2)/25)*Calculateur!GH154*Calculateur!GJ154*VLOOKUP('Données projet'!$B$17,Paramètres!$A$1:$I$89,3,0)*0.475*44/12</f>
        <v>0.70466613472848316</v>
      </c>
      <c r="GN154" s="21">
        <f>EXP(-LN(2)/2)*GN153+(1-EXP(-LN(2)/2))/(LN(2)/2)*GH154*GK154*VLOOKUP('Données projet'!$B$17,Paramètres!$A$1:$I$89,3,0)*0.475*44/12</f>
        <v>1.1866027173772941E-9</v>
      </c>
      <c r="GO154" s="21">
        <f t="shared" ref="GO154:GO203" si="187">SUM(GL154:GN154)</f>
        <v>37.231248464470006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-2.8421709430404007E-13</v>
      </c>
      <c r="GV154" s="17">
        <f>GU154*VLOOKUP('Données projet'!$B$18,Paramètres!$A$1:$I$89,3,0)*VLOOKUP('Données projet'!$B$18,Paramètres!$A$1:$I$89,5,0)</f>
        <v>-1.9065282685915009E-13</v>
      </c>
      <c r="GW154" s="13" t="e">
        <f t="shared" ref="GW154:GW203" si="188">EXP(-1.0587+0.8836*LN(GV154)+0.284)</f>
        <v>#NUM!</v>
      </c>
      <c r="GX154" s="20" t="e">
        <f t="shared" ref="GX154:GX203" si="189">(GV154+GW154)*0.475*44/12</f>
        <v>#NUM!</v>
      </c>
      <c r="GY154" s="59" t="e">
        <f t="shared" si="137"/>
        <v>#NUM!</v>
      </c>
      <c r="GZ154" s="59">
        <f ca="1">AVERAGE(OFFSET($GY$3,0,0,'Données projet'!$E$18+1,1))-AVERAGE(OFFSET($H$3,0,0,'Données projet'!$E$18+1,1))</f>
        <v>268.04554291387961</v>
      </c>
      <c r="HA154" s="59">
        <f t="shared" si="160"/>
        <v>263.70463099437148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30.796922355448231</v>
      </c>
      <c r="HH154" s="21">
        <f>EXP(-LN(2)/25)*HH153+(1-EXP(-LN(2)/25))/(LN(2)/25)*Calculateur!HC154*Calculateur!HE154*VLOOKUP('Données projet'!$B$18,Paramètres!$A$1:$I$89,3,0)*0.475*44/12</f>
        <v>0.59413027045735001</v>
      </c>
      <c r="HI154" s="21">
        <f>EXP(-LN(2)/2)*HI153+(1-EXP(-LN(2)/2))/(LN(2)/2)*HC154*HF154*VLOOKUP('Données projet'!$B$18,Paramètres!$A$1:$I$89,3,0)*0.475*44/12</f>
        <v>1.000468957788699E-9</v>
      </c>
      <c r="HJ154" s="22">
        <f t="shared" ref="HJ154:HJ203" si="190">SUM(HG154:HI154)</f>
        <v>31.391052626906049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-2.5124791136477146E-14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46.095319339746538</v>
      </c>
      <c r="T155" s="59">
        <f t="shared" si="142"/>
        <v>48.158174304064403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14.51372994459417</v>
      </c>
      <c r="AA155" s="21">
        <f>EXP(-LN(2)/25)*AA154+(1-EXP(-LN(2)/25))/(LN(2)/25)*Calculateur!V155*Calculateur!X155*VLOOKUP('Données projet'!$B$9,Paramètres!$A$1:$I$89,3,0)*0.475*44/12</f>
        <v>3.7221135391632041</v>
      </c>
      <c r="AB155" s="21">
        <f>EXP(-LN(2)/2)*AB154+(1-EXP(-LN(2)/2))/(LN(2)/2)*V155*Y155*VLOOKUP('Données projet'!$B$9,Paramètres!$A$1:$I$89,3,0)*0.475*44/12</f>
        <v>2.1489985976268687E-10</v>
      </c>
      <c r="AC155" s="22">
        <f t="shared" si="163"/>
        <v>18.235843483972275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-6.7984728957526396E-14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408.84545509668794</v>
      </c>
      <c r="AO155" s="59">
        <f t="shared" si="144"/>
        <v>409.9253979841132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30.414252174477312</v>
      </c>
      <c r="AV155" s="21">
        <f>EXP(-LN(2)/25)*AV154+(1-EXP(-LN(2)/25))/(LN(2)/25)*Calculateur!AQ155*Calculateur!AS155*VLOOKUP('Données projet'!$B$10,Paramètres!$A$1:$I$89,3,0)*0.475*44/12</f>
        <v>5.9490185773990181</v>
      </c>
      <c r="AW155" s="21">
        <f>EXP(-LN(2)/2)*AW154+(1-EXP(-LN(2)/2))/(LN(2)/2)*AQ155*AT155*VLOOKUP('Données projet'!$B$10,Paramètres!$A$1:$I$89,3,0)*0.475*44/12</f>
        <v>1.3340709268860794E-12</v>
      </c>
      <c r="AX155" s="21">
        <f t="shared" si="166"/>
        <v>36.363270751877664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-6.7984728957526396E-14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279.69031306919914</v>
      </c>
      <c r="BJ155" s="59">
        <f t="shared" si="146"/>
        <v>297.01680128882509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27.593547825890624</v>
      </c>
      <c r="BQ155" s="21">
        <f>EXP(-LN(2)/25)*BQ154+(1-EXP(-LN(2)/25))/(LN(2)/25)*Calculateur!BL155*Calculateur!BN155*VLOOKUP('Données projet'!$B$11,Paramètres!$A$1:$I$89,3,0)*0.475*44/12</f>
        <v>6.7479750476444629</v>
      </c>
      <c r="BR155" s="21">
        <f>EXP(-LN(2)/2)*BR154+(1-EXP(-LN(2)/2))/(LN(2)/2)*BL155*BO155*VLOOKUP('Données projet'!$B$11,Paramètres!$A$1:$I$89,3,0)*0.475*44/12</f>
        <v>3.1125667039242297E-12</v>
      </c>
      <c r="BS155" s="22">
        <f t="shared" si="169"/>
        <v>34.341522873538196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81.299024916151723</v>
      </c>
      <c r="CE155" s="59">
        <f t="shared" si="148"/>
        <v>88.106373324240167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8.1615207047292007</v>
      </c>
      <c r="CL155" s="21">
        <f>EXP(-LN(2)/25)*CL154+(1-EXP(-LN(2)/25))/(LN(2)/25)*Calculateur!CG155*Calculateur!CI155*VLOOKUP('Données projet'!$B$12,Paramètres!$A$1:$I$89,3,0)*0.475*44/12</f>
        <v>1.8051658121494607</v>
      </c>
      <c r="CM155" s="21">
        <f>EXP(-LN(2)/2)*CM154+(1-EXP(-LN(2)/2))/(LN(2)/2)*CG155*CJ155*VLOOKUP('Données projet'!$B$12,Paramètres!$A$1:$I$89,3,0)*0.475*44/12</f>
        <v>3.4113981282856402E-13</v>
      </c>
      <c r="CN155" s="22">
        <f t="shared" si="172"/>
        <v>9.9666865168790029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-3.4106051316484809E-13</v>
      </c>
      <c r="CU155" s="17">
        <f>CT155*VLOOKUP('Données projet'!$B$13,Paramètres!$A$1:$I$89,3,0)*VLOOKUP('Données projet'!$B$13,Paramètres!$A$1:$I$89,5,0)</f>
        <v>-1.9065282685915009E-13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475.42482703895411</v>
      </c>
      <c r="CZ155" s="59">
        <f t="shared" si="150"/>
        <v>593.51433014569966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55.751811272335019</v>
      </c>
      <c r="DG155" s="21">
        <f>EXP(-LN(2)/25)*DG154+(1-EXP(-LN(2)/25))/(LN(2)/25)*Calculateur!DB155*Calculateur!DD155*VLOOKUP('Données projet'!$B$13,Paramètres!$A$1:$I$89,3,0)*0.475*44/12</f>
        <v>5.8027027104641764</v>
      </c>
      <c r="DH155" s="21">
        <f>EXP(-LN(2)/2)*DH154+(1-EXP(-LN(2)/2))/(LN(2)/2)*DB155*DE155*VLOOKUP('Données projet'!$B$13,Paramètres!$A$1:$I$89,3,0)*0.475*44/12</f>
        <v>3.9557261255919809E-12</v>
      </c>
      <c r="DI155" s="22">
        <f t="shared" si="175"/>
        <v>61.554513982803151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7.083333333333333</v>
      </c>
      <c r="DO155" s="12">
        <f>IF('Données projet'!$A$166&gt;35,DO154+DN155-DW154,IF(A155&lt;'Données projet'!$A$166,$DL$205^A155,IF(A155='Données projet'!$A$166,'Données projet'!$B$166,DO154+DN155-DW154)))</f>
        <v>473.91666666666589</v>
      </c>
      <c r="DP155" s="17">
        <f>DO155*VLOOKUP('Données projet'!$B$14,Paramètres!$A$1:$I$89,3,0)*VLOOKUP('Données projet'!$B$14,Paramètres!$A$1:$I$89,5,0)</f>
        <v>428.79979999999932</v>
      </c>
      <c r="DQ155" s="13">
        <f t="shared" si="176"/>
        <v>97.591547936119014</v>
      </c>
      <c r="DR155" s="20">
        <f t="shared" si="177"/>
        <v>916.79826432207267</v>
      </c>
      <c r="DS155" s="59">
        <f t="shared" si="125"/>
        <v>1210.131597655406</v>
      </c>
      <c r="DT155" s="59">
        <f ca="1">AVERAGE(OFFSET($DS$3,0,0,'Données projet'!$E$14+1,1))-AVERAGE(OFFSET($H$3,0,0,'Données projet'!$E$14+1,1))</f>
        <v>401.17301323870578</v>
      </c>
      <c r="DU155" s="59">
        <f t="shared" si="152"/>
        <v>201.57993789149754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42.146012852339901</v>
      </c>
      <c r="EB155" s="21">
        <f>EXP(-LN(2)/25)*EB154+(1-EXP(-LN(2)/25))/(LN(2)/25)*Calculateur!DW155*Calculateur!DY155*VLOOKUP('Données projet'!$B$14,Paramètres!$A$1:$I$89,3,0)*0.475*44/12</f>
        <v>11.375298666159761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53.521311518499658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1.7053025658242404E-13</v>
      </c>
      <c r="EK155" s="17">
        <f>EJ155*VLOOKUP('Données projet'!$B$15,Paramètres!$A$1:$I$89,3,0)*VLOOKUP('Données projet'!$B$15,Paramètres!$A$1:$I$89,5,0)</f>
        <v>1.4897523215040567E-13</v>
      </c>
      <c r="EL155" s="13">
        <f t="shared" si="179"/>
        <v>2.136562777003313E-12</v>
      </c>
      <c r="EM155" s="20">
        <f t="shared" si="180"/>
        <v>3.9806453659427267E-12</v>
      </c>
      <c r="EN155" s="59">
        <f t="shared" si="128"/>
        <v>293.33333333333729</v>
      </c>
      <c r="EO155" s="59">
        <f ca="1">AVERAGE(OFFSET($EN$3,0,0,'Données projet'!$E$15+1,1))-AVERAGE(OFFSET($H$3,0,0,'Données projet'!$E$15+1,1))</f>
        <v>237.8483058552178</v>
      </c>
      <c r="EP155" s="59">
        <f t="shared" si="154"/>
        <v>313.36201272119723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16.03852510298201</v>
      </c>
      <c r="EW155" s="21">
        <f>EXP(-LN(2)/25)*EW154+(1-EXP(-LN(2)/25))/(LN(2)/25)*Calculateur!ER155*Calculateur!ET155*VLOOKUP('Données projet'!$B$15,Paramètres!$A$1:$I$89,3,0)*0.475*44/12</f>
        <v>0.54609691718696129</v>
      </c>
      <c r="EX155" s="21">
        <f>EXP(-LN(2)/2)*EX154+(1-EXP(-LN(2)/2))/(LN(2)/2)*ER155*EU155*VLOOKUP('Données projet'!$B$15,Paramètres!$A$1:$I$89,3,0)*0.475*44/12</f>
        <v>1.8731320308742568E-11</v>
      </c>
      <c r="EY155" s="22">
        <f t="shared" si="181"/>
        <v>16.584622020187702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-2.8421709430404007E-13</v>
      </c>
      <c r="FF155" s="17">
        <f>FE155*VLOOKUP('Données projet'!$B$16,Paramètres!$A$1:$I$89,3,0)*VLOOKUP('Données projet'!$B$16,Paramètres!$A$1:$I$89,5,0)</f>
        <v>-2.2168933355715128E-13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318.52984981739411</v>
      </c>
      <c r="FK155" s="59">
        <f t="shared" si="156"/>
        <v>311.56398336941714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28.483974992760139</v>
      </c>
      <c r="FR155" s="21">
        <f>EXP(-LN(2)/25)*FR154+(1-EXP(-LN(2)/25))/(LN(2)/25)*Calculateur!FM155*Calculateur!FO155*VLOOKUP('Données projet'!$B$16,Paramètres!$A$1:$I$89,3,0)*0.475*44/12</f>
        <v>0.54517334619598068</v>
      </c>
      <c r="FS155" s="21">
        <f>EXP(-LN(2)/2)*FS154+(1-EXP(-LN(2)/2))/(LN(2)/2)*FM155*FP155*VLOOKUP('Données projet'!$B$16,Paramètres!$A$1:$I$89,3,0)*0.475*44/12</f>
        <v>8.2260277258026498E-10</v>
      </c>
      <c r="FT155" s="22">
        <f t="shared" si="184"/>
        <v>29.029148339778722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-2.8421709430404007E-13</v>
      </c>
      <c r="GA155" s="17">
        <f>FZ155*VLOOKUP('Données projet'!$B$17,Paramètres!$A$1:$I$89,3,0)*VLOOKUP('Données projet'!$B$17,Paramètres!$A$1:$I$89,5,0)</f>
        <v>-2.2612312022829427E-13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325.72928944930294</v>
      </c>
      <c r="GF155" s="59">
        <f t="shared" si="158"/>
        <v>318.38876834819752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35.810318328107314</v>
      </c>
      <c r="GM155" s="21">
        <f>EXP(-LN(2)/25)*GM154+(1-EXP(-LN(2)/25))/(LN(2)/25)*Calculateur!GH155*Calculateur!GJ155*VLOOKUP('Données projet'!$B$17,Paramètres!$A$1:$I$89,3,0)*0.475*44/12</f>
        <v>0.68539700221755129</v>
      </c>
      <c r="GN155" s="21">
        <f>EXP(-LN(2)/2)*GN154+(1-EXP(-LN(2)/2))/(LN(2)/2)*GH155*GK155*VLOOKUP('Données projet'!$B$17,Paramètres!$A$1:$I$89,3,0)*0.475*44/12</f>
        <v>8.3905482803186903E-10</v>
      </c>
      <c r="GO155" s="21">
        <f t="shared" si="187"/>
        <v>36.495715331163915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-2.8421709430404007E-13</v>
      </c>
      <c r="GV155" s="17">
        <f>GU155*VLOOKUP('Données projet'!$B$18,Paramètres!$A$1:$I$89,3,0)*VLOOKUP('Données projet'!$B$18,Paramètres!$A$1:$I$89,5,0)</f>
        <v>-1.9065282685915009E-13</v>
      </c>
      <c r="GW155" s="13" t="e">
        <f t="shared" si="188"/>
        <v>#NUM!</v>
      </c>
      <c r="GX155" s="20" t="e">
        <f t="shared" si="189"/>
        <v>#NUM!</v>
      </c>
      <c r="GY155" s="59" t="e">
        <f t="shared" si="137"/>
        <v>#NUM!</v>
      </c>
      <c r="GZ155" s="59">
        <f ca="1">AVERAGE(OFFSET($GY$3,0,0,'Données projet'!$E$18+1,1))-AVERAGE(OFFSET($H$3,0,0,'Données projet'!$E$18+1,1))</f>
        <v>268.04554291387961</v>
      </c>
      <c r="HA155" s="59">
        <f t="shared" si="160"/>
        <v>263.70463099437148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30.193013492325736</v>
      </c>
      <c r="HH155" s="21">
        <f>EXP(-LN(2)/25)*HH154+(1-EXP(-LN(2)/25))/(LN(2)/25)*Calculateur!HC155*Calculateur!HE155*VLOOKUP('Données projet'!$B$18,Paramètres!$A$1:$I$89,3,0)*0.475*44/12</f>
        <v>0.5778837469677407</v>
      </c>
      <c r="HI155" s="21">
        <f>EXP(-LN(2)/2)*HI154+(1-EXP(-LN(2)/2))/(LN(2)/2)*HC155*HF155*VLOOKUP('Données projet'!$B$18,Paramètres!$A$1:$I$89,3,0)*0.475*44/12</f>
        <v>7.0743838441902683E-10</v>
      </c>
      <c r="HJ155" s="22">
        <f t="shared" si="190"/>
        <v>30.770897240000913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-2.5124791136477146E-14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46.095319339746538</v>
      </c>
      <c r="T156" s="59">
        <f t="shared" si="142"/>
        <v>48.158174304064403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14.229124552881832</v>
      </c>
      <c r="AA156" s="21">
        <f>EXP(-LN(2)/25)*AA155+(1-EXP(-LN(2)/25))/(LN(2)/25)*Calculateur!V156*Calculateur!X156*VLOOKUP('Données projet'!$B$9,Paramètres!$A$1:$I$89,3,0)*0.475*44/12</f>
        <v>3.6203321486973423</v>
      </c>
      <c r="AB156" s="21">
        <f>EXP(-LN(2)/2)*AB155+(1-EXP(-LN(2)/2))/(LN(2)/2)*V156*Y156*VLOOKUP('Données projet'!$B$9,Paramètres!$A$1:$I$89,3,0)*0.475*44/12</f>
        <v>1.5195714811423397E-10</v>
      </c>
      <c r="AC156" s="22">
        <f t="shared" si="163"/>
        <v>17.849456701731132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-6.7984728957526396E-14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408.84545509668794</v>
      </c>
      <c r="AO156" s="59">
        <f t="shared" si="144"/>
        <v>409.9253979841132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29.817847240197892</v>
      </c>
      <c r="AV156" s="21">
        <f>EXP(-LN(2)/25)*AV155+(1-EXP(-LN(2)/25))/(LN(2)/25)*Calculateur!AQ156*Calculateur!AS156*VLOOKUP('Données projet'!$B$10,Paramètres!$A$1:$I$89,3,0)*0.475*44/12</f>
        <v>5.7863423515547519</v>
      </c>
      <c r="AW156" s="21">
        <f>EXP(-LN(2)/2)*AW155+(1-EXP(-LN(2)/2))/(LN(2)/2)*AQ156*AT156*VLOOKUP('Données projet'!$B$10,Paramètres!$A$1:$I$89,3,0)*0.475*44/12</f>
        <v>9.4333059898496954E-13</v>
      </c>
      <c r="AX156" s="21">
        <f t="shared" si="166"/>
        <v>35.604189591753588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-6.7984728957526396E-14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279.69031306919914</v>
      </c>
      <c r="BJ156" s="59">
        <f t="shared" si="146"/>
        <v>297.01680128882509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27.05245518342722</v>
      </c>
      <c r="BQ156" s="21">
        <f>EXP(-LN(2)/25)*BQ155+(1-EXP(-LN(2)/25))/(LN(2)/25)*Calculateur!BL156*Calculateur!BN156*VLOOKUP('Données projet'!$B$11,Paramètres!$A$1:$I$89,3,0)*0.475*44/12</f>
        <v>6.5634513151060396</v>
      </c>
      <c r="BR156" s="21">
        <f>EXP(-LN(2)/2)*BR155+(1-EXP(-LN(2)/2))/(LN(2)/2)*BL156*BO156*VLOOKUP('Données projet'!$B$11,Paramètres!$A$1:$I$89,3,0)*0.475*44/12</f>
        <v>2.2009170232402837E-12</v>
      </c>
      <c r="BS156" s="22">
        <f t="shared" si="169"/>
        <v>33.615906498535466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81.299024916151723</v>
      </c>
      <c r="CE156" s="59">
        <f t="shared" si="148"/>
        <v>88.106373324240167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8.0014782617455502</v>
      </c>
      <c r="CL156" s="21">
        <f>EXP(-LN(2)/25)*CL155+(1-EXP(-LN(2)/25))/(LN(2)/25)*Calculateur!CG156*Calculateur!CI156*VLOOKUP('Données projet'!$B$12,Paramètres!$A$1:$I$89,3,0)*0.475*44/12</f>
        <v>1.7558034580866895</v>
      </c>
      <c r="CM156" s="21">
        <f>EXP(-LN(2)/2)*CM155+(1-EXP(-LN(2)/2))/(LN(2)/2)*CG156*CJ156*VLOOKUP('Données projet'!$B$12,Paramètres!$A$1:$I$89,3,0)*0.475*44/12</f>
        <v>2.4122227498378719E-13</v>
      </c>
      <c r="CN156" s="22">
        <f t="shared" si="172"/>
        <v>9.7572817198324806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-3.4106051316484809E-13</v>
      </c>
      <c r="CU156" s="17">
        <f>CT156*VLOOKUP('Données projet'!$B$13,Paramètres!$A$1:$I$89,3,0)*VLOOKUP('Données projet'!$B$13,Paramètres!$A$1:$I$89,5,0)</f>
        <v>-1.9065282685915009E-13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475.42482703895411</v>
      </c>
      <c r="CZ156" s="59">
        <f t="shared" si="150"/>
        <v>593.51433014569966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54.658552258531664</v>
      </c>
      <c r="DG156" s="21">
        <f>EXP(-LN(2)/25)*DG155+(1-EXP(-LN(2)/25))/(LN(2)/25)*Calculateur!DB156*Calculateur!DD156*VLOOKUP('Données projet'!$B$13,Paramètres!$A$1:$I$89,3,0)*0.475*44/12</f>
        <v>5.6440274996956603</v>
      </c>
      <c r="DH156" s="21">
        <f>EXP(-LN(2)/2)*DH155+(1-EXP(-LN(2)/2))/(LN(2)/2)*DB156*DE156*VLOOKUP('Données projet'!$B$13,Paramètres!$A$1:$I$89,3,0)*0.475*44/12</f>
        <v>2.7971207679228783E-12</v>
      </c>
      <c r="DI156" s="22">
        <f t="shared" si="175"/>
        <v>60.302579758230124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>
        <f>VLOOKUP(A156,'Données projet'!$A$165:$I$185,2,0)</f>
        <v>481</v>
      </c>
      <c r="DM156" s="12">
        <f>VLOOKUP(A156,'Données projet'!$A$165:$I$185,9,0)</f>
        <v>7.083333333333333</v>
      </c>
      <c r="DN156" s="12">
        <f t="array" ref="DN156">INDEX(DM:DM,MIN(IF(ISNUMBER(DM156:DM352),ROW(DM156:DM352),"")))</f>
        <v>7.083333333333333</v>
      </c>
      <c r="DO156" s="12">
        <f>IF('Données projet'!$A$166&gt;35,DO155+DN156-DW155,IF(A156&lt;'Données projet'!$A$166,$DL$205^A156,IF(A156='Données projet'!$A$166,'Données projet'!$B$166,DO155+DN156-DW155)))</f>
        <v>480.9999999999992</v>
      </c>
      <c r="DP156" s="17">
        <f>DO156*VLOOKUP('Données projet'!$B$14,Paramètres!$A$1:$I$89,3,0)*VLOOKUP('Données projet'!$B$14,Paramètres!$A$1:$I$89,5,0)</f>
        <v>435.20879999999926</v>
      </c>
      <c r="DQ156" s="13">
        <f t="shared" si="176"/>
        <v>98.879286642940571</v>
      </c>
      <c r="DR156" s="20">
        <f t="shared" si="177"/>
        <v>930.20341756978689</v>
      </c>
      <c r="DS156" s="59">
        <f t="shared" si="125"/>
        <v>1223.5367509031203</v>
      </c>
      <c r="DT156" s="59">
        <f ca="1">AVERAGE(OFFSET($DS$3,0,0,'Données projet'!$E$14+1,1))-AVERAGE(OFFSET($H$3,0,0,'Données projet'!$E$14+1,1))</f>
        <v>401.17301323870578</v>
      </c>
      <c r="DU156" s="59">
        <f t="shared" si="152"/>
        <v>201.57993789149754</v>
      </c>
      <c r="DV156" s="15" t="str">
        <f>IF(ISNA(VLOOKUP(A156,'Données projet'!$A$165:$I$185,3,0)),0,VLOOKUP(A156,'Données projet'!$A$165:$I$185,3,0))</f>
        <v>CR</v>
      </c>
      <c r="DW156" s="15">
        <f>IF(ISNA(VLOOKUP(A156,'Données projet'!$A$165:$I$185,4,0)),0,VLOOKUP(A156,'Données projet'!$A$165:$I$185,4,0))</f>
        <v>481</v>
      </c>
      <c r="DX156" s="16">
        <f>IF(ISNA(VLOOKUP(A156,'Données projet'!$A$165:$I$185,5,0)),0%,VLOOKUP(A156,'Données projet'!$A$165:$I$185,5,0)*VLOOKUP('Données projet'!$B$14,Paramètres!$A$1:$I$89,7,0))</f>
        <v>0.30099999999999999</v>
      </c>
      <c r="DY156" s="16">
        <f>IF(ISNA(VLOOKUP(A156,'Données projet'!$A$165:$I$185,6,0)),0%,VLOOKUP(A156,'Données projet'!$A$165:$I$185,6,0)*VLOOKUP('Données projet'!$B$14,Paramètres!$A$1:$I$89,7,0))</f>
        <v>4.3000000000000003E-2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186.13379687777106</v>
      </c>
      <c r="EB156" s="21">
        <f>EXP(-LN(2)/25)*EB155+(1-EXP(-LN(2)/25))/(LN(2)/25)*Calculateur!DW156*Calculateur!DY156*VLOOKUP('Données projet'!$B$14,Paramètres!$A$1:$I$89,3,0)*0.475*44/12</f>
        <v>31.670533780658815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217.80433065842988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1.7053025658242404E-13</v>
      </c>
      <c r="EK156" s="17">
        <f>EJ156*VLOOKUP('Données projet'!$B$15,Paramètres!$A$1:$I$89,3,0)*VLOOKUP('Données projet'!$B$15,Paramètres!$A$1:$I$89,5,0)</f>
        <v>1.4897523215040567E-13</v>
      </c>
      <c r="EL156" s="13">
        <f t="shared" si="179"/>
        <v>2.136562777003313E-12</v>
      </c>
      <c r="EM156" s="20">
        <f t="shared" si="180"/>
        <v>3.9806453659427267E-12</v>
      </c>
      <c r="EN156" s="59">
        <f t="shared" si="128"/>
        <v>293.33333333333729</v>
      </c>
      <c r="EO156" s="59">
        <f ca="1">AVERAGE(OFFSET($EN$3,0,0,'Données projet'!$E$15+1,1))-AVERAGE(OFFSET($H$3,0,0,'Données projet'!$E$15+1,1))</f>
        <v>237.8483058552178</v>
      </c>
      <c r="EP156" s="59">
        <f t="shared" si="154"/>
        <v>313.36201272119723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15.724019408246901</v>
      </c>
      <c r="EW156" s="21">
        <f>EXP(-LN(2)/25)*EW155+(1-EXP(-LN(2)/25))/(LN(2)/25)*Calculateur!ER156*Calculateur!ET156*VLOOKUP('Données projet'!$B$15,Paramètres!$A$1:$I$89,3,0)*0.475*44/12</f>
        <v>0.53116386826849504</v>
      </c>
      <c r="EX156" s="21">
        <f>EXP(-LN(2)/2)*EX155+(1-EXP(-LN(2)/2))/(LN(2)/2)*ER156*EU156*VLOOKUP('Données projet'!$B$15,Paramètres!$A$1:$I$89,3,0)*0.475*44/12</f>
        <v>1.3245043610889165E-11</v>
      </c>
      <c r="EY156" s="22">
        <f t="shared" si="181"/>
        <v>16.255183276528641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-2.8421709430404007E-13</v>
      </c>
      <c r="FF156" s="17">
        <f>FE156*VLOOKUP('Données projet'!$B$16,Paramètres!$A$1:$I$89,3,0)*VLOOKUP('Données projet'!$B$16,Paramètres!$A$1:$I$89,5,0)</f>
        <v>-2.2168933355715128E-13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318.52984981739411</v>
      </c>
      <c r="FK156" s="59">
        <f t="shared" si="156"/>
        <v>311.56398336941714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27.925421616661367</v>
      </c>
      <c r="FR156" s="21">
        <f>EXP(-LN(2)/25)*FR155+(1-EXP(-LN(2)/25))/(LN(2)/25)*Calculateur!FM156*Calculateur!FO156*VLOOKUP('Données projet'!$B$16,Paramètres!$A$1:$I$89,3,0)*0.475*44/12</f>
        <v>0.53026555237483131</v>
      </c>
      <c r="FS156" s="21">
        <f>EXP(-LN(2)/2)*FS155+(1-EXP(-LN(2)/2))/(LN(2)/2)*FM156*FP156*VLOOKUP('Données projet'!$B$16,Paramètres!$A$1:$I$89,3,0)*0.475*44/12</f>
        <v>5.8166799871436074E-10</v>
      </c>
      <c r="FT156" s="22">
        <f t="shared" si="184"/>
        <v>28.455687169617867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-2.8421709430404007E-13</v>
      </c>
      <c r="GA156" s="17">
        <f>FZ156*VLOOKUP('Données projet'!$B$17,Paramètres!$A$1:$I$89,3,0)*VLOOKUP('Données projet'!$B$17,Paramètres!$A$1:$I$89,5,0)</f>
        <v>-2.2612312022829427E-13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325.72928944930294</v>
      </c>
      <c r="GF156" s="59">
        <f t="shared" si="158"/>
        <v>318.38876834819752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35.108099827830578</v>
      </c>
      <c r="GM156" s="21">
        <f>EXP(-LN(2)/25)*GM155+(1-EXP(-LN(2)/25))/(LN(2)/25)*Calculateur!GH156*Calculateur!GJ156*VLOOKUP('Données projet'!$B$17,Paramètres!$A$1:$I$89,3,0)*0.475*44/12</f>
        <v>0.66665478514845045</v>
      </c>
      <c r="GN156" s="21">
        <f>EXP(-LN(2)/2)*GN155+(1-EXP(-LN(2)/2))/(LN(2)/2)*GH156*GK156*VLOOKUP('Données projet'!$B$17,Paramètres!$A$1:$I$89,3,0)*0.475*44/12</f>
        <v>5.9330135868864707E-10</v>
      </c>
      <c r="GO156" s="21">
        <f t="shared" si="187"/>
        <v>35.774754613572334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-2.8421709430404007E-13</v>
      </c>
      <c r="GV156" s="17">
        <f>GU156*VLOOKUP('Données projet'!$B$18,Paramètres!$A$1:$I$89,3,0)*VLOOKUP('Données projet'!$B$18,Paramètres!$A$1:$I$89,5,0)</f>
        <v>-1.9065282685915009E-13</v>
      </c>
      <c r="GW156" s="13" t="e">
        <f t="shared" si="188"/>
        <v>#NUM!</v>
      </c>
      <c r="GX156" s="20" t="e">
        <f t="shared" si="189"/>
        <v>#NUM!</v>
      </c>
      <c r="GY156" s="59" t="e">
        <f t="shared" si="137"/>
        <v>#NUM!</v>
      </c>
      <c r="GZ156" s="59">
        <f ca="1">AVERAGE(OFFSET($GY$3,0,0,'Données projet'!$E$18+1,1))-AVERAGE(OFFSET($H$3,0,0,'Données projet'!$E$18+1,1))</f>
        <v>268.04554291387961</v>
      </c>
      <c r="HA156" s="59">
        <f t="shared" si="160"/>
        <v>263.70463099437148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29.600946913661037</v>
      </c>
      <c r="HH156" s="21">
        <f>EXP(-LN(2)/25)*HH155+(1-EXP(-LN(2)/25))/(LN(2)/25)*Calculateur!HC156*Calculateur!HE156*VLOOKUP('Données projet'!$B$18,Paramètres!$A$1:$I$89,3,0)*0.475*44/12</f>
        <v>0.5620814855173224</v>
      </c>
      <c r="HI156" s="21">
        <f>EXP(-LN(2)/2)*HI155+(1-EXP(-LN(2)/2))/(LN(2)/2)*HC156*HF156*VLOOKUP('Données projet'!$B$18,Paramètres!$A$1:$I$89,3,0)*0.475*44/12</f>
        <v>5.0023447889434949E-10</v>
      </c>
      <c r="HJ156" s="22">
        <f t="shared" si="190"/>
        <v>30.163028399678591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-2.5124791136477146E-14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46.095319339746538</v>
      </c>
      <c r="T157" s="59">
        <f t="shared" si="142"/>
        <v>48.158174304064403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13.950100099308825</v>
      </c>
      <c r="AA157" s="21">
        <f>EXP(-LN(2)/25)*AA156+(1-EXP(-LN(2)/25))/(LN(2)/25)*Calculateur!V157*Calculateur!X157*VLOOKUP('Données projet'!$B$9,Paramètres!$A$1:$I$89,3,0)*0.475*44/12</f>
        <v>3.5213339757062201</v>
      </c>
      <c r="AB157" s="21">
        <f>EXP(-LN(2)/2)*AB156+(1-EXP(-LN(2)/2))/(LN(2)/2)*V157*Y157*VLOOKUP('Données projet'!$B$9,Paramètres!$A$1:$I$89,3,0)*0.475*44/12</f>
        <v>1.0744992988134344E-10</v>
      </c>
      <c r="AC157" s="22">
        <f t="shared" si="163"/>
        <v>17.471434075122495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-6.7984728957526396E-14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408.84545509668794</v>
      </c>
      <c r="AO157" s="59">
        <f t="shared" si="144"/>
        <v>409.9253979841132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29.233137442908603</v>
      </c>
      <c r="AV157" s="21">
        <f>EXP(-LN(2)/25)*AV156+(1-EXP(-LN(2)/25))/(LN(2)/25)*Calculateur!AQ157*Calculateur!AS157*VLOOKUP('Données projet'!$B$10,Paramètres!$A$1:$I$89,3,0)*0.475*44/12</f>
        <v>5.6281145156609673</v>
      </c>
      <c r="AW157" s="21">
        <f>EXP(-LN(2)/2)*AW156+(1-EXP(-LN(2)/2))/(LN(2)/2)*AQ157*AT157*VLOOKUP('Données projet'!$B$10,Paramètres!$A$1:$I$89,3,0)*0.475*44/12</f>
        <v>6.6703546344303968E-13</v>
      </c>
      <c r="AX157" s="21">
        <f t="shared" si="166"/>
        <v>34.861251958570236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-6.7984728957526396E-14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279.69031306919914</v>
      </c>
      <c r="BJ157" s="59">
        <f t="shared" si="146"/>
        <v>297.01680128882509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26.5219730376486</v>
      </c>
      <c r="BQ157" s="21">
        <f>EXP(-LN(2)/25)*BQ156+(1-EXP(-LN(2)/25))/(LN(2)/25)*Calculateur!BL157*Calculateur!BN157*VLOOKUP('Données projet'!$B$11,Paramètres!$A$1:$I$89,3,0)*0.475*44/12</f>
        <v>6.3839733937375609</v>
      </c>
      <c r="BR157" s="21">
        <f>EXP(-LN(2)/2)*BR156+(1-EXP(-LN(2)/2))/(LN(2)/2)*BL157*BO157*VLOOKUP('Données projet'!$B$11,Paramètres!$A$1:$I$89,3,0)*0.475*44/12</f>
        <v>1.5562833519621148E-12</v>
      </c>
      <c r="BS157" s="22">
        <f t="shared" si="169"/>
        <v>32.905946431387719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81.299024916151723</v>
      </c>
      <c r="CE157" s="59">
        <f t="shared" si="148"/>
        <v>88.106373324240167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7.8445741534525579</v>
      </c>
      <c r="CL157" s="21">
        <f>EXP(-LN(2)/25)*CL156+(1-EXP(-LN(2)/25))/(LN(2)/25)*Calculateur!CG157*Calculateur!CI157*VLOOKUP('Données projet'!$B$12,Paramètres!$A$1:$I$89,3,0)*0.475*44/12</f>
        <v>1.7077909201916179</v>
      </c>
      <c r="CM157" s="21">
        <f>EXP(-LN(2)/2)*CM156+(1-EXP(-LN(2)/2))/(LN(2)/2)*CG157*CJ157*VLOOKUP('Données projet'!$B$12,Paramètres!$A$1:$I$89,3,0)*0.475*44/12</f>
        <v>1.7056990641428201E-13</v>
      </c>
      <c r="CN157" s="22">
        <f t="shared" si="172"/>
        <v>9.5523650736443457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-3.4106051316484809E-13</v>
      </c>
      <c r="CU157" s="17">
        <f>CT157*VLOOKUP('Données projet'!$B$13,Paramètres!$A$1:$I$89,3,0)*VLOOKUP('Données projet'!$B$13,Paramètres!$A$1:$I$89,5,0)</f>
        <v>-1.9065282685915009E-13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475.42482703895411</v>
      </c>
      <c r="CZ157" s="59">
        <f t="shared" si="150"/>
        <v>593.51433014569966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53.586731387166843</v>
      </c>
      <c r="DG157" s="21">
        <f>EXP(-LN(2)/25)*DG156+(1-EXP(-LN(2)/25))/(LN(2)/25)*Calculateur!DB157*Calculateur!DD157*VLOOKUP('Données projet'!$B$13,Paramètres!$A$1:$I$89,3,0)*0.475*44/12</f>
        <v>5.4896912709099759</v>
      </c>
      <c r="DH157" s="21">
        <f>EXP(-LN(2)/2)*DH156+(1-EXP(-LN(2)/2))/(LN(2)/2)*DB157*DE157*VLOOKUP('Données projet'!$B$13,Paramètres!$A$1:$I$89,3,0)*0.475*44/12</f>
        <v>1.9778630627959905E-12</v>
      </c>
      <c r="DI157" s="22">
        <f t="shared" si="175"/>
        <v>59.076422658078798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-7.9580786405131221E-13</v>
      </c>
      <c r="DP157" s="17">
        <f>DO157*VLOOKUP('Données projet'!$B$14,Paramètres!$A$1:$I$89,3,0)*VLOOKUP('Données projet'!$B$14,Paramètres!$A$1:$I$89,5,0)</f>
        <v>-7.2004695539362725E-13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401.17301323870578</v>
      </c>
      <c r="DU157" s="59">
        <f t="shared" si="152"/>
        <v>201.57993789149754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182.48382665140386</v>
      </c>
      <c r="EB157" s="21">
        <f>EXP(-LN(2)/25)*EB156+(1-EXP(-LN(2)/25))/(LN(2)/25)*Calculateur!DW157*Calculateur!DY157*VLOOKUP('Données projet'!$B$14,Paramètres!$A$1:$I$89,3,0)*0.475*44/12</f>
        <v>30.804501368945711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213.28832802034958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1.7053025658242404E-13</v>
      </c>
      <c r="EK157" s="17">
        <f>EJ157*VLOOKUP('Données projet'!$B$15,Paramètres!$A$1:$I$89,3,0)*VLOOKUP('Données projet'!$B$15,Paramètres!$A$1:$I$89,5,0)</f>
        <v>1.4897523215040567E-13</v>
      </c>
      <c r="EL157" s="13">
        <f t="shared" si="179"/>
        <v>2.136562777003313E-12</v>
      </c>
      <c r="EM157" s="20">
        <f t="shared" si="180"/>
        <v>3.9806453659427267E-12</v>
      </c>
      <c r="EN157" s="59">
        <f t="shared" si="128"/>
        <v>293.33333333333729</v>
      </c>
      <c r="EO157" s="59">
        <f ca="1">AVERAGE(OFFSET($EN$3,0,0,'Données projet'!$E$15+1,1))-AVERAGE(OFFSET($H$3,0,0,'Données projet'!$E$15+1,1))</f>
        <v>237.8483058552178</v>
      </c>
      <c r="EP157" s="59">
        <f t="shared" si="154"/>
        <v>313.36201272119723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15.415680978356015</v>
      </c>
      <c r="EW157" s="21">
        <f>EXP(-LN(2)/25)*EW156+(1-EXP(-LN(2)/25))/(LN(2)/25)*Calculateur!ER157*Calculateur!ET157*VLOOKUP('Données projet'!$B$15,Paramètres!$A$1:$I$89,3,0)*0.475*44/12</f>
        <v>0.51663916435799917</v>
      </c>
      <c r="EX157" s="21">
        <f>EXP(-LN(2)/2)*EX156+(1-EXP(-LN(2)/2))/(LN(2)/2)*ER157*EU157*VLOOKUP('Données projet'!$B$15,Paramètres!$A$1:$I$89,3,0)*0.475*44/12</f>
        <v>9.365660154371284E-12</v>
      </c>
      <c r="EY157" s="22">
        <f t="shared" si="181"/>
        <v>15.932320142723379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-2.8421709430404007E-13</v>
      </c>
      <c r="FF157" s="17">
        <f>FE157*VLOOKUP('Données projet'!$B$16,Paramètres!$A$1:$I$89,3,0)*VLOOKUP('Données projet'!$B$16,Paramètres!$A$1:$I$89,5,0)</f>
        <v>-2.2168933355715128E-13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318.52984981739411</v>
      </c>
      <c r="FK157" s="59">
        <f t="shared" si="156"/>
        <v>311.56398336941714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27.377821131583971</v>
      </c>
      <c r="FR157" s="21">
        <f>EXP(-LN(2)/25)*FR156+(1-EXP(-LN(2)/25))/(LN(2)/25)*Calculateur!FM157*Calculateur!FO157*VLOOKUP('Données projet'!$B$16,Paramètres!$A$1:$I$89,3,0)*0.475*44/12</f>
        <v>0.51576541295968803</v>
      </c>
      <c r="FS157" s="21">
        <f>EXP(-LN(2)/2)*FS156+(1-EXP(-LN(2)/2))/(LN(2)/2)*FM157*FP157*VLOOKUP('Données projet'!$B$16,Paramètres!$A$1:$I$89,3,0)*0.475*44/12</f>
        <v>4.1130138629013249E-10</v>
      </c>
      <c r="FT157" s="22">
        <f t="shared" si="184"/>
        <v>27.89358654495496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-2.8421709430404007E-13</v>
      </c>
      <c r="GA157" s="17">
        <f>FZ157*VLOOKUP('Données projet'!$B$17,Paramètres!$A$1:$I$89,3,0)*VLOOKUP('Données projet'!$B$17,Paramètres!$A$1:$I$89,5,0)</f>
        <v>-2.2612312022829427E-13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325.72928944930294</v>
      </c>
      <c r="GF157" s="59">
        <f t="shared" si="158"/>
        <v>318.38876834819752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34.419651404033274</v>
      </c>
      <c r="GM157" s="21">
        <f>EXP(-LN(2)/25)*GM156+(1-EXP(-LN(2)/25))/(LN(2)/25)*Calculateur!GH157*Calculateur!GJ157*VLOOKUP('Données projet'!$B$17,Paramètres!$A$1:$I$89,3,0)*0.475*44/12</f>
        <v>0.64842507499071456</v>
      </c>
      <c r="GN157" s="21">
        <f>EXP(-LN(2)/2)*GN156+(1-EXP(-LN(2)/2))/(LN(2)/2)*GH157*GK157*VLOOKUP('Données projet'!$B$17,Paramètres!$A$1:$I$89,3,0)*0.475*44/12</f>
        <v>4.1952741401593451E-10</v>
      </c>
      <c r="GO157" s="21">
        <f t="shared" si="187"/>
        <v>35.068076479443512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-2.8421709430404007E-13</v>
      </c>
      <c r="GV157" s="17">
        <f>GU157*VLOOKUP('Données projet'!$B$18,Paramètres!$A$1:$I$89,3,0)*VLOOKUP('Données projet'!$B$18,Paramètres!$A$1:$I$89,5,0)</f>
        <v>-1.9065282685915009E-13</v>
      </c>
      <c r="GW157" s="13" t="e">
        <f t="shared" si="188"/>
        <v>#NUM!</v>
      </c>
      <c r="GX157" s="20" t="e">
        <f t="shared" si="189"/>
        <v>#NUM!</v>
      </c>
      <c r="GY157" s="59" t="e">
        <f t="shared" si="137"/>
        <v>#NUM!</v>
      </c>
      <c r="GZ157" s="59">
        <f ca="1">AVERAGE(OFFSET($GY$3,0,0,'Données projet'!$E$18+1,1))-AVERAGE(OFFSET($H$3,0,0,'Données projet'!$E$18+1,1))</f>
        <v>268.04554291387961</v>
      </c>
      <c r="HA157" s="59">
        <f t="shared" si="160"/>
        <v>263.70463099437148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29.020490399478998</v>
      </c>
      <c r="HH157" s="21">
        <f>EXP(-LN(2)/25)*HH156+(1-EXP(-LN(2)/25))/(LN(2)/25)*Calculateur!HC157*Calculateur!HE157*VLOOKUP('Données projet'!$B$18,Paramètres!$A$1:$I$89,3,0)*0.475*44/12</f>
        <v>0.54671133773727054</v>
      </c>
      <c r="HI157" s="21">
        <f>EXP(-LN(2)/2)*HI156+(1-EXP(-LN(2)/2))/(LN(2)/2)*HC157*HF157*VLOOKUP('Données projet'!$B$18,Paramètres!$A$1:$I$89,3,0)*0.475*44/12</f>
        <v>3.5371919220951342E-10</v>
      </c>
      <c r="HJ157" s="22">
        <f t="shared" si="190"/>
        <v>29.567201737569988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-2.5124791136477146E-14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46.095319339746538</v>
      </c>
      <c r="T158" s="59">
        <f t="shared" si="142"/>
        <v>48.158174304064403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13.676547145082273</v>
      </c>
      <c r="AA158" s="21">
        <f>EXP(-LN(2)/25)*AA157+(1-EXP(-LN(2)/25))/(LN(2)/25)*Calculateur!V158*Calculateur!X158*VLOOKUP('Données projet'!$B$9,Paramètres!$A$1:$I$89,3,0)*0.475*44/12</f>
        <v>3.425042912961628</v>
      </c>
      <c r="AB158" s="21">
        <f>EXP(-LN(2)/2)*AB157+(1-EXP(-LN(2)/2))/(LN(2)/2)*V158*Y158*VLOOKUP('Données projet'!$B$9,Paramètres!$A$1:$I$89,3,0)*0.475*44/12</f>
        <v>7.5978574057116986E-11</v>
      </c>
      <c r="AC158" s="22">
        <f t="shared" si="163"/>
        <v>17.101590058119879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-6.7984728957526396E-14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408.84545509668794</v>
      </c>
      <c r="AO158" s="59">
        <f t="shared" si="144"/>
        <v>409.9253979841132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28.659893448106395</v>
      </c>
      <c r="AV158" s="21">
        <f>EXP(-LN(2)/25)*AV157+(1-EXP(-LN(2)/25))/(LN(2)/25)*Calculateur!AQ158*Calculateur!AS158*VLOOKUP('Données projet'!$B$10,Paramètres!$A$1:$I$89,3,0)*0.475*44/12</f>
        <v>5.4742134282605388</v>
      </c>
      <c r="AW158" s="21">
        <f>EXP(-LN(2)/2)*AW157+(1-EXP(-LN(2)/2))/(LN(2)/2)*AQ158*AT158*VLOOKUP('Données projet'!$B$10,Paramètres!$A$1:$I$89,3,0)*0.475*44/12</f>
        <v>4.7166529949248477E-13</v>
      </c>
      <c r="AX158" s="21">
        <f t="shared" si="166"/>
        <v>34.134106876367404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-6.7984728957526396E-14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279.69031306919914</v>
      </c>
      <c r="BJ158" s="59">
        <f t="shared" si="146"/>
        <v>297.01680128882509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26.001893323186536</v>
      </c>
      <c r="BQ158" s="21">
        <f>EXP(-LN(2)/25)*BQ157+(1-EXP(-LN(2)/25))/(LN(2)/25)*Calculateur!BL158*Calculateur!BN158*VLOOKUP('Données projet'!$B$11,Paramètres!$A$1:$I$89,3,0)*0.475*44/12</f>
        <v>6.2094033055672373</v>
      </c>
      <c r="BR158" s="21">
        <f>EXP(-LN(2)/2)*BR157+(1-EXP(-LN(2)/2))/(LN(2)/2)*BL158*BO158*VLOOKUP('Données projet'!$B$11,Paramètres!$A$1:$I$89,3,0)*0.475*44/12</f>
        <v>1.1004585116201418E-12</v>
      </c>
      <c r="BS158" s="22">
        <f t="shared" si="169"/>
        <v>32.211296628754873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81.299024916151723</v>
      </c>
      <c r="CE158" s="59">
        <f t="shared" si="148"/>
        <v>88.106373324240167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7.6907468390211351</v>
      </c>
      <c r="CL158" s="21">
        <f>EXP(-LN(2)/25)*CL157+(1-EXP(-LN(2)/25))/(LN(2)/25)*Calculateur!CG158*Calculateur!CI158*VLOOKUP('Données projet'!$B$12,Paramètres!$A$1:$I$89,3,0)*0.475*44/12</f>
        <v>1.6610912876701569</v>
      </c>
      <c r="CM158" s="21">
        <f>EXP(-LN(2)/2)*CM157+(1-EXP(-LN(2)/2))/(LN(2)/2)*CG158*CJ158*VLOOKUP('Données projet'!$B$12,Paramètres!$A$1:$I$89,3,0)*0.475*44/12</f>
        <v>1.2061113749189359E-13</v>
      </c>
      <c r="CN158" s="22">
        <f t="shared" si="172"/>
        <v>9.3518381266914119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-3.4106051316484809E-13</v>
      </c>
      <c r="CU158" s="17">
        <f>CT158*VLOOKUP('Données projet'!$B$13,Paramètres!$A$1:$I$89,3,0)*VLOOKUP('Données projet'!$B$13,Paramètres!$A$1:$I$89,5,0)</f>
        <v>-1.9065282685915009E-13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475.42482703895411</v>
      </c>
      <c r="CZ158" s="59">
        <f t="shared" si="150"/>
        <v>593.51433014569966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52.535928269343302</v>
      </c>
      <c r="DG158" s="21">
        <f>EXP(-LN(2)/25)*DG157+(1-EXP(-LN(2)/25))/(LN(2)/25)*Calculateur!DB158*Calculateur!DD158*VLOOKUP('Données projet'!$B$13,Paramètres!$A$1:$I$89,3,0)*0.475*44/12</f>
        <v>5.3395753744166257</v>
      </c>
      <c r="DH158" s="21">
        <f>EXP(-LN(2)/2)*DH157+(1-EXP(-LN(2)/2))/(LN(2)/2)*DB158*DE158*VLOOKUP('Données projet'!$B$13,Paramètres!$A$1:$I$89,3,0)*0.475*44/12</f>
        <v>1.3985603839614391E-12</v>
      </c>
      <c r="DI158" s="22">
        <f t="shared" si="175"/>
        <v>57.875503643761327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-7.9580786405131221E-13</v>
      </c>
      <c r="DP158" s="17">
        <f>DO158*VLOOKUP('Données projet'!$B$14,Paramètres!$A$1:$I$89,3,0)*VLOOKUP('Données projet'!$B$14,Paramètres!$A$1:$I$89,5,0)</f>
        <v>-7.2004695539362725E-13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401.17301323870578</v>
      </c>
      <c r="DU158" s="59">
        <f t="shared" si="152"/>
        <v>201.57993789149754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178.90543011491371</v>
      </c>
      <c r="EB158" s="21">
        <f>EXP(-LN(2)/25)*EB157+(1-EXP(-LN(2)/25))/(LN(2)/25)*Calculateur!DW158*Calculateur!DY158*VLOOKUP('Données projet'!$B$14,Paramètres!$A$1:$I$89,3,0)*0.475*44/12</f>
        <v>29.962150659073568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208.86758077398727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1.7053025658242404E-13</v>
      </c>
      <c r="EK158" s="17">
        <f>EJ158*VLOOKUP('Données projet'!$B$15,Paramètres!$A$1:$I$89,3,0)*VLOOKUP('Données projet'!$B$15,Paramètres!$A$1:$I$89,5,0)</f>
        <v>1.4897523215040567E-13</v>
      </c>
      <c r="EL158" s="13">
        <f t="shared" si="179"/>
        <v>2.136562777003313E-12</v>
      </c>
      <c r="EM158" s="20">
        <f t="shared" si="180"/>
        <v>3.9806453659427267E-12</v>
      </c>
      <c r="EN158" s="59">
        <f t="shared" si="128"/>
        <v>293.33333333333729</v>
      </c>
      <c r="EO158" s="59">
        <f ca="1">AVERAGE(OFFSET($EN$3,0,0,'Données projet'!$E$15+1,1))-AVERAGE(OFFSET($H$3,0,0,'Données projet'!$E$15+1,1))</f>
        <v>237.8483058552178</v>
      </c>
      <c r="EP158" s="59">
        <f t="shared" si="154"/>
        <v>313.36201272119723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15.113388877007417</v>
      </c>
      <c r="EW158" s="21">
        <f>EXP(-LN(2)/25)*EW157+(1-EXP(-LN(2)/25))/(LN(2)/25)*Calculateur!ER158*Calculateur!ET158*VLOOKUP('Données projet'!$B$15,Paramètres!$A$1:$I$89,3,0)*0.475*44/12</f>
        <v>0.50251163923975684</v>
      </c>
      <c r="EX158" s="21">
        <f>EXP(-LN(2)/2)*EX157+(1-EXP(-LN(2)/2))/(LN(2)/2)*ER158*EU158*VLOOKUP('Données projet'!$B$15,Paramètres!$A$1:$I$89,3,0)*0.475*44/12</f>
        <v>6.6225218054445825E-12</v>
      </c>
      <c r="EY158" s="22">
        <f t="shared" si="181"/>
        <v>15.615900516253795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-2.8421709430404007E-13</v>
      </c>
      <c r="FF158" s="17">
        <f>FE158*VLOOKUP('Données projet'!$B$16,Paramètres!$A$1:$I$89,3,0)*VLOOKUP('Données projet'!$B$16,Paramètres!$A$1:$I$89,5,0)</f>
        <v>-2.2168933355715128E-13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318.52984981739411</v>
      </c>
      <c r="FK158" s="59">
        <f t="shared" si="156"/>
        <v>311.56398336941714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26.840958758015628</v>
      </c>
      <c r="FR158" s="21">
        <f>EXP(-LN(2)/25)*FR157+(1-EXP(-LN(2)/25))/(LN(2)/25)*Calculateur!FM158*Calculateur!FO158*VLOOKUP('Données projet'!$B$16,Paramètres!$A$1:$I$89,3,0)*0.475*44/12</f>
        <v>0.50166178061938105</v>
      </c>
      <c r="FS158" s="21">
        <f>EXP(-LN(2)/2)*FS157+(1-EXP(-LN(2)/2))/(LN(2)/2)*FM158*FP158*VLOOKUP('Données projet'!$B$16,Paramètres!$A$1:$I$89,3,0)*0.475*44/12</f>
        <v>2.9083399935718037E-10</v>
      </c>
      <c r="FT158" s="22">
        <f t="shared" si="184"/>
        <v>27.342620538925843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-2.8421709430404007E-13</v>
      </c>
      <c r="GA158" s="17">
        <f>FZ158*VLOOKUP('Données projet'!$B$17,Paramètres!$A$1:$I$89,3,0)*VLOOKUP('Données projet'!$B$17,Paramètres!$A$1:$I$89,5,0)</f>
        <v>-2.2612312022829427E-13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325.72928944930294</v>
      </c>
      <c r="GF158" s="59">
        <f t="shared" si="158"/>
        <v>318.38876834819752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33.744703033914561</v>
      </c>
      <c r="GM158" s="21">
        <f>EXP(-LN(2)/25)*GM157+(1-EXP(-LN(2)/25))/(LN(2)/25)*Calculateur!GH158*Calculateur!GJ158*VLOOKUP('Données projet'!$B$17,Paramètres!$A$1:$I$89,3,0)*0.475*44/12</f>
        <v>0.63069385721590077</v>
      </c>
      <c r="GN158" s="21">
        <f>EXP(-LN(2)/2)*GN157+(1-EXP(-LN(2)/2))/(LN(2)/2)*GH158*GK158*VLOOKUP('Données projet'!$B$17,Paramètres!$A$1:$I$89,3,0)*0.475*44/12</f>
        <v>2.9665067934432354E-10</v>
      </c>
      <c r="GO158" s="21">
        <f t="shared" si="187"/>
        <v>34.375396891427116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-2.8421709430404007E-13</v>
      </c>
      <c r="GV158" s="17">
        <f>GU158*VLOOKUP('Données projet'!$B$18,Paramètres!$A$1:$I$89,3,0)*VLOOKUP('Données projet'!$B$18,Paramètres!$A$1:$I$89,5,0)</f>
        <v>-1.9065282685915009E-13</v>
      </c>
      <c r="GW158" s="13" t="e">
        <f t="shared" si="188"/>
        <v>#NUM!</v>
      </c>
      <c r="GX158" s="20" t="e">
        <f t="shared" si="189"/>
        <v>#NUM!</v>
      </c>
      <c r="GY158" s="59" t="e">
        <f t="shared" si="137"/>
        <v>#NUM!</v>
      </c>
      <c r="GZ158" s="59">
        <f ca="1">AVERAGE(OFFSET($GY$3,0,0,'Données projet'!$E$18+1,1))-AVERAGE(OFFSET($H$3,0,0,'Données projet'!$E$18+1,1))</f>
        <v>268.04554291387961</v>
      </c>
      <c r="HA158" s="59">
        <f t="shared" si="160"/>
        <v>263.70463099437148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28.451416283496556</v>
      </c>
      <c r="HH158" s="21">
        <f>EXP(-LN(2)/25)*HH157+(1-EXP(-LN(2)/25))/(LN(2)/25)*Calculateur!HC158*Calculateur!HE158*VLOOKUP('Données projet'!$B$18,Paramètres!$A$1:$I$89,3,0)*0.475*44/12</f>
        <v>0.53176148745654517</v>
      </c>
      <c r="HI158" s="21">
        <f>EXP(-LN(2)/2)*HI157+(1-EXP(-LN(2)/2))/(LN(2)/2)*HC158*HF158*VLOOKUP('Données projet'!$B$18,Paramètres!$A$1:$I$89,3,0)*0.475*44/12</f>
        <v>2.5011723944717474E-10</v>
      </c>
      <c r="HJ158" s="22">
        <f t="shared" si="190"/>
        <v>28.98317777120322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-2.5124791136477146E-14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46.095319339746538</v>
      </c>
      <c r="T159" s="59">
        <f t="shared" si="142"/>
        <v>48.158174304064403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13.408358397437276</v>
      </c>
      <c r="AA159" s="21">
        <f>EXP(-LN(2)/25)*AA158+(1-EXP(-LN(2)/25))/(LN(2)/25)*Calculateur!V159*Calculateur!X159*VLOOKUP('Données projet'!$B$9,Paramètres!$A$1:$I$89,3,0)*0.475*44/12</f>
        <v>3.3313849343915134</v>
      </c>
      <c r="AB159" s="21">
        <f>EXP(-LN(2)/2)*AB158+(1-EXP(-LN(2)/2))/(LN(2)/2)*V159*Y159*VLOOKUP('Données projet'!$B$9,Paramètres!$A$1:$I$89,3,0)*0.475*44/12</f>
        <v>5.3724964940671718E-11</v>
      </c>
      <c r="AC159" s="22">
        <f t="shared" si="163"/>
        <v>16.739743331882515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-6.7984728957526396E-14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408.84545509668794</v>
      </c>
      <c r="AO159" s="59">
        <f t="shared" si="144"/>
        <v>409.9253979841132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28.097890418397945</v>
      </c>
      <c r="AV159" s="21">
        <f>EXP(-LN(2)/25)*AV158+(1-EXP(-LN(2)/25))/(LN(2)/25)*Calculateur!AQ159*Calculateur!AS159*VLOOKUP('Données projet'!$B$10,Paramètres!$A$1:$I$89,3,0)*0.475*44/12</f>
        <v>5.3245207741883815</v>
      </c>
      <c r="AW159" s="21">
        <f>EXP(-LN(2)/2)*AW158+(1-EXP(-LN(2)/2))/(LN(2)/2)*AQ159*AT159*VLOOKUP('Données projet'!$B$10,Paramètres!$A$1:$I$89,3,0)*0.475*44/12</f>
        <v>3.3351773172151984E-13</v>
      </c>
      <c r="AX159" s="21">
        <f t="shared" si="166"/>
        <v>33.422411192586658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-6.7984728957526396E-14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279.69031306919914</v>
      </c>
      <c r="BJ159" s="59">
        <f t="shared" si="146"/>
        <v>297.01680128882509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25.492012054707772</v>
      </c>
      <c r="BQ159" s="21">
        <f>EXP(-LN(2)/25)*BQ158+(1-EXP(-LN(2)/25))/(LN(2)/25)*Calculateur!BL159*Calculateur!BN159*VLOOKUP('Données projet'!$B$11,Paramètres!$A$1:$I$89,3,0)*0.475*44/12</f>
        <v>6.0396068456381728</v>
      </c>
      <c r="BR159" s="21">
        <f>EXP(-LN(2)/2)*BR158+(1-EXP(-LN(2)/2))/(LN(2)/2)*BL159*BO159*VLOOKUP('Données projet'!$B$11,Paramètres!$A$1:$I$89,3,0)*0.475*44/12</f>
        <v>7.7814167598105742E-13</v>
      </c>
      <c r="BS159" s="22">
        <f t="shared" si="169"/>
        <v>31.531618900346722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81.299024916151723</v>
      </c>
      <c r="CE159" s="59">
        <f t="shared" si="148"/>
        <v>88.106373324240167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7.5399359844003149</v>
      </c>
      <c r="CL159" s="21">
        <f>EXP(-LN(2)/25)*CL158+(1-EXP(-LN(2)/25))/(LN(2)/25)*Calculateur!CG159*Calculateur!CI159*VLOOKUP('Données projet'!$B$12,Paramètres!$A$1:$I$89,3,0)*0.475*44/12</f>
        <v>1.615668659055822</v>
      </c>
      <c r="CM159" s="21">
        <f>EXP(-LN(2)/2)*CM158+(1-EXP(-LN(2)/2))/(LN(2)/2)*CG159*CJ159*VLOOKUP('Données projet'!$B$12,Paramètres!$A$1:$I$89,3,0)*0.475*44/12</f>
        <v>8.5284953207141004E-14</v>
      </c>
      <c r="CN159" s="22">
        <f t="shared" si="172"/>
        <v>9.1556046434562219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-3.4106051316484809E-13</v>
      </c>
      <c r="CU159" s="17">
        <f>CT159*VLOOKUP('Données projet'!$B$13,Paramètres!$A$1:$I$89,3,0)*VLOOKUP('Données projet'!$B$13,Paramètres!$A$1:$I$89,5,0)</f>
        <v>-1.9065282685915009E-13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475.42482703895411</v>
      </c>
      <c r="CZ159" s="59">
        <f t="shared" si="150"/>
        <v>593.51433014569966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51.505730759733666</v>
      </c>
      <c r="DG159" s="21">
        <f>EXP(-LN(2)/25)*DG158+(1-EXP(-LN(2)/25))/(LN(2)/25)*Calculateur!DB159*Calculateur!DD159*VLOOKUP('Données projet'!$B$13,Paramètres!$A$1:$I$89,3,0)*0.475*44/12</f>
        <v>5.1935644050071375</v>
      </c>
      <c r="DH159" s="21">
        <f>EXP(-LN(2)/2)*DH158+(1-EXP(-LN(2)/2))/(LN(2)/2)*DB159*DE159*VLOOKUP('Données projet'!$B$13,Paramètres!$A$1:$I$89,3,0)*0.475*44/12</f>
        <v>9.8893153139799524E-13</v>
      </c>
      <c r="DI159" s="22">
        <f t="shared" si="175"/>
        <v>56.699295164741791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-7.9580786405131221E-13</v>
      </c>
      <c r="DP159" s="17">
        <f>DO159*VLOOKUP('Données projet'!$B$14,Paramètres!$A$1:$I$89,3,0)*VLOOKUP('Données projet'!$B$14,Paramètres!$A$1:$I$89,5,0)</f>
        <v>-7.2004695539362725E-13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401.17301323870578</v>
      </c>
      <c r="DU159" s="59">
        <f t="shared" si="152"/>
        <v>201.57993789149754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175.39720375189776</v>
      </c>
      <c r="EB159" s="21">
        <f>EXP(-LN(2)/25)*EB158+(1-EXP(-LN(2)/25))/(LN(2)/25)*Calculateur!DW159*Calculateur!DY159*VLOOKUP('Données projet'!$B$14,Paramètres!$A$1:$I$89,3,0)*0.475*44/12</f>
        <v>29.142834073660179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204.54003782555793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1.7053025658242404E-13</v>
      </c>
      <c r="EK159" s="17">
        <f>EJ159*VLOOKUP('Données projet'!$B$15,Paramètres!$A$1:$I$89,3,0)*VLOOKUP('Données projet'!$B$15,Paramètres!$A$1:$I$89,5,0)</f>
        <v>1.4897523215040567E-13</v>
      </c>
      <c r="EL159" s="13">
        <f t="shared" si="179"/>
        <v>2.136562777003313E-12</v>
      </c>
      <c r="EM159" s="20">
        <f t="shared" si="180"/>
        <v>3.9806453659427267E-12</v>
      </c>
      <c r="EN159" s="59">
        <f t="shared" si="128"/>
        <v>293.33333333333729</v>
      </c>
      <c r="EO159" s="59">
        <f ca="1">AVERAGE(OFFSET($EN$3,0,0,'Données projet'!$E$15+1,1))-AVERAGE(OFFSET($H$3,0,0,'Données projet'!$E$15+1,1))</f>
        <v>237.8483058552178</v>
      </c>
      <c r="EP159" s="59">
        <f t="shared" si="154"/>
        <v>313.36201272119723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14.817024539386288</v>
      </c>
      <c r="EW159" s="21">
        <f>EXP(-LN(2)/25)*EW158+(1-EXP(-LN(2)/25))/(LN(2)/25)*Calculateur!ER159*Calculateur!ET159*VLOOKUP('Données projet'!$B$15,Paramètres!$A$1:$I$89,3,0)*0.475*44/12</f>
        <v>0.4887704320388071</v>
      </c>
      <c r="EX159" s="21">
        <f>EXP(-LN(2)/2)*EX158+(1-EXP(-LN(2)/2))/(LN(2)/2)*ER159*EU159*VLOOKUP('Données projet'!$B$15,Paramètres!$A$1:$I$89,3,0)*0.475*44/12</f>
        <v>4.682830077185642E-12</v>
      </c>
      <c r="EY159" s="22">
        <f t="shared" si="181"/>
        <v>15.305794971429778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-2.8421709430404007E-13</v>
      </c>
      <c r="FF159" s="17">
        <f>FE159*VLOOKUP('Données projet'!$B$16,Paramètres!$A$1:$I$89,3,0)*VLOOKUP('Données projet'!$B$16,Paramètres!$A$1:$I$89,5,0)</f>
        <v>-2.2168933355715128E-13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318.52984981739411</v>
      </c>
      <c r="FK159" s="59">
        <f t="shared" si="156"/>
        <v>311.56398336941714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26.314623928139245</v>
      </c>
      <c r="FR159" s="21">
        <f>EXP(-LN(2)/25)*FR158+(1-EXP(-LN(2)/25))/(LN(2)/25)*Calculateur!FM159*Calculateur!FO159*VLOOKUP('Données projet'!$B$16,Paramètres!$A$1:$I$89,3,0)*0.475*44/12</f>
        <v>0.48794381284709759</v>
      </c>
      <c r="FS159" s="21">
        <f>EXP(-LN(2)/2)*FS158+(1-EXP(-LN(2)/2))/(LN(2)/2)*FM159*FP159*VLOOKUP('Données projet'!$B$16,Paramètres!$A$1:$I$89,3,0)*0.475*44/12</f>
        <v>2.0565069314506625E-10</v>
      </c>
      <c r="FT159" s="22">
        <f t="shared" si="184"/>
        <v>26.802567741191993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-2.8421709430404007E-13</v>
      </c>
      <c r="GA159" s="17">
        <f>FZ159*VLOOKUP('Données projet'!$B$17,Paramètres!$A$1:$I$89,3,0)*VLOOKUP('Données projet'!$B$17,Paramètres!$A$1:$I$89,5,0)</f>
        <v>-2.2612312022829427E-13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325.72928944930294</v>
      </c>
      <c r="GF159" s="59">
        <f t="shared" si="158"/>
        <v>318.38876834819752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33.082989989656021</v>
      </c>
      <c r="GM159" s="21">
        <f>EXP(-LN(2)/25)*GM158+(1-EXP(-LN(2)/25))/(LN(2)/25)*Calculateur!GH159*Calculateur!GJ159*VLOOKUP('Données projet'!$B$17,Paramètres!$A$1:$I$89,3,0)*0.475*44/12</f>
        <v>0.61344750052358343</v>
      </c>
      <c r="GN159" s="21">
        <f>EXP(-LN(2)/2)*GN158+(1-EXP(-LN(2)/2))/(LN(2)/2)*GH159*GK159*VLOOKUP('Données projet'!$B$17,Paramètres!$A$1:$I$89,3,0)*0.475*44/12</f>
        <v>2.0976370700796726E-10</v>
      </c>
      <c r="GO159" s="21">
        <f t="shared" si="187"/>
        <v>33.696437490389371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-2.8421709430404007E-13</v>
      </c>
      <c r="GV159" s="17">
        <f>GU159*VLOOKUP('Données projet'!$B$18,Paramètres!$A$1:$I$89,3,0)*VLOOKUP('Données projet'!$B$18,Paramètres!$A$1:$I$89,5,0)</f>
        <v>-1.9065282685915009E-13</v>
      </c>
      <c r="GW159" s="13" t="e">
        <f t="shared" si="188"/>
        <v>#NUM!</v>
      </c>
      <c r="GX159" s="20" t="e">
        <f t="shared" si="189"/>
        <v>#NUM!</v>
      </c>
      <c r="GY159" s="59" t="e">
        <f t="shared" si="137"/>
        <v>#NUM!</v>
      </c>
      <c r="GZ159" s="59">
        <f ca="1">AVERAGE(OFFSET($GY$3,0,0,'Données projet'!$E$18+1,1))-AVERAGE(OFFSET($H$3,0,0,'Données projet'!$E$18+1,1))</f>
        <v>268.04554291387961</v>
      </c>
      <c r="HA159" s="59">
        <f t="shared" si="160"/>
        <v>263.70463099437148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27.893501363827593</v>
      </c>
      <c r="HH159" s="21">
        <f>EXP(-LN(2)/25)*HH158+(1-EXP(-LN(2)/25))/(LN(2)/25)*Calculateur!HC159*Calculateur!HE159*VLOOKUP('Données projet'!$B$18,Paramètres!$A$1:$I$89,3,0)*0.475*44/12</f>
        <v>0.51722044161792469</v>
      </c>
      <c r="HI159" s="21">
        <f>EXP(-LN(2)/2)*HI158+(1-EXP(-LN(2)/2))/(LN(2)/2)*HC159*HF159*VLOOKUP('Données projet'!$B$18,Paramètres!$A$1:$I$89,3,0)*0.475*44/12</f>
        <v>1.7685959610475671E-10</v>
      </c>
      <c r="HJ159" s="22">
        <f t="shared" si="190"/>
        <v>28.41072180562238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-2.5124791136477146E-14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46.095319339746538</v>
      </c>
      <c r="T160" s="59">
        <f t="shared" si="142"/>
        <v>48.158174304064403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13.145428667554613</v>
      </c>
      <c r="AA160" s="21">
        <f>EXP(-LN(2)/25)*AA159+(1-EXP(-LN(2)/25))/(LN(2)/25)*Calculateur!V160*Calculateur!X160*VLOOKUP('Données projet'!$B$9,Paramètres!$A$1:$I$89,3,0)*0.475*44/12</f>
        <v>3.2402880381706578</v>
      </c>
      <c r="AB160" s="21">
        <f>EXP(-LN(2)/2)*AB159+(1-EXP(-LN(2)/2))/(LN(2)/2)*V160*Y160*VLOOKUP('Données projet'!$B$9,Paramètres!$A$1:$I$89,3,0)*0.475*44/12</f>
        <v>3.7989287028558493E-11</v>
      </c>
      <c r="AC160" s="22">
        <f t="shared" si="163"/>
        <v>16.385716705763262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-6.7984728957526396E-14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408.84545509668794</v>
      </c>
      <c r="AO160" s="59">
        <f t="shared" si="144"/>
        <v>409.9253979841132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27.546907925314077</v>
      </c>
      <c r="AV160" s="21">
        <f>EXP(-LN(2)/25)*AV159+(1-EXP(-LN(2)/25))/(LN(2)/25)*Calculateur!AQ160*Calculateur!AS160*VLOOKUP('Données projet'!$B$10,Paramètres!$A$1:$I$89,3,0)*0.475*44/12</f>
        <v>5.1789214736138218</v>
      </c>
      <c r="AW160" s="21">
        <f>EXP(-LN(2)/2)*AW159+(1-EXP(-LN(2)/2))/(LN(2)/2)*AQ160*AT160*VLOOKUP('Données projet'!$B$10,Paramètres!$A$1:$I$89,3,0)*0.475*44/12</f>
        <v>2.3583264974624239E-13</v>
      </c>
      <c r="AX160" s="21">
        <f t="shared" si="166"/>
        <v>32.725829398928134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-6.7984728957526396E-14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279.69031306919914</v>
      </c>
      <c r="BJ160" s="59">
        <f t="shared" si="146"/>
        <v>297.01680128882509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24.992129246907009</v>
      </c>
      <c r="BQ160" s="21">
        <f>EXP(-LN(2)/25)*BQ159+(1-EXP(-LN(2)/25))/(LN(2)/25)*Calculateur!BL160*Calculateur!BN160*VLOOKUP('Données projet'!$B$11,Paramètres!$A$1:$I$89,3,0)*0.475*44/12</f>
        <v>5.8744534788350764</v>
      </c>
      <c r="BR160" s="21">
        <f>EXP(-LN(2)/2)*BR159+(1-EXP(-LN(2)/2))/(LN(2)/2)*BL160*BO160*VLOOKUP('Données projet'!$B$11,Paramètres!$A$1:$I$89,3,0)*0.475*44/12</f>
        <v>5.5022925581007092E-13</v>
      </c>
      <c r="BS160" s="22">
        <f t="shared" si="169"/>
        <v>30.866582725742635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81.299024916151723</v>
      </c>
      <c r="CE160" s="59">
        <f t="shared" si="148"/>
        <v>88.106373324240167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7.3920824386530706</v>
      </c>
      <c r="CL160" s="21">
        <f>EXP(-LN(2)/25)*CL159+(1-EXP(-LN(2)/25))/(LN(2)/25)*Calculateur!CG160*Calculateur!CI160*VLOOKUP('Données projet'!$B$12,Paramètres!$A$1:$I$89,3,0)*0.475*44/12</f>
        <v>1.5714881146096185</v>
      </c>
      <c r="CM160" s="21">
        <f>EXP(-LN(2)/2)*CM159+(1-EXP(-LN(2)/2))/(LN(2)/2)*CG160*CJ160*VLOOKUP('Données projet'!$B$12,Paramètres!$A$1:$I$89,3,0)*0.475*44/12</f>
        <v>6.0305568745946796E-14</v>
      </c>
      <c r="CN160" s="22">
        <f t="shared" si="172"/>
        <v>8.9635705532627501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-3.4106051316484809E-13</v>
      </c>
      <c r="CU160" s="17">
        <f>CT160*VLOOKUP('Données projet'!$B$13,Paramètres!$A$1:$I$89,3,0)*VLOOKUP('Données projet'!$B$13,Paramètres!$A$1:$I$89,5,0)</f>
        <v>-1.9065282685915009E-13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475.42482703895411</v>
      </c>
      <c r="CZ160" s="59">
        <f t="shared" si="150"/>
        <v>593.51433014569966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50.495734794929042</v>
      </c>
      <c r="DG160" s="21">
        <f>EXP(-LN(2)/25)*DG159+(1-EXP(-LN(2)/25))/(LN(2)/25)*Calculateur!DB160*Calculateur!DD160*VLOOKUP('Données projet'!$B$13,Paramètres!$A$1:$I$89,3,0)*0.475*44/12</f>
        <v>5.0515461132345356</v>
      </c>
      <c r="DH160" s="21">
        <f>EXP(-LN(2)/2)*DH159+(1-EXP(-LN(2)/2))/(LN(2)/2)*DB160*DE160*VLOOKUP('Données projet'!$B$13,Paramètres!$A$1:$I$89,3,0)*0.475*44/12</f>
        <v>6.9928019198071957E-13</v>
      </c>
      <c r="DI160" s="22">
        <f t="shared" si="175"/>
        <v>55.547280908164275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-7.9580786405131221E-13</v>
      </c>
      <c r="DP160" s="17">
        <f>DO160*VLOOKUP('Données projet'!$B$14,Paramètres!$A$1:$I$89,3,0)*VLOOKUP('Données projet'!$B$14,Paramètres!$A$1:$I$89,5,0)</f>
        <v>-7.2004695539362725E-13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401.17301323870578</v>
      </c>
      <c r="DU160" s="59">
        <f t="shared" si="152"/>
        <v>201.57993789149754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171.95777156805377</v>
      </c>
      <c r="EB160" s="21">
        <f>EXP(-LN(2)/25)*EB159+(1-EXP(-LN(2)/25))/(LN(2)/25)*Calculateur!DW160*Calculateur!DY160*VLOOKUP('Données projet'!$B$14,Paramètres!$A$1:$I$89,3,0)*0.475*44/12</f>
        <v>28.345921743360904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200.30369331141469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1.7053025658242404E-13</v>
      </c>
      <c r="EK160" s="17">
        <f>EJ160*VLOOKUP('Données projet'!$B$15,Paramètres!$A$1:$I$89,3,0)*VLOOKUP('Données projet'!$B$15,Paramètres!$A$1:$I$89,5,0)</f>
        <v>1.4897523215040567E-13</v>
      </c>
      <c r="EL160" s="13">
        <f t="shared" si="179"/>
        <v>2.136562777003313E-12</v>
      </c>
      <c r="EM160" s="20">
        <f t="shared" si="180"/>
        <v>3.9806453659427267E-12</v>
      </c>
      <c r="EN160" s="59">
        <f t="shared" si="128"/>
        <v>293.33333333333729</v>
      </c>
      <c r="EO160" s="59">
        <f ca="1">AVERAGE(OFFSET($EN$3,0,0,'Données projet'!$E$15+1,1))-AVERAGE(OFFSET($H$3,0,0,'Données projet'!$E$15+1,1))</f>
        <v>237.8483058552178</v>
      </c>
      <c r="EP160" s="59">
        <f t="shared" si="154"/>
        <v>313.36201272119723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14.526471725661514</v>
      </c>
      <c r="EW160" s="21">
        <f>EXP(-LN(2)/25)*EW159+(1-EXP(-LN(2)/25))/(LN(2)/25)*Calculateur!ER160*Calculateur!ET160*VLOOKUP('Données projet'!$B$15,Paramètres!$A$1:$I$89,3,0)*0.475*44/12</f>
        <v>0.475404978871386</v>
      </c>
      <c r="EX160" s="21">
        <f>EXP(-LN(2)/2)*EX159+(1-EXP(-LN(2)/2))/(LN(2)/2)*ER160*EU160*VLOOKUP('Données projet'!$B$15,Paramètres!$A$1:$I$89,3,0)*0.475*44/12</f>
        <v>3.3112609027222913E-12</v>
      </c>
      <c r="EY160" s="22">
        <f t="shared" si="181"/>
        <v>15.001876704536212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-2.8421709430404007E-13</v>
      </c>
      <c r="FF160" s="17">
        <f>FE160*VLOOKUP('Données projet'!$B$16,Paramètres!$A$1:$I$89,3,0)*VLOOKUP('Données projet'!$B$16,Paramètres!$A$1:$I$89,5,0)</f>
        <v>-2.2168933355715128E-13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318.52984981739411</v>
      </c>
      <c r="FK160" s="59">
        <f t="shared" si="156"/>
        <v>311.56398336941714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25.798610203244191</v>
      </c>
      <c r="FR160" s="21">
        <f>EXP(-LN(2)/25)*FR159+(1-EXP(-LN(2)/25))/(LN(2)/25)*Calculateur!FM160*Calculateur!FO160*VLOOKUP('Données projet'!$B$16,Paramètres!$A$1:$I$89,3,0)*0.475*44/12</f>
        <v>0.47460096362494381</v>
      </c>
      <c r="FS160" s="21">
        <f>EXP(-LN(2)/2)*FS159+(1-EXP(-LN(2)/2))/(LN(2)/2)*FM160*FP160*VLOOKUP('Données projet'!$B$16,Paramètres!$A$1:$I$89,3,0)*0.475*44/12</f>
        <v>1.4541699967859018E-10</v>
      </c>
      <c r="FT160" s="22">
        <f t="shared" si="184"/>
        <v>26.273211167014551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-2.8421709430404007E-13</v>
      </c>
      <c r="GA160" s="17">
        <f>FZ160*VLOOKUP('Données projet'!$B$17,Paramètres!$A$1:$I$89,3,0)*VLOOKUP('Données projet'!$B$17,Paramètres!$A$1:$I$89,5,0)</f>
        <v>-2.2612312022829427E-13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325.72928944930294</v>
      </c>
      <c r="GF160" s="59">
        <f t="shared" si="158"/>
        <v>318.38876834819752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32.434252734590288</v>
      </c>
      <c r="GM160" s="21">
        <f>EXP(-LN(2)/25)*GM159+(1-EXP(-LN(2)/25))/(LN(2)/25)*Calculateur!GH160*Calculateur!GJ160*VLOOKUP('Données projet'!$B$17,Paramètres!$A$1:$I$89,3,0)*0.475*44/12</f>
        <v>0.59667274636196399</v>
      </c>
      <c r="GN160" s="21">
        <f>EXP(-LN(2)/2)*GN159+(1-EXP(-LN(2)/2))/(LN(2)/2)*GH160*GK160*VLOOKUP('Données projet'!$B$17,Paramètres!$A$1:$I$89,3,0)*0.475*44/12</f>
        <v>1.4832533967216177E-10</v>
      </c>
      <c r="GO160" s="21">
        <f t="shared" si="187"/>
        <v>33.030925481100574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-2.8421709430404007E-13</v>
      </c>
      <c r="GV160" s="17">
        <f>GU160*VLOOKUP('Données projet'!$B$18,Paramètres!$A$1:$I$89,3,0)*VLOOKUP('Données projet'!$B$18,Paramètres!$A$1:$I$89,5,0)</f>
        <v>-1.9065282685915009E-13</v>
      </c>
      <c r="GW160" s="13" t="e">
        <f t="shared" si="188"/>
        <v>#NUM!</v>
      </c>
      <c r="GX160" s="20" t="e">
        <f t="shared" si="189"/>
        <v>#NUM!</v>
      </c>
      <c r="GY160" s="59" t="e">
        <f t="shared" si="137"/>
        <v>#NUM!</v>
      </c>
      <c r="GZ160" s="59">
        <f ca="1">AVERAGE(OFFSET($GY$3,0,0,'Données projet'!$E$18+1,1))-AVERAGE(OFFSET($H$3,0,0,'Données projet'!$E$18+1,1))</f>
        <v>268.04554291387961</v>
      </c>
      <c r="HA160" s="59">
        <f t="shared" si="160"/>
        <v>263.70463099437148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27.346526815438835</v>
      </c>
      <c r="HH160" s="21">
        <f>EXP(-LN(2)/25)*HH159+(1-EXP(-LN(2)/25))/(LN(2)/25)*Calculateur!HC160*Calculateur!HE160*VLOOKUP('Données projet'!$B$18,Paramètres!$A$1:$I$89,3,0)*0.475*44/12</f>
        <v>0.5030770214424416</v>
      </c>
      <c r="HI160" s="21">
        <f>EXP(-LN(2)/2)*HI159+(1-EXP(-LN(2)/2))/(LN(2)/2)*HC160*HF160*VLOOKUP('Données projet'!$B$18,Paramètres!$A$1:$I$89,3,0)*0.475*44/12</f>
        <v>1.2505861972358737E-10</v>
      </c>
      <c r="HJ160" s="22">
        <f t="shared" si="190"/>
        <v>27.849603837006335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-2.5124791136477146E-14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46.095319339746538</v>
      </c>
      <c r="T161" s="59">
        <f t="shared" si="142"/>
        <v>48.158174304064403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12.887654829303651</v>
      </c>
      <c r="AA161" s="21">
        <f>EXP(-LN(2)/25)*AA160+(1-EXP(-LN(2)/25))/(LN(2)/25)*Calculateur!V161*Calculateur!X161*VLOOKUP('Données projet'!$B$9,Paramètres!$A$1:$I$89,3,0)*0.475*44/12</f>
        <v>3.1516821913675388</v>
      </c>
      <c r="AB161" s="21">
        <f>EXP(-LN(2)/2)*AB160+(1-EXP(-LN(2)/2))/(LN(2)/2)*V161*Y161*VLOOKUP('Données projet'!$B$9,Paramètres!$A$1:$I$89,3,0)*0.475*44/12</f>
        <v>2.6862482470335859E-11</v>
      </c>
      <c r="AC161" s="22">
        <f t="shared" si="163"/>
        <v>16.039337020698053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-6.7984728957526396E-14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408.84545509668794</v>
      </c>
      <c r="AO161" s="59">
        <f t="shared" si="144"/>
        <v>409.9253979841132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27.006729862853447</v>
      </c>
      <c r="AV161" s="21">
        <f>EXP(-LN(2)/25)*AV160+(1-EXP(-LN(2)/25))/(LN(2)/25)*Calculateur!AQ161*Calculateur!AS161*VLOOKUP('Données projet'!$B$10,Paramètres!$A$1:$I$89,3,0)*0.475*44/12</f>
        <v>5.0373035935702077</v>
      </c>
      <c r="AW161" s="21">
        <f>EXP(-LN(2)/2)*AW160+(1-EXP(-LN(2)/2))/(LN(2)/2)*AQ161*AT161*VLOOKUP('Données projet'!$B$10,Paramètres!$A$1:$I$89,3,0)*0.475*44/12</f>
        <v>1.6675886586075992E-13</v>
      </c>
      <c r="AX161" s="21">
        <f t="shared" si="166"/>
        <v>32.044033456423819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-6.7984728957526396E-14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279.69031306919914</v>
      </c>
      <c r="BJ161" s="59">
        <f t="shared" si="146"/>
        <v>297.01680128882509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24.502048836068813</v>
      </c>
      <c r="BQ161" s="21">
        <f>EXP(-LN(2)/25)*BQ160+(1-EXP(-LN(2)/25))/(LN(2)/25)*Calculateur!BL161*Calculateur!BN161*VLOOKUP('Données projet'!$B$11,Paramètres!$A$1:$I$89,3,0)*0.475*44/12</f>
        <v>5.7138162395322487</v>
      </c>
      <c r="BR161" s="21">
        <f>EXP(-LN(2)/2)*BR160+(1-EXP(-LN(2)/2))/(LN(2)/2)*BL161*BO161*VLOOKUP('Données projet'!$B$11,Paramètres!$A$1:$I$89,3,0)*0.475*44/12</f>
        <v>3.8907083799052871E-13</v>
      </c>
      <c r="BS161" s="22">
        <f t="shared" si="169"/>
        <v>30.215865075601453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81.299024916151723</v>
      </c>
      <c r="CE161" s="59">
        <f t="shared" si="148"/>
        <v>88.106373324240167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7.2471282107561716</v>
      </c>
      <c r="CL161" s="21">
        <f>EXP(-LN(2)/25)*CL160+(1-EXP(-LN(2)/25))/(LN(2)/25)*Calculateur!CG161*Calculateur!CI161*VLOOKUP('Données projet'!$B$12,Paramètres!$A$1:$I$89,3,0)*0.475*44/12</f>
        <v>1.5285156894746501</v>
      </c>
      <c r="CM161" s="21">
        <f>EXP(-LN(2)/2)*CM160+(1-EXP(-LN(2)/2))/(LN(2)/2)*CG161*CJ161*VLOOKUP('Données projet'!$B$12,Paramètres!$A$1:$I$89,3,0)*0.475*44/12</f>
        <v>4.2642476603570502E-14</v>
      </c>
      <c r="CN161" s="22">
        <f t="shared" si="172"/>
        <v>8.7756439002308646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-3.4106051316484809E-13</v>
      </c>
      <c r="CU161" s="17">
        <f>CT161*VLOOKUP('Données projet'!$B$13,Paramètres!$A$1:$I$89,3,0)*VLOOKUP('Données projet'!$B$13,Paramètres!$A$1:$I$89,5,0)</f>
        <v>-1.9065282685915009E-13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475.42482703895411</v>
      </c>
      <c r="CZ161" s="59">
        <f t="shared" si="150"/>
        <v>593.51433014569966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49.505544234957526</v>
      </c>
      <c r="DG161" s="21">
        <f>EXP(-LN(2)/25)*DG160+(1-EXP(-LN(2)/25))/(LN(2)/25)*Calculateur!DB161*Calculateur!DD161*VLOOKUP('Données projet'!$B$13,Paramètres!$A$1:$I$89,3,0)*0.475*44/12</f>
        <v>4.9134113191188726</v>
      </c>
      <c r="DH161" s="21">
        <f>EXP(-LN(2)/2)*DH160+(1-EXP(-LN(2)/2))/(LN(2)/2)*DB161*DE161*VLOOKUP('Données projet'!$B$13,Paramètres!$A$1:$I$89,3,0)*0.475*44/12</f>
        <v>4.9446576569899762E-13</v>
      </c>
      <c r="DI161" s="22">
        <f t="shared" si="175"/>
        <v>54.418955554076895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-7.9580786405131221E-13</v>
      </c>
      <c r="DP161" s="17">
        <f>DO161*VLOOKUP('Données projet'!$B$14,Paramètres!$A$1:$I$89,3,0)*VLOOKUP('Données projet'!$B$14,Paramètres!$A$1:$I$89,5,0)</f>
        <v>-7.2004695539362725E-13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401.17301323870578</v>
      </c>
      <c r="DU161" s="59">
        <f t="shared" si="152"/>
        <v>201.57993789149754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168.58578455148847</v>
      </c>
      <c r="EB161" s="21">
        <f>EXP(-LN(2)/25)*EB160+(1-EXP(-LN(2)/25))/(LN(2)/25)*Calculateur!DW161*Calculateur!DY161*VLOOKUP('Données projet'!$B$14,Paramètres!$A$1:$I$89,3,0)*0.475*44/12</f>
        <v>27.570801022641461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196.15658557412993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1.7053025658242404E-13</v>
      </c>
      <c r="EK161" s="17">
        <f>EJ161*VLOOKUP('Données projet'!$B$15,Paramètres!$A$1:$I$89,3,0)*VLOOKUP('Données projet'!$B$15,Paramètres!$A$1:$I$89,5,0)</f>
        <v>1.4897523215040567E-13</v>
      </c>
      <c r="EL161" s="13">
        <f t="shared" si="179"/>
        <v>2.136562777003313E-12</v>
      </c>
      <c r="EM161" s="20">
        <f t="shared" si="180"/>
        <v>3.9806453659427267E-12</v>
      </c>
      <c r="EN161" s="59">
        <f t="shared" si="128"/>
        <v>293.33333333333729</v>
      </c>
      <c r="EO161" s="59">
        <f ca="1">AVERAGE(OFFSET($EN$3,0,0,'Données projet'!$E$15+1,1))-AVERAGE(OFFSET($H$3,0,0,'Données projet'!$E$15+1,1))</f>
        <v>237.8483058552178</v>
      </c>
      <c r="EP161" s="59">
        <f t="shared" si="154"/>
        <v>313.36201272119723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14.241616475394165</v>
      </c>
      <c r="EW161" s="21">
        <f>EXP(-LN(2)/25)*EW160+(1-EXP(-LN(2)/25))/(LN(2)/25)*Calculateur!ER161*Calculateur!ET161*VLOOKUP('Données projet'!$B$15,Paramètres!$A$1:$I$89,3,0)*0.475*44/12</f>
        <v>0.46240500472368667</v>
      </c>
      <c r="EX161" s="21">
        <f>EXP(-LN(2)/2)*EX160+(1-EXP(-LN(2)/2))/(LN(2)/2)*ER161*EU161*VLOOKUP('Données projet'!$B$15,Paramètres!$A$1:$I$89,3,0)*0.475*44/12</f>
        <v>2.341415038592821E-12</v>
      </c>
      <c r="EY161" s="22">
        <f t="shared" si="181"/>
        <v>14.704021480120193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-2.8421709430404007E-13</v>
      </c>
      <c r="FF161" s="17">
        <f>FE161*VLOOKUP('Données projet'!$B$16,Paramètres!$A$1:$I$89,3,0)*VLOOKUP('Données projet'!$B$16,Paramètres!$A$1:$I$89,5,0)</f>
        <v>-2.2168933355715128E-13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318.52984981739411</v>
      </c>
      <c r="FK161" s="59">
        <f t="shared" si="156"/>
        <v>311.56398336941714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25.292715192757036</v>
      </c>
      <c r="FR161" s="21">
        <f>EXP(-LN(2)/25)*FR160+(1-EXP(-LN(2)/25))/(LN(2)/25)*Calculateur!FM161*Calculateur!FO161*VLOOKUP('Données projet'!$B$16,Paramètres!$A$1:$I$89,3,0)*0.475*44/12</f>
        <v>0.46162297531643975</v>
      </c>
      <c r="FS161" s="21">
        <f>EXP(-LN(2)/2)*FS160+(1-EXP(-LN(2)/2))/(LN(2)/2)*FM161*FP161*VLOOKUP('Données projet'!$B$16,Paramètres!$A$1:$I$89,3,0)*0.475*44/12</f>
        <v>1.0282534657253312E-10</v>
      </c>
      <c r="FT161" s="22">
        <f t="shared" si="184"/>
        <v>25.754338168176304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-2.8421709430404007E-13</v>
      </c>
      <c r="GA161" s="17">
        <f>FZ161*VLOOKUP('Données projet'!$B$17,Paramètres!$A$1:$I$89,3,0)*VLOOKUP('Données projet'!$B$17,Paramètres!$A$1:$I$89,5,0)</f>
        <v>-2.2612312022829427E-13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325.72928944930294</v>
      </c>
      <c r="GF161" s="59">
        <f t="shared" si="158"/>
        <v>318.38876834819752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31.798236821405737</v>
      </c>
      <c r="GM161" s="21">
        <f>EXP(-LN(2)/25)*GM160+(1-EXP(-LN(2)/25))/(LN(2)/25)*Calculateur!GH161*Calculateur!GJ161*VLOOKUP('Données projet'!$B$17,Paramètres!$A$1:$I$89,3,0)*0.475*44/12</f>
        <v>0.58035669873504003</v>
      </c>
      <c r="GN161" s="21">
        <f>EXP(-LN(2)/2)*GN160+(1-EXP(-LN(2)/2))/(LN(2)/2)*GH161*GK161*VLOOKUP('Données projet'!$B$17,Paramètres!$A$1:$I$89,3,0)*0.475*44/12</f>
        <v>1.0488185350398363E-10</v>
      </c>
      <c r="GO161" s="21">
        <f t="shared" si="187"/>
        <v>32.378593520245659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-2.8421709430404007E-13</v>
      </c>
      <c r="GV161" s="17">
        <f>GU161*VLOOKUP('Données projet'!$B$18,Paramètres!$A$1:$I$89,3,0)*VLOOKUP('Données projet'!$B$18,Paramètres!$A$1:$I$89,5,0)</f>
        <v>-1.9065282685915009E-13</v>
      </c>
      <c r="GW161" s="13" t="e">
        <f t="shared" si="188"/>
        <v>#NUM!</v>
      </c>
      <c r="GX161" s="20" t="e">
        <f t="shared" si="189"/>
        <v>#NUM!</v>
      </c>
      <c r="GY161" s="59" t="e">
        <f t="shared" si="137"/>
        <v>#NUM!</v>
      </c>
      <c r="GZ161" s="59">
        <f ca="1">AVERAGE(OFFSET($GY$3,0,0,'Données projet'!$E$18+1,1))-AVERAGE(OFFSET($H$3,0,0,'Données projet'!$E$18+1,1))</f>
        <v>268.04554291387961</v>
      </c>
      <c r="HA161" s="59">
        <f t="shared" si="160"/>
        <v>263.70463099437148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26.81027810432245</v>
      </c>
      <c r="HH161" s="21">
        <f>EXP(-LN(2)/25)*HH160+(1-EXP(-LN(2)/25))/(LN(2)/25)*Calculateur!HC161*Calculateur!HE161*VLOOKUP('Données projet'!$B$18,Paramètres!$A$1:$I$89,3,0)*0.475*44/12</f>
        <v>0.48932035383542727</v>
      </c>
      <c r="HI161" s="21">
        <f>EXP(-LN(2)/2)*HI160+(1-EXP(-LN(2)/2))/(LN(2)/2)*HC161*HF161*VLOOKUP('Données projet'!$B$18,Paramètres!$A$1:$I$89,3,0)*0.475*44/12</f>
        <v>8.8429798052378354E-11</v>
      </c>
      <c r="HJ161" s="22">
        <f t="shared" si="190"/>
        <v>27.299598458246308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-2.5124791136477146E-14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46.095319339746538</v>
      </c>
      <c r="T162" s="59">
        <f t="shared" si="142"/>
        <v>48.158174304064403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12.634935778794274</v>
      </c>
      <c r="AA162" s="21">
        <f>EXP(-LN(2)/25)*AA161+(1-EXP(-LN(2)/25))/(LN(2)/25)*Calculateur!V162*Calculateur!X162*VLOOKUP('Données projet'!$B$9,Paramètres!$A$1:$I$89,3,0)*0.475*44/12</f>
        <v>3.0654992761048301</v>
      </c>
      <c r="AB162" s="21">
        <f>EXP(-LN(2)/2)*AB161+(1-EXP(-LN(2)/2))/(LN(2)/2)*V162*Y162*VLOOKUP('Données projet'!$B$9,Paramètres!$A$1:$I$89,3,0)*0.475*44/12</f>
        <v>1.8994643514279246E-11</v>
      </c>
      <c r="AC162" s="22">
        <f t="shared" si="163"/>
        <v>15.700435054918099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-6.7984728957526396E-14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408.84545509668794</v>
      </c>
      <c r="AO162" s="59">
        <f t="shared" si="144"/>
        <v>409.9253979841132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26.477144362721585</v>
      </c>
      <c r="AV162" s="21">
        <f>EXP(-LN(2)/25)*AV161+(1-EXP(-LN(2)/25))/(LN(2)/25)*Calculateur!AQ162*Calculateur!AS162*VLOOKUP('Données projet'!$B$10,Paramètres!$A$1:$I$89,3,0)*0.475*44/12</f>
        <v>4.8995582619037474</v>
      </c>
      <c r="AW162" s="21">
        <f>EXP(-LN(2)/2)*AW161+(1-EXP(-LN(2)/2))/(LN(2)/2)*AQ162*AT162*VLOOKUP('Données projet'!$B$10,Paramètres!$A$1:$I$89,3,0)*0.475*44/12</f>
        <v>1.1791632487312119E-13</v>
      </c>
      <c r="AX162" s="21">
        <f t="shared" si="166"/>
        <v>31.376702624625448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-6.7984728957526396E-14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279.69031306919914</v>
      </c>
      <c r="BJ162" s="59">
        <f t="shared" si="146"/>
        <v>297.01680128882509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24.021578603167619</v>
      </c>
      <c r="BQ162" s="21">
        <f>EXP(-LN(2)/25)*BQ161+(1-EXP(-LN(2)/25))/(LN(2)/25)*Calculateur!BL162*Calculateur!BN162*VLOOKUP('Données projet'!$B$11,Paramètres!$A$1:$I$89,3,0)*0.475*44/12</f>
        <v>5.5575716339857024</v>
      </c>
      <c r="BR162" s="21">
        <f>EXP(-LN(2)/2)*BR161+(1-EXP(-LN(2)/2))/(LN(2)/2)*BL162*BO162*VLOOKUP('Données projet'!$B$11,Paramètres!$A$1:$I$89,3,0)*0.475*44/12</f>
        <v>2.7511462790503546E-13</v>
      </c>
      <c r="BS162" s="22">
        <f t="shared" si="169"/>
        <v>29.579150237153595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81.299024916151723</v>
      </c>
      <c r="CE162" s="59">
        <f t="shared" si="148"/>
        <v>88.106373324240167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7.1050164468549823</v>
      </c>
      <c r="CL162" s="21">
        <f>EXP(-LN(2)/25)*CL161+(1-EXP(-LN(2)/25))/(LN(2)/25)*Calculateur!CG162*Calculateur!CI162*VLOOKUP('Données projet'!$B$12,Paramètres!$A$1:$I$89,3,0)*0.475*44/12</f>
        <v>1.4867183475648191</v>
      </c>
      <c r="CM162" s="21">
        <f>EXP(-LN(2)/2)*CM161+(1-EXP(-LN(2)/2))/(LN(2)/2)*CG162*CJ162*VLOOKUP('Données projet'!$B$12,Paramètres!$A$1:$I$89,3,0)*0.475*44/12</f>
        <v>3.0152784372973398E-14</v>
      </c>
      <c r="CN162" s="22">
        <f t="shared" si="172"/>
        <v>8.5917347944198319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-3.4106051316484809E-13</v>
      </c>
      <c r="CU162" s="17">
        <f>CT162*VLOOKUP('Données projet'!$B$13,Paramètres!$A$1:$I$89,3,0)*VLOOKUP('Données projet'!$B$13,Paramètres!$A$1:$I$89,5,0)</f>
        <v>-1.9065282685915009E-13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475.42482703895411</v>
      </c>
      <c r="CZ162" s="59">
        <f t="shared" si="150"/>
        <v>593.51433014569966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48.534770707910447</v>
      </c>
      <c r="DG162" s="21">
        <f>EXP(-LN(2)/25)*DG161+(1-EXP(-LN(2)/25))/(LN(2)/25)*Calculateur!DB162*Calculateur!DD162*VLOOKUP('Données projet'!$B$13,Paramètres!$A$1:$I$89,3,0)*0.475*44/12</f>
        <v>4.7790538282124952</v>
      </c>
      <c r="DH162" s="21">
        <f>EXP(-LN(2)/2)*DH161+(1-EXP(-LN(2)/2))/(LN(2)/2)*DB162*DE162*VLOOKUP('Données projet'!$B$13,Paramètres!$A$1:$I$89,3,0)*0.475*44/12</f>
        <v>3.4964009599035979E-13</v>
      </c>
      <c r="DI162" s="22">
        <f t="shared" si="175"/>
        <v>53.313824536123292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-7.9580786405131221E-13</v>
      </c>
      <c r="DP162" s="17">
        <f>DO162*VLOOKUP('Données projet'!$B$14,Paramètres!$A$1:$I$89,3,0)*VLOOKUP('Données projet'!$B$14,Paramètres!$A$1:$I$89,5,0)</f>
        <v>-7.2004695539362725E-13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401.17301323870578</v>
      </c>
      <c r="DU162" s="59">
        <f t="shared" si="152"/>
        <v>201.57993789149754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165.27992014360902</v>
      </c>
      <c r="EB162" s="21">
        <f>EXP(-LN(2)/25)*EB161+(1-EXP(-LN(2)/25))/(LN(2)/25)*Calculateur!DW162*Calculateur!DY162*VLOOKUP('Données projet'!$B$14,Paramètres!$A$1:$I$89,3,0)*0.475*44/12</f>
        <v>26.81687601879192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192.09679616240095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1.7053025658242404E-13</v>
      </c>
      <c r="EK162" s="17">
        <f>EJ162*VLOOKUP('Données projet'!$B$15,Paramètres!$A$1:$I$89,3,0)*VLOOKUP('Données projet'!$B$15,Paramètres!$A$1:$I$89,5,0)</f>
        <v>1.4897523215040567E-13</v>
      </c>
      <c r="EL162" s="13">
        <f t="shared" si="179"/>
        <v>2.136562777003313E-12</v>
      </c>
      <c r="EM162" s="20">
        <f t="shared" si="180"/>
        <v>3.9806453659427267E-12</v>
      </c>
      <c r="EN162" s="59">
        <f t="shared" si="128"/>
        <v>293.33333333333729</v>
      </c>
      <c r="EO162" s="59">
        <f ca="1">AVERAGE(OFFSET($EN$3,0,0,'Données projet'!$E$15+1,1))-AVERAGE(OFFSET($H$3,0,0,'Données projet'!$E$15+1,1))</f>
        <v>237.8483058552178</v>
      </c>
      <c r="EP162" s="59">
        <f t="shared" si="154"/>
        <v>313.36201272119723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13.962347062840012</v>
      </c>
      <c r="EW162" s="21">
        <f>EXP(-LN(2)/25)*EW161+(1-EXP(-LN(2)/25))/(LN(2)/25)*Calculateur!ER162*Calculateur!ET162*VLOOKUP('Données projet'!$B$15,Paramètres!$A$1:$I$89,3,0)*0.475*44/12</f>
        <v>0.44976051555269508</v>
      </c>
      <c r="EX162" s="21">
        <f>EXP(-LN(2)/2)*EX161+(1-EXP(-LN(2)/2))/(LN(2)/2)*ER162*EU162*VLOOKUP('Données projet'!$B$15,Paramètres!$A$1:$I$89,3,0)*0.475*44/12</f>
        <v>1.6556304513611456E-12</v>
      </c>
      <c r="EY162" s="22">
        <f t="shared" si="181"/>
        <v>14.412107578394362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-2.8421709430404007E-13</v>
      </c>
      <c r="FF162" s="17">
        <f>FE162*VLOOKUP('Données projet'!$B$16,Paramètres!$A$1:$I$89,3,0)*VLOOKUP('Données projet'!$B$16,Paramètres!$A$1:$I$89,5,0)</f>
        <v>-2.2168933355715128E-13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318.52984981739411</v>
      </c>
      <c r="FK162" s="59">
        <f t="shared" si="156"/>
        <v>311.56398336941714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24.796740474860044</v>
      </c>
      <c r="FR162" s="21">
        <f>EXP(-LN(2)/25)*FR161+(1-EXP(-LN(2)/25))/(LN(2)/25)*Calculateur!FM162*Calculateur!FO162*VLOOKUP('Données projet'!$B$16,Paramètres!$A$1:$I$89,3,0)*0.475*44/12</f>
        <v>0.44899987078071452</v>
      </c>
      <c r="FS162" s="21">
        <f>EXP(-LN(2)/2)*FS161+(1-EXP(-LN(2)/2))/(LN(2)/2)*FM162*FP162*VLOOKUP('Données projet'!$B$16,Paramètres!$A$1:$I$89,3,0)*0.475*44/12</f>
        <v>7.2708499839295092E-11</v>
      </c>
      <c r="FT162" s="22">
        <f t="shared" si="184"/>
        <v>25.245740345713468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-2.8421709430404007E-13</v>
      </c>
      <c r="GA162" s="17">
        <f>FZ162*VLOOKUP('Données projet'!$B$17,Paramètres!$A$1:$I$89,3,0)*VLOOKUP('Données projet'!$B$17,Paramètres!$A$1:$I$89,5,0)</f>
        <v>-2.2612312022829427E-13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325.72928944930294</v>
      </c>
      <c r="GF162" s="59">
        <f t="shared" si="158"/>
        <v>318.38876834819752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31.174692792347333</v>
      </c>
      <c r="GM162" s="21">
        <f>EXP(-LN(2)/25)*GM161+(1-EXP(-LN(2)/25))/(LN(2)/25)*Calculateur!GH162*Calculateur!GJ162*VLOOKUP('Données projet'!$B$17,Paramètres!$A$1:$I$89,3,0)*0.475*44/12</f>
        <v>0.56448681428849801</v>
      </c>
      <c r="GN162" s="21">
        <f>EXP(-LN(2)/2)*GN161+(1-EXP(-LN(2)/2))/(LN(2)/2)*GH162*GK162*VLOOKUP('Données projet'!$B$17,Paramètres!$A$1:$I$89,3,0)*0.475*44/12</f>
        <v>7.4162669836080884E-11</v>
      </c>
      <c r="GO162" s="21">
        <f t="shared" si="187"/>
        <v>31.739179606709992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-2.8421709430404007E-13</v>
      </c>
      <c r="GV162" s="17">
        <f>GU162*VLOOKUP('Données projet'!$B$18,Paramètres!$A$1:$I$89,3,0)*VLOOKUP('Données projet'!$B$18,Paramètres!$A$1:$I$89,5,0)</f>
        <v>-1.9065282685915009E-13</v>
      </c>
      <c r="GW162" s="13" t="e">
        <f t="shared" si="188"/>
        <v>#NUM!</v>
      </c>
      <c r="GX162" s="20" t="e">
        <f t="shared" si="189"/>
        <v>#NUM!</v>
      </c>
      <c r="GY162" s="59" t="e">
        <f t="shared" si="137"/>
        <v>#NUM!</v>
      </c>
      <c r="GZ162" s="59">
        <f ca="1">AVERAGE(OFFSET($GY$3,0,0,'Données projet'!$E$18+1,1))-AVERAGE(OFFSET($H$3,0,0,'Données projet'!$E$18+1,1))</f>
        <v>268.04554291387961</v>
      </c>
      <c r="HA162" s="59">
        <f t="shared" si="160"/>
        <v>263.70463099437148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26.284544903351641</v>
      </c>
      <c r="HH162" s="21">
        <f>EXP(-LN(2)/25)*HH161+(1-EXP(-LN(2)/25))/(LN(2)/25)*Calculateur!HC162*Calculateur!HE162*VLOOKUP('Données projet'!$B$18,Paramètres!$A$1:$I$89,3,0)*0.475*44/12</f>
        <v>0.47593986302755847</v>
      </c>
      <c r="HI162" s="21">
        <f>EXP(-LN(2)/2)*HI161+(1-EXP(-LN(2)/2))/(LN(2)/2)*HC162*HF162*VLOOKUP('Données projet'!$B$18,Paramètres!$A$1:$I$89,3,0)*0.475*44/12</f>
        <v>6.2529309861793686E-11</v>
      </c>
      <c r="HJ162" s="22">
        <f t="shared" si="190"/>
        <v>26.760484766441728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-2.5124791136477146E-14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46.095319339746538</v>
      </c>
      <c r="T163" s="59">
        <f t="shared" si="142"/>
        <v>48.158174304064403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12.387172394721985</v>
      </c>
      <c r="AA163" s="21">
        <f>EXP(-LN(2)/25)*AA162+(1-EXP(-LN(2)/25))/(LN(2)/25)*Calculateur!V163*Calculateur!X163*VLOOKUP('Données projet'!$B$9,Paramètres!$A$1:$I$89,3,0)*0.475*44/12</f>
        <v>2.9816730371921429</v>
      </c>
      <c r="AB163" s="21">
        <f>EXP(-LN(2)/2)*AB162+(1-EXP(-LN(2)/2))/(LN(2)/2)*V163*Y163*VLOOKUP('Données projet'!$B$9,Paramètres!$A$1:$I$89,3,0)*0.475*44/12</f>
        <v>1.3431241235167929E-11</v>
      </c>
      <c r="AC163" s="22">
        <f t="shared" si="163"/>
        <v>15.368845431927559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-6.7984728957526396E-14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408.84545509668794</v>
      </c>
      <c r="AO163" s="59">
        <f t="shared" si="144"/>
        <v>409.9253979841132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25.957943711232048</v>
      </c>
      <c r="AV163" s="21">
        <f>EXP(-LN(2)/25)*AV162+(1-EXP(-LN(2)/25))/(LN(2)/25)*Calculateur!AQ163*Calculateur!AS163*VLOOKUP('Données projet'!$B$10,Paramètres!$A$1:$I$89,3,0)*0.475*44/12</f>
        <v>4.7655795835754189</v>
      </c>
      <c r="AW163" s="21">
        <f>EXP(-LN(2)/2)*AW162+(1-EXP(-LN(2)/2))/(LN(2)/2)*AQ163*AT163*VLOOKUP('Données projet'!$B$10,Paramètres!$A$1:$I$89,3,0)*0.475*44/12</f>
        <v>8.337943293037996E-14</v>
      </c>
      <c r="AX163" s="21">
        <f t="shared" si="166"/>
        <v>30.723523294807549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-6.7984728957526396E-14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279.69031306919914</v>
      </c>
      <c r="BJ163" s="59">
        <f t="shared" si="146"/>
        <v>297.01680128882509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23.550530098475711</v>
      </c>
      <c r="BQ163" s="21">
        <f>EXP(-LN(2)/25)*BQ162+(1-EXP(-LN(2)/25))/(LN(2)/25)*Calculateur!BL163*Calculateur!BN163*VLOOKUP('Données projet'!$B$11,Paramètres!$A$1:$I$89,3,0)*0.475*44/12</f>
        <v>5.4055995453943728</v>
      </c>
      <c r="BR163" s="21">
        <f>EXP(-LN(2)/2)*BR162+(1-EXP(-LN(2)/2))/(LN(2)/2)*BL163*BO163*VLOOKUP('Données projet'!$B$11,Paramètres!$A$1:$I$89,3,0)*0.475*44/12</f>
        <v>1.9453541899526436E-13</v>
      </c>
      <c r="BS163" s="22">
        <f t="shared" si="169"/>
        <v>28.95612964387028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81.299024916151723</v>
      </c>
      <c r="CE163" s="59">
        <f t="shared" si="148"/>
        <v>88.106373324240167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6.965691407964278</v>
      </c>
      <c r="CL163" s="21">
        <f>EXP(-LN(2)/25)*CL162+(1-EXP(-LN(2)/25))/(LN(2)/25)*Calculateur!CG163*Calculateur!CI163*VLOOKUP('Données projet'!$B$12,Paramètres!$A$1:$I$89,3,0)*0.475*44/12</f>
        <v>1.4460639561675392</v>
      </c>
      <c r="CM163" s="21">
        <f>EXP(-LN(2)/2)*CM162+(1-EXP(-LN(2)/2))/(LN(2)/2)*CG163*CJ163*VLOOKUP('Données projet'!$B$12,Paramètres!$A$1:$I$89,3,0)*0.475*44/12</f>
        <v>2.1321238301785251E-14</v>
      </c>
      <c r="CN163" s="22">
        <f t="shared" si="172"/>
        <v>8.4117553641318388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-3.4106051316484809E-13</v>
      </c>
      <c r="CU163" s="17">
        <f>CT163*VLOOKUP('Données projet'!$B$13,Paramètres!$A$1:$I$89,3,0)*VLOOKUP('Données projet'!$B$13,Paramètres!$A$1:$I$89,5,0)</f>
        <v>-1.9065282685915009E-13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475.42482703895411</v>
      </c>
      <c r="CZ163" s="59">
        <f t="shared" si="150"/>
        <v>593.51433014569966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47.583033457615372</v>
      </c>
      <c r="DG163" s="21">
        <f>EXP(-LN(2)/25)*DG162+(1-EXP(-LN(2)/25))/(LN(2)/25)*Calculateur!DB163*Calculateur!DD163*VLOOKUP('Données projet'!$B$13,Paramètres!$A$1:$I$89,3,0)*0.475*44/12</f>
        <v>4.6483703499605067</v>
      </c>
      <c r="DH163" s="21">
        <f>EXP(-LN(2)/2)*DH162+(1-EXP(-LN(2)/2))/(LN(2)/2)*DB163*DE163*VLOOKUP('Données projet'!$B$13,Paramètres!$A$1:$I$89,3,0)*0.475*44/12</f>
        <v>2.4723288284949881E-13</v>
      </c>
      <c r="DI163" s="22">
        <f t="shared" si="175"/>
        <v>52.231403807576129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-7.9580786405131221E-13</v>
      </c>
      <c r="DP163" s="17">
        <f>DO163*VLOOKUP('Données projet'!$B$14,Paramètres!$A$1:$I$89,3,0)*VLOOKUP('Données projet'!$B$14,Paramètres!$A$1:$I$89,5,0)</f>
        <v>-7.2004695539362725E-13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401.17301323870578</v>
      </c>
      <c r="DU163" s="59">
        <f t="shared" si="152"/>
        <v>201.57993789149754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162.0388817203899</v>
      </c>
      <c r="EB163" s="21">
        <f>EXP(-LN(2)/25)*EB162+(1-EXP(-LN(2)/25))/(LN(2)/25)*Calculateur!DW163*Calculateur!DY163*VLOOKUP('Données projet'!$B$14,Paramètres!$A$1:$I$89,3,0)*0.475*44/12</f>
        <v>26.083567133819837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188.12244885420972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1.7053025658242404E-13</v>
      </c>
      <c r="EK163" s="17">
        <f>EJ163*VLOOKUP('Données projet'!$B$15,Paramètres!$A$1:$I$89,3,0)*VLOOKUP('Données projet'!$B$15,Paramètres!$A$1:$I$89,5,0)</f>
        <v>1.4897523215040567E-13</v>
      </c>
      <c r="EL163" s="13">
        <f t="shared" si="179"/>
        <v>2.136562777003313E-12</v>
      </c>
      <c r="EM163" s="20">
        <f t="shared" si="180"/>
        <v>3.9806453659427267E-12</v>
      </c>
      <c r="EN163" s="59">
        <f t="shared" si="128"/>
        <v>293.33333333333729</v>
      </c>
      <c r="EO163" s="59">
        <f ca="1">AVERAGE(OFFSET($EN$3,0,0,'Données projet'!$E$15+1,1))-AVERAGE(OFFSET($H$3,0,0,'Données projet'!$E$15+1,1))</f>
        <v>237.8483058552178</v>
      </c>
      <c r="EP163" s="59">
        <f t="shared" si="154"/>
        <v>313.36201272119723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13.688553953128523</v>
      </c>
      <c r="EW163" s="21">
        <f>EXP(-LN(2)/25)*EW162+(1-EXP(-LN(2)/25))/(LN(2)/25)*Calculateur!ER163*Calculateur!ET163*VLOOKUP('Données projet'!$B$15,Paramètres!$A$1:$I$89,3,0)*0.475*44/12</f>
        <v>0.43746179060302909</v>
      </c>
      <c r="EX163" s="21">
        <f>EXP(-LN(2)/2)*EX162+(1-EXP(-LN(2)/2))/(LN(2)/2)*ER163*EU163*VLOOKUP('Données projet'!$B$15,Paramètres!$A$1:$I$89,3,0)*0.475*44/12</f>
        <v>1.1707075192964105E-12</v>
      </c>
      <c r="EY163" s="22">
        <f t="shared" si="181"/>
        <v>14.126015743732722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-2.8421709430404007E-13</v>
      </c>
      <c r="FF163" s="17">
        <f>FE163*VLOOKUP('Données projet'!$B$16,Paramètres!$A$1:$I$89,3,0)*VLOOKUP('Données projet'!$B$16,Paramètres!$A$1:$I$89,5,0)</f>
        <v>-2.2168933355715128E-13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318.52984981739411</v>
      </c>
      <c r="FK163" s="59">
        <f t="shared" si="156"/>
        <v>311.56398336941714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24.310491518666307</v>
      </c>
      <c r="FR163" s="21">
        <f>EXP(-LN(2)/25)*FR162+(1-EXP(-LN(2)/25))/(LN(2)/25)*Calculateur!FM163*Calculateur!FO163*VLOOKUP('Données projet'!$B$16,Paramètres!$A$1:$I$89,3,0)*0.475*44/12</f>
        <v>0.43672194570233885</v>
      </c>
      <c r="FS163" s="21">
        <f>EXP(-LN(2)/2)*FS162+(1-EXP(-LN(2)/2))/(LN(2)/2)*FM163*FP163*VLOOKUP('Données projet'!$B$16,Paramètres!$A$1:$I$89,3,0)*0.475*44/12</f>
        <v>5.1412673286266561E-11</v>
      </c>
      <c r="FT163" s="22">
        <f t="shared" si="184"/>
        <v>24.747213464420057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-2.8421709430404007E-13</v>
      </c>
      <c r="GA163" s="17">
        <f>FZ163*VLOOKUP('Données projet'!$B$17,Paramètres!$A$1:$I$89,3,0)*VLOOKUP('Données projet'!$B$17,Paramètres!$A$1:$I$89,5,0)</f>
        <v>-2.2612312022829427E-13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325.72928944930294</v>
      </c>
      <c r="GF163" s="59">
        <f t="shared" si="158"/>
        <v>318.38876834819752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30.563376081374461</v>
      </c>
      <c r="GM163" s="21">
        <f>EXP(-LN(2)/25)*GM162+(1-EXP(-LN(2)/25))/(LN(2)/25)*Calculateur!GH163*Calculateur!GJ163*VLOOKUP('Données projet'!$B$17,Paramètres!$A$1:$I$89,3,0)*0.475*44/12</f>
        <v>0.54905089266670759</v>
      </c>
      <c r="GN163" s="21">
        <f>EXP(-LN(2)/2)*GN162+(1-EXP(-LN(2)/2))/(LN(2)/2)*GH163*GK163*VLOOKUP('Données projet'!$B$17,Paramètres!$A$1:$I$89,3,0)*0.475*44/12</f>
        <v>5.2440926751991814E-11</v>
      </c>
      <c r="GO163" s="21">
        <f t="shared" si="187"/>
        <v>31.112426974093609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-2.8421709430404007E-13</v>
      </c>
      <c r="GV163" s="17">
        <f>GU163*VLOOKUP('Données projet'!$B$18,Paramètres!$A$1:$I$89,3,0)*VLOOKUP('Données projet'!$B$18,Paramètres!$A$1:$I$89,5,0)</f>
        <v>-1.9065282685915009E-13</v>
      </c>
      <c r="GW163" s="13" t="e">
        <f t="shared" si="188"/>
        <v>#NUM!</v>
      </c>
      <c r="GX163" s="20" t="e">
        <f t="shared" si="189"/>
        <v>#NUM!</v>
      </c>
      <c r="GY163" s="59" t="e">
        <f t="shared" si="137"/>
        <v>#NUM!</v>
      </c>
      <c r="GZ163" s="59">
        <f ca="1">AVERAGE(OFFSET($GY$3,0,0,'Données projet'!$E$18+1,1))-AVERAGE(OFFSET($H$3,0,0,'Données projet'!$E$18+1,1))</f>
        <v>268.04554291387961</v>
      </c>
      <c r="HA163" s="59">
        <f t="shared" si="160"/>
        <v>263.70463099437148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25.769121009786279</v>
      </c>
      <c r="HH163" s="21">
        <f>EXP(-LN(2)/25)*HH162+(1-EXP(-LN(2)/25))/(LN(2)/25)*Calculateur!HC163*Calculateur!HE163*VLOOKUP('Données projet'!$B$18,Paramètres!$A$1:$I$89,3,0)*0.475*44/12</f>
        <v>0.46292526244448029</v>
      </c>
      <c r="HI163" s="21">
        <f>EXP(-LN(2)/2)*HI162+(1-EXP(-LN(2)/2))/(LN(2)/2)*HC163*HF163*VLOOKUP('Données projet'!$B$18,Paramètres!$A$1:$I$89,3,0)*0.475*44/12</f>
        <v>4.4214899026189177E-11</v>
      </c>
      <c r="HJ163" s="22">
        <f t="shared" si="190"/>
        <v>26.232046272274971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-2.5124791136477146E-14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46.095319339746538</v>
      </c>
      <c r="T164" s="59">
        <f t="shared" si="142"/>
        <v>48.158174304064403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12.14426749949061</v>
      </c>
      <c r="AA164" s="21">
        <f>EXP(-LN(2)/25)*AA163+(1-EXP(-LN(2)/25))/(LN(2)/25)*Calculateur!V164*Calculateur!X164*VLOOKUP('Données projet'!$B$9,Paramètres!$A$1:$I$89,3,0)*0.475*44/12</f>
        <v>2.9001390311907533</v>
      </c>
      <c r="AB164" s="21">
        <f>EXP(-LN(2)/2)*AB163+(1-EXP(-LN(2)/2))/(LN(2)/2)*V164*Y164*VLOOKUP('Données projet'!$B$9,Paramètres!$A$1:$I$89,3,0)*0.475*44/12</f>
        <v>9.4973217571396232E-12</v>
      </c>
      <c r="AC164" s="22">
        <f t="shared" si="163"/>
        <v>15.044406530690862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-6.7984728957526396E-14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408.84545509668794</v>
      </c>
      <c r="AO164" s="59">
        <f t="shared" si="144"/>
        <v>409.9253979841132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25.448924267837093</v>
      </c>
      <c r="AV164" s="21">
        <f>EXP(-LN(2)/25)*AV163+(1-EXP(-LN(2)/25))/(LN(2)/25)*Calculateur!AQ164*Calculateur!AS164*VLOOKUP('Données projet'!$B$10,Paramètres!$A$1:$I$89,3,0)*0.475*44/12</f>
        <v>4.6352645592516106</v>
      </c>
      <c r="AW164" s="21">
        <f>EXP(-LN(2)/2)*AW163+(1-EXP(-LN(2)/2))/(LN(2)/2)*AQ164*AT164*VLOOKUP('Données projet'!$B$10,Paramètres!$A$1:$I$89,3,0)*0.475*44/12</f>
        <v>5.8958162436560596E-14</v>
      </c>
      <c r="AX164" s="21">
        <f t="shared" si="166"/>
        <v>30.084188827088763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-6.7984728957526396E-14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279.69031306919914</v>
      </c>
      <c r="BJ164" s="59">
        <f t="shared" si="146"/>
        <v>297.01680128882509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23.088718567649597</v>
      </c>
      <c r="BQ164" s="21">
        <f>EXP(-LN(2)/25)*BQ163+(1-EXP(-LN(2)/25))/(LN(2)/25)*Calculateur!BL164*Calculateur!BN164*VLOOKUP('Données projet'!$B$11,Paramètres!$A$1:$I$89,3,0)*0.475*44/12</f>
        <v>5.2577831415574385</v>
      </c>
      <c r="BR164" s="21">
        <f>EXP(-LN(2)/2)*BR163+(1-EXP(-LN(2)/2))/(LN(2)/2)*BL164*BO164*VLOOKUP('Données projet'!$B$11,Paramètres!$A$1:$I$89,3,0)*0.475*44/12</f>
        <v>1.3755731395251773E-13</v>
      </c>
      <c r="BS164" s="22">
        <f t="shared" si="169"/>
        <v>28.346501709207175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81.299024916151723</v>
      </c>
      <c r="CE164" s="59">
        <f t="shared" si="148"/>
        <v>88.106373324240167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6.8290984481063379</v>
      </c>
      <c r="CL164" s="21">
        <f>EXP(-LN(2)/25)*CL163+(1-EXP(-LN(2)/25))/(LN(2)/25)*Calculateur!CG164*Calculateur!CI164*VLOOKUP('Données projet'!$B$12,Paramètres!$A$1:$I$89,3,0)*0.475*44/12</f>
        <v>1.4065212612409395</v>
      </c>
      <c r="CM164" s="21">
        <f>EXP(-LN(2)/2)*CM163+(1-EXP(-LN(2)/2))/(LN(2)/2)*CG164*CJ164*VLOOKUP('Données projet'!$B$12,Paramètres!$A$1:$I$89,3,0)*0.475*44/12</f>
        <v>1.5076392186486699E-14</v>
      </c>
      <c r="CN164" s="22">
        <f t="shared" si="172"/>
        <v>8.2356197093472918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-3.4106051316484809E-13</v>
      </c>
      <c r="CU164" s="17">
        <f>CT164*VLOOKUP('Données projet'!$B$13,Paramètres!$A$1:$I$89,3,0)*VLOOKUP('Données projet'!$B$13,Paramètres!$A$1:$I$89,5,0)</f>
        <v>-1.9065282685915009E-13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475.42482703895411</v>
      </c>
      <c r="CZ164" s="59">
        <f t="shared" si="150"/>
        <v>593.51433014569966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46.64995919429618</v>
      </c>
      <c r="DG164" s="21">
        <f>EXP(-LN(2)/25)*DG163+(1-EXP(-LN(2)/25))/(LN(2)/25)*Calculateur!DB164*Calculateur!DD164*VLOOKUP('Données projet'!$B$13,Paramètres!$A$1:$I$89,3,0)*0.475*44/12</f>
        <v>4.5212604182936635</v>
      </c>
      <c r="DH164" s="21">
        <f>EXP(-LN(2)/2)*DH163+(1-EXP(-LN(2)/2))/(LN(2)/2)*DB164*DE164*VLOOKUP('Données projet'!$B$13,Paramètres!$A$1:$I$89,3,0)*0.475*44/12</f>
        <v>1.7482004799517989E-13</v>
      </c>
      <c r="DI164" s="22">
        <f t="shared" si="175"/>
        <v>51.171219612590022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-7.9580786405131221E-13</v>
      </c>
      <c r="DP164" s="17">
        <f>DO164*VLOOKUP('Données projet'!$B$14,Paramètres!$A$1:$I$89,3,0)*VLOOKUP('Données projet'!$B$14,Paramètres!$A$1:$I$89,5,0)</f>
        <v>-7.2004695539362725E-13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401.17301323870578</v>
      </c>
      <c r="DU164" s="59">
        <f t="shared" si="152"/>
        <v>201.57993789149754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158.86139808381185</v>
      </c>
      <c r="EB164" s="21">
        <f>EXP(-LN(2)/25)*EB163+(1-EXP(-LN(2)/25))/(LN(2)/25)*Calculateur!DW164*Calculateur!DY164*VLOOKUP('Données projet'!$B$14,Paramètres!$A$1:$I$89,3,0)*0.475*44/12</f>
        <v>25.370310618870352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184.2317087026822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1.7053025658242404E-13</v>
      </c>
      <c r="EK164" s="17">
        <f>EJ164*VLOOKUP('Données projet'!$B$15,Paramètres!$A$1:$I$89,3,0)*VLOOKUP('Données projet'!$B$15,Paramètres!$A$1:$I$89,5,0)</f>
        <v>1.4897523215040567E-13</v>
      </c>
      <c r="EL164" s="13">
        <f t="shared" si="179"/>
        <v>2.136562777003313E-12</v>
      </c>
      <c r="EM164" s="20">
        <f t="shared" si="180"/>
        <v>3.9806453659427267E-12</v>
      </c>
      <c r="EN164" s="59">
        <f t="shared" si="128"/>
        <v>293.33333333333729</v>
      </c>
      <c r="EO164" s="59">
        <f ca="1">AVERAGE(OFFSET($EN$3,0,0,'Données projet'!$E$15+1,1))-AVERAGE(OFFSET($H$3,0,0,'Données projet'!$E$15+1,1))</f>
        <v>237.8483058552178</v>
      </c>
      <c r="EP164" s="59">
        <f t="shared" si="154"/>
        <v>313.36201272119723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13.420129759301169</v>
      </c>
      <c r="EW164" s="21">
        <f>EXP(-LN(2)/25)*EW163+(1-EXP(-LN(2)/25))/(LN(2)/25)*Calculateur!ER164*Calculateur!ET164*VLOOKUP('Données projet'!$B$15,Paramètres!$A$1:$I$89,3,0)*0.475*44/12</f>
        <v>0.42549937493387352</v>
      </c>
      <c r="EX164" s="21">
        <f>EXP(-LN(2)/2)*EX163+(1-EXP(-LN(2)/2))/(LN(2)/2)*ER164*EU164*VLOOKUP('Données projet'!$B$15,Paramètres!$A$1:$I$89,3,0)*0.475*44/12</f>
        <v>8.2781522568057282E-13</v>
      </c>
      <c r="EY164" s="22">
        <f t="shared" si="181"/>
        <v>13.845629134235869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-2.8421709430404007E-13</v>
      </c>
      <c r="FF164" s="17">
        <f>FE164*VLOOKUP('Données projet'!$B$16,Paramètres!$A$1:$I$89,3,0)*VLOOKUP('Données projet'!$B$16,Paramètres!$A$1:$I$89,5,0)</f>
        <v>-2.2168933355715128E-13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318.52984981739411</v>
      </c>
      <c r="FK164" s="59">
        <f t="shared" si="156"/>
        <v>311.56398336941714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23.83377760792095</v>
      </c>
      <c r="FR164" s="21">
        <f>EXP(-LN(2)/25)*FR163+(1-EXP(-LN(2)/25))/(LN(2)/25)*Calculateur!FM164*Calculateur!FO164*VLOOKUP('Données projet'!$B$16,Paramètres!$A$1:$I$89,3,0)*0.475*44/12</f>
        <v>0.42477976113089944</v>
      </c>
      <c r="FS164" s="21">
        <f>EXP(-LN(2)/2)*FS163+(1-EXP(-LN(2)/2))/(LN(2)/2)*FM164*FP164*VLOOKUP('Données projet'!$B$16,Paramètres!$A$1:$I$89,3,0)*0.475*44/12</f>
        <v>3.6354249919647546E-11</v>
      </c>
      <c r="FT164" s="22">
        <f t="shared" si="184"/>
        <v>24.258557369088205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-2.8421709430404007E-13</v>
      </c>
      <c r="GA164" s="17">
        <f>FZ164*VLOOKUP('Données projet'!$B$17,Paramètres!$A$1:$I$89,3,0)*VLOOKUP('Données projet'!$B$17,Paramètres!$A$1:$I$89,5,0)</f>
        <v>-2.2612312022829427E-13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325.72928944930294</v>
      </c>
      <c r="GF164" s="59">
        <f t="shared" si="158"/>
        <v>318.38876834819752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29.96404691823739</v>
      </c>
      <c r="GM164" s="21">
        <f>EXP(-LN(2)/25)*GM163+(1-EXP(-LN(2)/25))/(LN(2)/25)*Calculateur!GH164*Calculateur!GJ164*VLOOKUP('Données projet'!$B$17,Paramètres!$A$1:$I$89,3,0)*0.475*44/12</f>
        <v>0.53403706713340493</v>
      </c>
      <c r="GN164" s="21">
        <f>EXP(-LN(2)/2)*GN163+(1-EXP(-LN(2)/2))/(LN(2)/2)*GH164*GK164*VLOOKUP('Données projet'!$B$17,Paramètres!$A$1:$I$89,3,0)*0.475*44/12</f>
        <v>3.7081334918040442E-11</v>
      </c>
      <c r="GO164" s="21">
        <f t="shared" si="187"/>
        <v>30.498083985407874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-2.8421709430404007E-13</v>
      </c>
      <c r="GV164" s="17">
        <f>GU164*VLOOKUP('Données projet'!$B$18,Paramètres!$A$1:$I$89,3,0)*VLOOKUP('Données projet'!$B$18,Paramètres!$A$1:$I$89,5,0)</f>
        <v>-1.9065282685915009E-13</v>
      </c>
      <c r="GW164" s="13" t="e">
        <f t="shared" si="188"/>
        <v>#NUM!</v>
      </c>
      <c r="GX164" s="20" t="e">
        <f t="shared" si="189"/>
        <v>#NUM!</v>
      </c>
      <c r="GY164" s="59" t="e">
        <f t="shared" si="137"/>
        <v>#NUM!</v>
      </c>
      <c r="GZ164" s="59">
        <f ca="1">AVERAGE(OFFSET($GY$3,0,0,'Données projet'!$E$18+1,1))-AVERAGE(OFFSET($H$3,0,0,'Données projet'!$E$18+1,1))</f>
        <v>268.04554291387961</v>
      </c>
      <c r="HA164" s="59">
        <f t="shared" si="160"/>
        <v>263.70463099437148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25.2638042643962</v>
      </c>
      <c r="HH164" s="21">
        <f>EXP(-LN(2)/25)*HH163+(1-EXP(-LN(2)/25))/(LN(2)/25)*Calculateur!HC164*Calculateur!HE164*VLOOKUP('Données projet'!$B$18,Paramètres!$A$1:$I$89,3,0)*0.475*44/12</f>
        <v>0.45026654679875444</v>
      </c>
      <c r="HI164" s="21">
        <f>EXP(-LN(2)/2)*HI163+(1-EXP(-LN(2)/2))/(LN(2)/2)*HC164*HF164*VLOOKUP('Données projet'!$B$18,Paramètres!$A$1:$I$89,3,0)*0.475*44/12</f>
        <v>3.1264654930896843E-11</v>
      </c>
      <c r="HJ164" s="22">
        <f t="shared" si="190"/>
        <v>25.714070811226218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-2.5124791136477146E-14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46.095319339746538</v>
      </c>
      <c r="T165" s="59">
        <f t="shared" si="142"/>
        <v>48.158174304064403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11.906125821097367</v>
      </c>
      <c r="AA165" s="21">
        <f>EXP(-LN(2)/25)*AA164+(1-EXP(-LN(2)/25))/(LN(2)/25)*Calculateur!V165*Calculateur!X165*VLOOKUP('Données projet'!$B$9,Paramètres!$A$1:$I$89,3,0)*0.475*44/12</f>
        <v>2.8208345768711589</v>
      </c>
      <c r="AB165" s="21">
        <f>EXP(-LN(2)/2)*AB164+(1-EXP(-LN(2)/2))/(LN(2)/2)*V165*Y165*VLOOKUP('Données projet'!$B$9,Paramètres!$A$1:$I$89,3,0)*0.475*44/12</f>
        <v>6.7156206175839647E-12</v>
      </c>
      <c r="AC165" s="22">
        <f t="shared" si="163"/>
        <v>14.726960397975242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-6.7984728957526396E-14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408.84545509668794</v>
      </c>
      <c r="AO165" s="59">
        <f t="shared" si="144"/>
        <v>409.9253979841132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24.949886385255908</v>
      </c>
      <c r="AV165" s="21">
        <f>EXP(-LN(2)/25)*AV164+(1-EXP(-LN(2)/25))/(LN(2)/25)*Calculateur!AQ165*Calculateur!AS165*VLOOKUP('Données projet'!$B$10,Paramètres!$A$1:$I$89,3,0)*0.475*44/12</f>
        <v>4.5085130061209062</v>
      </c>
      <c r="AW165" s="21">
        <f>EXP(-LN(2)/2)*AW164+(1-EXP(-LN(2)/2))/(LN(2)/2)*AQ165*AT165*VLOOKUP('Données projet'!$B$10,Paramètres!$A$1:$I$89,3,0)*0.475*44/12</f>
        <v>4.168971646518998E-14</v>
      </c>
      <c r="AX165" s="21">
        <f t="shared" si="166"/>
        <v>29.458399391376858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-6.7984728957526396E-14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279.69031306919914</v>
      </c>
      <c r="BJ165" s="59">
        <f t="shared" si="146"/>
        <v>297.01680128882509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22.635962879265762</v>
      </c>
      <c r="BQ165" s="21">
        <f>EXP(-LN(2)/25)*BQ164+(1-EXP(-LN(2)/25))/(LN(2)/25)*Calculateur!BL165*Calculateur!BN165*VLOOKUP('Données projet'!$B$11,Paramètres!$A$1:$I$89,3,0)*0.475*44/12</f>
        <v>5.1140087850567522</v>
      </c>
      <c r="BR165" s="21">
        <f>EXP(-LN(2)/2)*BR164+(1-EXP(-LN(2)/2))/(LN(2)/2)*BL165*BO165*VLOOKUP('Données projet'!$B$11,Paramètres!$A$1:$I$89,3,0)*0.475*44/12</f>
        <v>9.7267709497632178E-14</v>
      </c>
      <c r="BS165" s="22">
        <f t="shared" si="169"/>
        <v>27.749971664322612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81.299024916151723</v>
      </c>
      <c r="CE165" s="59">
        <f t="shared" si="148"/>
        <v>88.106373324240167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6.695183992877733</v>
      </c>
      <c r="CL165" s="21">
        <f>EXP(-LN(2)/25)*CL164+(1-EXP(-LN(2)/25))/(LN(2)/25)*Calculateur!CG165*Calculateur!CI165*VLOOKUP('Données projet'!$B$12,Paramètres!$A$1:$I$89,3,0)*0.475*44/12</f>
        <v>1.3680598633865675</v>
      </c>
      <c r="CM165" s="21">
        <f>EXP(-LN(2)/2)*CM164+(1-EXP(-LN(2)/2))/(LN(2)/2)*CG165*CJ165*VLOOKUP('Données projet'!$B$12,Paramètres!$A$1:$I$89,3,0)*0.475*44/12</f>
        <v>1.0660619150892626E-14</v>
      </c>
      <c r="CN165" s="22">
        <f t="shared" si="172"/>
        <v>8.0632438562643109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-3.4106051316484809E-13</v>
      </c>
      <c r="CU165" s="17">
        <f>CT165*VLOOKUP('Données projet'!$B$13,Paramètres!$A$1:$I$89,3,0)*VLOOKUP('Données projet'!$B$13,Paramètres!$A$1:$I$89,5,0)</f>
        <v>-1.9065282685915009E-13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475.42482703895411</v>
      </c>
      <c r="CZ165" s="59">
        <f t="shared" si="150"/>
        <v>593.51433014569966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45.735181948161575</v>
      </c>
      <c r="DG165" s="21">
        <f>EXP(-LN(2)/25)*DG164+(1-EXP(-LN(2)/25))/(LN(2)/25)*Calculateur!DB165*Calculateur!DD165*VLOOKUP('Données projet'!$B$13,Paramètres!$A$1:$I$89,3,0)*0.475*44/12</f>
        <v>4.3976263143926717</v>
      </c>
      <c r="DH165" s="21">
        <f>EXP(-LN(2)/2)*DH164+(1-EXP(-LN(2)/2))/(LN(2)/2)*DB165*DE165*VLOOKUP('Données projet'!$B$13,Paramètres!$A$1:$I$89,3,0)*0.475*44/12</f>
        <v>1.236164414247494E-13</v>
      </c>
      <c r="DI165" s="22">
        <f t="shared" si="175"/>
        <v>50.13280826255437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-7.9580786405131221E-13</v>
      </c>
      <c r="DP165" s="17">
        <f>DO165*VLOOKUP('Données projet'!$B$14,Paramètres!$A$1:$I$89,3,0)*VLOOKUP('Données projet'!$B$14,Paramètres!$A$1:$I$89,5,0)</f>
        <v>-7.2004695539362725E-13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401.17301323870578</v>
      </c>
      <c r="DU165" s="59">
        <f t="shared" si="152"/>
        <v>201.57993789149754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155.74622296327345</v>
      </c>
      <c r="EB165" s="21">
        <f>EXP(-LN(2)/25)*EB164+(1-EXP(-LN(2)/25))/(LN(2)/25)*Calculateur!DW165*Calculateur!DY165*VLOOKUP('Données projet'!$B$14,Paramètres!$A$1:$I$89,3,0)*0.475*44/12</f>
        <v>24.676558140830693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180.42278110410416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1.7053025658242404E-13</v>
      </c>
      <c r="EK165" s="17">
        <f>EJ165*VLOOKUP('Données projet'!$B$15,Paramètres!$A$1:$I$89,3,0)*VLOOKUP('Données projet'!$B$15,Paramètres!$A$1:$I$89,5,0)</f>
        <v>1.4897523215040567E-13</v>
      </c>
      <c r="EL165" s="13">
        <f t="shared" si="179"/>
        <v>2.136562777003313E-12</v>
      </c>
      <c r="EM165" s="20">
        <f t="shared" si="180"/>
        <v>3.9806453659427267E-12</v>
      </c>
      <c r="EN165" s="59">
        <f t="shared" si="128"/>
        <v>293.33333333333729</v>
      </c>
      <c r="EO165" s="59">
        <f ca="1">AVERAGE(OFFSET($EN$3,0,0,'Données projet'!$E$15+1,1))-AVERAGE(OFFSET($H$3,0,0,'Données projet'!$E$15+1,1))</f>
        <v>237.8483058552178</v>
      </c>
      <c r="EP165" s="59">
        <f t="shared" si="154"/>
        <v>313.36201272119723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13.156969200192178</v>
      </c>
      <c r="EW165" s="21">
        <f>EXP(-LN(2)/25)*EW164+(1-EXP(-LN(2)/25))/(LN(2)/25)*Calculateur!ER165*Calculateur!ET165*VLOOKUP('Données projet'!$B$15,Paramètres!$A$1:$I$89,3,0)*0.475*44/12</f>
        <v>0.4138640721502671</v>
      </c>
      <c r="EX165" s="21">
        <f>EXP(-LN(2)/2)*EX164+(1-EXP(-LN(2)/2))/(LN(2)/2)*ER165*EU165*VLOOKUP('Données projet'!$B$15,Paramètres!$A$1:$I$89,3,0)*0.475*44/12</f>
        <v>5.8535375964820525E-13</v>
      </c>
      <c r="EY165" s="22">
        <f t="shared" si="181"/>
        <v>13.57083327234303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-2.8421709430404007E-13</v>
      </c>
      <c r="FF165" s="17">
        <f>FE165*VLOOKUP('Données projet'!$B$16,Paramètres!$A$1:$I$89,3,0)*VLOOKUP('Données projet'!$B$16,Paramètres!$A$1:$I$89,5,0)</f>
        <v>-2.2168933355715128E-13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318.52984981739411</v>
      </c>
      <c r="FK165" s="59">
        <f t="shared" si="156"/>
        <v>311.56398336941714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23.366411766198535</v>
      </c>
      <c r="FR165" s="21">
        <f>EXP(-LN(2)/25)*FR164+(1-EXP(-LN(2)/25))/(LN(2)/25)*Calculateur!FM165*Calculateur!FO165*VLOOKUP('Données projet'!$B$16,Paramètres!$A$1:$I$89,3,0)*0.475*44/12</f>
        <v>0.4131641362245782</v>
      </c>
      <c r="FS165" s="21">
        <f>EXP(-LN(2)/2)*FS164+(1-EXP(-LN(2)/2))/(LN(2)/2)*FM165*FP165*VLOOKUP('Données projet'!$B$16,Paramètres!$A$1:$I$89,3,0)*0.475*44/12</f>
        <v>2.5706336643133281E-11</v>
      </c>
      <c r="FT165" s="22">
        <f t="shared" si="184"/>
        <v>23.779575902448819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-2.8421709430404007E-13</v>
      </c>
      <c r="GA165" s="17">
        <f>FZ165*VLOOKUP('Données projet'!$B$17,Paramètres!$A$1:$I$89,3,0)*VLOOKUP('Données projet'!$B$17,Paramètres!$A$1:$I$89,5,0)</f>
        <v>-2.2612312022829427E-13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325.72928944930294</v>
      </c>
      <c r="GF165" s="59">
        <f t="shared" si="158"/>
        <v>318.38876834819752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29.376470234434745</v>
      </c>
      <c r="GM165" s="21">
        <f>EXP(-LN(2)/25)*GM164+(1-EXP(-LN(2)/25))/(LN(2)/25)*Calculateur!GH165*Calculateur!GJ165*VLOOKUP('Données projet'!$B$17,Paramètres!$A$1:$I$89,3,0)*0.475*44/12</f>
        <v>0.51943379544885315</v>
      </c>
      <c r="GN165" s="21">
        <f>EXP(-LN(2)/2)*GN164+(1-EXP(-LN(2)/2))/(LN(2)/2)*GH165*GK165*VLOOKUP('Données projet'!$B$17,Paramètres!$A$1:$I$89,3,0)*0.475*44/12</f>
        <v>2.6220463375995907E-11</v>
      </c>
      <c r="GO165" s="21">
        <f t="shared" si="187"/>
        <v>29.895904029909818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-2.8421709430404007E-13</v>
      </c>
      <c r="GV165" s="17">
        <f>GU165*VLOOKUP('Données projet'!$B$18,Paramètres!$A$1:$I$89,3,0)*VLOOKUP('Données projet'!$B$18,Paramètres!$A$1:$I$89,5,0)</f>
        <v>-1.9065282685915009E-13</v>
      </c>
      <c r="GW165" s="13" t="e">
        <f t="shared" si="188"/>
        <v>#NUM!</v>
      </c>
      <c r="GX165" s="20" t="e">
        <f t="shared" si="189"/>
        <v>#NUM!</v>
      </c>
      <c r="GY165" s="59" t="e">
        <f t="shared" si="137"/>
        <v>#NUM!</v>
      </c>
      <c r="GZ165" s="59">
        <f ca="1">AVERAGE(OFFSET($GY$3,0,0,'Données projet'!$E$18+1,1))-AVERAGE(OFFSET($H$3,0,0,'Données projet'!$E$18+1,1))</f>
        <v>268.04554291387961</v>
      </c>
      <c r="HA165" s="59">
        <f t="shared" si="160"/>
        <v>263.70463099437148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24.768396472170441</v>
      </c>
      <c r="HH165" s="21">
        <f>EXP(-LN(2)/25)*HH164+(1-EXP(-LN(2)/25))/(LN(2)/25)*Calculateur!HC165*Calculateur!HE165*VLOOKUP('Données projet'!$B$18,Paramètres!$A$1:$I$89,3,0)*0.475*44/12</f>
        <v>0.43795398439805389</v>
      </c>
      <c r="HI165" s="21">
        <f>EXP(-LN(2)/2)*HI164+(1-EXP(-LN(2)/2))/(LN(2)/2)*HC165*HF165*VLOOKUP('Données projet'!$B$18,Paramètres!$A$1:$I$89,3,0)*0.475*44/12</f>
        <v>2.2107449513094589E-11</v>
      </c>
      <c r="HJ165" s="22">
        <f t="shared" si="190"/>
        <v>25.206350456590602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-2.5124791136477146E-14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46.095319339746538</v>
      </c>
      <c r="T166" s="59">
        <f t="shared" si="142"/>
        <v>48.158174304064403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11.672653955765334</v>
      </c>
      <c r="AA166" s="21">
        <f>EXP(-LN(2)/25)*AA165+(1-EXP(-LN(2)/25))/(LN(2)/25)*Calculateur!V166*Calculateur!X166*VLOOKUP('Données projet'!$B$9,Paramètres!$A$1:$I$89,3,0)*0.475*44/12</f>
        <v>2.7436987070253736</v>
      </c>
      <c r="AB166" s="21">
        <f>EXP(-LN(2)/2)*AB165+(1-EXP(-LN(2)/2))/(LN(2)/2)*V166*Y166*VLOOKUP('Données projet'!$B$9,Paramètres!$A$1:$I$89,3,0)*0.475*44/12</f>
        <v>4.7486608785698116E-12</v>
      </c>
      <c r="AC166" s="22">
        <f t="shared" si="163"/>
        <v>14.416352662795456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-6.7984728957526396E-14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408.84545509668794</v>
      </c>
      <c r="AO166" s="59">
        <f t="shared" si="144"/>
        <v>409.9253979841132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24.460634331169089</v>
      </c>
      <c r="AV166" s="21">
        <f>EXP(-LN(2)/25)*AV165+(1-EXP(-LN(2)/25))/(LN(2)/25)*Calculateur!AQ166*Calculateur!AS166*VLOOKUP('Données projet'!$B$10,Paramètres!$A$1:$I$89,3,0)*0.475*44/12</f>
        <v>4.3852274808761358</v>
      </c>
      <c r="AW166" s="21">
        <f>EXP(-LN(2)/2)*AW165+(1-EXP(-LN(2)/2))/(LN(2)/2)*AQ166*AT166*VLOOKUP('Données projet'!$B$10,Paramètres!$A$1:$I$89,3,0)*0.475*44/12</f>
        <v>2.9479081218280298E-14</v>
      </c>
      <c r="AX166" s="21">
        <f t="shared" si="166"/>
        <v>28.845861812045253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-6.7984728957526396E-14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279.69031306919914</v>
      </c>
      <c r="BJ166" s="59">
        <f t="shared" si="146"/>
        <v>297.01680128882509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22.19208545377743</v>
      </c>
      <c r="BQ166" s="21">
        <f>EXP(-LN(2)/25)*BQ165+(1-EXP(-LN(2)/25))/(LN(2)/25)*Calculateur!BL166*Calculateur!BN166*VLOOKUP('Données projet'!$B$11,Paramètres!$A$1:$I$89,3,0)*0.475*44/12</f>
        <v>4.9741659458953418</v>
      </c>
      <c r="BR166" s="21">
        <f>EXP(-LN(2)/2)*BR165+(1-EXP(-LN(2)/2))/(LN(2)/2)*BL166*BO166*VLOOKUP('Données projet'!$B$11,Paramètres!$A$1:$I$89,3,0)*0.475*44/12</f>
        <v>6.8778656976258865E-14</v>
      </c>
      <c r="BS166" s="22">
        <f t="shared" si="169"/>
        <v>27.166251399672841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81.299024916151723</v>
      </c>
      <c r="CE166" s="59">
        <f t="shared" si="148"/>
        <v>88.106373324240167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6.5638955184364081</v>
      </c>
      <c r="CL166" s="21">
        <f>EXP(-LN(2)/25)*CL165+(1-EXP(-LN(2)/25))/(LN(2)/25)*Calculateur!CG166*Calculateur!CI166*VLOOKUP('Données projet'!$B$12,Paramètres!$A$1:$I$89,3,0)*0.475*44/12</f>
        <v>1.3306501944791203</v>
      </c>
      <c r="CM166" s="21">
        <f>EXP(-LN(2)/2)*CM165+(1-EXP(-LN(2)/2))/(LN(2)/2)*CG166*CJ166*VLOOKUP('Données projet'!$B$12,Paramètres!$A$1:$I$89,3,0)*0.475*44/12</f>
        <v>7.5381960932433496E-15</v>
      </c>
      <c r="CN166" s="22">
        <f t="shared" si="172"/>
        <v>7.8945457129155354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-3.4106051316484809E-13</v>
      </c>
      <c r="CU166" s="17">
        <f>CT166*VLOOKUP('Données projet'!$B$13,Paramètres!$A$1:$I$89,3,0)*VLOOKUP('Données projet'!$B$13,Paramètres!$A$1:$I$89,5,0)</f>
        <v>-1.9065282685915009E-13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475.42482703895411</v>
      </c>
      <c r="CZ166" s="59">
        <f t="shared" si="150"/>
        <v>593.51433014569966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44.838342925864644</v>
      </c>
      <c r="DG166" s="21">
        <f>EXP(-LN(2)/25)*DG165+(1-EXP(-LN(2)/25))/(LN(2)/25)*Calculateur!DB166*Calculateur!DD166*VLOOKUP('Données projet'!$B$13,Paramètres!$A$1:$I$89,3,0)*0.475*44/12</f>
        <v>4.2773729915644871</v>
      </c>
      <c r="DH166" s="21">
        <f>EXP(-LN(2)/2)*DH165+(1-EXP(-LN(2)/2))/(LN(2)/2)*DB166*DE166*VLOOKUP('Données projet'!$B$13,Paramètres!$A$1:$I$89,3,0)*0.475*44/12</f>
        <v>8.7410023997589947E-14</v>
      </c>
      <c r="DI166" s="22">
        <f t="shared" si="175"/>
        <v>49.115715917429213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-7.9580786405131221E-13</v>
      </c>
      <c r="DP166" s="17">
        <f>DO166*VLOOKUP('Données projet'!$B$14,Paramètres!$A$1:$I$89,3,0)*VLOOKUP('Données projet'!$B$14,Paramètres!$A$1:$I$89,5,0)</f>
        <v>-7.2004695539362725E-13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401.17301323870578</v>
      </c>
      <c r="DU166" s="59">
        <f t="shared" si="152"/>
        <v>201.57993789149754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152.6921345267796</v>
      </c>
      <c r="EB166" s="21">
        <f>EXP(-LN(2)/25)*EB165+(1-EXP(-LN(2)/25))/(LN(2)/25)*Calculateur!DW166*Calculateur!DY166*VLOOKUP('Données projet'!$B$14,Paramètres!$A$1:$I$89,3,0)*0.475*44/12</f>
        <v>24.001776360785883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176.69391088756549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1.7053025658242404E-13</v>
      </c>
      <c r="EK166" s="17">
        <f>EJ166*VLOOKUP('Données projet'!$B$15,Paramètres!$A$1:$I$89,3,0)*VLOOKUP('Données projet'!$B$15,Paramètres!$A$1:$I$89,5,0)</f>
        <v>1.4897523215040567E-13</v>
      </c>
      <c r="EL166" s="13">
        <f t="shared" si="179"/>
        <v>2.136562777003313E-12</v>
      </c>
      <c r="EM166" s="20">
        <f t="shared" si="180"/>
        <v>3.9806453659427267E-12</v>
      </c>
      <c r="EN166" s="59">
        <f t="shared" si="128"/>
        <v>293.33333333333729</v>
      </c>
      <c r="EO166" s="59">
        <f ca="1">AVERAGE(OFFSET($EN$3,0,0,'Données projet'!$E$15+1,1))-AVERAGE(OFFSET($H$3,0,0,'Données projet'!$E$15+1,1))</f>
        <v>237.8483058552178</v>
      </c>
      <c r="EP166" s="59">
        <f t="shared" si="154"/>
        <v>313.36201272119723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12.898969059135222</v>
      </c>
      <c r="EW166" s="21">
        <f>EXP(-LN(2)/25)*EW165+(1-EXP(-LN(2)/25))/(LN(2)/25)*Calculateur!ER166*Calculateur!ET166*VLOOKUP('Données projet'!$B$15,Paramètres!$A$1:$I$89,3,0)*0.475*44/12</f>
        <v>0.40254693733315239</v>
      </c>
      <c r="EX166" s="21">
        <f>EXP(-LN(2)/2)*EX165+(1-EXP(-LN(2)/2))/(LN(2)/2)*ER166*EU166*VLOOKUP('Données projet'!$B$15,Paramètres!$A$1:$I$89,3,0)*0.475*44/12</f>
        <v>4.1390761284028641E-13</v>
      </c>
      <c r="EY166" s="22">
        <f t="shared" si="181"/>
        <v>13.301515996468789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-2.8421709430404007E-13</v>
      </c>
      <c r="FF166" s="17">
        <f>FE166*VLOOKUP('Données projet'!$B$16,Paramètres!$A$1:$I$89,3,0)*VLOOKUP('Données projet'!$B$16,Paramètres!$A$1:$I$89,5,0)</f>
        <v>-2.2168933355715128E-13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318.52984981739411</v>
      </c>
      <c r="FK166" s="59">
        <f t="shared" si="156"/>
        <v>311.56398336941714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22.90821068356728</v>
      </c>
      <c r="FR166" s="21">
        <f>EXP(-LN(2)/25)*FR165+(1-EXP(-LN(2)/25))/(LN(2)/25)*Calculateur!FM166*Calculateur!FO166*VLOOKUP('Données projet'!$B$16,Paramètres!$A$1:$I$89,3,0)*0.475*44/12</f>
        <v>0.40186614119215947</v>
      </c>
      <c r="FS166" s="21">
        <f>EXP(-LN(2)/2)*FS165+(1-EXP(-LN(2)/2))/(LN(2)/2)*FM166*FP166*VLOOKUP('Données projet'!$B$16,Paramètres!$A$1:$I$89,3,0)*0.475*44/12</f>
        <v>1.8177124959823773E-11</v>
      </c>
      <c r="FT166" s="22">
        <f t="shared" si="184"/>
        <v>23.310076824777614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-2.8421709430404007E-13</v>
      </c>
      <c r="GA166" s="17">
        <f>FZ166*VLOOKUP('Données projet'!$B$17,Paramètres!$A$1:$I$89,3,0)*VLOOKUP('Données projet'!$B$17,Paramètres!$A$1:$I$89,5,0)</f>
        <v>-2.2612312022829427E-13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325.72928944930294</v>
      </c>
      <c r="GF166" s="59">
        <f t="shared" si="158"/>
        <v>318.38876834819752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28.80041557101508</v>
      </c>
      <c r="GM166" s="21">
        <f>EXP(-LN(2)/25)*GM165+(1-EXP(-LN(2)/25))/(LN(2)/25)*Calculateur!GH166*Calculateur!GJ166*VLOOKUP('Données projet'!$B$17,Paramètres!$A$1:$I$89,3,0)*0.475*44/12</f>
        <v>0.50522985099646811</v>
      </c>
      <c r="GN166" s="21">
        <f>EXP(-LN(2)/2)*GN165+(1-EXP(-LN(2)/2))/(LN(2)/2)*GH166*GK166*VLOOKUP('Données projet'!$B$17,Paramètres!$A$1:$I$89,3,0)*0.475*44/12</f>
        <v>1.8540667459020221E-11</v>
      </c>
      <c r="GO166" s="21">
        <f t="shared" si="187"/>
        <v>29.305645422030089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-2.8421709430404007E-13</v>
      </c>
      <c r="GV166" s="17">
        <f>GU166*VLOOKUP('Données projet'!$B$18,Paramètres!$A$1:$I$89,3,0)*VLOOKUP('Données projet'!$B$18,Paramètres!$A$1:$I$89,5,0)</f>
        <v>-1.9065282685915009E-13</v>
      </c>
      <c r="GW166" s="13" t="e">
        <f t="shared" si="188"/>
        <v>#NUM!</v>
      </c>
      <c r="GX166" s="20" t="e">
        <f t="shared" si="189"/>
        <v>#NUM!</v>
      </c>
      <c r="GY166" s="59" t="e">
        <f t="shared" si="137"/>
        <v>#NUM!</v>
      </c>
      <c r="GZ166" s="59">
        <f ca="1">AVERAGE(OFFSET($GY$3,0,0,'Données projet'!$E$18+1,1))-AVERAGE(OFFSET($H$3,0,0,'Données projet'!$E$18+1,1))</f>
        <v>268.04554291387961</v>
      </c>
      <c r="HA166" s="59">
        <f t="shared" si="160"/>
        <v>263.70463099437148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24.282703324581313</v>
      </c>
      <c r="HH166" s="21">
        <f>EXP(-LN(2)/25)*HH165+(1-EXP(-LN(2)/25))/(LN(2)/25)*Calculateur!HC166*Calculateur!HE166*VLOOKUP('Données projet'!$B$18,Paramètres!$A$1:$I$89,3,0)*0.475*44/12</f>
        <v>0.42597810966369004</v>
      </c>
      <c r="HI166" s="21">
        <f>EXP(-LN(2)/2)*HI165+(1-EXP(-LN(2)/2))/(LN(2)/2)*HC166*HF166*VLOOKUP('Données projet'!$B$18,Paramètres!$A$1:$I$89,3,0)*0.475*44/12</f>
        <v>1.5632327465448422E-11</v>
      </c>
      <c r="HJ166" s="22">
        <f t="shared" si="190"/>
        <v>24.708681434260633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-2.5124791136477146E-14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46.095319339746538</v>
      </c>
      <c r="T167" s="59">
        <f t="shared" si="142"/>
        <v>48.158174304064403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11.443760331308685</v>
      </c>
      <c r="AA167" s="21">
        <f>EXP(-LN(2)/25)*AA166+(1-EXP(-LN(2)/25))/(LN(2)/25)*Calculateur!V167*Calculateur!X167*VLOOKUP('Données projet'!$B$9,Paramètres!$A$1:$I$89,3,0)*0.475*44/12</f>
        <v>2.6686721215969205</v>
      </c>
      <c r="AB167" s="21">
        <f>EXP(-LN(2)/2)*AB166+(1-EXP(-LN(2)/2))/(LN(2)/2)*V167*Y167*VLOOKUP('Données projet'!$B$9,Paramètres!$A$1:$I$89,3,0)*0.475*44/12</f>
        <v>3.3578103087919823E-12</v>
      </c>
      <c r="AC167" s="22">
        <f t="shared" si="163"/>
        <v>14.112432452908962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-6.7984728957526396E-14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408.84545509668794</v>
      </c>
      <c r="AO167" s="59">
        <f t="shared" si="144"/>
        <v>409.9253979841132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23.980976211448628</v>
      </c>
      <c r="AV167" s="21">
        <f>EXP(-LN(2)/25)*AV166+(1-EXP(-LN(2)/25))/(LN(2)/25)*Calculateur!AQ167*Calculateur!AS167*VLOOKUP('Données projet'!$B$10,Paramètres!$A$1:$I$89,3,0)*0.475*44/12</f>
        <v>4.2653132048024869</v>
      </c>
      <c r="AW167" s="21">
        <f>EXP(-LN(2)/2)*AW166+(1-EXP(-LN(2)/2))/(LN(2)/2)*AQ167*AT167*VLOOKUP('Données projet'!$B$10,Paramètres!$A$1:$I$89,3,0)*0.475*44/12</f>
        <v>2.084485823259499E-14</v>
      </c>
      <c r="AX167" s="21">
        <f t="shared" si="166"/>
        <v>28.246289416251138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-6.7984728957526396E-14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279.69031306919914</v>
      </c>
      <c r="BJ167" s="59">
        <f t="shared" si="146"/>
        <v>297.01680128882509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21.75691219386443</v>
      </c>
      <c r="BQ167" s="21">
        <f>EXP(-LN(2)/25)*BQ166+(1-EXP(-LN(2)/25))/(LN(2)/25)*Calculateur!BL167*Calculateur!BN167*VLOOKUP('Données projet'!$B$11,Paramètres!$A$1:$I$89,3,0)*0.475*44/12</f>
        <v>4.8381471165248149</v>
      </c>
      <c r="BR167" s="21">
        <f>EXP(-LN(2)/2)*BR166+(1-EXP(-LN(2)/2))/(LN(2)/2)*BL167*BO167*VLOOKUP('Données projet'!$B$11,Paramètres!$A$1:$I$89,3,0)*0.475*44/12</f>
        <v>4.8633854748816089E-14</v>
      </c>
      <c r="BS167" s="22">
        <f t="shared" si="169"/>
        <v>26.595059310389296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81.299024916151723</v>
      </c>
      <c r="CE167" s="59">
        <f t="shared" si="148"/>
        <v>88.106373324240167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6.4351815309008158</v>
      </c>
      <c r="CL167" s="21">
        <f>EXP(-LN(2)/25)*CL166+(1-EXP(-LN(2)/25))/(LN(2)/25)*Calculateur!CG167*Calculateur!CI167*VLOOKUP('Données projet'!$B$12,Paramètres!$A$1:$I$89,3,0)*0.475*44/12</f>
        <v>1.2942634949352363</v>
      </c>
      <c r="CM167" s="21">
        <f>EXP(-LN(2)/2)*CM166+(1-EXP(-LN(2)/2))/(LN(2)/2)*CG167*CJ167*VLOOKUP('Données projet'!$B$12,Paramètres!$A$1:$I$89,3,0)*0.475*44/12</f>
        <v>5.3303095754463128E-15</v>
      </c>
      <c r="CN167" s="22">
        <f t="shared" si="172"/>
        <v>7.729445025836057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-3.4106051316484809E-13</v>
      </c>
      <c r="CU167" s="17">
        <f>CT167*VLOOKUP('Données projet'!$B$13,Paramètres!$A$1:$I$89,3,0)*VLOOKUP('Données projet'!$B$13,Paramètres!$A$1:$I$89,5,0)</f>
        <v>-1.9065282685915009E-13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475.42482703895411</v>
      </c>
      <c r="CZ167" s="59">
        <f t="shared" si="150"/>
        <v>593.51433014569966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43.959090369777165</v>
      </c>
      <c r="DG167" s="21">
        <f>EXP(-LN(2)/25)*DG166+(1-EXP(-LN(2)/25))/(LN(2)/25)*Calculateur!DB167*Calculateur!DD167*VLOOKUP('Données projet'!$B$13,Paramètres!$A$1:$I$89,3,0)*0.475*44/12</f>
        <v>4.1604080021728871</v>
      </c>
      <c r="DH167" s="21">
        <f>EXP(-LN(2)/2)*DH166+(1-EXP(-LN(2)/2))/(LN(2)/2)*DB167*DE167*VLOOKUP('Données projet'!$B$13,Paramètres!$A$1:$I$89,3,0)*0.475*44/12</f>
        <v>6.1808220712374702E-14</v>
      </c>
      <c r="DI167" s="22">
        <f t="shared" si="175"/>
        <v>48.119498371950115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-7.9580786405131221E-13</v>
      </c>
      <c r="DP167" s="17">
        <f>DO167*VLOOKUP('Données projet'!$B$14,Paramètres!$A$1:$I$89,3,0)*VLOOKUP('Données projet'!$B$14,Paramètres!$A$1:$I$89,5,0)</f>
        <v>-7.2004695539362725E-13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401.17301323870578</v>
      </c>
      <c r="DU167" s="59">
        <f t="shared" si="152"/>
        <v>201.57993789149754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149.6979349017154</v>
      </c>
      <c r="EB167" s="21">
        <f>EXP(-LN(2)/25)*EB166+(1-EXP(-LN(2)/25))/(LN(2)/25)*Calculateur!DW167*Calculateur!DY167*VLOOKUP('Données projet'!$B$14,Paramètres!$A$1:$I$89,3,0)*0.475*44/12</f>
        <v>23.34544652400163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173.04338142571703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1.7053025658242404E-13</v>
      </c>
      <c r="EK167" s="17">
        <f>EJ167*VLOOKUP('Données projet'!$B$15,Paramètres!$A$1:$I$89,3,0)*VLOOKUP('Données projet'!$B$15,Paramètres!$A$1:$I$89,5,0)</f>
        <v>1.4897523215040567E-13</v>
      </c>
      <c r="EL167" s="13">
        <f t="shared" si="179"/>
        <v>2.136562777003313E-12</v>
      </c>
      <c r="EM167" s="20">
        <f t="shared" si="180"/>
        <v>3.9806453659427267E-12</v>
      </c>
      <c r="EN167" s="59">
        <f t="shared" si="128"/>
        <v>293.33333333333729</v>
      </c>
      <c r="EO167" s="59">
        <f ca="1">AVERAGE(OFFSET($EN$3,0,0,'Données projet'!$E$15+1,1))-AVERAGE(OFFSET($H$3,0,0,'Données projet'!$E$15+1,1))</f>
        <v>237.8483058552178</v>
      </c>
      <c r="EP167" s="59">
        <f t="shared" si="154"/>
        <v>313.36201272119723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12.646028143479846</v>
      </c>
      <c r="EW167" s="21">
        <f>EXP(-LN(2)/25)*EW166+(1-EXP(-LN(2)/25))/(LN(2)/25)*Calculateur!ER167*Calculateur!ET167*VLOOKUP('Données projet'!$B$15,Paramètres!$A$1:$I$89,3,0)*0.475*44/12</f>
        <v>0.39153927016275392</v>
      </c>
      <c r="EX167" s="21">
        <f>EXP(-LN(2)/2)*EX166+(1-EXP(-LN(2)/2))/(LN(2)/2)*ER167*EU167*VLOOKUP('Données projet'!$B$15,Paramètres!$A$1:$I$89,3,0)*0.475*44/12</f>
        <v>2.9267687982410262E-13</v>
      </c>
      <c r="EY167" s="22">
        <f t="shared" si="181"/>
        <v>13.037567413642893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-2.8421709430404007E-13</v>
      </c>
      <c r="FF167" s="17">
        <f>FE167*VLOOKUP('Données projet'!$B$16,Paramètres!$A$1:$I$89,3,0)*VLOOKUP('Données projet'!$B$16,Paramètres!$A$1:$I$89,5,0)</f>
        <v>-2.2168933355715128E-13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318.52984981739411</v>
      </c>
      <c r="FK167" s="59">
        <f t="shared" si="156"/>
        <v>311.56398336941714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22.458994644691359</v>
      </c>
      <c r="FR167" s="21">
        <f>EXP(-LN(2)/25)*FR166+(1-EXP(-LN(2)/25))/(LN(2)/25)*Calculateur!FM167*Calculateur!FO167*VLOOKUP('Données projet'!$B$16,Paramètres!$A$1:$I$89,3,0)*0.475*44/12</f>
        <v>0.39087709042803798</v>
      </c>
      <c r="FS167" s="21">
        <f>EXP(-LN(2)/2)*FS166+(1-EXP(-LN(2)/2))/(LN(2)/2)*FM167*FP167*VLOOKUP('Données projet'!$B$16,Paramètres!$A$1:$I$89,3,0)*0.475*44/12</f>
        <v>1.285316832156664E-11</v>
      </c>
      <c r="FT167" s="22">
        <f t="shared" si="184"/>
        <v>22.84987173513225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-2.8421709430404007E-13</v>
      </c>
      <c r="GA167" s="17">
        <f>FZ167*VLOOKUP('Données projet'!$B$17,Paramètres!$A$1:$I$89,3,0)*VLOOKUP('Données projet'!$B$17,Paramètres!$A$1:$I$89,5,0)</f>
        <v>-2.2612312022829427E-13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325.72928944930294</v>
      </c>
      <c r="GF167" s="59">
        <f t="shared" si="158"/>
        <v>318.38876834819752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28.235656988186424</v>
      </c>
      <c r="GM167" s="21">
        <f>EXP(-LN(2)/25)*GM166+(1-EXP(-LN(2)/25))/(LN(2)/25)*Calculateur!GH167*Calculateur!GJ167*VLOOKUP('Données projet'!$B$17,Paramètres!$A$1:$I$89,3,0)*0.475*44/12</f>
        <v>0.49141431415208653</v>
      </c>
      <c r="GN167" s="21">
        <f>EXP(-LN(2)/2)*GN166+(1-EXP(-LN(2)/2))/(LN(2)/2)*GH167*GK167*VLOOKUP('Données projet'!$B$17,Paramètres!$A$1:$I$89,3,0)*0.475*44/12</f>
        <v>1.3110231687997954E-11</v>
      </c>
      <c r="GO167" s="21">
        <f t="shared" si="187"/>
        <v>28.727071302351622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-2.8421709430404007E-13</v>
      </c>
      <c r="GV167" s="17">
        <f>GU167*VLOOKUP('Données projet'!$B$18,Paramètres!$A$1:$I$89,3,0)*VLOOKUP('Données projet'!$B$18,Paramètres!$A$1:$I$89,5,0)</f>
        <v>-1.9065282685915009E-13</v>
      </c>
      <c r="GW167" s="13" t="e">
        <f t="shared" si="188"/>
        <v>#NUM!</v>
      </c>
      <c r="GX167" s="20" t="e">
        <f t="shared" si="189"/>
        <v>#NUM!</v>
      </c>
      <c r="GY167" s="59" t="e">
        <f t="shared" si="137"/>
        <v>#NUM!</v>
      </c>
      <c r="GZ167" s="59">
        <f ca="1">AVERAGE(OFFSET($GY$3,0,0,'Données projet'!$E$18+1,1))-AVERAGE(OFFSET($H$3,0,0,'Données projet'!$E$18+1,1))</f>
        <v>268.04554291387961</v>
      </c>
      <c r="HA167" s="59">
        <f t="shared" si="160"/>
        <v>263.70463099437148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23.806534323372837</v>
      </c>
      <c r="HH167" s="21">
        <f>EXP(-LN(2)/25)*HH166+(1-EXP(-LN(2)/25))/(LN(2)/25)*Calculateur!HC167*Calculateur!HE167*VLOOKUP('Données projet'!$B$18,Paramètres!$A$1:$I$89,3,0)*0.475*44/12</f>
        <v>0.41432971585372125</v>
      </c>
      <c r="HI167" s="21">
        <f>EXP(-LN(2)/2)*HI166+(1-EXP(-LN(2)/2))/(LN(2)/2)*HC167*HF167*VLOOKUP('Données projet'!$B$18,Paramètres!$A$1:$I$89,3,0)*0.475*44/12</f>
        <v>1.1053724756547294E-11</v>
      </c>
      <c r="HJ167" s="22">
        <f t="shared" si="190"/>
        <v>24.220864039237611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-2.5124791136477146E-14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46.095319339746538</v>
      </c>
      <c r="T168" s="59">
        <f t="shared" si="142"/>
        <v>48.158174304064403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11.219355171216305</v>
      </c>
      <c r="AA168" s="21">
        <f>EXP(-LN(2)/25)*AA167+(1-EXP(-LN(2)/25))/(LN(2)/25)*Calculateur!V168*Calculateur!X168*VLOOKUP('Données projet'!$B$9,Paramètres!$A$1:$I$89,3,0)*0.475*44/12</f>
        <v>2.5956971420924853</v>
      </c>
      <c r="AB168" s="21">
        <f>EXP(-LN(2)/2)*AB167+(1-EXP(-LN(2)/2))/(LN(2)/2)*V168*Y168*VLOOKUP('Données projet'!$B$9,Paramètres!$A$1:$I$89,3,0)*0.475*44/12</f>
        <v>2.3743304392849058E-12</v>
      </c>
      <c r="AC168" s="22">
        <f t="shared" si="163"/>
        <v>13.815052313311165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-6.7984728957526396E-14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408.84545509668794</v>
      </c>
      <c r="AO168" s="59">
        <f t="shared" si="144"/>
        <v>409.9253979841132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23.510723894893317</v>
      </c>
      <c r="AV168" s="21">
        <f>EXP(-LN(2)/25)*AV167+(1-EXP(-LN(2)/25))/(LN(2)/25)*Calculateur!AQ168*Calculateur!AS168*VLOOKUP('Données projet'!$B$10,Paramètres!$A$1:$I$89,3,0)*0.475*44/12</f>
        <v>4.1486779909140896</v>
      </c>
      <c r="AW168" s="21">
        <f>EXP(-LN(2)/2)*AW167+(1-EXP(-LN(2)/2))/(LN(2)/2)*AQ168*AT168*VLOOKUP('Données projet'!$B$10,Paramètres!$A$1:$I$89,3,0)*0.475*44/12</f>
        <v>1.4739540609140149E-14</v>
      </c>
      <c r="AX168" s="21">
        <f t="shared" si="166"/>
        <v>27.659401885807419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-6.7984728957526396E-14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279.69031306919914</v>
      </c>
      <c r="BJ168" s="59">
        <f t="shared" si="146"/>
        <v>297.01680128882509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21.330272416148844</v>
      </c>
      <c r="BQ168" s="21">
        <f>EXP(-LN(2)/25)*BQ167+(1-EXP(-LN(2)/25))/(LN(2)/25)*Calculateur!BL168*Calculateur!BN168*VLOOKUP('Données projet'!$B$11,Paramètres!$A$1:$I$89,3,0)*0.475*44/12</f>
        <v>4.7058477291963445</v>
      </c>
      <c r="BR168" s="21">
        <f>EXP(-LN(2)/2)*BR167+(1-EXP(-LN(2)/2))/(LN(2)/2)*BL168*BO168*VLOOKUP('Données projet'!$B$11,Paramètres!$A$1:$I$89,3,0)*0.475*44/12</f>
        <v>3.4389328488129433E-14</v>
      </c>
      <c r="BS168" s="22">
        <f t="shared" si="169"/>
        <v>26.036120145345222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81.299024916151723</v>
      </c>
      <c r="CE168" s="59">
        <f t="shared" si="148"/>
        <v>88.106373324240167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6.3089915461530159</v>
      </c>
      <c r="CL168" s="21">
        <f>EXP(-LN(2)/25)*CL167+(1-EXP(-LN(2)/25))/(LN(2)/25)*Calculateur!CG168*Calculateur!CI168*VLOOKUP('Données projet'!$B$12,Paramètres!$A$1:$I$89,3,0)*0.475*44/12</f>
        <v>1.2588717916038732</v>
      </c>
      <c r="CM168" s="21">
        <f>EXP(-LN(2)/2)*CM167+(1-EXP(-LN(2)/2))/(LN(2)/2)*CG168*CJ168*VLOOKUP('Données projet'!$B$12,Paramètres!$A$1:$I$89,3,0)*0.475*44/12</f>
        <v>3.7690980466216748E-15</v>
      </c>
      <c r="CN168" s="22">
        <f t="shared" si="172"/>
        <v>7.5678633377568927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-3.4106051316484809E-13</v>
      </c>
      <c r="CU168" s="17">
        <f>CT168*VLOOKUP('Données projet'!$B$13,Paramètres!$A$1:$I$89,3,0)*VLOOKUP('Données projet'!$B$13,Paramètres!$A$1:$I$89,5,0)</f>
        <v>-1.9065282685915009E-13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475.42482703895411</v>
      </c>
      <c r="CZ168" s="59">
        <f t="shared" si="150"/>
        <v>593.51433014569966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43.097079420023455</v>
      </c>
      <c r="DG168" s="21">
        <f>EXP(-LN(2)/25)*DG167+(1-EXP(-LN(2)/25))/(LN(2)/25)*Calculateur!DB168*Calculateur!DD168*VLOOKUP('Données projet'!$B$13,Paramètres!$A$1:$I$89,3,0)*0.475*44/12</f>
        <v>4.0466414265671213</v>
      </c>
      <c r="DH168" s="21">
        <f>EXP(-LN(2)/2)*DH167+(1-EXP(-LN(2)/2))/(LN(2)/2)*DB168*DE168*VLOOKUP('Données projet'!$B$13,Paramètres!$A$1:$I$89,3,0)*0.475*44/12</f>
        <v>4.3705011998794973E-14</v>
      </c>
      <c r="DI168" s="22">
        <f t="shared" si="175"/>
        <v>47.143720846590618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-7.9580786405131221E-13</v>
      </c>
      <c r="DP168" s="17">
        <f>DO168*VLOOKUP('Données projet'!$B$14,Paramètres!$A$1:$I$89,3,0)*VLOOKUP('Données projet'!$B$14,Paramètres!$A$1:$I$89,5,0)</f>
        <v>-7.2004695539362725E-13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401.17301323870578</v>
      </c>
      <c r="DU168" s="59">
        <f t="shared" si="152"/>
        <v>201.57993789149754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146.76244970501725</v>
      </c>
      <c r="EB168" s="21">
        <f>EXP(-LN(2)/25)*EB167+(1-EXP(-LN(2)/25))/(LN(2)/25)*Calculateur!DW168*Calculateur!DY168*VLOOKUP('Données projet'!$B$14,Paramètres!$A$1:$I$89,3,0)*0.475*44/12</f>
        <v>22.70706406111913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169.46951376613637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1.7053025658242404E-13</v>
      </c>
      <c r="EK168" s="17">
        <f>EJ168*VLOOKUP('Données projet'!$B$15,Paramètres!$A$1:$I$89,3,0)*VLOOKUP('Données projet'!$B$15,Paramètres!$A$1:$I$89,5,0)</f>
        <v>1.4897523215040567E-13</v>
      </c>
      <c r="EL168" s="13">
        <f t="shared" si="179"/>
        <v>2.136562777003313E-12</v>
      </c>
      <c r="EM168" s="20">
        <f t="shared" si="180"/>
        <v>3.9806453659427267E-12</v>
      </c>
      <c r="EN168" s="59">
        <f t="shared" si="128"/>
        <v>293.33333333333729</v>
      </c>
      <c r="EO168" s="59">
        <f ca="1">AVERAGE(OFFSET($EN$3,0,0,'Données projet'!$E$15+1,1))-AVERAGE(OFFSET($H$3,0,0,'Données projet'!$E$15+1,1))</f>
        <v>237.8483058552178</v>
      </c>
      <c r="EP168" s="59">
        <f t="shared" si="154"/>
        <v>313.36201272119723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12.398047244901747</v>
      </c>
      <c r="EW168" s="21">
        <f>EXP(-LN(2)/25)*EW167+(1-EXP(-LN(2)/25))/(LN(2)/25)*Calculateur!ER168*Calculateur!ET168*VLOOKUP('Données projet'!$B$15,Paramètres!$A$1:$I$89,3,0)*0.475*44/12</f>
        <v>0.38083260822999809</v>
      </c>
      <c r="EX168" s="21">
        <f>EXP(-LN(2)/2)*EX167+(1-EXP(-LN(2)/2))/(LN(2)/2)*ER168*EU168*VLOOKUP('Données projet'!$B$15,Paramètres!$A$1:$I$89,3,0)*0.475*44/12</f>
        <v>2.069538064201432E-13</v>
      </c>
      <c r="EY168" s="22">
        <f t="shared" si="181"/>
        <v>12.778879853131953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-2.8421709430404007E-13</v>
      </c>
      <c r="FF168" s="17">
        <f>FE168*VLOOKUP('Données projet'!$B$16,Paramètres!$A$1:$I$89,3,0)*VLOOKUP('Données projet'!$B$16,Paramètres!$A$1:$I$89,5,0)</f>
        <v>-2.2168933355715128E-13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318.52984981739411</v>
      </c>
      <c r="FK168" s="59">
        <f t="shared" si="156"/>
        <v>311.56398336941714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22.018587458343067</v>
      </c>
      <c r="FR168" s="21">
        <f>EXP(-LN(2)/25)*FR167+(1-EXP(-LN(2)/25))/(LN(2)/25)*Calculateur!FM168*Calculateur!FO168*VLOOKUP('Données projet'!$B$16,Paramètres!$A$1:$I$89,3,0)*0.475*44/12</f>
        <v>0.38018853583495044</v>
      </c>
      <c r="FS168" s="21">
        <f>EXP(-LN(2)/2)*FS167+(1-EXP(-LN(2)/2))/(LN(2)/2)*FM168*FP168*VLOOKUP('Données projet'!$B$16,Paramètres!$A$1:$I$89,3,0)*0.475*44/12</f>
        <v>9.0885624799118865E-12</v>
      </c>
      <c r="FT168" s="22">
        <f t="shared" si="184"/>
        <v>22.398775994187105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-2.8421709430404007E-13</v>
      </c>
      <c r="GA168" s="17">
        <f>FZ168*VLOOKUP('Données projet'!$B$17,Paramètres!$A$1:$I$89,3,0)*VLOOKUP('Données projet'!$B$17,Paramètres!$A$1:$I$89,5,0)</f>
        <v>-2.2612312022829427E-13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325.72928944930294</v>
      </c>
      <c r="GF168" s="59">
        <f t="shared" si="158"/>
        <v>318.38876834819752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27.681972976698315</v>
      </c>
      <c r="GM168" s="21">
        <f>EXP(-LN(2)/25)*GM167+(1-EXP(-LN(2)/25))/(LN(2)/25)*Calculateur!GH168*Calculateur!GJ168*VLOOKUP('Données projet'!$B$17,Paramètres!$A$1:$I$89,3,0)*0.475*44/12</f>
        <v>0.47797656388924209</v>
      </c>
      <c r="GN168" s="21">
        <f>EXP(-LN(2)/2)*GN167+(1-EXP(-LN(2)/2))/(LN(2)/2)*GH168*GK168*VLOOKUP('Données projet'!$B$17,Paramètres!$A$1:$I$89,3,0)*0.475*44/12</f>
        <v>9.2703337295101105E-12</v>
      </c>
      <c r="GO168" s="21">
        <f t="shared" si="187"/>
        <v>28.159949540596827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-2.8421709430404007E-13</v>
      </c>
      <c r="GV168" s="17">
        <f>GU168*VLOOKUP('Données projet'!$B$18,Paramètres!$A$1:$I$89,3,0)*VLOOKUP('Données projet'!$B$18,Paramètres!$A$1:$I$89,5,0)</f>
        <v>-1.9065282685915009E-13</v>
      </c>
      <c r="GW168" s="13" t="e">
        <f t="shared" si="188"/>
        <v>#NUM!</v>
      </c>
      <c r="GX168" s="20" t="e">
        <f t="shared" si="189"/>
        <v>#NUM!</v>
      </c>
      <c r="GY168" s="59" t="e">
        <f t="shared" si="137"/>
        <v>#NUM!</v>
      </c>
      <c r="GZ168" s="59">
        <f ca="1">AVERAGE(OFFSET($GY$3,0,0,'Données projet'!$E$18+1,1))-AVERAGE(OFFSET($H$3,0,0,'Données projet'!$E$18+1,1))</f>
        <v>268.04554291387961</v>
      </c>
      <c r="HA168" s="59">
        <f t="shared" si="160"/>
        <v>263.70463099437148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23.339702705843649</v>
      </c>
      <c r="HH168" s="21">
        <f>EXP(-LN(2)/25)*HH167+(1-EXP(-LN(2)/25))/(LN(2)/25)*Calculateur!HC168*Calculateur!HE168*VLOOKUP('Données projet'!$B$18,Paramètres!$A$1:$I$89,3,0)*0.475*44/12</f>
        <v>0.40299984798504845</v>
      </c>
      <c r="HI168" s="21">
        <f>EXP(-LN(2)/2)*HI167+(1-EXP(-LN(2)/2))/(LN(2)/2)*HC168*HF168*VLOOKUP('Données projet'!$B$18,Paramètres!$A$1:$I$89,3,0)*0.475*44/12</f>
        <v>7.8161637327242108E-12</v>
      </c>
      <c r="HJ168" s="22">
        <f t="shared" si="190"/>
        <v>23.742702553836512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-2.5124791136477146E-14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46.095319339746538</v>
      </c>
      <c r="T169" s="59">
        <f t="shared" si="142"/>
        <v>48.158174304064403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10.999350459439706</v>
      </c>
      <c r="AA169" s="21">
        <f>EXP(-LN(2)/25)*AA168+(1-EXP(-LN(2)/25))/(LN(2)/25)*Calculateur!V169*Calculateur!X169*VLOOKUP('Données projet'!$B$9,Paramètres!$A$1:$I$89,3,0)*0.475*44/12</f>
        <v>2.5247176672401861</v>
      </c>
      <c r="AB169" s="21">
        <f>EXP(-LN(2)/2)*AB168+(1-EXP(-LN(2)/2))/(LN(2)/2)*V169*Y169*VLOOKUP('Données projet'!$B$9,Paramètres!$A$1:$I$89,3,0)*0.475*44/12</f>
        <v>1.6789051543959912E-12</v>
      </c>
      <c r="AC169" s="22">
        <f t="shared" si="163"/>
        <v>13.52406812668157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-6.7984728957526396E-14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408.84545509668794</v>
      </c>
      <c r="AO169" s="59">
        <f t="shared" si="144"/>
        <v>409.9253979841132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23.049692939440064</v>
      </c>
      <c r="AV169" s="21">
        <f>EXP(-LN(2)/25)*AV168+(1-EXP(-LN(2)/25))/(LN(2)/25)*Calculateur!AQ169*Calculateur!AS169*VLOOKUP('Données projet'!$B$10,Paramètres!$A$1:$I$89,3,0)*0.475*44/12</f>
        <v>4.0352321730830498</v>
      </c>
      <c r="AW169" s="21">
        <f>EXP(-LN(2)/2)*AW168+(1-EXP(-LN(2)/2))/(LN(2)/2)*AQ169*AT169*VLOOKUP('Données projet'!$B$10,Paramètres!$A$1:$I$89,3,0)*0.475*44/12</f>
        <v>1.0422429116297495E-14</v>
      </c>
      <c r="AX169" s="21">
        <f t="shared" si="166"/>
        <v>27.084925112523123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-6.7984728957526396E-14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279.69031306919914</v>
      </c>
      <c r="BJ169" s="59">
        <f t="shared" si="146"/>
        <v>297.01680128882509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20.91199878424969</v>
      </c>
      <c r="BQ169" s="21">
        <f>EXP(-LN(2)/25)*BQ168+(1-EXP(-LN(2)/25))/(LN(2)/25)*Calculateur!BL169*Calculateur!BN169*VLOOKUP('Données projet'!$B$11,Paramètres!$A$1:$I$89,3,0)*0.475*44/12</f>
        <v>4.5771660755716939</v>
      </c>
      <c r="BR169" s="21">
        <f>EXP(-LN(2)/2)*BR168+(1-EXP(-LN(2)/2))/(LN(2)/2)*BL169*BO169*VLOOKUP('Données projet'!$B$11,Paramètres!$A$1:$I$89,3,0)*0.475*44/12</f>
        <v>2.4316927374408044E-14</v>
      </c>
      <c r="BS169" s="22">
        <f t="shared" si="169"/>
        <v>25.489164859821408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81.299024916151723</v>
      </c>
      <c r="CE169" s="59">
        <f t="shared" si="148"/>
        <v>88.106373324240167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6.1852760700378298</v>
      </c>
      <c r="CL169" s="21">
        <f>EXP(-LN(2)/25)*CL168+(1-EXP(-LN(2)/25))/(LN(2)/25)*Calculateur!CG169*Calculateur!CI169*VLOOKUP('Données projet'!$B$12,Paramètres!$A$1:$I$89,3,0)*0.475*44/12</f>
        <v>1.2244478762612749</v>
      </c>
      <c r="CM169" s="21">
        <f>EXP(-LN(2)/2)*CM168+(1-EXP(-LN(2)/2))/(LN(2)/2)*CG169*CJ169*VLOOKUP('Données projet'!$B$12,Paramètres!$A$1:$I$89,3,0)*0.475*44/12</f>
        <v>2.6651547877231564E-15</v>
      </c>
      <c r="CN169" s="22">
        <f t="shared" si="172"/>
        <v>7.4097239462991071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-3.4106051316484809E-13</v>
      </c>
      <c r="CU169" s="17">
        <f>CT169*VLOOKUP('Données projet'!$B$13,Paramètres!$A$1:$I$89,3,0)*VLOOKUP('Données projet'!$B$13,Paramètres!$A$1:$I$89,5,0)</f>
        <v>-1.9065282685915009E-13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475.42482703895411</v>
      </c>
      <c r="CZ169" s="59">
        <f t="shared" si="150"/>
        <v>593.51433014569966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42.251971979219654</v>
      </c>
      <c r="DG169" s="21">
        <f>EXP(-LN(2)/25)*DG168+(1-EXP(-LN(2)/25))/(LN(2)/25)*Calculateur!DB169*Calculateur!DD169*VLOOKUP('Données projet'!$B$13,Paramètres!$A$1:$I$89,3,0)*0.475*44/12</f>
        <v>3.9359858039540194</v>
      </c>
      <c r="DH169" s="21">
        <f>EXP(-LN(2)/2)*DH168+(1-EXP(-LN(2)/2))/(LN(2)/2)*DB169*DE169*VLOOKUP('Données projet'!$B$13,Paramètres!$A$1:$I$89,3,0)*0.475*44/12</f>
        <v>3.0904110356187351E-14</v>
      </c>
      <c r="DI169" s="22">
        <f t="shared" si="175"/>
        <v>46.187957783173701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-7.9580786405131221E-13</v>
      </c>
      <c r="DP169" s="17">
        <f>DO169*VLOOKUP('Données projet'!$B$14,Paramètres!$A$1:$I$89,3,0)*VLOOKUP('Données projet'!$B$14,Paramètres!$A$1:$I$89,5,0)</f>
        <v>-7.2004695539362725E-13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401.17301323870578</v>
      </c>
      <c r="DU169" s="59">
        <f t="shared" si="152"/>
        <v>201.57993789149754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143.88452758255718</v>
      </c>
      <c r="EB169" s="21">
        <f>EXP(-LN(2)/25)*EB168+(1-EXP(-LN(2)/25))/(LN(2)/25)*Calculateur!DW169*Calculateur!DY169*VLOOKUP('Données projet'!$B$14,Paramètres!$A$1:$I$89,3,0)*0.475*44/12</f>
        <v>22.086138200255228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165.9706657828124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1.7053025658242404E-13</v>
      </c>
      <c r="EK169" s="17">
        <f>EJ169*VLOOKUP('Données projet'!$B$15,Paramètres!$A$1:$I$89,3,0)*VLOOKUP('Données projet'!$B$15,Paramètres!$A$1:$I$89,5,0)</f>
        <v>1.4897523215040567E-13</v>
      </c>
      <c r="EL169" s="13">
        <f t="shared" si="179"/>
        <v>2.136562777003313E-12</v>
      </c>
      <c r="EM169" s="20">
        <f t="shared" si="180"/>
        <v>3.9806453659427267E-12</v>
      </c>
      <c r="EN169" s="59">
        <f t="shared" si="128"/>
        <v>293.33333333333729</v>
      </c>
      <c r="EO169" s="59">
        <f ca="1">AVERAGE(OFFSET($EN$3,0,0,'Données projet'!$E$15+1,1))-AVERAGE(OFFSET($H$3,0,0,'Données projet'!$E$15+1,1))</f>
        <v>237.8483058552178</v>
      </c>
      <c r="EP169" s="59">
        <f t="shared" si="154"/>
        <v>313.36201272119723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12.154929100491351</v>
      </c>
      <c r="EW169" s="21">
        <f>EXP(-LN(2)/25)*EW168+(1-EXP(-LN(2)/25))/(LN(2)/25)*Calculateur!ER169*Calculateur!ET169*VLOOKUP('Données projet'!$B$15,Paramètres!$A$1:$I$89,3,0)*0.475*44/12</f>
        <v>0.37041872053083236</v>
      </c>
      <c r="EX169" s="21">
        <f>EXP(-LN(2)/2)*EX168+(1-EXP(-LN(2)/2))/(LN(2)/2)*ER169*EU169*VLOOKUP('Données projet'!$B$15,Paramètres!$A$1:$I$89,3,0)*0.475*44/12</f>
        <v>1.4633843991205131E-13</v>
      </c>
      <c r="EY169" s="22">
        <f t="shared" si="181"/>
        <v>12.525347821022329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-2.8421709430404007E-13</v>
      </c>
      <c r="FF169" s="17">
        <f>FE169*VLOOKUP('Données projet'!$B$16,Paramètres!$A$1:$I$89,3,0)*VLOOKUP('Données projet'!$B$16,Paramètres!$A$1:$I$89,5,0)</f>
        <v>-2.2168933355715128E-13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318.52984981739411</v>
      </c>
      <c r="FK169" s="59">
        <f t="shared" si="156"/>
        <v>311.56398336941714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21.586816388297205</v>
      </c>
      <c r="FR169" s="21">
        <f>EXP(-LN(2)/25)*FR168+(1-EXP(-LN(2)/25))/(LN(2)/25)*Calculateur!FM169*Calculateur!FO169*VLOOKUP('Données projet'!$B$16,Paramètres!$A$1:$I$89,3,0)*0.475*44/12</f>
        <v>0.36979226032929757</v>
      </c>
      <c r="FS169" s="21">
        <f>EXP(-LN(2)/2)*FS168+(1-EXP(-LN(2)/2))/(LN(2)/2)*FM169*FP169*VLOOKUP('Données projet'!$B$16,Paramètres!$A$1:$I$89,3,0)*0.475*44/12</f>
        <v>6.4265841607833202E-12</v>
      </c>
      <c r="FT169" s="22">
        <f t="shared" si="184"/>
        <v>21.95660864863293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-2.8421709430404007E-13</v>
      </c>
      <c r="GA169" s="17">
        <f>FZ169*VLOOKUP('Données projet'!$B$17,Paramètres!$A$1:$I$89,3,0)*VLOOKUP('Données projet'!$B$17,Paramètres!$A$1:$I$89,5,0)</f>
        <v>-2.2612312022829427E-13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325.72928944930294</v>
      </c>
      <c r="GF169" s="59">
        <f t="shared" si="158"/>
        <v>318.38876834819752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27.139146370961587</v>
      </c>
      <c r="GM169" s="21">
        <f>EXP(-LN(2)/25)*GM168+(1-EXP(-LN(2)/25))/(LN(2)/25)*Calculateur!GH169*Calculateur!GJ169*VLOOKUP('Données projet'!$B$17,Paramètres!$A$1:$I$89,3,0)*0.475*44/12</f>
        <v>0.46490626961399573</v>
      </c>
      <c r="GN169" s="21">
        <f>EXP(-LN(2)/2)*GN168+(1-EXP(-LN(2)/2))/(LN(2)/2)*GH169*GK169*VLOOKUP('Données projet'!$B$17,Paramètres!$A$1:$I$89,3,0)*0.475*44/12</f>
        <v>6.5551158439989768E-12</v>
      </c>
      <c r="GO169" s="21">
        <f t="shared" si="187"/>
        <v>27.604052640582136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-2.8421709430404007E-13</v>
      </c>
      <c r="GV169" s="17">
        <f>GU169*VLOOKUP('Données projet'!$B$18,Paramètres!$A$1:$I$89,3,0)*VLOOKUP('Données projet'!$B$18,Paramètres!$A$1:$I$89,5,0)</f>
        <v>-1.9065282685915009E-13</v>
      </c>
      <c r="GW169" s="13" t="e">
        <f t="shared" si="188"/>
        <v>#NUM!</v>
      </c>
      <c r="GX169" s="20" t="e">
        <f t="shared" si="189"/>
        <v>#NUM!</v>
      </c>
      <c r="GY169" s="59" t="e">
        <f t="shared" si="137"/>
        <v>#NUM!</v>
      </c>
      <c r="GZ169" s="59">
        <f ca="1">AVERAGE(OFFSET($GY$3,0,0,'Données projet'!$E$18+1,1))-AVERAGE(OFFSET($H$3,0,0,'Données projet'!$E$18+1,1))</f>
        <v>268.04554291387961</v>
      </c>
      <c r="HA169" s="59">
        <f t="shared" si="160"/>
        <v>263.70463099437148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22.882025371595034</v>
      </c>
      <c r="HH169" s="21">
        <f>EXP(-LN(2)/25)*HH168+(1-EXP(-LN(2)/25))/(LN(2)/25)*Calculateur!HC169*Calculateur!HE169*VLOOKUP('Données projet'!$B$18,Paramètres!$A$1:$I$89,3,0)*0.475*44/12</f>
        <v>0.39197979594905635</v>
      </c>
      <c r="HI169" s="21">
        <f>EXP(-LN(2)/2)*HI168+(1-EXP(-LN(2)/2))/(LN(2)/2)*HC169*HF169*VLOOKUP('Données projet'!$B$18,Paramètres!$A$1:$I$89,3,0)*0.475*44/12</f>
        <v>5.5268623782736471E-12</v>
      </c>
      <c r="HJ169" s="22">
        <f t="shared" si="190"/>
        <v>23.274005167549618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-2.5124791136477146E-14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46.095319339746538</v>
      </c>
      <c r="T170" s="59">
        <f t="shared" si="142"/>
        <v>48.158174304064403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10.783659905871421</v>
      </c>
      <c r="AA170" s="21">
        <f>EXP(-LN(2)/25)*AA169+(1-EXP(-LN(2)/25))/(LN(2)/25)*Calculateur!V170*Calculateur!X170*VLOOKUP('Données projet'!$B$9,Paramètres!$A$1:$I$89,3,0)*0.475*44/12</f>
        <v>2.4556791298603713</v>
      </c>
      <c r="AB170" s="21">
        <f>EXP(-LN(2)/2)*AB169+(1-EXP(-LN(2)/2))/(LN(2)/2)*V170*Y170*VLOOKUP('Données projet'!$B$9,Paramètres!$A$1:$I$89,3,0)*0.475*44/12</f>
        <v>1.1871652196424529E-12</v>
      </c>
      <c r="AC170" s="22">
        <f t="shared" si="163"/>
        <v>13.239339035732979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-6.7984728957526396E-14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408.84545509668794</v>
      </c>
      <c r="AO170" s="59">
        <f t="shared" si="144"/>
        <v>409.9253979841132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22.597702519822132</v>
      </c>
      <c r="AV170" s="21">
        <f>EXP(-LN(2)/25)*AV169+(1-EXP(-LN(2)/25))/(LN(2)/25)*Calculateur!AQ170*Calculateur!AS170*VLOOKUP('Données projet'!$B$10,Paramètres!$A$1:$I$89,3,0)*0.475*44/12</f>
        <v>3.9248885371064564</v>
      </c>
      <c r="AW170" s="21">
        <f>EXP(-LN(2)/2)*AW169+(1-EXP(-LN(2)/2))/(LN(2)/2)*AQ170*AT170*VLOOKUP('Données projet'!$B$10,Paramètres!$A$1:$I$89,3,0)*0.475*44/12</f>
        <v>7.3697703045700745E-15</v>
      </c>
      <c r="AX170" s="21">
        <f t="shared" si="166"/>
        <v>26.522591056928597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-6.7984728957526396E-14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279.69031306919914</v>
      </c>
      <c r="BJ170" s="59">
        <f t="shared" si="146"/>
        <v>297.01680128882509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20.501927243150355</v>
      </c>
      <c r="BQ170" s="21">
        <f>EXP(-LN(2)/25)*BQ169+(1-EXP(-LN(2)/25))/(LN(2)/25)*Calculateur!BL170*Calculateur!BN170*VLOOKUP('Données projet'!$B$11,Paramètres!$A$1:$I$89,3,0)*0.475*44/12</f>
        <v>4.4520032285324831</v>
      </c>
      <c r="BR170" s="21">
        <f>EXP(-LN(2)/2)*BR169+(1-EXP(-LN(2)/2))/(LN(2)/2)*BL170*BO170*VLOOKUP('Données projet'!$B$11,Paramètres!$A$1:$I$89,3,0)*0.475*44/12</f>
        <v>1.7194664244064716E-14</v>
      </c>
      <c r="BS170" s="22">
        <f t="shared" si="169"/>
        <v>24.953930471682856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81.299024916151723</v>
      </c>
      <c r="CE170" s="59">
        <f t="shared" si="148"/>
        <v>88.106373324240167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6.0639865789502725</v>
      </c>
      <c r="CL170" s="21">
        <f>EXP(-LN(2)/25)*CL169+(1-EXP(-LN(2)/25))/(LN(2)/25)*Calculateur!CG170*Calculateur!CI170*VLOOKUP('Données projet'!$B$12,Paramètres!$A$1:$I$89,3,0)*0.475*44/12</f>
        <v>1.1909652846939951</v>
      </c>
      <c r="CM170" s="21">
        <f>EXP(-LN(2)/2)*CM169+(1-EXP(-LN(2)/2))/(LN(2)/2)*CG170*CJ170*VLOOKUP('Données projet'!$B$12,Paramètres!$A$1:$I$89,3,0)*0.475*44/12</f>
        <v>1.8845490233108374E-15</v>
      </c>
      <c r="CN170" s="22">
        <f t="shared" si="172"/>
        <v>7.2549518636442691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-3.4106051316484809E-13</v>
      </c>
      <c r="CU170" s="17">
        <f>CT170*VLOOKUP('Données projet'!$B$13,Paramètres!$A$1:$I$89,3,0)*VLOOKUP('Données projet'!$B$13,Paramètres!$A$1:$I$89,5,0)</f>
        <v>-1.9065282685915009E-13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475.42482703895411</v>
      </c>
      <c r="CZ170" s="59">
        <f t="shared" si="150"/>
        <v>593.51433014569966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41.423436579865374</v>
      </c>
      <c r="DG170" s="21">
        <f>EXP(-LN(2)/25)*DG169+(1-EXP(-LN(2)/25))/(LN(2)/25)*Calculateur!DB170*Calculateur!DD170*VLOOKUP('Données projet'!$B$13,Paramètres!$A$1:$I$89,3,0)*0.475*44/12</f>
        <v>3.8283560651603992</v>
      </c>
      <c r="DH170" s="21">
        <f>EXP(-LN(2)/2)*DH169+(1-EXP(-LN(2)/2))/(LN(2)/2)*DB170*DE170*VLOOKUP('Données projet'!$B$13,Paramètres!$A$1:$I$89,3,0)*0.475*44/12</f>
        <v>2.1852505999397487E-14</v>
      </c>
      <c r="DI170" s="22">
        <f t="shared" si="175"/>
        <v>45.251792645025795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-7.9580786405131221E-13</v>
      </c>
      <c r="DP170" s="17">
        <f>DO170*VLOOKUP('Données projet'!$B$14,Paramètres!$A$1:$I$89,3,0)*VLOOKUP('Données projet'!$B$14,Paramètres!$A$1:$I$89,5,0)</f>
        <v>-7.2004695539362725E-13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401.17301323870578</v>
      </c>
      <c r="DU170" s="59">
        <f t="shared" si="152"/>
        <v>201.57993789149754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141.06303975755938</v>
      </c>
      <c r="EB170" s="21">
        <f>EXP(-LN(2)/25)*EB169+(1-EXP(-LN(2)/25))/(LN(2)/25)*Calculateur!DW170*Calculateur!DY170*VLOOKUP('Données projet'!$B$14,Paramètres!$A$1:$I$89,3,0)*0.475*44/12</f>
        <v>21.482191589709718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162.54523134726909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1.7053025658242404E-13</v>
      </c>
      <c r="EK170" s="17">
        <f>EJ170*VLOOKUP('Données projet'!$B$15,Paramètres!$A$1:$I$89,3,0)*VLOOKUP('Données projet'!$B$15,Paramètres!$A$1:$I$89,5,0)</f>
        <v>1.4897523215040567E-13</v>
      </c>
      <c r="EL170" s="13">
        <f t="shared" si="179"/>
        <v>2.136562777003313E-12</v>
      </c>
      <c r="EM170" s="20">
        <f t="shared" si="180"/>
        <v>3.9806453659427267E-12</v>
      </c>
      <c r="EN170" s="59">
        <f t="shared" si="128"/>
        <v>293.33333333333729</v>
      </c>
      <c r="EO170" s="59">
        <f ca="1">AVERAGE(OFFSET($EN$3,0,0,'Données projet'!$E$15+1,1))-AVERAGE(OFFSET($H$3,0,0,'Données projet'!$E$15+1,1))</f>
        <v>237.8483058552178</v>
      </c>
      <c r="EP170" s="59">
        <f t="shared" si="154"/>
        <v>313.36201272119723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11.916578354605418</v>
      </c>
      <c r="EW170" s="21">
        <f>EXP(-LN(2)/25)*EW169+(1-EXP(-LN(2)/25))/(LN(2)/25)*Calculateur!ER170*Calculateur!ET170*VLOOKUP('Données projet'!$B$15,Paramètres!$A$1:$I$89,3,0)*0.475*44/12</f>
        <v>0.36028960113844283</v>
      </c>
      <c r="EX170" s="21">
        <f>EXP(-LN(2)/2)*EX169+(1-EXP(-LN(2)/2))/(LN(2)/2)*ER170*EU170*VLOOKUP('Données projet'!$B$15,Paramètres!$A$1:$I$89,3,0)*0.475*44/12</f>
        <v>1.034769032100716E-13</v>
      </c>
      <c r="EY170" s="22">
        <f t="shared" si="181"/>
        <v>12.276867955743963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-2.8421709430404007E-13</v>
      </c>
      <c r="FF170" s="17">
        <f>FE170*VLOOKUP('Données projet'!$B$16,Paramètres!$A$1:$I$89,3,0)*VLOOKUP('Données projet'!$B$16,Paramètres!$A$1:$I$89,5,0)</f>
        <v>-2.2168933355715128E-13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318.52984981739411</v>
      </c>
      <c r="FK170" s="59">
        <f t="shared" si="156"/>
        <v>311.56398336941714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21.163512085580592</v>
      </c>
      <c r="FR170" s="21">
        <f>EXP(-LN(2)/25)*FR169+(1-EXP(-LN(2)/25))/(LN(2)/25)*Calculateur!FM170*Calculateur!FO170*VLOOKUP('Données projet'!$B$16,Paramètres!$A$1:$I$89,3,0)*0.475*44/12</f>
        <v>0.35968027152406312</v>
      </c>
      <c r="FS170" s="21">
        <f>EXP(-LN(2)/2)*FS169+(1-EXP(-LN(2)/2))/(LN(2)/2)*FM170*FP170*VLOOKUP('Données projet'!$B$16,Paramètres!$A$1:$I$89,3,0)*0.475*44/12</f>
        <v>4.5442812399559433E-12</v>
      </c>
      <c r="FT170" s="22">
        <f t="shared" si="184"/>
        <v>21.523192357109199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-2.8421709430404007E-13</v>
      </c>
      <c r="GA170" s="17">
        <f>FZ170*VLOOKUP('Données projet'!$B$17,Paramètres!$A$1:$I$89,3,0)*VLOOKUP('Données projet'!$B$17,Paramètres!$A$1:$I$89,5,0)</f>
        <v>-2.2612312022829427E-13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325.72928944930294</v>
      </c>
      <c r="GF170" s="59">
        <f t="shared" si="158"/>
        <v>318.38876834819752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26.60696426387182</v>
      </c>
      <c r="GM170" s="21">
        <f>EXP(-LN(2)/25)*GM169+(1-EXP(-LN(2)/25))/(LN(2)/25)*Calculateur!GH170*Calculateur!GJ170*VLOOKUP('Données projet'!$B$17,Paramètres!$A$1:$I$89,3,0)*0.475*44/12</f>
        <v>0.45219338322304287</v>
      </c>
      <c r="GN170" s="21">
        <f>EXP(-LN(2)/2)*GN169+(1-EXP(-LN(2)/2))/(LN(2)/2)*GH170*GK170*VLOOKUP('Données projet'!$B$17,Paramètres!$A$1:$I$89,3,0)*0.475*44/12</f>
        <v>4.6351668647550552E-12</v>
      </c>
      <c r="GO170" s="21">
        <f t="shared" si="187"/>
        <v>27.0591576470995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-2.8421709430404007E-13</v>
      </c>
      <c r="GV170" s="17">
        <f>GU170*VLOOKUP('Données projet'!$B$18,Paramètres!$A$1:$I$89,3,0)*VLOOKUP('Données projet'!$B$18,Paramètres!$A$1:$I$89,5,0)</f>
        <v>-1.9065282685915009E-13</v>
      </c>
      <c r="GW170" s="13" t="e">
        <f t="shared" si="188"/>
        <v>#NUM!</v>
      </c>
      <c r="GX170" s="20" t="e">
        <f t="shared" si="189"/>
        <v>#NUM!</v>
      </c>
      <c r="GY170" s="59" t="e">
        <f t="shared" si="137"/>
        <v>#NUM!</v>
      </c>
      <c r="GZ170" s="59">
        <f ca="1">AVERAGE(OFFSET($GY$3,0,0,'Données projet'!$E$18+1,1))-AVERAGE(OFFSET($H$3,0,0,'Données projet'!$E$18+1,1))</f>
        <v>268.04554291387961</v>
      </c>
      <c r="HA170" s="59">
        <f t="shared" si="160"/>
        <v>263.70463099437148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22.433322810715428</v>
      </c>
      <c r="HH170" s="21">
        <f>EXP(-LN(2)/25)*HH169+(1-EXP(-LN(2)/25))/(LN(2)/25)*Calculateur!HC170*Calculateur!HE170*VLOOKUP('Données projet'!$B$18,Paramètres!$A$1:$I$89,3,0)*0.475*44/12</f>
        <v>0.38126108781550783</v>
      </c>
      <c r="HI170" s="21">
        <f>EXP(-LN(2)/2)*HI169+(1-EXP(-LN(2)/2))/(LN(2)/2)*HC170*HF170*VLOOKUP('Données projet'!$B$18,Paramètres!$A$1:$I$89,3,0)*0.475*44/12</f>
        <v>3.9080818663621054E-12</v>
      </c>
      <c r="HJ170" s="22">
        <f t="shared" si="190"/>
        <v>22.814583898534842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-2.5124791136477146E-14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46.095319339746538</v>
      </c>
      <c r="T171" s="59">
        <f t="shared" si="142"/>
        <v>48.158174304064403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10.572198912500362</v>
      </c>
      <c r="AA171" s="21">
        <f>EXP(-LN(2)/25)*AA170+(1-EXP(-LN(2)/25))/(LN(2)/25)*Calculateur!V171*Calculateur!X171*VLOOKUP('Données projet'!$B$9,Paramètres!$A$1:$I$89,3,0)*0.475*44/12</f>
        <v>2.3885284549157864</v>
      </c>
      <c r="AB171" s="21">
        <f>EXP(-LN(2)/2)*AB170+(1-EXP(-LN(2)/2))/(LN(2)/2)*V171*Y171*VLOOKUP('Données projet'!$B$9,Paramètres!$A$1:$I$89,3,0)*0.475*44/12</f>
        <v>8.3945257719799559E-13</v>
      </c>
      <c r="AC171" s="22">
        <f t="shared" si="163"/>
        <v>12.960727367416988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-6.7984728957526396E-14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408.84545509668794</v>
      </c>
      <c r="AO171" s="59">
        <f t="shared" si="144"/>
        <v>409.9253979841132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22.154575356645974</v>
      </c>
      <c r="AV171" s="21">
        <f>EXP(-LN(2)/25)*AV170+(1-EXP(-LN(2)/25))/(LN(2)/25)*Calculateur!AQ171*Calculateur!AS171*VLOOKUP('Données projet'!$B$10,Paramètres!$A$1:$I$89,3,0)*0.475*44/12</f>
        <v>3.8175622536583624</v>
      </c>
      <c r="AW171" s="21">
        <f>EXP(-LN(2)/2)*AW170+(1-EXP(-LN(2)/2))/(LN(2)/2)*AQ171*AT171*VLOOKUP('Données projet'!$B$10,Paramètres!$A$1:$I$89,3,0)*0.475*44/12</f>
        <v>5.2112145581487475E-15</v>
      </c>
      <c r="AX171" s="21">
        <f t="shared" si="166"/>
        <v>25.97213761030434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-6.7984728957526396E-14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279.69031306919914</v>
      </c>
      <c r="BJ171" s="59">
        <f t="shared" si="146"/>
        <v>297.01680128882509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20.099896954853033</v>
      </c>
      <c r="BQ171" s="21">
        <f>EXP(-LN(2)/25)*BQ170+(1-EXP(-LN(2)/25))/(LN(2)/25)*Calculateur!BL171*Calculateur!BN171*VLOOKUP('Données projet'!$B$11,Paramètres!$A$1:$I$89,3,0)*0.475*44/12</f>
        <v>4.330262966127588</v>
      </c>
      <c r="BR171" s="21">
        <f>EXP(-LN(2)/2)*BR170+(1-EXP(-LN(2)/2))/(LN(2)/2)*BL171*BO171*VLOOKUP('Données projet'!$B$11,Paramètres!$A$1:$I$89,3,0)*0.475*44/12</f>
        <v>1.2158463687204022E-14</v>
      </c>
      <c r="BS171" s="22">
        <f t="shared" si="169"/>
        <v>24.430159920980632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81.299024916151723</v>
      </c>
      <c r="CE171" s="59">
        <f t="shared" si="148"/>
        <v>88.106373324240167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5.9450755008036582</v>
      </c>
      <c r="CL171" s="21">
        <f>EXP(-LN(2)/25)*CL170+(1-EXP(-LN(2)/25))/(LN(2)/25)*Calculateur!CG171*Calculateur!CI171*VLOOKUP('Données projet'!$B$12,Paramètres!$A$1:$I$89,3,0)*0.475*44/12</f>
        <v>1.1583982763538954</v>
      </c>
      <c r="CM171" s="21">
        <f>EXP(-LN(2)/2)*CM170+(1-EXP(-LN(2)/2))/(LN(2)/2)*CG171*CJ171*VLOOKUP('Données projet'!$B$12,Paramètres!$A$1:$I$89,3,0)*0.475*44/12</f>
        <v>1.3325773938615782E-15</v>
      </c>
      <c r="CN171" s="22">
        <f t="shared" si="172"/>
        <v>7.1034737771575553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-3.4106051316484809E-13</v>
      </c>
      <c r="CU171" s="17">
        <f>CT171*VLOOKUP('Données projet'!$B$13,Paramètres!$A$1:$I$89,3,0)*VLOOKUP('Données projet'!$B$13,Paramètres!$A$1:$I$89,5,0)</f>
        <v>-1.9065282685915009E-13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475.42482703895411</v>
      </c>
      <c r="CZ171" s="59">
        <f t="shared" si="150"/>
        <v>593.51433014569966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40.611148254335738</v>
      </c>
      <c r="DG171" s="21">
        <f>EXP(-LN(2)/25)*DG170+(1-EXP(-LN(2)/25))/(LN(2)/25)*Calculateur!DB171*Calculateur!DD171*VLOOKUP('Données projet'!$B$13,Paramètres!$A$1:$I$89,3,0)*0.475*44/12</f>
        <v>3.7236694672340924</v>
      </c>
      <c r="DH171" s="21">
        <f>EXP(-LN(2)/2)*DH170+(1-EXP(-LN(2)/2))/(LN(2)/2)*DB171*DE171*VLOOKUP('Données projet'!$B$13,Paramètres!$A$1:$I$89,3,0)*0.475*44/12</f>
        <v>1.5452055178093676E-14</v>
      </c>
      <c r="DI171" s="22">
        <f t="shared" si="175"/>
        <v>44.334817721569848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-7.9580786405131221E-13</v>
      </c>
      <c r="DP171" s="17">
        <f>DO171*VLOOKUP('Données projet'!$B$14,Paramètres!$A$1:$I$89,3,0)*VLOOKUP('Données projet'!$B$14,Paramètres!$A$1:$I$89,5,0)</f>
        <v>-7.2004695539362725E-13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401.17301323870578</v>
      </c>
      <c r="DU171" s="59">
        <f t="shared" si="152"/>
        <v>201.57993789149754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138.29687958787216</v>
      </c>
      <c r="EB171" s="21">
        <f>EXP(-LN(2)/25)*EB170+(1-EXP(-LN(2)/25))/(LN(2)/25)*Calculateur!DW171*Calculateur!DY171*VLOOKUP('Données projet'!$B$14,Paramètres!$A$1:$I$89,3,0)*0.475*44/12</f>
        <v>20.894759930989746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159.1916395188619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1.7053025658242404E-13</v>
      </c>
      <c r="EK171" s="17">
        <f>EJ171*VLOOKUP('Données projet'!$B$15,Paramètres!$A$1:$I$89,3,0)*VLOOKUP('Données projet'!$B$15,Paramètres!$A$1:$I$89,5,0)</f>
        <v>1.4897523215040567E-13</v>
      </c>
      <c r="EL171" s="13">
        <f t="shared" si="179"/>
        <v>2.136562777003313E-12</v>
      </c>
      <c r="EM171" s="20">
        <f t="shared" si="180"/>
        <v>3.9806453659427267E-12</v>
      </c>
      <c r="EN171" s="59">
        <f t="shared" si="128"/>
        <v>293.33333333333729</v>
      </c>
      <c r="EO171" s="59">
        <f ca="1">AVERAGE(OFFSET($EN$3,0,0,'Données projet'!$E$15+1,1))-AVERAGE(OFFSET($H$3,0,0,'Données projet'!$E$15+1,1))</f>
        <v>237.8483058552178</v>
      </c>
      <c r="EP171" s="59">
        <f t="shared" si="154"/>
        <v>313.36201272119723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11.682901521466707</v>
      </c>
      <c r="EW171" s="21">
        <f>EXP(-LN(2)/25)*EW170+(1-EXP(-LN(2)/25))/(LN(2)/25)*Calculateur!ER171*Calculateur!ET171*VLOOKUP('Données projet'!$B$15,Paramètres!$A$1:$I$89,3,0)*0.475*44/12</f>
        <v>0.35043746304850543</v>
      </c>
      <c r="EX171" s="21">
        <f>EXP(-LN(2)/2)*EX170+(1-EXP(-LN(2)/2))/(LN(2)/2)*ER171*EU171*VLOOKUP('Données projet'!$B$15,Paramètres!$A$1:$I$89,3,0)*0.475*44/12</f>
        <v>7.3169219956025656E-14</v>
      </c>
      <c r="EY171" s="22">
        <f t="shared" si="181"/>
        <v>12.033338984515286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-2.8421709430404007E-13</v>
      </c>
      <c r="FF171" s="17">
        <f>FE171*VLOOKUP('Données projet'!$B$16,Paramètres!$A$1:$I$89,3,0)*VLOOKUP('Données projet'!$B$16,Paramètres!$A$1:$I$89,5,0)</f>
        <v>-2.2168933355715128E-13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318.52984981739411</v>
      </c>
      <c r="FK171" s="59">
        <f t="shared" si="156"/>
        <v>311.56398336941714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20.748508522050123</v>
      </c>
      <c r="FR171" s="21">
        <f>EXP(-LN(2)/25)*FR170+(1-EXP(-LN(2)/25))/(LN(2)/25)*Calculateur!FM171*Calculateur!FO171*VLOOKUP('Données projet'!$B$16,Paramètres!$A$1:$I$89,3,0)*0.475*44/12</f>
        <v>0.34984479558447418</v>
      </c>
      <c r="FS171" s="21">
        <f>EXP(-LN(2)/2)*FS170+(1-EXP(-LN(2)/2))/(LN(2)/2)*FM171*FP171*VLOOKUP('Données projet'!$B$16,Paramètres!$A$1:$I$89,3,0)*0.475*44/12</f>
        <v>3.2132920803916601E-12</v>
      </c>
      <c r="FT171" s="22">
        <f t="shared" si="184"/>
        <v>21.098353317637809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-2.8421709430404007E-13</v>
      </c>
      <c r="GA171" s="17">
        <f>FZ171*VLOOKUP('Données projet'!$B$17,Paramètres!$A$1:$I$89,3,0)*VLOOKUP('Données projet'!$B$17,Paramètres!$A$1:$I$89,5,0)</f>
        <v>-2.2612312022829427E-13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325.72928944930294</v>
      </c>
      <c r="GF171" s="59">
        <f t="shared" si="158"/>
        <v>318.38876834819752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26.085217923303048</v>
      </c>
      <c r="GM171" s="21">
        <f>EXP(-LN(2)/25)*GM170+(1-EXP(-LN(2)/25))/(LN(2)/25)*Calculateur!GH171*Calculateur!GJ171*VLOOKUP('Données projet'!$B$17,Paramètres!$A$1:$I$89,3,0)*0.475*44/12</f>
        <v>0.43982813137899224</v>
      </c>
      <c r="GN171" s="21">
        <f>EXP(-LN(2)/2)*GN170+(1-EXP(-LN(2)/2))/(LN(2)/2)*GH171*GK171*VLOOKUP('Données projet'!$B$17,Paramètres!$A$1:$I$89,3,0)*0.475*44/12</f>
        <v>3.2775579219994884E-12</v>
      </c>
      <c r="GO171" s="21">
        <f t="shared" si="187"/>
        <v>26.525046054685319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-2.8421709430404007E-13</v>
      </c>
      <c r="GV171" s="17">
        <f>GU171*VLOOKUP('Données projet'!$B$18,Paramètres!$A$1:$I$89,3,0)*VLOOKUP('Données projet'!$B$18,Paramètres!$A$1:$I$89,5,0)</f>
        <v>-1.9065282685915009E-13</v>
      </c>
      <c r="GW171" s="13" t="e">
        <f t="shared" si="188"/>
        <v>#NUM!</v>
      </c>
      <c r="GX171" s="20" t="e">
        <f t="shared" si="189"/>
        <v>#NUM!</v>
      </c>
      <c r="GY171" s="59" t="e">
        <f t="shared" si="137"/>
        <v>#NUM!</v>
      </c>
      <c r="GZ171" s="59">
        <f ca="1">AVERAGE(OFFSET($GY$3,0,0,'Données projet'!$E$18+1,1))-AVERAGE(OFFSET($H$3,0,0,'Données projet'!$E$18+1,1))</f>
        <v>268.04554291387961</v>
      </c>
      <c r="HA171" s="59">
        <f t="shared" si="160"/>
        <v>263.70463099437148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21.993419033373129</v>
      </c>
      <c r="HH171" s="21">
        <f>EXP(-LN(2)/25)*HH170+(1-EXP(-LN(2)/25))/(LN(2)/25)*Calculateur!HC171*Calculateur!HE171*VLOOKUP('Données projet'!$B$18,Paramètres!$A$1:$I$89,3,0)*0.475*44/12</f>
        <v>0.37083548331954352</v>
      </c>
      <c r="HI171" s="21">
        <f>EXP(-LN(2)/2)*HI170+(1-EXP(-LN(2)/2))/(LN(2)/2)*HC171*HF171*VLOOKUP('Données projet'!$B$18,Paramètres!$A$1:$I$89,3,0)*0.475*44/12</f>
        <v>2.7634311891368236E-12</v>
      </c>
      <c r="HJ171" s="22">
        <f t="shared" si="190"/>
        <v>22.364254516695436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-2.5124791136477146E-14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46.095319339746538</v>
      </c>
      <c r="T172" s="59">
        <f t="shared" si="142"/>
        <v>48.158174304064403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10.36488454023084</v>
      </c>
      <c r="AA172" s="21">
        <f>EXP(-LN(2)/25)*AA171+(1-EXP(-LN(2)/25))/(LN(2)/25)*Calculateur!V172*Calculateur!X172*VLOOKUP('Données projet'!$B$9,Paramètres!$A$1:$I$89,3,0)*0.475*44/12</f>
        <v>2.3232140187088617</v>
      </c>
      <c r="AB172" s="21">
        <f>EXP(-LN(2)/2)*AB171+(1-EXP(-LN(2)/2))/(LN(2)/2)*V172*Y172*VLOOKUP('Données projet'!$B$9,Paramètres!$A$1:$I$89,3,0)*0.475*44/12</f>
        <v>5.9358260982122645E-13</v>
      </c>
      <c r="AC172" s="22">
        <f t="shared" si="163"/>
        <v>12.688098558940295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-6.7984728957526396E-14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408.84545509668794</v>
      </c>
      <c r="AO172" s="59">
        <f t="shared" si="144"/>
        <v>409.9253979841132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21.72013764685882</v>
      </c>
      <c r="AV172" s="21">
        <f>EXP(-LN(2)/25)*AV171+(1-EXP(-LN(2)/25))/(LN(2)/25)*Calculateur!AQ172*Calculateur!AS172*VLOOKUP('Données projet'!$B$10,Paramètres!$A$1:$I$89,3,0)*0.475*44/12</f>
        <v>3.7131708130752008</v>
      </c>
      <c r="AW172" s="21">
        <f>EXP(-LN(2)/2)*AW171+(1-EXP(-LN(2)/2))/(LN(2)/2)*AQ172*AT172*VLOOKUP('Données projet'!$B$10,Paramètres!$A$1:$I$89,3,0)*0.475*44/12</f>
        <v>3.6848851522850373E-15</v>
      </c>
      <c r="AX172" s="21">
        <f t="shared" si="166"/>
        <v>25.433308459934025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-6.7984728957526396E-14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279.69031306919914</v>
      </c>
      <c r="BJ172" s="59">
        <f t="shared" si="146"/>
        <v>297.01680128882509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19.705750235294961</v>
      </c>
      <c r="BQ172" s="21">
        <f>EXP(-LN(2)/25)*BQ171+(1-EXP(-LN(2)/25))/(LN(2)/25)*Calculateur!BL172*Calculateur!BN172*VLOOKUP('Données projet'!$B$11,Paramètres!$A$1:$I$89,3,0)*0.475*44/12</f>
        <v>4.2118516976001965</v>
      </c>
      <c r="BR172" s="21">
        <f>EXP(-LN(2)/2)*BR171+(1-EXP(-LN(2)/2))/(LN(2)/2)*BL172*BO172*VLOOKUP('Données projet'!$B$11,Paramètres!$A$1:$I$89,3,0)*0.475*44/12</f>
        <v>8.5973321220323582E-15</v>
      </c>
      <c r="BS172" s="22">
        <f t="shared" si="169"/>
        <v>23.917601932895163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81.299024916151723</v>
      </c>
      <c r="CE172" s="59">
        <f t="shared" si="148"/>
        <v>88.106373324240167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5.828496196370903</v>
      </c>
      <c r="CL172" s="21">
        <f>EXP(-LN(2)/25)*CL171+(1-EXP(-LN(2)/25))/(LN(2)/25)*Calculateur!CG172*Calculateur!CI172*VLOOKUP('Données projet'!$B$12,Paramètres!$A$1:$I$89,3,0)*0.475*44/12</f>
        <v>1.1267218145694804</v>
      </c>
      <c r="CM172" s="21">
        <f>EXP(-LN(2)/2)*CM171+(1-EXP(-LN(2)/2))/(LN(2)/2)*CG172*CJ172*VLOOKUP('Données projet'!$B$12,Paramètres!$A$1:$I$89,3,0)*0.475*44/12</f>
        <v>9.422745116554187E-16</v>
      </c>
      <c r="CN172" s="22">
        <f t="shared" si="172"/>
        <v>6.9552180109403841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-3.4106051316484809E-13</v>
      </c>
      <c r="CU172" s="17">
        <f>CT172*VLOOKUP('Données projet'!$B$13,Paramètres!$A$1:$I$89,3,0)*VLOOKUP('Données projet'!$B$13,Paramètres!$A$1:$I$89,5,0)</f>
        <v>-1.9065282685915009E-13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475.42482703895411</v>
      </c>
      <c r="CZ172" s="59">
        <f t="shared" si="150"/>
        <v>593.51433014569966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39.814788407422782</v>
      </c>
      <c r="DG172" s="21">
        <f>EXP(-LN(2)/25)*DG171+(1-EXP(-LN(2)/25))/(LN(2)/25)*Calculateur!DB172*Calculateur!DD172*VLOOKUP('Données projet'!$B$13,Paramètres!$A$1:$I$89,3,0)*0.475*44/12</f>
        <v>3.6218455298333097</v>
      </c>
      <c r="DH172" s="21">
        <f>EXP(-LN(2)/2)*DH171+(1-EXP(-LN(2)/2))/(LN(2)/2)*DB172*DE172*VLOOKUP('Données projet'!$B$13,Paramètres!$A$1:$I$89,3,0)*0.475*44/12</f>
        <v>1.0926252999698743E-14</v>
      </c>
      <c r="DI172" s="22">
        <f t="shared" si="175"/>
        <v>43.436633937256104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-7.9580786405131221E-13</v>
      </c>
      <c r="DP172" s="17">
        <f>DO172*VLOOKUP('Données projet'!$B$14,Paramètres!$A$1:$I$89,3,0)*VLOOKUP('Données projet'!$B$14,Paramètres!$A$1:$I$89,5,0)</f>
        <v>-7.2004695539362725E-13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401.17301323870578</v>
      </c>
      <c r="DU172" s="59">
        <f t="shared" si="152"/>
        <v>201.57993789149754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135.5849621319214</v>
      </c>
      <c r="EB172" s="21">
        <f>EXP(-LN(2)/25)*EB171+(1-EXP(-LN(2)/25))/(LN(2)/25)*Calculateur!DW172*Calculateur!DY172*VLOOKUP('Données projet'!$B$14,Paramètres!$A$1:$I$89,3,0)*0.475*44/12</f>
        <v>20.323391621869163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155.90835375379055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1.7053025658242404E-13</v>
      </c>
      <c r="EK172" s="17">
        <f>EJ172*VLOOKUP('Données projet'!$B$15,Paramètres!$A$1:$I$89,3,0)*VLOOKUP('Données projet'!$B$15,Paramètres!$A$1:$I$89,5,0)</f>
        <v>1.4897523215040567E-13</v>
      </c>
      <c r="EL172" s="13">
        <f t="shared" si="179"/>
        <v>2.136562777003313E-12</v>
      </c>
      <c r="EM172" s="20">
        <f t="shared" si="180"/>
        <v>3.9806453659427267E-12</v>
      </c>
      <c r="EN172" s="59">
        <f t="shared" si="128"/>
        <v>293.33333333333729</v>
      </c>
      <c r="EO172" s="59">
        <f ca="1">AVERAGE(OFFSET($EN$3,0,0,'Données projet'!$E$15+1,1))-AVERAGE(OFFSET($H$3,0,0,'Données projet'!$E$15+1,1))</f>
        <v>237.8483058552178</v>
      </c>
      <c r="EP172" s="59">
        <f t="shared" si="154"/>
        <v>313.36201272119723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11.453806948497052</v>
      </c>
      <c r="EW172" s="21">
        <f>EXP(-LN(2)/25)*EW171+(1-EXP(-LN(2)/25))/(LN(2)/25)*Calculateur!ER172*Calculateur!ET172*VLOOKUP('Données projet'!$B$15,Paramètres!$A$1:$I$89,3,0)*0.475*44/12</f>
        <v>0.34085473219273882</v>
      </c>
      <c r="EX172" s="21">
        <f>EXP(-LN(2)/2)*EX171+(1-EXP(-LN(2)/2))/(LN(2)/2)*ER172*EU172*VLOOKUP('Données projet'!$B$15,Paramètres!$A$1:$I$89,3,0)*0.475*44/12</f>
        <v>5.1738451605035801E-14</v>
      </c>
      <c r="EY172" s="22">
        <f t="shared" si="181"/>
        <v>11.794661680689842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-2.8421709430404007E-13</v>
      </c>
      <c r="FF172" s="17">
        <f>FE172*VLOOKUP('Données projet'!$B$16,Paramètres!$A$1:$I$89,3,0)*VLOOKUP('Données projet'!$B$16,Paramètres!$A$1:$I$89,5,0)</f>
        <v>-2.2168933355715128E-13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318.52984981739411</v>
      </c>
      <c r="FK172" s="59">
        <f t="shared" si="156"/>
        <v>311.56398336941714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20.341642925273309</v>
      </c>
      <c r="FR172" s="21">
        <f>EXP(-LN(2)/25)*FR171+(1-EXP(-LN(2)/25))/(LN(2)/25)*Calculateur!FM172*Calculateur!FO172*VLOOKUP('Données projet'!$B$16,Paramètres!$A$1:$I$89,3,0)*0.475*44/12</f>
        <v>0.34027827125167853</v>
      </c>
      <c r="FS172" s="21">
        <f>EXP(-LN(2)/2)*FS171+(1-EXP(-LN(2)/2))/(LN(2)/2)*FM172*FP172*VLOOKUP('Données projet'!$B$16,Paramètres!$A$1:$I$89,3,0)*0.475*44/12</f>
        <v>2.2721406199779716E-12</v>
      </c>
      <c r="FT172" s="22">
        <f t="shared" si="184"/>
        <v>20.681921196527263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-2.8421709430404007E-13</v>
      </c>
      <c r="GA172" s="17">
        <f>FZ172*VLOOKUP('Données projet'!$B$17,Paramètres!$A$1:$I$89,3,0)*VLOOKUP('Données projet'!$B$17,Paramètres!$A$1:$I$89,5,0)</f>
        <v>-2.2612312022829427E-13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325.72928944930294</v>
      </c>
      <c r="GF172" s="59">
        <f t="shared" si="158"/>
        <v>318.38876834819752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25.573702710238987</v>
      </c>
      <c r="GM172" s="21">
        <f>EXP(-LN(2)/25)*GM171+(1-EXP(-LN(2)/25))/(LN(2)/25)*Calculateur!GH172*Calculateur!GJ172*VLOOKUP('Données projet'!$B$17,Paramètres!$A$1:$I$89,3,0)*0.475*44/12</f>
        <v>0.42780100799687748</v>
      </c>
      <c r="GN172" s="21">
        <f>EXP(-LN(2)/2)*GN171+(1-EXP(-LN(2)/2))/(LN(2)/2)*GH172*GK172*VLOOKUP('Données projet'!$B$17,Paramètres!$A$1:$I$89,3,0)*0.475*44/12</f>
        <v>2.3175834323775276E-12</v>
      </c>
      <c r="GO172" s="21">
        <f t="shared" si="187"/>
        <v>26.00150371823818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-2.8421709430404007E-13</v>
      </c>
      <c r="GV172" s="17">
        <f>GU172*VLOOKUP('Données projet'!$B$18,Paramètres!$A$1:$I$89,3,0)*VLOOKUP('Données projet'!$B$18,Paramètres!$A$1:$I$89,5,0)</f>
        <v>-1.9065282685915009E-13</v>
      </c>
      <c r="GW172" s="13" t="e">
        <f t="shared" si="188"/>
        <v>#NUM!</v>
      </c>
      <c r="GX172" s="20" t="e">
        <f t="shared" si="189"/>
        <v>#NUM!</v>
      </c>
      <c r="GY172" s="59" t="e">
        <f t="shared" si="137"/>
        <v>#NUM!</v>
      </c>
      <c r="GZ172" s="59">
        <f ca="1">AVERAGE(OFFSET($GY$3,0,0,'Données projet'!$E$18+1,1))-AVERAGE(OFFSET($H$3,0,0,'Données projet'!$E$18+1,1))</f>
        <v>268.04554291387961</v>
      </c>
      <c r="HA172" s="59">
        <f t="shared" si="160"/>
        <v>263.70463099437148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21.562141500789703</v>
      </c>
      <c r="HH172" s="21">
        <f>EXP(-LN(2)/25)*HH171+(1-EXP(-LN(2)/25))/(LN(2)/25)*Calculateur!HC172*Calculateur!HE172*VLOOKUP('Données projet'!$B$18,Paramètres!$A$1:$I$89,3,0)*0.475*44/12</f>
        <v>0.3606949675267801</v>
      </c>
      <c r="HI172" s="21">
        <f>EXP(-LN(2)/2)*HI171+(1-EXP(-LN(2)/2))/(LN(2)/2)*HC172*HF172*VLOOKUP('Données projet'!$B$18,Paramètres!$A$1:$I$89,3,0)*0.475*44/12</f>
        <v>1.9540409331810527E-12</v>
      </c>
      <c r="HJ172" s="22">
        <f t="shared" si="190"/>
        <v>21.922836468318437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-2.5124791136477146E-14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46.095319339746538</v>
      </c>
      <c r="T173" s="59">
        <f t="shared" si="142"/>
        <v>48.158174304064403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10.161635476352242</v>
      </c>
      <c r="AA173" s="21">
        <f>EXP(-LN(2)/25)*AA172+(1-EXP(-LN(2)/25))/(LN(2)/25)*Calculateur!V173*Calculateur!X173*VLOOKUP('Données projet'!$B$9,Paramètres!$A$1:$I$89,3,0)*0.475*44/12</f>
        <v>2.2596856091947526</v>
      </c>
      <c r="AB173" s="21">
        <f>EXP(-LN(2)/2)*AB172+(1-EXP(-LN(2)/2))/(LN(2)/2)*V173*Y173*VLOOKUP('Données projet'!$B$9,Paramètres!$A$1:$I$89,3,0)*0.475*44/12</f>
        <v>4.1972628859899779E-13</v>
      </c>
      <c r="AC173" s="22">
        <f t="shared" si="163"/>
        <v>12.421321085547413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-6.7984728957526396E-14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408.84545509668794</v>
      </c>
      <c r="AO173" s="59">
        <f t="shared" si="144"/>
        <v>409.9253979841132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21.294218995579755</v>
      </c>
      <c r="AV173" s="21">
        <f>EXP(-LN(2)/25)*AV172+(1-EXP(-LN(2)/25))/(LN(2)/25)*Calculateur!AQ173*Calculateur!AS173*VLOOKUP('Données projet'!$B$10,Paramètres!$A$1:$I$89,3,0)*0.475*44/12</f>
        <v>3.6116339619244928</v>
      </c>
      <c r="AW173" s="21">
        <f>EXP(-LN(2)/2)*AW172+(1-EXP(-LN(2)/2))/(LN(2)/2)*AQ173*AT173*VLOOKUP('Données projet'!$B$10,Paramètres!$A$1:$I$89,3,0)*0.475*44/12</f>
        <v>2.6056072790743737E-15</v>
      </c>
      <c r="AX173" s="21">
        <f t="shared" si="166"/>
        <v>24.905852957504251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-6.7984728957526396E-14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279.69031306919914</v>
      </c>
      <c r="BJ173" s="59">
        <f t="shared" si="146"/>
        <v>297.01680128882509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19.319332492501662</v>
      </c>
      <c r="BQ173" s="21">
        <f>EXP(-LN(2)/25)*BQ172+(1-EXP(-LN(2)/25))/(LN(2)/25)*Calculateur!BL173*Calculateur!BN173*VLOOKUP('Données projet'!$B$11,Paramètres!$A$1:$I$89,3,0)*0.475*44/12</f>
        <v>4.0966783914376643</v>
      </c>
      <c r="BR173" s="21">
        <f>EXP(-LN(2)/2)*BR172+(1-EXP(-LN(2)/2))/(LN(2)/2)*BL173*BO173*VLOOKUP('Données projet'!$B$11,Paramètres!$A$1:$I$89,3,0)*0.475*44/12</f>
        <v>6.0792318436020111E-15</v>
      </c>
      <c r="BS173" s="22">
        <f t="shared" si="169"/>
        <v>23.416010883939332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81.299024916151723</v>
      </c>
      <c r="CE173" s="59">
        <f t="shared" si="148"/>
        <v>88.106373324240167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5.7142029409917194</v>
      </c>
      <c r="CL173" s="21">
        <f>EXP(-LN(2)/25)*CL172+(1-EXP(-LN(2)/25))/(LN(2)/25)*Calculateur!CG173*Calculateur!CI173*VLOOKUP('Données projet'!$B$12,Paramètres!$A$1:$I$89,3,0)*0.475*44/12</f>
        <v>1.0959115472983529</v>
      </c>
      <c r="CM173" s="21">
        <f>EXP(-LN(2)/2)*CM172+(1-EXP(-LN(2)/2))/(LN(2)/2)*CG173*CJ173*VLOOKUP('Données projet'!$B$12,Paramètres!$A$1:$I$89,3,0)*0.475*44/12</f>
        <v>6.6628869693078909E-16</v>
      </c>
      <c r="CN173" s="22">
        <f t="shared" si="172"/>
        <v>6.8101144882900728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-3.4106051316484809E-13</v>
      </c>
      <c r="CU173" s="17">
        <f>CT173*VLOOKUP('Données projet'!$B$13,Paramètres!$A$1:$I$89,3,0)*VLOOKUP('Données projet'!$B$13,Paramètres!$A$1:$I$89,5,0)</f>
        <v>-1.9065282685915009E-13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475.42482703895411</v>
      </c>
      <c r="CZ173" s="59">
        <f t="shared" si="150"/>
        <v>593.51433014569966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39.034044691376245</v>
      </c>
      <c r="DG173" s="21">
        <f>EXP(-LN(2)/25)*DG172+(1-EXP(-LN(2)/25))/(LN(2)/25)*Calculateur!DB173*Calculateur!DD173*VLOOKUP('Données projet'!$B$13,Paramètres!$A$1:$I$89,3,0)*0.475*44/12</f>
        <v>3.5228059733554393</v>
      </c>
      <c r="DH173" s="21">
        <f>EXP(-LN(2)/2)*DH172+(1-EXP(-LN(2)/2))/(LN(2)/2)*DB173*DE173*VLOOKUP('Données projet'!$B$13,Paramètres!$A$1:$I$89,3,0)*0.475*44/12</f>
        <v>7.7260275890468378E-15</v>
      </c>
      <c r="DI173" s="22">
        <f t="shared" si="175"/>
        <v>42.556850664731691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-7.9580786405131221E-13</v>
      </c>
      <c r="DP173" s="17">
        <f>DO173*VLOOKUP('Données projet'!$B$14,Paramètres!$A$1:$I$89,3,0)*VLOOKUP('Données projet'!$B$14,Paramètres!$A$1:$I$89,5,0)</f>
        <v>-7.2004695539362725E-13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401.17301323870578</v>
      </c>
      <c r="DU173" s="59">
        <f t="shared" si="152"/>
        <v>201.57993789149754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132.9262237231755</v>
      </c>
      <c r="EB173" s="21">
        <f>EXP(-LN(2)/25)*EB172+(1-EXP(-LN(2)/25))/(LN(2)/25)*Calculateur!DW173*Calculateur!DY173*VLOOKUP('Données projet'!$B$14,Paramètres!$A$1:$I$89,3,0)*0.475*44/12</f>
        <v>19.767647409208436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152.69387113238395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1.7053025658242404E-13</v>
      </c>
      <c r="EK173" s="17">
        <f>EJ173*VLOOKUP('Données projet'!$B$15,Paramètres!$A$1:$I$89,3,0)*VLOOKUP('Données projet'!$B$15,Paramètres!$A$1:$I$89,5,0)</f>
        <v>1.4897523215040567E-13</v>
      </c>
      <c r="EL173" s="13">
        <f t="shared" si="179"/>
        <v>2.136562777003313E-12</v>
      </c>
      <c r="EM173" s="20">
        <f t="shared" si="180"/>
        <v>3.9806453659427267E-12</v>
      </c>
      <c r="EN173" s="59">
        <f t="shared" si="128"/>
        <v>293.33333333333729</v>
      </c>
      <c r="EO173" s="59">
        <f ca="1">AVERAGE(OFFSET($EN$3,0,0,'Données projet'!$E$15+1,1))-AVERAGE(OFFSET($H$3,0,0,'Données projet'!$E$15+1,1))</f>
        <v>237.8483058552178</v>
      </c>
      <c r="EP173" s="59">
        <f t="shared" si="154"/>
        <v>313.36201272119723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11.229204780369439</v>
      </c>
      <c r="EW173" s="21">
        <f>EXP(-LN(2)/25)*EW172+(1-EXP(-LN(2)/25))/(LN(2)/25)*Calculateur!ER173*Calculateur!ET173*VLOOKUP('Données projet'!$B$15,Paramètres!$A$1:$I$89,3,0)*0.475*44/12</f>
        <v>0.33153404161615702</v>
      </c>
      <c r="EX173" s="21">
        <f>EXP(-LN(2)/2)*EX172+(1-EXP(-LN(2)/2))/(LN(2)/2)*ER173*EU173*VLOOKUP('Données projet'!$B$15,Paramètres!$A$1:$I$89,3,0)*0.475*44/12</f>
        <v>3.6584609978012828E-14</v>
      </c>
      <c r="EY173" s="22">
        <f t="shared" si="181"/>
        <v>11.560738821985634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-2.8421709430404007E-13</v>
      </c>
      <c r="FF173" s="17">
        <f>FE173*VLOOKUP('Données projet'!$B$16,Paramètres!$A$1:$I$89,3,0)*VLOOKUP('Données projet'!$B$16,Paramètres!$A$1:$I$89,5,0)</f>
        <v>-2.2168933355715128E-13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318.52984981739411</v>
      </c>
      <c r="FK173" s="59">
        <f t="shared" si="156"/>
        <v>311.56398336941714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19.942755714685777</v>
      </c>
      <c r="FR173" s="21">
        <f>EXP(-LN(2)/25)*FR172+(1-EXP(-LN(2)/25))/(LN(2)/25)*Calculateur!FM173*Calculateur!FO173*VLOOKUP('Données projet'!$B$16,Paramètres!$A$1:$I$89,3,0)*0.475*44/12</f>
        <v>0.3309733440298448</v>
      </c>
      <c r="FS173" s="21">
        <f>EXP(-LN(2)/2)*FS172+(1-EXP(-LN(2)/2))/(LN(2)/2)*FM173*FP173*VLOOKUP('Données projet'!$B$16,Paramètres!$A$1:$I$89,3,0)*0.475*44/12</f>
        <v>1.60664604019583E-12</v>
      </c>
      <c r="FT173" s="22">
        <f t="shared" si="184"/>
        <v>20.27372905871723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-2.8421709430404007E-13</v>
      </c>
      <c r="GA173" s="17">
        <f>FZ173*VLOOKUP('Données projet'!$B$17,Paramètres!$A$1:$I$89,3,0)*VLOOKUP('Données projet'!$B$17,Paramètres!$A$1:$I$89,5,0)</f>
        <v>-2.2612312022829427E-13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325.72928944930294</v>
      </c>
      <c r="GF173" s="59">
        <f t="shared" si="158"/>
        <v>318.38876834819752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25.072217998509636</v>
      </c>
      <c r="GM173" s="21">
        <f>EXP(-LN(2)/25)*GM172+(1-EXP(-LN(2)/25))/(LN(2)/25)*Calculateur!GH173*Calculateur!GJ173*VLOOKUP('Données projet'!$B$17,Paramètres!$A$1:$I$89,3,0)*0.475*44/12</f>
        <v>0.41610276693612563</v>
      </c>
      <c r="GN173" s="21">
        <f>EXP(-LN(2)/2)*GN172+(1-EXP(-LN(2)/2))/(LN(2)/2)*GH173*GK173*VLOOKUP('Données projet'!$B$17,Paramètres!$A$1:$I$89,3,0)*0.475*44/12</f>
        <v>1.6387789609997442E-12</v>
      </c>
      <c r="GO173" s="21">
        <f t="shared" si="187"/>
        <v>25.488320765447398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-2.8421709430404007E-13</v>
      </c>
      <c r="GV173" s="17">
        <f>GU173*VLOOKUP('Données projet'!$B$18,Paramètres!$A$1:$I$89,3,0)*VLOOKUP('Données projet'!$B$18,Paramètres!$A$1:$I$89,5,0)</f>
        <v>-1.9065282685915009E-13</v>
      </c>
      <c r="GW173" s="13" t="e">
        <f t="shared" si="188"/>
        <v>#NUM!</v>
      </c>
      <c r="GX173" s="20" t="e">
        <f t="shared" si="189"/>
        <v>#NUM!</v>
      </c>
      <c r="GY173" s="59" t="e">
        <f t="shared" si="137"/>
        <v>#NUM!</v>
      </c>
      <c r="GZ173" s="59">
        <f ca="1">AVERAGE(OFFSET($GY$3,0,0,'Données projet'!$E$18+1,1))-AVERAGE(OFFSET($H$3,0,0,'Données projet'!$E$18+1,1))</f>
        <v>268.04554291387961</v>
      </c>
      <c r="HA173" s="59">
        <f t="shared" si="160"/>
        <v>263.70463099437148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21.139321057566921</v>
      </c>
      <c r="HH173" s="21">
        <f>EXP(-LN(2)/25)*HH172+(1-EXP(-LN(2)/25))/(LN(2)/25)*Calculateur!HC173*Calculateur!HE173*VLOOKUP('Données projet'!$B$18,Paramètres!$A$1:$I$89,3,0)*0.475*44/12</f>
        <v>0.35083174467163636</v>
      </c>
      <c r="HI173" s="21">
        <f>EXP(-LN(2)/2)*HI172+(1-EXP(-LN(2)/2))/(LN(2)/2)*HC173*HF173*VLOOKUP('Données projet'!$B$18,Paramètres!$A$1:$I$89,3,0)*0.475*44/12</f>
        <v>1.3817155945684118E-12</v>
      </c>
      <c r="HJ173" s="22">
        <f t="shared" si="190"/>
        <v>21.49015280223994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-2.5124791136477146E-14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46.095319339746538</v>
      </c>
      <c r="T174" s="59">
        <f t="shared" si="142"/>
        <v>48.158174304064403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9.9623720026466138</v>
      </c>
      <c r="AA174" s="21">
        <f>EXP(-LN(2)/25)*AA173+(1-EXP(-LN(2)/25))/(LN(2)/25)*Calculateur!V174*Calculateur!X174*VLOOKUP('Données projet'!$B$9,Paramètres!$A$1:$I$89,3,0)*0.475*44/12</f>
        <v>2.1978943873796206</v>
      </c>
      <c r="AB174" s="21">
        <f>EXP(-LN(2)/2)*AB173+(1-EXP(-LN(2)/2))/(LN(2)/2)*V174*Y174*VLOOKUP('Données projet'!$B$9,Paramètres!$A$1:$I$89,3,0)*0.475*44/12</f>
        <v>2.9679130491061323E-13</v>
      </c>
      <c r="AC174" s="22">
        <f t="shared" si="163"/>
        <v>12.16026639002653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-6.7984728957526396E-14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408.84545509668794</v>
      </c>
      <c r="AO174" s="59">
        <f t="shared" si="144"/>
        <v>409.9253979841132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20.876652349267545</v>
      </c>
      <c r="AV174" s="21">
        <f>EXP(-LN(2)/25)*AV173+(1-EXP(-LN(2)/25))/(LN(2)/25)*Calculateur!AQ174*Calculateur!AS174*VLOOKUP('Données projet'!$B$10,Paramètres!$A$1:$I$89,3,0)*0.475*44/12</f>
        <v>3.5128736413080919</v>
      </c>
      <c r="AW174" s="21">
        <f>EXP(-LN(2)/2)*AW173+(1-EXP(-LN(2)/2))/(LN(2)/2)*AQ174*AT174*VLOOKUP('Données projet'!$B$10,Paramètres!$A$1:$I$89,3,0)*0.475*44/12</f>
        <v>1.8424425761425186E-15</v>
      </c>
      <c r="AX174" s="21">
        <f t="shared" si="166"/>
        <v>24.389525990575638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-6.7984728957526396E-14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279.69031306919914</v>
      </c>
      <c r="BJ174" s="59">
        <f t="shared" si="146"/>
        <v>297.01680128882509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18.940492165952989</v>
      </c>
      <c r="BQ174" s="21">
        <f>EXP(-LN(2)/25)*BQ173+(1-EXP(-LN(2)/25))/(LN(2)/25)*Calculateur!BL174*Calculateur!BN174*VLOOKUP('Données projet'!$B$11,Paramètres!$A$1:$I$89,3,0)*0.475*44/12</f>
        <v>3.984654505388848</v>
      </c>
      <c r="BR174" s="21">
        <f>EXP(-LN(2)/2)*BR173+(1-EXP(-LN(2)/2))/(LN(2)/2)*BL174*BO174*VLOOKUP('Données projet'!$B$11,Paramètres!$A$1:$I$89,3,0)*0.475*44/12</f>
        <v>4.2986660610161791E-15</v>
      </c>
      <c r="BS174" s="22">
        <f t="shared" si="169"/>
        <v>22.925146671341839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81.299024916151723</v>
      </c>
      <c r="CE174" s="59">
        <f t="shared" si="148"/>
        <v>88.106373324240167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5.6021509066385189</v>
      </c>
      <c r="CL174" s="21">
        <f>EXP(-LN(2)/25)*CL173+(1-EXP(-LN(2)/25))/(LN(2)/25)*Calculateur!CG174*Calculateur!CI174*VLOOKUP('Données projet'!$B$12,Paramètres!$A$1:$I$89,3,0)*0.475*44/12</f>
        <v>1.0659437884059959</v>
      </c>
      <c r="CM174" s="21">
        <f>EXP(-LN(2)/2)*CM173+(1-EXP(-LN(2)/2))/(LN(2)/2)*CG174*CJ174*VLOOKUP('Données projet'!$B$12,Paramètres!$A$1:$I$89,3,0)*0.475*44/12</f>
        <v>4.7113725582770935E-16</v>
      </c>
      <c r="CN174" s="22">
        <f t="shared" si="172"/>
        <v>6.6680946950445152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-3.4106051316484809E-13</v>
      </c>
      <c r="CU174" s="17">
        <f>CT174*VLOOKUP('Données projet'!$B$13,Paramètres!$A$1:$I$89,3,0)*VLOOKUP('Données projet'!$B$13,Paramètres!$A$1:$I$89,5,0)</f>
        <v>-1.9065282685915009E-13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475.42482703895411</v>
      </c>
      <c r="CZ174" s="59">
        <f t="shared" si="150"/>
        <v>593.51433014569966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38.268610883394736</v>
      </c>
      <c r="DG174" s="21">
        <f>EXP(-LN(2)/25)*DG173+(1-EXP(-LN(2)/25))/(LN(2)/25)*Calculateur!DB174*Calculateur!DD174*VLOOKUP('Données projet'!$B$13,Paramètres!$A$1:$I$89,3,0)*0.475*44/12</f>
        <v>3.4264746587577202</v>
      </c>
      <c r="DH174" s="21">
        <f>EXP(-LN(2)/2)*DH173+(1-EXP(-LN(2)/2))/(LN(2)/2)*DB174*DE174*VLOOKUP('Données projet'!$B$13,Paramètres!$A$1:$I$89,3,0)*0.475*44/12</f>
        <v>5.4631264998493717E-15</v>
      </c>
      <c r="DI174" s="22">
        <f t="shared" si="175"/>
        <v>41.695085542152462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-7.9580786405131221E-13</v>
      </c>
      <c r="DP174" s="17">
        <f>DO174*VLOOKUP('Données projet'!$B$14,Paramètres!$A$1:$I$89,3,0)*VLOOKUP('Données projet'!$B$14,Paramètres!$A$1:$I$89,5,0)</f>
        <v>-7.2004695539362725E-13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401.17301323870578</v>
      </c>
      <c r="DU174" s="59">
        <f t="shared" si="152"/>
        <v>201.57993789149754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130.3196215529548</v>
      </c>
      <c r="EB174" s="21">
        <f>EXP(-LN(2)/25)*EB173+(1-EXP(-LN(2)/25))/(LN(2)/25)*Calculateur!DW174*Calculateur!DY174*VLOOKUP('Données projet'!$B$14,Paramètres!$A$1:$I$89,3,0)*0.475*44/12</f>
        <v>19.227100051268234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149.54672160422302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1.7053025658242404E-13</v>
      </c>
      <c r="EK174" s="17">
        <f>EJ174*VLOOKUP('Données projet'!$B$15,Paramètres!$A$1:$I$89,3,0)*VLOOKUP('Données projet'!$B$15,Paramètres!$A$1:$I$89,5,0)</f>
        <v>1.4897523215040567E-13</v>
      </c>
      <c r="EL174" s="13">
        <f t="shared" si="179"/>
        <v>2.136562777003313E-12</v>
      </c>
      <c r="EM174" s="20">
        <f t="shared" si="180"/>
        <v>3.9806453659427267E-12</v>
      </c>
      <c r="EN174" s="59">
        <f t="shared" si="128"/>
        <v>293.33333333333729</v>
      </c>
      <c r="EO174" s="59">
        <f ca="1">AVERAGE(OFFSET($EN$3,0,0,'Données projet'!$E$15+1,1))-AVERAGE(OFFSET($H$3,0,0,'Données projet'!$E$15+1,1))</f>
        <v>237.8483058552178</v>
      </c>
      <c r="EP174" s="59">
        <f t="shared" si="154"/>
        <v>313.36201272119723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11.009006923765014</v>
      </c>
      <c r="EW174" s="21">
        <f>EXP(-LN(2)/25)*EW173+(1-EXP(-LN(2)/25))/(LN(2)/25)*Calculateur!ER174*Calculateur!ET174*VLOOKUP('Données projet'!$B$15,Paramètres!$A$1:$I$89,3,0)*0.475*44/12</f>
        <v>0.32246822581354567</v>
      </c>
      <c r="EX174" s="21">
        <f>EXP(-LN(2)/2)*EX173+(1-EXP(-LN(2)/2))/(LN(2)/2)*ER174*EU174*VLOOKUP('Données projet'!$B$15,Paramètres!$A$1:$I$89,3,0)*0.475*44/12</f>
        <v>2.58692258025179E-14</v>
      </c>
      <c r="EY174" s="22">
        <f t="shared" si="181"/>
        <v>11.331475149578587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-2.8421709430404007E-13</v>
      </c>
      <c r="FF174" s="17">
        <f>FE174*VLOOKUP('Données projet'!$B$16,Paramètres!$A$1:$I$89,3,0)*VLOOKUP('Données projet'!$B$16,Paramètres!$A$1:$I$89,5,0)</f>
        <v>-2.2168933355715128E-13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318.52984981739411</v>
      </c>
      <c r="FK174" s="59">
        <f t="shared" si="156"/>
        <v>311.56398336941714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19.551690439000691</v>
      </c>
      <c r="FR174" s="21">
        <f>EXP(-LN(2)/25)*FR173+(1-EXP(-LN(2)/25))/(LN(2)/25)*Calculateur!FM174*Calculateur!FO174*VLOOKUP('Données projet'!$B$16,Paramètres!$A$1:$I$89,3,0)*0.475*44/12</f>
        <v>0.32192286053221697</v>
      </c>
      <c r="FS174" s="21">
        <f>EXP(-LN(2)/2)*FS173+(1-EXP(-LN(2)/2))/(LN(2)/2)*FM174*FP174*VLOOKUP('Données projet'!$B$16,Paramètres!$A$1:$I$89,3,0)*0.475*44/12</f>
        <v>1.1360703099889858E-12</v>
      </c>
      <c r="FT174" s="22">
        <f t="shared" si="184"/>
        <v>19.873613299534046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-2.8421709430404007E-13</v>
      </c>
      <c r="GA174" s="17">
        <f>FZ174*VLOOKUP('Données projet'!$B$17,Paramètres!$A$1:$I$89,3,0)*VLOOKUP('Données projet'!$B$17,Paramètres!$A$1:$I$89,5,0)</f>
        <v>-2.2612312022829427E-13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325.72928944930294</v>
      </c>
      <c r="GF174" s="59">
        <f t="shared" si="158"/>
        <v>318.38876834819752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24.580567096101827</v>
      </c>
      <c r="GM174" s="21">
        <f>EXP(-LN(2)/25)*GM173+(1-EXP(-LN(2)/25))/(LN(2)/25)*Calculateur!GH174*Calculateur!GJ174*VLOOKUP('Données projet'!$B$17,Paramètres!$A$1:$I$89,3,0)*0.475*44/12</f>
        <v>0.40472441489236377</v>
      </c>
      <c r="GN174" s="21">
        <f>EXP(-LN(2)/2)*GN173+(1-EXP(-LN(2)/2))/(LN(2)/2)*GH174*GK174*VLOOKUP('Données projet'!$B$17,Paramètres!$A$1:$I$89,3,0)*0.475*44/12</f>
        <v>1.1587917161887638E-12</v>
      </c>
      <c r="GO174" s="21">
        <f t="shared" si="187"/>
        <v>24.985291510995349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-2.8421709430404007E-13</v>
      </c>
      <c r="GV174" s="17">
        <f>GU174*VLOOKUP('Données projet'!$B$18,Paramètres!$A$1:$I$89,3,0)*VLOOKUP('Données projet'!$B$18,Paramètres!$A$1:$I$89,5,0)</f>
        <v>-1.9065282685915009E-13</v>
      </c>
      <c r="GW174" s="13" t="e">
        <f t="shared" si="188"/>
        <v>#NUM!</v>
      </c>
      <c r="GX174" s="20" t="e">
        <f t="shared" si="189"/>
        <v>#NUM!</v>
      </c>
      <c r="GY174" s="59" t="e">
        <f t="shared" si="137"/>
        <v>#NUM!</v>
      </c>
      <c r="GZ174" s="59">
        <f ca="1">AVERAGE(OFFSET($GY$3,0,0,'Données projet'!$E$18+1,1))-AVERAGE(OFFSET($H$3,0,0,'Données projet'!$E$18+1,1))</f>
        <v>268.04554291387961</v>
      </c>
      <c r="HA174" s="59">
        <f t="shared" si="160"/>
        <v>263.70463099437148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20.72479186534073</v>
      </c>
      <c r="HH174" s="21">
        <f>EXP(-LN(2)/25)*HH173+(1-EXP(-LN(2)/25))/(LN(2)/25)*Calculateur!HC174*Calculateur!HE174*VLOOKUP('Données projet'!$B$18,Paramètres!$A$1:$I$89,3,0)*0.475*44/12</f>
        <v>0.34123823216415083</v>
      </c>
      <c r="HI174" s="21">
        <f>EXP(-LN(2)/2)*HI173+(1-EXP(-LN(2)/2))/(LN(2)/2)*HC174*HF174*VLOOKUP('Données projet'!$B$18,Paramètres!$A$1:$I$89,3,0)*0.475*44/12</f>
        <v>9.7702046659052635E-13</v>
      </c>
      <c r="HJ174" s="22">
        <f t="shared" si="190"/>
        <v>21.066030097505859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-2.5124791136477146E-14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46.095319339746538</v>
      </c>
      <c r="T175" s="59">
        <f t="shared" si="142"/>
        <v>48.158174304064403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9.7670159641216365</v>
      </c>
      <c r="AA175" s="21">
        <f>EXP(-LN(2)/25)*AA174+(1-EXP(-LN(2)/25))/(LN(2)/25)*Calculateur!V175*Calculateur!X175*VLOOKUP('Données projet'!$B$9,Paramètres!$A$1:$I$89,3,0)*0.475*44/12</f>
        <v>2.1377928497744825</v>
      </c>
      <c r="AB175" s="21">
        <f>EXP(-LN(2)/2)*AB174+(1-EXP(-LN(2)/2))/(LN(2)/2)*V175*Y175*VLOOKUP('Données projet'!$B$9,Paramètres!$A$1:$I$89,3,0)*0.475*44/12</f>
        <v>2.098631442994989E-13</v>
      </c>
      <c r="AC175" s="22">
        <f t="shared" si="163"/>
        <v>11.904808813896329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-6.7984728957526396E-14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408.84545509668794</v>
      </c>
      <c r="AO175" s="59">
        <f t="shared" si="144"/>
        <v>409.9253979841132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20.467273930199013</v>
      </c>
      <c r="AV175" s="21">
        <f>EXP(-LN(2)/25)*AV174+(1-EXP(-LN(2)/25))/(LN(2)/25)*Calculateur!AQ175*Calculateur!AS175*VLOOKUP('Données projet'!$B$10,Paramètres!$A$1:$I$89,3,0)*0.475*44/12</f>
        <v>3.4168139268525262</v>
      </c>
      <c r="AW175" s="21">
        <f>EXP(-LN(2)/2)*AW174+(1-EXP(-LN(2)/2))/(LN(2)/2)*AQ175*AT175*VLOOKUP('Données projet'!$B$10,Paramètres!$A$1:$I$89,3,0)*0.475*44/12</f>
        <v>1.3028036395371869E-15</v>
      </c>
      <c r="AX175" s="21">
        <f t="shared" si="166"/>
        <v>23.88408785705154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-6.7984728957526396E-14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279.69031306919914</v>
      </c>
      <c r="BJ175" s="59">
        <f t="shared" si="146"/>
        <v>297.01680128882509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18.569080667138152</v>
      </c>
      <c r="BQ175" s="21">
        <f>EXP(-LN(2)/25)*BQ174+(1-EXP(-LN(2)/25))/(LN(2)/25)*Calculateur!BL175*Calculateur!BN175*VLOOKUP('Données projet'!$B$11,Paramètres!$A$1:$I$89,3,0)*0.475*44/12</f>
        <v>3.8756939183951165</v>
      </c>
      <c r="BR175" s="21">
        <f>EXP(-LN(2)/2)*BR174+(1-EXP(-LN(2)/2))/(LN(2)/2)*BL175*BO175*VLOOKUP('Données projet'!$B$11,Paramètres!$A$1:$I$89,3,0)*0.475*44/12</f>
        <v>3.0396159218010056E-15</v>
      </c>
      <c r="BS175" s="22">
        <f t="shared" si="169"/>
        <v>22.444774585533271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81.299024916151723</v>
      </c>
      <c r="CE175" s="59">
        <f t="shared" si="148"/>
        <v>88.106373324240167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5.4922961443339924</v>
      </c>
      <c r="CL175" s="21">
        <f>EXP(-LN(2)/25)*CL174+(1-EXP(-LN(2)/25))/(LN(2)/25)*Calculateur!CG175*Calculateur!CI175*VLOOKUP('Données projet'!$B$12,Paramètres!$A$1:$I$89,3,0)*0.475*44/12</f>
        <v>1.0367954994564863</v>
      </c>
      <c r="CM175" s="21">
        <f>EXP(-LN(2)/2)*CM174+(1-EXP(-LN(2)/2))/(LN(2)/2)*CG175*CJ175*VLOOKUP('Données projet'!$B$12,Paramètres!$A$1:$I$89,3,0)*0.475*44/12</f>
        <v>3.3314434846539455E-16</v>
      </c>
      <c r="CN175" s="22">
        <f t="shared" si="172"/>
        <v>6.5290916437904789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-3.4106051316484809E-13</v>
      </c>
      <c r="CU175" s="17">
        <f>CT175*VLOOKUP('Données projet'!$B$13,Paramètres!$A$1:$I$89,3,0)*VLOOKUP('Données projet'!$B$13,Paramètres!$A$1:$I$89,5,0)</f>
        <v>-1.9065282685915009E-13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475.42482703895411</v>
      </c>
      <c r="CZ175" s="59">
        <f t="shared" si="150"/>
        <v>593.51433014569966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37.518186765519218</v>
      </c>
      <c r="DG175" s="21">
        <f>EXP(-LN(2)/25)*DG174+(1-EXP(-LN(2)/25))/(LN(2)/25)*Calculateur!DB175*Calculateur!DD175*VLOOKUP('Données projet'!$B$13,Paramètres!$A$1:$I$89,3,0)*0.475*44/12</f>
        <v>3.3327775290235193</v>
      </c>
      <c r="DH175" s="21">
        <f>EXP(-LN(2)/2)*DH174+(1-EXP(-LN(2)/2))/(LN(2)/2)*DB175*DE175*VLOOKUP('Données projet'!$B$13,Paramètres!$A$1:$I$89,3,0)*0.475*44/12</f>
        <v>3.8630137945234189E-15</v>
      </c>
      <c r="DI175" s="22">
        <f t="shared" si="175"/>
        <v>40.850964294542742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-7.9580786405131221E-13</v>
      </c>
      <c r="DP175" s="17">
        <f>DO175*VLOOKUP('Données projet'!$B$14,Paramètres!$A$1:$I$89,3,0)*VLOOKUP('Données projet'!$B$14,Paramètres!$A$1:$I$89,5,0)</f>
        <v>-7.2004695539362725E-13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401.17301323870578</v>
      </c>
      <c r="DU175" s="59">
        <f t="shared" si="152"/>
        <v>201.57993789149754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127.7641332614218</v>
      </c>
      <c r="EB175" s="21">
        <f>EXP(-LN(2)/25)*EB174+(1-EXP(-LN(2)/25))/(LN(2)/25)*Calculateur!DW175*Calculateur!DY175*VLOOKUP('Données projet'!$B$14,Paramètres!$A$1:$I$89,3,0)*0.475*44/12</f>
        <v>18.701333989257058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146.46546725067887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1.7053025658242404E-13</v>
      </c>
      <c r="EK175" s="17">
        <f>EJ175*VLOOKUP('Données projet'!$B$15,Paramètres!$A$1:$I$89,3,0)*VLOOKUP('Données projet'!$B$15,Paramètres!$A$1:$I$89,5,0)</f>
        <v>1.4897523215040567E-13</v>
      </c>
      <c r="EL175" s="13">
        <f t="shared" si="179"/>
        <v>2.136562777003313E-12</v>
      </c>
      <c r="EM175" s="20">
        <f t="shared" si="180"/>
        <v>3.9806453659427267E-12</v>
      </c>
      <c r="EN175" s="59">
        <f t="shared" si="128"/>
        <v>293.33333333333729</v>
      </c>
      <c r="EO175" s="59">
        <f ca="1">AVERAGE(OFFSET($EN$3,0,0,'Données projet'!$E$15+1,1))-AVERAGE(OFFSET($H$3,0,0,'Données projet'!$E$15+1,1))</f>
        <v>237.8483058552178</v>
      </c>
      <c r="EP175" s="59">
        <f t="shared" si="154"/>
        <v>313.36201272119723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10.793127012821172</v>
      </c>
      <c r="EW175" s="21">
        <f>EXP(-LN(2)/25)*EW174+(1-EXP(-LN(2)/25))/(LN(2)/25)*Calculateur!ER175*Calculateur!ET175*VLOOKUP('Données projet'!$B$15,Paramètres!$A$1:$I$89,3,0)*0.475*44/12</f>
        <v>0.31365031522080727</v>
      </c>
      <c r="EX175" s="21">
        <f>EXP(-LN(2)/2)*EX174+(1-EXP(-LN(2)/2))/(LN(2)/2)*ER175*EU175*VLOOKUP('Données projet'!$B$15,Paramètres!$A$1:$I$89,3,0)*0.475*44/12</f>
        <v>1.8292304989006414E-14</v>
      </c>
      <c r="EY175" s="22">
        <f t="shared" si="181"/>
        <v>11.106777328041996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-2.8421709430404007E-13</v>
      </c>
      <c r="FF175" s="17">
        <f>FE175*VLOOKUP('Données projet'!$B$16,Paramètres!$A$1:$I$89,3,0)*VLOOKUP('Données projet'!$B$16,Paramètres!$A$1:$I$89,5,0)</f>
        <v>-2.2168933355715128E-13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318.52984981739411</v>
      </c>
      <c r="FK175" s="59">
        <f t="shared" si="156"/>
        <v>311.56398336941714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19.168293714845525</v>
      </c>
      <c r="FR175" s="21">
        <f>EXP(-LN(2)/25)*FR174+(1-EXP(-LN(2)/25))/(LN(2)/25)*Calculateur!FM175*Calculateur!FO175*VLOOKUP('Données projet'!$B$16,Paramètres!$A$1:$I$89,3,0)*0.475*44/12</f>
        <v>0.31311986298177602</v>
      </c>
      <c r="FS175" s="21">
        <f>EXP(-LN(2)/2)*FS174+(1-EXP(-LN(2)/2))/(LN(2)/2)*FM175*FP175*VLOOKUP('Données projet'!$B$16,Paramètres!$A$1:$I$89,3,0)*0.475*44/12</f>
        <v>8.0332302009791502E-13</v>
      </c>
      <c r="FT175" s="22">
        <f t="shared" si="184"/>
        <v>19.481413577828103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-2.8421709430404007E-13</v>
      </c>
      <c r="GA175" s="17">
        <f>FZ175*VLOOKUP('Données projet'!$B$17,Paramètres!$A$1:$I$89,3,0)*VLOOKUP('Données projet'!$B$17,Paramètres!$A$1:$I$89,5,0)</f>
        <v>-2.2612312022829427E-13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325.72928944930294</v>
      </c>
      <c r="GF175" s="59">
        <f t="shared" si="158"/>
        <v>318.38876834819752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24.098557168012796</v>
      </c>
      <c r="GM175" s="21">
        <f>EXP(-LN(2)/25)*GM174+(1-EXP(-LN(2)/25))/(LN(2)/25)*Calculateur!GH175*Calculateur!GJ175*VLOOKUP('Données projet'!$B$17,Paramètres!$A$1:$I$89,3,0)*0.475*44/12</f>
        <v>0.39365720448360009</v>
      </c>
      <c r="GN175" s="21">
        <f>EXP(-LN(2)/2)*GN174+(1-EXP(-LN(2)/2))/(LN(2)/2)*GH175*GK175*VLOOKUP('Données projet'!$B$17,Paramètres!$A$1:$I$89,3,0)*0.475*44/12</f>
        <v>8.193894804998721E-13</v>
      </c>
      <c r="GO175" s="21">
        <f t="shared" si="187"/>
        <v>24.492214372497216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-2.8421709430404007E-13</v>
      </c>
      <c r="GV175" s="17">
        <f>GU175*VLOOKUP('Données projet'!$B$18,Paramètres!$A$1:$I$89,3,0)*VLOOKUP('Données projet'!$B$18,Paramètres!$A$1:$I$89,5,0)</f>
        <v>-1.9065282685915009E-13</v>
      </c>
      <c r="GW175" s="13" t="e">
        <f t="shared" si="188"/>
        <v>#NUM!</v>
      </c>
      <c r="GX175" s="20" t="e">
        <f t="shared" si="189"/>
        <v>#NUM!</v>
      </c>
      <c r="GY175" s="59" t="e">
        <f t="shared" si="137"/>
        <v>#NUM!</v>
      </c>
      <c r="GZ175" s="59">
        <f ca="1">AVERAGE(OFFSET($GY$3,0,0,'Données projet'!$E$18+1,1))-AVERAGE(OFFSET($H$3,0,0,'Données projet'!$E$18+1,1))</f>
        <v>268.04554291387961</v>
      </c>
      <c r="HA175" s="59">
        <f t="shared" si="160"/>
        <v>263.70463099437148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20.318391337736255</v>
      </c>
      <c r="HH175" s="21">
        <f>EXP(-LN(2)/25)*HH174+(1-EXP(-LN(2)/25))/(LN(2)/25)*Calculateur!HC175*Calculateur!HE175*VLOOKUP('Données projet'!$B$18,Paramètres!$A$1:$I$89,3,0)*0.475*44/12</f>
        <v>0.33190705476068338</v>
      </c>
      <c r="HI175" s="21">
        <f>EXP(-LN(2)/2)*HI174+(1-EXP(-LN(2)/2))/(LN(2)/2)*HC175*HF175*VLOOKUP('Données projet'!$B$18,Paramètres!$A$1:$I$89,3,0)*0.475*44/12</f>
        <v>6.9085779728420589E-13</v>
      </c>
      <c r="HJ175" s="22">
        <f t="shared" si="190"/>
        <v>20.650298392497628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-2.5124791136477146E-14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46.095319339746538</v>
      </c>
      <c r="T176" s="59">
        <f t="shared" si="142"/>
        <v>48.158174304064403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9.5754907383567165</v>
      </c>
      <c r="AA176" s="21">
        <f>EXP(-LN(2)/25)*AA175+(1-EXP(-LN(2)/25))/(LN(2)/25)*Calculateur!V176*Calculateur!X176*VLOOKUP('Données projet'!$B$9,Paramètres!$A$1:$I$89,3,0)*0.475*44/12</f>
        <v>2.0793347918757594</v>
      </c>
      <c r="AB176" s="21">
        <f>EXP(-LN(2)/2)*AB175+(1-EXP(-LN(2)/2))/(LN(2)/2)*V176*Y176*VLOOKUP('Données projet'!$B$9,Paramètres!$A$1:$I$89,3,0)*0.475*44/12</f>
        <v>1.4839565245530661E-13</v>
      </c>
      <c r="AC176" s="22">
        <f t="shared" si="163"/>
        <v>11.654825530232625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-6.7984728957526396E-14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408.84545509668794</v>
      </c>
      <c r="AO176" s="59">
        <f t="shared" si="144"/>
        <v>409.9253979841132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20.065923172232235</v>
      </c>
      <c r="AV176" s="21">
        <f>EXP(-LN(2)/25)*AV175+(1-EXP(-LN(2)/25))/(LN(2)/25)*Calculateur!AQ176*Calculateur!AS176*VLOOKUP('Données projet'!$B$10,Paramètres!$A$1:$I$89,3,0)*0.475*44/12</f>
        <v>3.3233809703403088</v>
      </c>
      <c r="AW176" s="21">
        <f>EXP(-LN(2)/2)*AW175+(1-EXP(-LN(2)/2))/(LN(2)/2)*AQ176*AT176*VLOOKUP('Données projet'!$B$10,Paramètres!$A$1:$I$89,3,0)*0.475*44/12</f>
        <v>9.2122128807125932E-16</v>
      </c>
      <c r="AX176" s="21">
        <f t="shared" si="166"/>
        <v>23.389304142572545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-6.7984728957526396E-14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279.69031306919914</v>
      </c>
      <c r="BJ176" s="59">
        <f t="shared" si="146"/>
        <v>297.01680128882509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18.20495232127643</v>
      </c>
      <c r="BQ176" s="21">
        <f>EXP(-LN(2)/25)*BQ175+(1-EXP(-LN(2)/25))/(LN(2)/25)*Calculateur!BL176*Calculateur!BN176*VLOOKUP('Données projet'!$B$11,Paramètres!$A$1:$I$89,3,0)*0.475*44/12</f>
        <v>3.7697128643827167</v>
      </c>
      <c r="BR176" s="21">
        <f>EXP(-LN(2)/2)*BR175+(1-EXP(-LN(2)/2))/(LN(2)/2)*BL176*BO176*VLOOKUP('Données projet'!$B$11,Paramètres!$A$1:$I$89,3,0)*0.475*44/12</f>
        <v>2.1493330305080895E-15</v>
      </c>
      <c r="BS176" s="22">
        <f t="shared" si="169"/>
        <v>21.974665185659152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81.299024916151723</v>
      </c>
      <c r="CE176" s="59">
        <f t="shared" si="148"/>
        <v>88.106373324240167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5.3845955669134691</v>
      </c>
      <c r="CL176" s="21">
        <f>EXP(-LN(2)/25)*CL175+(1-EXP(-LN(2)/25))/(LN(2)/25)*Calculateur!CG176*Calculateur!CI176*VLOOKUP('Données projet'!$B$12,Paramètres!$A$1:$I$89,3,0)*0.475*44/12</f>
        <v>1.0084442720011431</v>
      </c>
      <c r="CM176" s="21">
        <f>EXP(-LN(2)/2)*CM175+(1-EXP(-LN(2)/2))/(LN(2)/2)*CG176*CJ176*VLOOKUP('Données projet'!$B$12,Paramètres!$A$1:$I$89,3,0)*0.475*44/12</f>
        <v>2.3556862791385467E-16</v>
      </c>
      <c r="CN176" s="22">
        <f t="shared" si="172"/>
        <v>6.3930398389146124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-3.4106051316484809E-13</v>
      </c>
      <c r="CU176" s="17">
        <f>CT176*VLOOKUP('Données projet'!$B$13,Paramètres!$A$1:$I$89,3,0)*VLOOKUP('Données projet'!$B$13,Paramètres!$A$1:$I$89,5,0)</f>
        <v>-1.9065282685915009E-13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475.42482703895411</v>
      </c>
      <c r="CZ176" s="59">
        <f t="shared" si="150"/>
        <v>593.51433014569966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36.782478006881725</v>
      </c>
      <c r="DG176" s="21">
        <f>EXP(-LN(2)/25)*DG175+(1-EXP(-LN(2)/25))/(LN(2)/25)*Calculateur!DB176*Calculateur!DD176*VLOOKUP('Données projet'!$B$13,Paramètres!$A$1:$I$89,3,0)*0.475*44/12</f>
        <v>3.241642552229218</v>
      </c>
      <c r="DH176" s="21">
        <f>EXP(-LN(2)/2)*DH175+(1-EXP(-LN(2)/2))/(LN(2)/2)*DB176*DE176*VLOOKUP('Données projet'!$B$13,Paramètres!$A$1:$I$89,3,0)*0.475*44/12</f>
        <v>2.7315632499246858E-15</v>
      </c>
      <c r="DI176" s="22">
        <f t="shared" si="175"/>
        <v>40.024120559110941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-7.9580786405131221E-13</v>
      </c>
      <c r="DP176" s="17">
        <f>DO176*VLOOKUP('Données projet'!$B$14,Paramètres!$A$1:$I$89,3,0)*VLOOKUP('Données projet'!$B$14,Paramètres!$A$1:$I$89,5,0)</f>
        <v>-7.2004695539362725E-13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401.17301323870578</v>
      </c>
      <c r="DU176" s="59">
        <f t="shared" si="152"/>
        <v>201.57993789149754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125.25875653659182</v>
      </c>
      <c r="EB176" s="21">
        <f>EXP(-LN(2)/25)*EB175+(1-EXP(-LN(2)/25))/(LN(2)/25)*Calculateur!DW176*Calculateur!DY176*VLOOKUP('Données projet'!$B$14,Paramètres!$A$1:$I$89,3,0)*0.475*44/12</f>
        <v>18.189945027860411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143.44870156445222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1.7053025658242404E-13</v>
      </c>
      <c r="EK176" s="17">
        <f>EJ176*VLOOKUP('Données projet'!$B$15,Paramètres!$A$1:$I$89,3,0)*VLOOKUP('Données projet'!$B$15,Paramètres!$A$1:$I$89,5,0)</f>
        <v>1.4897523215040567E-13</v>
      </c>
      <c r="EL176" s="13">
        <f t="shared" si="179"/>
        <v>2.136562777003313E-12</v>
      </c>
      <c r="EM176" s="20">
        <f t="shared" si="180"/>
        <v>3.9806453659427267E-12</v>
      </c>
      <c r="EN176" s="59">
        <f t="shared" si="128"/>
        <v>293.33333333333729</v>
      </c>
      <c r="EO176" s="59">
        <f ca="1">AVERAGE(OFFSET($EN$3,0,0,'Données projet'!$E$15+1,1))-AVERAGE(OFFSET($H$3,0,0,'Données projet'!$E$15+1,1))</f>
        <v>237.8483058552178</v>
      </c>
      <c r="EP176" s="59">
        <f t="shared" si="154"/>
        <v>313.36201272119723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10.581480375257193</v>
      </c>
      <c r="EW176" s="21">
        <f>EXP(-LN(2)/25)*EW175+(1-EXP(-LN(2)/25))/(LN(2)/25)*Calculateur!ER176*Calculateur!ET176*VLOOKUP('Données projet'!$B$15,Paramètres!$A$1:$I$89,3,0)*0.475*44/12</f>
        <v>0.30507353085694106</v>
      </c>
      <c r="EX176" s="21">
        <f>EXP(-LN(2)/2)*EX175+(1-EXP(-LN(2)/2))/(LN(2)/2)*ER176*EU176*VLOOKUP('Données projet'!$B$15,Paramètres!$A$1:$I$89,3,0)*0.475*44/12</f>
        <v>1.293461290125895E-14</v>
      </c>
      <c r="EY176" s="22">
        <f t="shared" si="181"/>
        <v>10.886553906114147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-2.8421709430404007E-13</v>
      </c>
      <c r="FF176" s="17">
        <f>FE176*VLOOKUP('Données projet'!$B$16,Paramètres!$A$1:$I$89,3,0)*VLOOKUP('Données projet'!$B$16,Paramètres!$A$1:$I$89,5,0)</f>
        <v>-2.2168933355715128E-13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318.52984981739411</v>
      </c>
      <c r="FK176" s="59">
        <f t="shared" si="156"/>
        <v>311.56398336941714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18.79241516660213</v>
      </c>
      <c r="FR176" s="21">
        <f>EXP(-LN(2)/25)*FR175+(1-EXP(-LN(2)/25))/(LN(2)/25)*Calculateur!FM176*Calculateur!FO176*VLOOKUP('Données projet'!$B$16,Paramètres!$A$1:$I$89,3,0)*0.475*44/12</f>
        <v>0.30455758386228143</v>
      </c>
      <c r="FS176" s="21">
        <f>EXP(-LN(2)/2)*FS175+(1-EXP(-LN(2)/2))/(LN(2)/2)*FM176*FP176*VLOOKUP('Données projet'!$B$16,Paramètres!$A$1:$I$89,3,0)*0.475*44/12</f>
        <v>5.6803515499449291E-13</v>
      </c>
      <c r="FT176" s="22">
        <f t="shared" si="184"/>
        <v>19.096972750464978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-2.8421709430404007E-13</v>
      </c>
      <c r="GA176" s="17">
        <f>FZ176*VLOOKUP('Données projet'!$B$17,Paramètres!$A$1:$I$89,3,0)*VLOOKUP('Données projet'!$B$17,Paramètres!$A$1:$I$89,5,0)</f>
        <v>-2.2612312022829427E-13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325.72928944930294</v>
      </c>
      <c r="GF176" s="59">
        <f t="shared" si="158"/>
        <v>318.38876834819752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23.625999160616566</v>
      </c>
      <c r="GM176" s="21">
        <f>EXP(-LN(2)/25)*GM175+(1-EXP(-LN(2)/25))/(LN(2)/25)*Calculateur!GH176*Calculateur!GJ176*VLOOKUP('Données projet'!$B$17,Paramètres!$A$1:$I$89,3,0)*0.475*44/12</f>
        <v>0.38289262752546338</v>
      </c>
      <c r="GN176" s="21">
        <f>EXP(-LN(2)/2)*GN175+(1-EXP(-LN(2)/2))/(LN(2)/2)*GH176*GK176*VLOOKUP('Données projet'!$B$17,Paramètres!$A$1:$I$89,3,0)*0.475*44/12</f>
        <v>5.793958580943819E-13</v>
      </c>
      <c r="GO176" s="21">
        <f t="shared" si="187"/>
        <v>24.008891788142609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-2.8421709430404007E-13</v>
      </c>
      <c r="GV176" s="17">
        <f>GU176*VLOOKUP('Données projet'!$B$18,Paramètres!$A$1:$I$89,3,0)*VLOOKUP('Données projet'!$B$18,Paramètres!$A$1:$I$89,5,0)</f>
        <v>-1.9065282685915009E-13</v>
      </c>
      <c r="GW176" s="13" t="e">
        <f t="shared" si="188"/>
        <v>#NUM!</v>
      </c>
      <c r="GX176" s="20" t="e">
        <f t="shared" si="189"/>
        <v>#NUM!</v>
      </c>
      <c r="GY176" s="59" t="e">
        <f t="shared" si="137"/>
        <v>#NUM!</v>
      </c>
      <c r="GZ176" s="59">
        <f ca="1">AVERAGE(OFFSET($GY$3,0,0,'Données projet'!$E$18+1,1))-AVERAGE(OFFSET($H$3,0,0,'Données projet'!$E$18+1,1))</f>
        <v>268.04554291387961</v>
      </c>
      <c r="HA176" s="59">
        <f t="shared" si="160"/>
        <v>263.70463099437148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19.919960076598258</v>
      </c>
      <c r="HH176" s="21">
        <f>EXP(-LN(2)/25)*HH175+(1-EXP(-LN(2)/25))/(LN(2)/25)*Calculateur!HC176*Calculateur!HE176*VLOOKUP('Données projet'!$B$18,Paramètres!$A$1:$I$89,3,0)*0.475*44/12</f>
        <v>0.3228310388940191</v>
      </c>
      <c r="HI176" s="21">
        <f>EXP(-LN(2)/2)*HI175+(1-EXP(-LN(2)/2))/(LN(2)/2)*HC176*HF176*VLOOKUP('Données projet'!$B$18,Paramètres!$A$1:$I$89,3,0)*0.475*44/12</f>
        <v>4.8851023329526317E-13</v>
      </c>
      <c r="HJ176" s="22">
        <f t="shared" si="190"/>
        <v>20.242791115492768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-2.5124791136477146E-14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46.095319339746538</v>
      </c>
      <c r="T177" s="59">
        <f t="shared" si="142"/>
        <v>48.158174304064403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9.3877212054501928</v>
      </c>
      <c r="AA177" s="21">
        <f>EXP(-LN(2)/25)*AA176+(1-EXP(-LN(2)/25))/(LN(2)/25)*Calculateur!V177*Calculateur!X177*VLOOKUP('Données projet'!$B$9,Paramètres!$A$1:$I$89,3,0)*0.475*44/12</f>
        <v>2.0224752726444524</v>
      </c>
      <c r="AB177" s="21">
        <f>EXP(-LN(2)/2)*AB176+(1-EXP(-LN(2)/2))/(LN(2)/2)*V177*Y177*VLOOKUP('Données projet'!$B$9,Paramètres!$A$1:$I$89,3,0)*0.475*44/12</f>
        <v>1.0493157214974945E-13</v>
      </c>
      <c r="AC177" s="22">
        <f t="shared" si="163"/>
        <v>11.41019647809475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-6.7984728957526396E-14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408.84545509668794</v>
      </c>
      <c r="AO177" s="59">
        <f t="shared" si="144"/>
        <v>409.9253979841132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19.672442657829396</v>
      </c>
      <c r="AV177" s="21">
        <f>EXP(-LN(2)/25)*AV176+(1-EXP(-LN(2)/25))/(LN(2)/25)*Calculateur!AQ177*Calculateur!AS177*VLOOKUP('Données projet'!$B$10,Paramètres!$A$1:$I$89,3,0)*0.475*44/12</f>
        <v>3.2325029429373435</v>
      </c>
      <c r="AW177" s="21">
        <f>EXP(-LN(2)/2)*AW176+(1-EXP(-LN(2)/2))/(LN(2)/2)*AQ177*AT177*VLOOKUP('Données projet'!$B$10,Paramètres!$A$1:$I$89,3,0)*0.475*44/12</f>
        <v>6.5140181976859343E-16</v>
      </c>
      <c r="AX177" s="21">
        <f t="shared" si="166"/>
        <v>22.904945600766741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-6.7984728957526396E-14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279.69031306919914</v>
      </c>
      <c r="BJ177" s="59">
        <f t="shared" si="146"/>
        <v>297.01680128882509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17.847964310180693</v>
      </c>
      <c r="BQ177" s="21">
        <f>EXP(-LN(2)/25)*BQ176+(1-EXP(-LN(2)/25))/(LN(2)/25)*Calculateur!BL177*Calculateur!BN177*VLOOKUP('Données projet'!$B$11,Paramètres!$A$1:$I$89,3,0)*0.475*44/12</f>
        <v>3.6666298678655878</v>
      </c>
      <c r="BR177" s="21">
        <f>EXP(-LN(2)/2)*BR176+(1-EXP(-LN(2)/2))/(LN(2)/2)*BL177*BO177*VLOOKUP('Données projet'!$B$11,Paramètres!$A$1:$I$89,3,0)*0.475*44/12</f>
        <v>1.5198079609005028E-15</v>
      </c>
      <c r="BS177" s="22">
        <f t="shared" si="169"/>
        <v>21.514594178046281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81.299024916151723</v>
      </c>
      <c r="CE177" s="59">
        <f t="shared" si="148"/>
        <v>88.106373324240167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5.2790069321252959</v>
      </c>
      <c r="CL177" s="21">
        <f>EXP(-LN(2)/25)*CL176+(1-EXP(-LN(2)/25))/(LN(2)/25)*Calculateur!CG177*Calculateur!CI177*VLOOKUP('Données projet'!$B$12,Paramètres!$A$1:$I$89,3,0)*0.475*44/12</f>
        <v>0.98086831035149236</v>
      </c>
      <c r="CM177" s="21">
        <f>EXP(-LN(2)/2)*CM176+(1-EXP(-LN(2)/2))/(LN(2)/2)*CG177*CJ177*VLOOKUP('Données projet'!$B$12,Paramètres!$A$1:$I$89,3,0)*0.475*44/12</f>
        <v>1.6657217423269727E-16</v>
      </c>
      <c r="CN177" s="22">
        <f t="shared" si="172"/>
        <v>6.2598752424767881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-3.4106051316484809E-13</v>
      </c>
      <c r="CU177" s="17">
        <f>CT177*VLOOKUP('Données projet'!$B$13,Paramètres!$A$1:$I$89,3,0)*VLOOKUP('Données projet'!$B$13,Paramètres!$A$1:$I$89,5,0)</f>
        <v>-1.9065282685915009E-13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475.42482703895411</v>
      </c>
      <c r="CZ177" s="59">
        <f t="shared" si="150"/>
        <v>593.51433014569966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36.061196048263078</v>
      </c>
      <c r="DG177" s="21">
        <f>EXP(-LN(2)/25)*DG176+(1-EXP(-LN(2)/25))/(LN(2)/25)*Calculateur!DB177*Calculateur!DD177*VLOOKUP('Données projet'!$B$13,Paramètres!$A$1:$I$89,3,0)*0.475*44/12</f>
        <v>3.1529996661679371</v>
      </c>
      <c r="DH177" s="21">
        <f>EXP(-LN(2)/2)*DH176+(1-EXP(-LN(2)/2))/(LN(2)/2)*DB177*DE177*VLOOKUP('Données projet'!$B$13,Paramètres!$A$1:$I$89,3,0)*0.475*44/12</f>
        <v>1.9315068972617094E-15</v>
      </c>
      <c r="DI177" s="22">
        <f t="shared" si="175"/>
        <v>39.214195714431014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-7.9580786405131221E-13</v>
      </c>
      <c r="DP177" s="17">
        <f>DO177*VLOOKUP('Données projet'!$B$14,Paramètres!$A$1:$I$89,3,0)*VLOOKUP('Données projet'!$B$14,Paramètres!$A$1:$I$89,5,0)</f>
        <v>-7.2004695539362725E-13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401.17301323870578</v>
      </c>
      <c r="DU177" s="59">
        <f t="shared" si="152"/>
        <v>201.57993789149754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122.80250872120683</v>
      </c>
      <c r="EB177" s="21">
        <f>EXP(-LN(2)/25)*EB176+(1-EXP(-LN(2)/25))/(LN(2)/25)*Calculateur!DW177*Calculateur!DY177*VLOOKUP('Données projet'!$B$14,Paramètres!$A$1:$I$89,3,0)*0.475*44/12</f>
        <v>17.692540024505931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140.49504874571278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1.7053025658242404E-13</v>
      </c>
      <c r="EK177" s="17">
        <f>EJ177*VLOOKUP('Données projet'!$B$15,Paramètres!$A$1:$I$89,3,0)*VLOOKUP('Données projet'!$B$15,Paramètres!$A$1:$I$89,5,0)</f>
        <v>1.4897523215040567E-13</v>
      </c>
      <c r="EL177" s="13">
        <f t="shared" si="179"/>
        <v>2.136562777003313E-12</v>
      </c>
      <c r="EM177" s="20">
        <f t="shared" si="180"/>
        <v>3.9806453659427267E-12</v>
      </c>
      <c r="EN177" s="59">
        <f t="shared" si="128"/>
        <v>293.33333333333729</v>
      </c>
      <c r="EO177" s="59">
        <f ca="1">AVERAGE(OFFSET($EN$3,0,0,'Données projet'!$E$15+1,1))-AVERAGE(OFFSET($H$3,0,0,'Données projet'!$E$15+1,1))</f>
        <v>237.8483058552178</v>
      </c>
      <c r="EP177" s="59">
        <f t="shared" si="154"/>
        <v>313.36201272119723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10.373983999164142</v>
      </c>
      <c r="EW177" s="21">
        <f>EXP(-LN(2)/25)*EW176+(1-EXP(-LN(2)/25))/(LN(2)/25)*Calculateur!ER177*Calculateur!ET177*VLOOKUP('Données projet'!$B$15,Paramètres!$A$1:$I$89,3,0)*0.475*44/12</f>
        <v>0.29673127911253827</v>
      </c>
      <c r="EX177" s="21">
        <f>EXP(-LN(2)/2)*EX176+(1-EXP(-LN(2)/2))/(LN(2)/2)*ER177*EU177*VLOOKUP('Données projet'!$B$15,Paramètres!$A$1:$I$89,3,0)*0.475*44/12</f>
        <v>9.146152494503207E-15</v>
      </c>
      <c r="EY177" s="22">
        <f t="shared" si="181"/>
        <v>10.67071527827669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-2.8421709430404007E-13</v>
      </c>
      <c r="FF177" s="17">
        <f>FE177*VLOOKUP('Données projet'!$B$16,Paramètres!$A$1:$I$89,3,0)*VLOOKUP('Données projet'!$B$16,Paramètres!$A$1:$I$89,5,0)</f>
        <v>-2.2168933355715128E-13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318.52984981739411</v>
      </c>
      <c r="FK177" s="59">
        <f t="shared" si="156"/>
        <v>311.56398336941714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18.423907367426512</v>
      </c>
      <c r="FR177" s="21">
        <f>EXP(-LN(2)/25)*FR176+(1-EXP(-LN(2)/25))/(LN(2)/25)*Calculateur!FM177*Calculateur!FO177*VLOOKUP('Données projet'!$B$16,Paramètres!$A$1:$I$89,3,0)*0.475*44/12</f>
        <v>0.29622944071558011</v>
      </c>
      <c r="FS177" s="21">
        <f>EXP(-LN(2)/2)*FS176+(1-EXP(-LN(2)/2))/(LN(2)/2)*FM177*FP177*VLOOKUP('Données projet'!$B$16,Paramètres!$A$1:$I$89,3,0)*0.475*44/12</f>
        <v>4.0166151004895751E-13</v>
      </c>
      <c r="FT177" s="22">
        <f t="shared" si="184"/>
        <v>18.720136808142495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-2.8421709430404007E-13</v>
      </c>
      <c r="GA177" s="17">
        <f>FZ177*VLOOKUP('Données projet'!$B$17,Paramètres!$A$1:$I$89,3,0)*VLOOKUP('Données projet'!$B$17,Paramètres!$A$1:$I$89,5,0)</f>
        <v>-2.2612312022829427E-13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325.72928944930294</v>
      </c>
      <c r="GF177" s="59">
        <f t="shared" si="158"/>
        <v>318.38876834819752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23.16270772751345</v>
      </c>
      <c r="GM177" s="21">
        <f>EXP(-LN(2)/25)*GM176+(1-EXP(-LN(2)/25))/(LN(2)/25)*Calculateur!GH177*Calculateur!GJ177*VLOOKUP('Données projet'!$B$17,Paramètres!$A$1:$I$89,3,0)*0.475*44/12</f>
        <v>0.37242240849033142</v>
      </c>
      <c r="GN177" s="21">
        <f>EXP(-LN(2)/2)*GN176+(1-EXP(-LN(2)/2))/(LN(2)/2)*GH177*GK177*VLOOKUP('Données projet'!$B$17,Paramètres!$A$1:$I$89,3,0)*0.475*44/12</f>
        <v>4.0969474024993605E-13</v>
      </c>
      <c r="GO177" s="21">
        <f t="shared" si="187"/>
        <v>23.535130136004188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-2.8421709430404007E-13</v>
      </c>
      <c r="GV177" s="17">
        <f>GU177*VLOOKUP('Données projet'!$B$18,Paramètres!$A$1:$I$89,3,0)*VLOOKUP('Données projet'!$B$18,Paramètres!$A$1:$I$89,5,0)</f>
        <v>-1.9065282685915009E-13</v>
      </c>
      <c r="GW177" s="13" t="e">
        <f t="shared" si="188"/>
        <v>#NUM!</v>
      </c>
      <c r="GX177" s="20" t="e">
        <f t="shared" si="189"/>
        <v>#NUM!</v>
      </c>
      <c r="GY177" s="59" t="e">
        <f t="shared" si="137"/>
        <v>#NUM!</v>
      </c>
      <c r="GZ177" s="59">
        <f ca="1">AVERAGE(OFFSET($GY$3,0,0,'Données projet'!$E$18+1,1))-AVERAGE(OFFSET($H$3,0,0,'Données projet'!$E$18+1,1))</f>
        <v>268.04554291387961</v>
      </c>
      <c r="HA177" s="59">
        <f t="shared" si="160"/>
        <v>263.70463099437148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19.529341809472104</v>
      </c>
      <c r="HH177" s="21">
        <f>EXP(-LN(2)/25)*HH176+(1-EXP(-LN(2)/25))/(LN(2)/25)*Calculateur!HC177*Calculateur!HE177*VLOOKUP('Données projet'!$B$18,Paramètres!$A$1:$I$89,3,0)*0.475*44/12</f>
        <v>0.31400320715851565</v>
      </c>
      <c r="HI177" s="21">
        <f>EXP(-LN(2)/2)*HI176+(1-EXP(-LN(2)/2))/(LN(2)/2)*HC177*HF177*VLOOKUP('Données projet'!$B$18,Paramètres!$A$1:$I$89,3,0)*0.475*44/12</f>
        <v>3.4542889864210295E-13</v>
      </c>
      <c r="HJ177" s="22">
        <f t="shared" si="190"/>
        <v>19.843345016630963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-2.5124791136477146E-14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46.095319339746538</v>
      </c>
      <c r="T178" s="59">
        <f t="shared" si="142"/>
        <v>48.158174304064403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9.2036337185558601</v>
      </c>
      <c r="AA178" s="21">
        <f>EXP(-LN(2)/25)*AA177+(1-EXP(-LN(2)/25))/(LN(2)/25)*Calculateur!V178*Calculateur!X178*VLOOKUP('Données projet'!$B$9,Paramètres!$A$1:$I$89,3,0)*0.475*44/12</f>
        <v>1.9671705799566377</v>
      </c>
      <c r="AB178" s="21">
        <f>EXP(-LN(2)/2)*AB177+(1-EXP(-LN(2)/2))/(LN(2)/2)*V178*Y178*VLOOKUP('Données projet'!$B$9,Paramètres!$A$1:$I$89,3,0)*0.475*44/12</f>
        <v>7.4197826227653306E-14</v>
      </c>
      <c r="AC178" s="22">
        <f t="shared" si="163"/>
        <v>11.170804298512572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-6.7984728957526396E-14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408.84545509668794</v>
      </c>
      <c r="AO178" s="59">
        <f t="shared" si="144"/>
        <v>409.9253979841132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19.286678056314582</v>
      </c>
      <c r="AV178" s="21">
        <f>EXP(-LN(2)/25)*AV177+(1-EXP(-LN(2)/25))/(LN(2)/25)*Calculateur!AQ178*Calculateur!AS178*VLOOKUP('Données projet'!$B$10,Paramètres!$A$1:$I$89,3,0)*0.475*44/12</f>
        <v>3.1441099799727801</v>
      </c>
      <c r="AW178" s="21">
        <f>EXP(-LN(2)/2)*AW177+(1-EXP(-LN(2)/2))/(LN(2)/2)*AQ178*AT178*VLOOKUP('Données projet'!$B$10,Paramètres!$A$1:$I$89,3,0)*0.475*44/12</f>
        <v>4.6061064403562966E-16</v>
      </c>
      <c r="AX178" s="21">
        <f t="shared" si="166"/>
        <v>22.43078803628736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-6.7984728957526396E-14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279.69031306919914</v>
      </c>
      <c r="BJ178" s="59">
        <f t="shared" si="146"/>
        <v>297.01680128882509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17.497976616241356</v>
      </c>
      <c r="BQ178" s="21">
        <f>EXP(-LN(2)/25)*BQ177+(1-EXP(-LN(2)/25))/(LN(2)/25)*Calculateur!BL178*Calculateur!BN178*VLOOKUP('Données projet'!$B$11,Paramètres!$A$1:$I$89,3,0)*0.475*44/12</f>
        <v>3.5663656813091187</v>
      </c>
      <c r="BR178" s="21">
        <f>EXP(-LN(2)/2)*BR177+(1-EXP(-LN(2)/2))/(LN(2)/2)*BL178*BO178*VLOOKUP('Données projet'!$B$11,Paramètres!$A$1:$I$89,3,0)*0.475*44/12</f>
        <v>1.0746665152540448E-15</v>
      </c>
      <c r="BS178" s="22">
        <f t="shared" si="169"/>
        <v>21.064342297550475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81.299024916151723</v>
      </c>
      <c r="CE178" s="59">
        <f t="shared" si="148"/>
        <v>88.106373324240167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5.1754888260626108</v>
      </c>
      <c r="CL178" s="21">
        <f>EXP(-LN(2)/25)*CL177+(1-EXP(-LN(2)/25))/(LN(2)/25)*Calculateur!CG178*Calculateur!CI178*VLOOKUP('Données projet'!$B$12,Paramètres!$A$1:$I$89,3,0)*0.475*44/12</f>
        <v>0.95404641482330821</v>
      </c>
      <c r="CM178" s="21">
        <f>EXP(-LN(2)/2)*CM177+(1-EXP(-LN(2)/2))/(LN(2)/2)*CG178*CJ178*VLOOKUP('Données projet'!$B$12,Paramètres!$A$1:$I$89,3,0)*0.475*44/12</f>
        <v>1.1778431395692734E-16</v>
      </c>
      <c r="CN178" s="22">
        <f t="shared" si="172"/>
        <v>6.1295352408859189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-3.4106051316484809E-13</v>
      </c>
      <c r="CU178" s="17">
        <f>CT178*VLOOKUP('Données projet'!$B$13,Paramètres!$A$1:$I$89,3,0)*VLOOKUP('Données projet'!$B$13,Paramètres!$A$1:$I$89,5,0)</f>
        <v>-1.9065282685915009E-13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475.42482703895411</v>
      </c>
      <c r="CZ178" s="59">
        <f t="shared" si="150"/>
        <v>593.51433014569966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35.354057988914384</v>
      </c>
      <c r="DG178" s="21">
        <f>EXP(-LN(2)/25)*DG177+(1-EXP(-LN(2)/25))/(LN(2)/25)*Calculateur!DB178*Calculateur!DD178*VLOOKUP('Données projet'!$B$13,Paramètres!$A$1:$I$89,3,0)*0.475*44/12</f>
        <v>3.0667807244875287</v>
      </c>
      <c r="DH178" s="21">
        <f>EXP(-LN(2)/2)*DH177+(1-EXP(-LN(2)/2))/(LN(2)/2)*DB178*DE178*VLOOKUP('Données projet'!$B$13,Paramètres!$A$1:$I$89,3,0)*0.475*44/12</f>
        <v>1.3657816249623429E-15</v>
      </c>
      <c r="DI178" s="22">
        <f t="shared" si="175"/>
        <v>38.420838713401913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-7.9580786405131221E-13</v>
      </c>
      <c r="DP178" s="17">
        <f>DO178*VLOOKUP('Données projet'!$B$14,Paramètres!$A$1:$I$89,3,0)*VLOOKUP('Données projet'!$B$14,Paramètres!$A$1:$I$89,5,0)</f>
        <v>-7.2004695539362725E-13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401.17301323870578</v>
      </c>
      <c r="DU178" s="59">
        <f t="shared" si="152"/>
        <v>201.57993789149754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120.39442642731832</v>
      </c>
      <c r="EB178" s="21">
        <f>EXP(-LN(2)/25)*EB177+(1-EXP(-LN(2)/25))/(LN(2)/25)*Calculateur!DW178*Calculateur!DY178*VLOOKUP('Données projet'!$B$14,Paramètres!$A$1:$I$89,3,0)*0.475*44/12</f>
        <v>17.208736587125571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137.60316301444391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1.7053025658242404E-13</v>
      </c>
      <c r="EK178" s="17">
        <f>EJ178*VLOOKUP('Données projet'!$B$15,Paramètres!$A$1:$I$89,3,0)*VLOOKUP('Données projet'!$B$15,Paramètres!$A$1:$I$89,5,0)</f>
        <v>1.4897523215040567E-13</v>
      </c>
      <c r="EL178" s="13">
        <f t="shared" si="179"/>
        <v>2.136562777003313E-12</v>
      </c>
      <c r="EM178" s="20">
        <f t="shared" si="180"/>
        <v>3.9806453659427267E-12</v>
      </c>
      <c r="EN178" s="59">
        <f t="shared" si="128"/>
        <v>293.33333333333729</v>
      </c>
      <c r="EO178" s="59">
        <f ca="1">AVERAGE(OFFSET($EN$3,0,0,'Données projet'!$E$15+1,1))-AVERAGE(OFFSET($H$3,0,0,'Données projet'!$E$15+1,1))</f>
        <v>237.8483058552178</v>
      </c>
      <c r="EP178" s="59">
        <f t="shared" si="154"/>
        <v>313.36201272119723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10.170556500445985</v>
      </c>
      <c r="EW178" s="21">
        <f>EXP(-LN(2)/25)*EW177+(1-EXP(-LN(2)/25))/(LN(2)/25)*Calculateur!ER178*Calculateur!ET178*VLOOKUP('Données projet'!$B$15,Paramètres!$A$1:$I$89,3,0)*0.475*44/12</f>
        <v>0.28861714668078614</v>
      </c>
      <c r="EX178" s="21">
        <f>EXP(-LN(2)/2)*EX177+(1-EXP(-LN(2)/2))/(LN(2)/2)*ER178*EU178*VLOOKUP('Données projet'!$B$15,Paramètres!$A$1:$I$89,3,0)*0.475*44/12</f>
        <v>6.4673064506294751E-15</v>
      </c>
      <c r="EY178" s="22">
        <f t="shared" si="181"/>
        <v>10.459173647126779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-2.8421709430404007E-13</v>
      </c>
      <c r="FF178" s="17">
        <f>FE178*VLOOKUP('Données projet'!$B$16,Paramètres!$A$1:$I$89,3,0)*VLOOKUP('Données projet'!$B$16,Paramètres!$A$1:$I$89,5,0)</f>
        <v>-2.2168933355715128E-13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318.52984981739411</v>
      </c>
      <c r="FK178" s="59">
        <f t="shared" si="156"/>
        <v>311.56398336941714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18.062625781425165</v>
      </c>
      <c r="FR178" s="21">
        <f>EXP(-LN(2)/25)*FR177+(1-EXP(-LN(2)/25))/(LN(2)/25)*Calculateur!FM178*Calculateur!FO178*VLOOKUP('Données projet'!$B$16,Paramètres!$A$1:$I$89,3,0)*0.475*44/12</f>
        <v>0.28812903108118332</v>
      </c>
      <c r="FS178" s="21">
        <f>EXP(-LN(2)/2)*FS177+(1-EXP(-LN(2)/2))/(LN(2)/2)*FM178*FP178*VLOOKUP('Données projet'!$B$16,Paramètres!$A$1:$I$89,3,0)*0.475*44/12</f>
        <v>2.8401757749724645E-13</v>
      </c>
      <c r="FT178" s="22">
        <f t="shared" si="184"/>
        <v>18.350754812506633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-2.8421709430404007E-13</v>
      </c>
      <c r="GA178" s="17">
        <f>FZ178*VLOOKUP('Données projet'!$B$17,Paramètres!$A$1:$I$89,3,0)*VLOOKUP('Données projet'!$B$17,Paramètres!$A$1:$I$89,5,0)</f>
        <v>-2.2612312022829427E-13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325.72928944930294</v>
      </c>
      <c r="GF178" s="59">
        <f t="shared" si="158"/>
        <v>318.38876834819752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22.708501156833616</v>
      </c>
      <c r="GM178" s="21">
        <f>EXP(-LN(2)/25)*GM177+(1-EXP(-LN(2)/25))/(LN(2)/25)*Calculateur!GH178*Calculateur!GJ178*VLOOKUP('Données projet'!$B$17,Paramètres!$A$1:$I$89,3,0)*0.475*44/12</f>
        <v>0.36223849814532005</v>
      </c>
      <c r="GN178" s="21">
        <f>EXP(-LN(2)/2)*GN177+(1-EXP(-LN(2)/2))/(LN(2)/2)*GH178*GK178*VLOOKUP('Données projet'!$B$17,Paramètres!$A$1:$I$89,3,0)*0.475*44/12</f>
        <v>2.8969792904719095E-13</v>
      </c>
      <c r="GO178" s="21">
        <f t="shared" si="187"/>
        <v>23.070739654979228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-2.8421709430404007E-13</v>
      </c>
      <c r="GV178" s="17">
        <f>GU178*VLOOKUP('Données projet'!$B$18,Paramètres!$A$1:$I$89,3,0)*VLOOKUP('Données projet'!$B$18,Paramètres!$A$1:$I$89,5,0)</f>
        <v>-1.9065282685915009E-13</v>
      </c>
      <c r="GW178" s="13" t="e">
        <f t="shared" si="188"/>
        <v>#NUM!</v>
      </c>
      <c r="GX178" s="20" t="e">
        <f t="shared" si="189"/>
        <v>#NUM!</v>
      </c>
      <c r="GY178" s="59" t="e">
        <f t="shared" si="137"/>
        <v>#NUM!</v>
      </c>
      <c r="GZ178" s="59">
        <f ca="1">AVERAGE(OFFSET($GY$3,0,0,'Données projet'!$E$18+1,1))-AVERAGE(OFFSET($H$3,0,0,'Données projet'!$E$18+1,1))</f>
        <v>268.04554291387961</v>
      </c>
      <c r="HA178" s="59">
        <f t="shared" si="160"/>
        <v>263.70463099437148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19.146383328310677</v>
      </c>
      <c r="HH178" s="21">
        <f>EXP(-LN(2)/25)*HH177+(1-EXP(-LN(2)/25))/(LN(2)/25)*Calculateur!HC178*Calculateur!HE178*VLOOKUP('Données projet'!$B$18,Paramètres!$A$1:$I$89,3,0)*0.475*44/12</f>
        <v>0.30541677294605502</v>
      </c>
      <c r="HI178" s="21">
        <f>EXP(-LN(2)/2)*HI177+(1-EXP(-LN(2)/2))/(LN(2)/2)*HC178*HF178*VLOOKUP('Données projet'!$B$18,Paramètres!$A$1:$I$89,3,0)*0.475*44/12</f>
        <v>2.4425511664763159E-13</v>
      </c>
      <c r="HJ178" s="22">
        <f t="shared" si="190"/>
        <v>19.451800101256978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-2.5124791136477146E-14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46.095319339746538</v>
      </c>
      <c r="T179" s="59">
        <f t="shared" si="142"/>
        <v>48.158174304064403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9.0231560749972441</v>
      </c>
      <c r="AA179" s="21">
        <f>EXP(-LN(2)/25)*AA178+(1-EXP(-LN(2)/25))/(LN(2)/25)*Calculateur!V179*Calculateur!X179*VLOOKUP('Données projet'!$B$9,Paramètres!$A$1:$I$89,3,0)*0.475*44/12</f>
        <v>1.9133781969987187</v>
      </c>
      <c r="AB179" s="21">
        <f>EXP(-LN(2)/2)*AB178+(1-EXP(-LN(2)/2))/(LN(2)/2)*V179*Y179*VLOOKUP('Données projet'!$B$9,Paramètres!$A$1:$I$89,3,0)*0.475*44/12</f>
        <v>5.2465786074874724E-14</v>
      </c>
      <c r="AC179" s="22">
        <f t="shared" si="163"/>
        <v>10.936534271996017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-6.7984728957526396E-14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408.84545509668794</v>
      </c>
      <c r="AO179" s="59">
        <f t="shared" si="144"/>
        <v>409.9253979841132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18.908478063342297</v>
      </c>
      <c r="AV179" s="21">
        <f>EXP(-LN(2)/25)*AV178+(1-EXP(-LN(2)/25))/(LN(2)/25)*Calculateur!AQ179*Calculateur!AS179*VLOOKUP('Données projet'!$B$10,Paramètres!$A$1:$I$89,3,0)*0.475*44/12</f>
        <v>3.0581341272288665</v>
      </c>
      <c r="AW179" s="21">
        <f>EXP(-LN(2)/2)*AW178+(1-EXP(-LN(2)/2))/(LN(2)/2)*AQ179*AT179*VLOOKUP('Données projet'!$B$10,Paramètres!$A$1:$I$89,3,0)*0.475*44/12</f>
        <v>3.2570090988429672E-16</v>
      </c>
      <c r="AX179" s="21">
        <f t="shared" si="166"/>
        <v>21.966612190571162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-6.7984728957526396E-14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279.69031306919914</v>
      </c>
      <c r="BJ179" s="59">
        <f t="shared" si="146"/>
        <v>297.01680128882509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17.154851967508755</v>
      </c>
      <c r="BQ179" s="21">
        <f>EXP(-LN(2)/25)*BQ178+(1-EXP(-LN(2)/25))/(LN(2)/25)*Calculateur!BL179*Calculateur!BN179*VLOOKUP('Données projet'!$B$11,Paramètres!$A$1:$I$89,3,0)*0.475*44/12</f>
        <v>3.4688432242067009</v>
      </c>
      <c r="BR179" s="21">
        <f>EXP(-LN(2)/2)*BR178+(1-EXP(-LN(2)/2))/(LN(2)/2)*BL179*BO179*VLOOKUP('Données projet'!$B$11,Paramètres!$A$1:$I$89,3,0)*0.475*44/12</f>
        <v>7.5990398045025139E-16</v>
      </c>
      <c r="BS179" s="22">
        <f t="shared" si="169"/>
        <v>20.623695191715456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81.299024916151723</v>
      </c>
      <c r="CE179" s="59">
        <f t="shared" si="148"/>
        <v>88.106373324240167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5.0740006469200054</v>
      </c>
      <c r="CL179" s="21">
        <f>EXP(-LN(2)/25)*CL178+(1-EXP(-LN(2)/25))/(LN(2)/25)*Calculateur!CG179*Calculateur!CI179*VLOOKUP('Données projet'!$B$12,Paramètres!$A$1:$I$89,3,0)*0.475*44/12</f>
        <v>0.92795796543884435</v>
      </c>
      <c r="CM179" s="21">
        <f>EXP(-LN(2)/2)*CM178+(1-EXP(-LN(2)/2))/(LN(2)/2)*CG179*CJ179*VLOOKUP('Données projet'!$B$12,Paramètres!$A$1:$I$89,3,0)*0.475*44/12</f>
        <v>8.3286087116348637E-17</v>
      </c>
      <c r="CN179" s="22">
        <f t="shared" si="172"/>
        <v>6.00195861235885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-3.4106051316484809E-13</v>
      </c>
      <c r="CU179" s="17">
        <f>CT179*VLOOKUP('Données projet'!$B$13,Paramètres!$A$1:$I$89,3,0)*VLOOKUP('Données projet'!$B$13,Paramètres!$A$1:$I$89,5,0)</f>
        <v>-1.9065282685915009E-13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475.42482703895411</v>
      </c>
      <c r="CZ179" s="59">
        <f t="shared" si="150"/>
        <v>593.51433014569966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34.660786475597895</v>
      </c>
      <c r="DG179" s="21">
        <f>EXP(-LN(2)/25)*DG178+(1-EXP(-LN(2)/25))/(LN(2)/25)*Calculateur!DB179*Calculateur!DD179*VLOOKUP('Données projet'!$B$13,Paramètres!$A$1:$I$89,3,0)*0.475*44/12</f>
        <v>2.982919444301428</v>
      </c>
      <c r="DH179" s="21">
        <f>EXP(-LN(2)/2)*DH178+(1-EXP(-LN(2)/2))/(LN(2)/2)*DB179*DE179*VLOOKUP('Données projet'!$B$13,Paramètres!$A$1:$I$89,3,0)*0.475*44/12</f>
        <v>9.6575344863085472E-16</v>
      </c>
      <c r="DI179" s="22">
        <f t="shared" si="175"/>
        <v>37.643705919899325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-7.9580786405131221E-13</v>
      </c>
      <c r="DP179" s="17">
        <f>DO179*VLOOKUP('Données projet'!$B$14,Paramètres!$A$1:$I$89,3,0)*VLOOKUP('Données projet'!$B$14,Paramètres!$A$1:$I$89,5,0)</f>
        <v>-7.2004695539362725E-13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401.17301323870578</v>
      </c>
      <c r="DU179" s="59">
        <f t="shared" si="152"/>
        <v>201.57993789149754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118.03356515842779</v>
      </c>
      <c r="EB179" s="21">
        <f>EXP(-LN(2)/25)*EB178+(1-EXP(-LN(2)/25))/(LN(2)/25)*Calculateur!DW179*Calculateur!DY179*VLOOKUP('Données projet'!$B$14,Paramètres!$A$1:$I$89,3,0)*0.475*44/12</f>
        <v>16.738162780182495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134.7717279386103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1.7053025658242404E-13</v>
      </c>
      <c r="EK179" s="17">
        <f>EJ179*VLOOKUP('Données projet'!$B$15,Paramètres!$A$1:$I$89,3,0)*VLOOKUP('Données projet'!$B$15,Paramètres!$A$1:$I$89,5,0)</f>
        <v>1.4897523215040567E-13</v>
      </c>
      <c r="EL179" s="13">
        <f t="shared" si="179"/>
        <v>2.136562777003313E-12</v>
      </c>
      <c r="EM179" s="20">
        <f t="shared" si="180"/>
        <v>3.9806453659427267E-12</v>
      </c>
      <c r="EN179" s="59">
        <f t="shared" si="128"/>
        <v>293.33333333333729</v>
      </c>
      <c r="EO179" s="59">
        <f ca="1">AVERAGE(OFFSET($EN$3,0,0,'Données projet'!$E$15+1,1))-AVERAGE(OFFSET($H$3,0,0,'Données projet'!$E$15+1,1))</f>
        <v>237.8483058552178</v>
      </c>
      <c r="EP179" s="59">
        <f t="shared" si="154"/>
        <v>313.36201272119723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9.9711180908991661</v>
      </c>
      <c r="EW179" s="21">
        <f>EXP(-LN(2)/25)*EW178+(1-EXP(-LN(2)/25))/(LN(2)/25)*Calculateur!ER179*Calculateur!ET179*VLOOKUP('Données projet'!$B$15,Paramètres!$A$1:$I$89,3,0)*0.475*44/12</f>
        <v>0.28072489562708397</v>
      </c>
      <c r="EX179" s="21">
        <f>EXP(-LN(2)/2)*EX178+(1-EXP(-LN(2)/2))/(LN(2)/2)*ER179*EU179*VLOOKUP('Données projet'!$B$15,Paramètres!$A$1:$I$89,3,0)*0.475*44/12</f>
        <v>4.5730762472516035E-15</v>
      </c>
      <c r="EY179" s="22">
        <f t="shared" si="181"/>
        <v>10.251842986526256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-2.8421709430404007E-13</v>
      </c>
      <c r="FF179" s="17">
        <f>FE179*VLOOKUP('Données projet'!$B$16,Paramètres!$A$1:$I$89,3,0)*VLOOKUP('Données projet'!$B$16,Paramètres!$A$1:$I$89,5,0)</f>
        <v>-2.2168933355715128E-13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318.52984981739411</v>
      </c>
      <c r="FK179" s="59">
        <f t="shared" si="156"/>
        <v>311.56398336941714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17.708428706965293</v>
      </c>
      <c r="FR179" s="21">
        <f>EXP(-LN(2)/25)*FR178+(1-EXP(-LN(2)/25))/(LN(2)/25)*Calculateur!FM179*Calculateur!FO179*VLOOKUP('Données projet'!$B$16,Paramètres!$A$1:$I$89,3,0)*0.475*44/12</f>
        <v>0.28025012757422113</v>
      </c>
      <c r="FS179" s="21">
        <f>EXP(-LN(2)/2)*FS178+(1-EXP(-LN(2)/2))/(LN(2)/2)*FM179*FP179*VLOOKUP('Données projet'!$B$16,Paramètres!$A$1:$I$89,3,0)*0.475*44/12</f>
        <v>2.0083075502447876E-13</v>
      </c>
      <c r="FT179" s="22">
        <f t="shared" si="184"/>
        <v>17.988678834539716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-2.8421709430404007E-13</v>
      </c>
      <c r="GA179" s="17">
        <f>FZ179*VLOOKUP('Données projet'!$B$17,Paramètres!$A$1:$I$89,3,0)*VLOOKUP('Données projet'!$B$17,Paramètres!$A$1:$I$89,5,0)</f>
        <v>-2.2612312022829427E-13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325.72928944930294</v>
      </c>
      <c r="GF179" s="59">
        <f t="shared" si="158"/>
        <v>318.38876834819752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22.263201299966159</v>
      </c>
      <c r="GM179" s="21">
        <f>EXP(-LN(2)/25)*GM178+(1-EXP(-LN(2)/25))/(LN(2)/25)*Calculateur!GH179*Calculateur!GJ179*VLOOKUP('Données projet'!$B$17,Paramètres!$A$1:$I$89,3,0)*0.475*44/12</f>
        <v>0.35233306736424158</v>
      </c>
      <c r="GN179" s="21">
        <f>EXP(-LN(2)/2)*GN178+(1-EXP(-LN(2)/2))/(LN(2)/2)*GH179*GK179*VLOOKUP('Données projet'!$B$17,Paramètres!$A$1:$I$89,3,0)*0.475*44/12</f>
        <v>2.0484737012496802E-13</v>
      </c>
      <c r="GO179" s="21">
        <f t="shared" si="187"/>
        <v>22.615534367330607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-2.8421709430404007E-13</v>
      </c>
      <c r="GV179" s="17">
        <f>GU179*VLOOKUP('Données projet'!$B$18,Paramètres!$A$1:$I$89,3,0)*VLOOKUP('Données projet'!$B$18,Paramètres!$A$1:$I$89,5,0)</f>
        <v>-1.9065282685915009E-13</v>
      </c>
      <c r="GW179" s="13" t="e">
        <f t="shared" si="188"/>
        <v>#NUM!</v>
      </c>
      <c r="GX179" s="20" t="e">
        <f t="shared" si="189"/>
        <v>#NUM!</v>
      </c>
      <c r="GY179" s="59" t="e">
        <f t="shared" si="137"/>
        <v>#NUM!</v>
      </c>
      <c r="GZ179" s="59">
        <f ca="1">AVERAGE(OFFSET($GY$3,0,0,'Données projet'!$E$18+1,1))-AVERAGE(OFFSET($H$3,0,0,'Données projet'!$E$18+1,1))</f>
        <v>268.04554291387961</v>
      </c>
      <c r="HA179" s="59">
        <f t="shared" si="160"/>
        <v>263.70463099437148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18.770934429383214</v>
      </c>
      <c r="HH179" s="21">
        <f>EXP(-LN(2)/25)*HH178+(1-EXP(-LN(2)/25))/(LN(2)/25)*Calculateur!HC179*Calculateur!HE179*VLOOKUP('Données projet'!$B$18,Paramètres!$A$1:$I$89,3,0)*0.475*44/12</f>
        <v>0.29706513522867511</v>
      </c>
      <c r="HI179" s="21">
        <f>EXP(-LN(2)/2)*HI178+(1-EXP(-LN(2)/2))/(LN(2)/2)*HC179*HF179*VLOOKUP('Données projet'!$B$18,Paramètres!$A$1:$I$89,3,0)*0.475*44/12</f>
        <v>1.7271444932105147E-13</v>
      </c>
      <c r="HJ179" s="22">
        <f t="shared" si="190"/>
        <v>19.067999564612062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-2.5124791136477146E-14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46.095319339746538</v>
      </c>
      <c r="T180" s="59">
        <f t="shared" si="142"/>
        <v>48.158174304064403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8.8462174879483211</v>
      </c>
      <c r="AA180" s="21">
        <f>EXP(-LN(2)/25)*AA179+(1-EXP(-LN(2)/25))/(LN(2)/25)*Calculateur!V180*Calculateur!X180*VLOOKUP('Données projet'!$B$9,Paramètres!$A$1:$I$89,3,0)*0.475*44/12</f>
        <v>1.8610567695816025</v>
      </c>
      <c r="AB180" s="21">
        <f>EXP(-LN(2)/2)*AB179+(1-EXP(-LN(2)/2))/(LN(2)/2)*V180*Y180*VLOOKUP('Données projet'!$B$9,Paramètres!$A$1:$I$89,3,0)*0.475*44/12</f>
        <v>3.7098913113826653E-14</v>
      </c>
      <c r="AC180" s="22">
        <f t="shared" si="163"/>
        <v>10.707274257529962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-6.7984728957526396E-14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408.84545509668794</v>
      </c>
      <c r="AO180" s="59">
        <f t="shared" si="144"/>
        <v>409.9253979841132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18.537694341552982</v>
      </c>
      <c r="AV180" s="21">
        <f>EXP(-LN(2)/25)*AV179+(1-EXP(-LN(2)/25))/(LN(2)/25)*Calculateur!AQ180*Calculateur!AS180*VLOOKUP('Données projet'!$B$10,Paramètres!$A$1:$I$89,3,0)*0.475*44/12</f>
        <v>2.974509288699509</v>
      </c>
      <c r="AW180" s="21">
        <f>EXP(-LN(2)/2)*AW179+(1-EXP(-LN(2)/2))/(LN(2)/2)*AQ180*AT180*VLOOKUP('Données projet'!$B$10,Paramètres!$A$1:$I$89,3,0)*0.475*44/12</f>
        <v>2.3030532201781483E-16</v>
      </c>
      <c r="AX180" s="21">
        <f t="shared" si="166"/>
        <v>21.51220363025249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-6.7984728957526396E-14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279.69031306919914</v>
      </c>
      <c r="BJ180" s="59">
        <f t="shared" si="146"/>
        <v>297.01680128882509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16.818455783852432</v>
      </c>
      <c r="BQ180" s="21">
        <f>EXP(-LN(2)/25)*BQ179+(1-EXP(-LN(2)/25))/(LN(2)/25)*Calculateur!BL180*Calculateur!BN180*VLOOKUP('Données projet'!$B$11,Paramètres!$A$1:$I$89,3,0)*0.475*44/12</f>
        <v>3.3739875238222314</v>
      </c>
      <c r="BR180" s="21">
        <f>EXP(-LN(2)/2)*BR179+(1-EXP(-LN(2)/2))/(LN(2)/2)*BL180*BO180*VLOOKUP('Données projet'!$B$11,Paramètres!$A$1:$I$89,3,0)*0.475*44/12</f>
        <v>5.3733325762702238E-16</v>
      </c>
      <c r="BS180" s="22">
        <f t="shared" si="169"/>
        <v>20.192443307674665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81.299024916151723</v>
      </c>
      <c r="CE180" s="59">
        <f t="shared" si="148"/>
        <v>88.106373324240167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4.9745025890687096</v>
      </c>
      <c r="CL180" s="21">
        <f>EXP(-LN(2)/25)*CL179+(1-EXP(-LN(2)/25))/(LN(2)/25)*Calculateur!CG180*Calculateur!CI180*VLOOKUP('Données projet'!$B$12,Paramètres!$A$1:$I$89,3,0)*0.475*44/12</f>
        <v>0.90258290607473057</v>
      </c>
      <c r="CM180" s="21">
        <f>EXP(-LN(2)/2)*CM179+(1-EXP(-LN(2)/2))/(LN(2)/2)*CG180*CJ180*VLOOKUP('Données projet'!$B$12,Paramètres!$A$1:$I$89,3,0)*0.475*44/12</f>
        <v>5.8892156978463668E-17</v>
      </c>
      <c r="CN180" s="22">
        <f t="shared" si="172"/>
        <v>5.8770854951434401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-3.4106051316484809E-13</v>
      </c>
      <c r="CU180" s="17">
        <f>CT180*VLOOKUP('Données projet'!$B$13,Paramètres!$A$1:$I$89,3,0)*VLOOKUP('Données projet'!$B$13,Paramètres!$A$1:$I$89,5,0)</f>
        <v>-1.9065282685915009E-13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475.42482703895411</v>
      </c>
      <c r="CZ180" s="59">
        <f t="shared" si="150"/>
        <v>593.51433014569966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33.981109593803673</v>
      </c>
      <c r="DG180" s="21">
        <f>EXP(-LN(2)/25)*DG179+(1-EXP(-LN(2)/25))/(LN(2)/25)*Calculateur!DB180*Calculateur!DD180*VLOOKUP('Données projet'!$B$13,Paramètres!$A$1:$I$89,3,0)*0.475*44/12</f>
        <v>2.9013513552320895</v>
      </c>
      <c r="DH180" s="21">
        <f>EXP(-LN(2)/2)*DH179+(1-EXP(-LN(2)/2))/(LN(2)/2)*DB180*DE180*VLOOKUP('Données projet'!$B$13,Paramètres!$A$1:$I$89,3,0)*0.475*44/12</f>
        <v>6.8289081248117146E-16</v>
      </c>
      <c r="DI180" s="22">
        <f t="shared" si="175"/>
        <v>36.88246094903576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-7.9580786405131221E-13</v>
      </c>
      <c r="DP180" s="17">
        <f>DO180*VLOOKUP('Données projet'!$B$14,Paramètres!$A$1:$I$89,3,0)*VLOOKUP('Données projet'!$B$14,Paramètres!$A$1:$I$89,5,0)</f>
        <v>-7.2004695539362725E-13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401.17301323870578</v>
      </c>
      <c r="DU180" s="59">
        <f t="shared" si="152"/>
        <v>201.57993789149754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115.71899893903701</v>
      </c>
      <c r="EB180" s="21">
        <f>EXP(-LN(2)/25)*EB179+(1-EXP(-LN(2)/25))/(LN(2)/25)*Calculateur!DW180*Calculateur!DY180*VLOOKUP('Données projet'!$B$14,Paramètres!$A$1:$I$89,3,0)*0.475*44/12</f>
        <v>16.280456838736679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131.99945577777368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1.7053025658242404E-13</v>
      </c>
      <c r="EK180" s="17">
        <f>EJ180*VLOOKUP('Données projet'!$B$15,Paramètres!$A$1:$I$89,3,0)*VLOOKUP('Données projet'!$B$15,Paramètres!$A$1:$I$89,5,0)</f>
        <v>1.4897523215040567E-13</v>
      </c>
      <c r="EL180" s="13">
        <f t="shared" si="179"/>
        <v>2.136562777003313E-12</v>
      </c>
      <c r="EM180" s="20">
        <f t="shared" si="180"/>
        <v>3.9806453659427267E-12</v>
      </c>
      <c r="EN180" s="59">
        <f t="shared" si="128"/>
        <v>293.33333333333729</v>
      </c>
      <c r="EO180" s="59">
        <f ca="1">AVERAGE(OFFSET($EN$3,0,0,'Données projet'!$E$15+1,1))-AVERAGE(OFFSET($H$3,0,0,'Données projet'!$E$15+1,1))</f>
        <v>237.8483058552178</v>
      </c>
      <c r="EP180" s="59">
        <f t="shared" si="154"/>
        <v>313.36201272119723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9.7755905469181421</v>
      </c>
      <c r="EW180" s="21">
        <f>EXP(-LN(2)/25)*EW179+(1-EXP(-LN(2)/25))/(LN(2)/25)*Calculateur!ER180*Calculateur!ET180*VLOOKUP('Données projet'!$B$15,Paramètres!$A$1:$I$89,3,0)*0.475*44/12</f>
        <v>0.2730484585934807</v>
      </c>
      <c r="EX180" s="21">
        <f>EXP(-LN(2)/2)*EX179+(1-EXP(-LN(2)/2))/(LN(2)/2)*ER180*EU180*VLOOKUP('Données projet'!$B$15,Paramètres!$A$1:$I$89,3,0)*0.475*44/12</f>
        <v>3.2336532253147376E-15</v>
      </c>
      <c r="EY180" s="22">
        <f t="shared" si="181"/>
        <v>10.048639005511626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-2.8421709430404007E-13</v>
      </c>
      <c r="FF180" s="17">
        <f>FE180*VLOOKUP('Données projet'!$B$16,Paramètres!$A$1:$I$89,3,0)*VLOOKUP('Données projet'!$B$16,Paramètres!$A$1:$I$89,5,0)</f>
        <v>-2.2168933355715128E-13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318.52984981739411</v>
      </c>
      <c r="FK180" s="59">
        <f t="shared" si="156"/>
        <v>311.56398336941714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17.361177221096696</v>
      </c>
      <c r="FR180" s="21">
        <f>EXP(-LN(2)/25)*FR179+(1-EXP(-LN(2)/25))/(LN(2)/25)*Calculateur!FM180*Calculateur!FO180*VLOOKUP('Données projet'!$B$16,Paramètres!$A$1:$I$89,3,0)*0.475*44/12</f>
        <v>0.27258667309799034</v>
      </c>
      <c r="FS180" s="21">
        <f>EXP(-LN(2)/2)*FS179+(1-EXP(-LN(2)/2))/(LN(2)/2)*FM180*FP180*VLOOKUP('Données projet'!$B$16,Paramètres!$A$1:$I$89,3,0)*0.475*44/12</f>
        <v>1.4200878874862323E-13</v>
      </c>
      <c r="FT180" s="22">
        <f t="shared" si="184"/>
        <v>17.633763894194828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-2.8421709430404007E-13</v>
      </c>
      <c r="GA180" s="17">
        <f>FZ180*VLOOKUP('Données projet'!$B$17,Paramètres!$A$1:$I$89,3,0)*VLOOKUP('Données projet'!$B$17,Paramètres!$A$1:$I$89,5,0)</f>
        <v>-2.2612312022829427E-13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325.72928944930294</v>
      </c>
      <c r="GF180" s="59">
        <f t="shared" si="158"/>
        <v>318.38876834819752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21.82663350168578</v>
      </c>
      <c r="GM180" s="21">
        <f>EXP(-LN(2)/25)*GM179+(1-EXP(-LN(2)/25))/(LN(2)/25)*Calculateur!GH180*Calculateur!GJ180*VLOOKUP('Données projet'!$B$17,Paramètres!$A$1:$I$89,3,0)*0.475*44/12</f>
        <v>0.34269850110877564</v>
      </c>
      <c r="GN180" s="21">
        <f>EXP(-LN(2)/2)*GN179+(1-EXP(-LN(2)/2))/(LN(2)/2)*GH180*GK180*VLOOKUP('Données projet'!$B$17,Paramètres!$A$1:$I$89,3,0)*0.475*44/12</f>
        <v>1.4484896452359548E-13</v>
      </c>
      <c r="GO180" s="21">
        <f t="shared" si="187"/>
        <v>22.1693320027947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-2.8421709430404007E-13</v>
      </c>
      <c r="GV180" s="17">
        <f>GU180*VLOOKUP('Données projet'!$B$18,Paramètres!$A$1:$I$89,3,0)*VLOOKUP('Données projet'!$B$18,Paramètres!$A$1:$I$89,5,0)</f>
        <v>-1.9065282685915009E-13</v>
      </c>
      <c r="GW180" s="13" t="e">
        <f t="shared" si="188"/>
        <v>#NUM!</v>
      </c>
      <c r="GX180" s="20" t="e">
        <f t="shared" si="189"/>
        <v>#NUM!</v>
      </c>
      <c r="GY180" s="59" t="e">
        <f t="shared" si="137"/>
        <v>#NUM!</v>
      </c>
      <c r="GZ180" s="59">
        <f ca="1">AVERAGE(OFFSET($GY$3,0,0,'Données projet'!$E$18+1,1))-AVERAGE(OFFSET($H$3,0,0,'Données projet'!$E$18+1,1))</f>
        <v>268.04554291387961</v>
      </c>
      <c r="HA180" s="59">
        <f t="shared" si="160"/>
        <v>263.70463099437148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18.402847854362502</v>
      </c>
      <c r="HH180" s="21">
        <f>EXP(-LN(2)/25)*HH179+(1-EXP(-LN(2)/25))/(LN(2)/25)*Calculateur!HC180*Calculateur!HE180*VLOOKUP('Données projet'!$B$18,Paramètres!$A$1:$I$89,3,0)*0.475*44/12</f>
        <v>0.28894187348387046</v>
      </c>
      <c r="HI180" s="21">
        <f>EXP(-LN(2)/2)*HI179+(1-EXP(-LN(2)/2))/(LN(2)/2)*HC180*HF180*VLOOKUP('Données projet'!$B$18,Paramètres!$A$1:$I$89,3,0)*0.475*44/12</f>
        <v>1.2212755832381579E-13</v>
      </c>
      <c r="HJ180" s="22">
        <f t="shared" si="190"/>
        <v>18.691789727846494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-2.5124791136477146E-14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46.095319339746538</v>
      </c>
      <c r="T181" s="59">
        <f t="shared" si="142"/>
        <v>48.158174304064403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8.6727485586695447</v>
      </c>
      <c r="AA181" s="21">
        <f>EXP(-LN(2)/25)*AA180+(1-EXP(-LN(2)/25))/(LN(2)/25)*Calculateur!V181*Calculateur!X181*VLOOKUP('Données projet'!$B$9,Paramètres!$A$1:$I$89,3,0)*0.475*44/12</f>
        <v>1.8101660743486716</v>
      </c>
      <c r="AB181" s="21">
        <f>EXP(-LN(2)/2)*AB180+(1-EXP(-LN(2)/2))/(LN(2)/2)*V181*Y181*VLOOKUP('Données projet'!$B$9,Paramètres!$A$1:$I$89,3,0)*0.475*44/12</f>
        <v>2.6232893037437362E-14</v>
      </c>
      <c r="AC181" s="22">
        <f t="shared" si="163"/>
        <v>10.482914633018243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-6.7984728957526396E-14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408.84545509668794</v>
      </c>
      <c r="AO181" s="59">
        <f t="shared" si="144"/>
        <v>409.9253979841132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18.174181462392216</v>
      </c>
      <c r="AV181" s="21">
        <f>EXP(-LN(2)/25)*AV180+(1-EXP(-LN(2)/25))/(LN(2)/25)*Calculateur!AQ181*Calculateur!AS181*VLOOKUP('Données projet'!$B$10,Paramètres!$A$1:$I$89,3,0)*0.475*44/12</f>
        <v>2.8931711757773759</v>
      </c>
      <c r="AW181" s="21">
        <f>EXP(-LN(2)/2)*AW180+(1-EXP(-LN(2)/2))/(LN(2)/2)*AQ181*AT181*VLOOKUP('Données projet'!$B$10,Paramètres!$A$1:$I$89,3,0)*0.475*44/12</f>
        <v>1.6285045494214836E-16</v>
      </c>
      <c r="AX181" s="21">
        <f t="shared" si="166"/>
        <v>21.067352638169591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-6.7984728957526396E-14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279.69031306919914</v>
      </c>
      <c r="BJ181" s="59">
        <f t="shared" si="146"/>
        <v>297.01680128882509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16.488656124176195</v>
      </c>
      <c r="BQ181" s="21">
        <f>EXP(-LN(2)/25)*BQ180+(1-EXP(-LN(2)/25))/(LN(2)/25)*Calculateur!BL181*Calculateur!BN181*VLOOKUP('Données projet'!$B$11,Paramètres!$A$1:$I$89,3,0)*0.475*44/12</f>
        <v>3.2817256575530198</v>
      </c>
      <c r="BR181" s="21">
        <f>EXP(-LN(2)/2)*BR180+(1-EXP(-LN(2)/2))/(LN(2)/2)*BL181*BO181*VLOOKUP('Données projet'!$B$11,Paramètres!$A$1:$I$89,3,0)*0.475*44/12</f>
        <v>3.7995199022512569E-16</v>
      </c>
      <c r="BS181" s="22">
        <f t="shared" si="169"/>
        <v>19.770381781729213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81.299024916151723</v>
      </c>
      <c r="CE181" s="59">
        <f t="shared" si="148"/>
        <v>88.106373324240167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4.8769556274440546</v>
      </c>
      <c r="CL181" s="21">
        <f>EXP(-LN(2)/25)*CL180+(1-EXP(-LN(2)/25))/(LN(2)/25)*Calculateur!CG181*Calculateur!CI181*VLOOKUP('Données projet'!$B$12,Paramètres!$A$1:$I$89,3,0)*0.475*44/12</f>
        <v>0.87790172904334496</v>
      </c>
      <c r="CM181" s="21">
        <f>EXP(-LN(2)/2)*CM180+(1-EXP(-LN(2)/2))/(LN(2)/2)*CG181*CJ181*VLOOKUP('Données projet'!$B$12,Paramètres!$A$1:$I$89,3,0)*0.475*44/12</f>
        <v>4.1643043558174318E-17</v>
      </c>
      <c r="CN181" s="22">
        <f t="shared" si="172"/>
        <v>5.7548573564873999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-3.4106051316484809E-13</v>
      </c>
      <c r="CU181" s="17">
        <f>CT181*VLOOKUP('Données projet'!$B$13,Paramètres!$A$1:$I$89,3,0)*VLOOKUP('Données projet'!$B$13,Paramètres!$A$1:$I$89,5,0)</f>
        <v>-1.9065282685915009E-13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475.42482703895411</v>
      </c>
      <c r="CZ181" s="59">
        <f t="shared" si="150"/>
        <v>593.51433014569966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33.314760761099471</v>
      </c>
      <c r="DG181" s="21">
        <f>EXP(-LN(2)/25)*DG180+(1-EXP(-LN(2)/25))/(LN(2)/25)*Calculateur!DB181*Calculateur!DD181*VLOOKUP('Données projet'!$B$13,Paramètres!$A$1:$I$89,3,0)*0.475*44/12</f>
        <v>2.8220137498478315</v>
      </c>
      <c r="DH181" s="21">
        <f>EXP(-LN(2)/2)*DH180+(1-EXP(-LN(2)/2))/(LN(2)/2)*DB181*DE181*VLOOKUP('Données projet'!$B$13,Paramètres!$A$1:$I$89,3,0)*0.475*44/12</f>
        <v>4.8287672431542736E-16</v>
      </c>
      <c r="DI181" s="22">
        <f t="shared" si="175"/>
        <v>36.136774510947305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-7.9580786405131221E-13</v>
      </c>
      <c r="DP181" s="17">
        <f>DO181*VLOOKUP('Données projet'!$B$14,Paramètres!$A$1:$I$89,3,0)*VLOOKUP('Données projet'!$B$14,Paramètres!$A$1:$I$89,5,0)</f>
        <v>-7.2004695539362725E-13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401.17301323870578</v>
      </c>
      <c r="DU181" s="59">
        <f t="shared" si="152"/>
        <v>201.57993789149754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113.44981995146249</v>
      </c>
      <c r="EB181" s="21">
        <f>EXP(-LN(2)/25)*EB180+(1-EXP(-LN(2)/25))/(LN(2)/25)*Calculateur!DW181*Calculateur!DY181*VLOOKUP('Données projet'!$B$14,Paramètres!$A$1:$I$89,3,0)*0.475*44/12</f>
        <v>15.835266890329409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129.28508684179189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1.7053025658242404E-13</v>
      </c>
      <c r="EK181" s="17">
        <f>EJ181*VLOOKUP('Données projet'!$B$15,Paramètres!$A$1:$I$89,3,0)*VLOOKUP('Données projet'!$B$15,Paramètres!$A$1:$I$89,5,0)</f>
        <v>1.4897523215040567E-13</v>
      </c>
      <c r="EL181" s="13">
        <f t="shared" si="179"/>
        <v>2.136562777003313E-12</v>
      </c>
      <c r="EM181" s="20">
        <f t="shared" si="180"/>
        <v>3.9806453659427267E-12</v>
      </c>
      <c r="EN181" s="59">
        <f t="shared" si="128"/>
        <v>293.33333333333729</v>
      </c>
      <c r="EO181" s="59">
        <f ca="1">AVERAGE(OFFSET($EN$3,0,0,'Données projet'!$E$15+1,1))-AVERAGE(OFFSET($H$3,0,0,'Données projet'!$E$15+1,1))</f>
        <v>237.8483058552178</v>
      </c>
      <c r="EP181" s="59">
        <f t="shared" si="154"/>
        <v>313.36201272119723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9.5838971788145617</v>
      </c>
      <c r="EW181" s="21">
        <f>EXP(-LN(2)/25)*EW180+(1-EXP(-LN(2)/25))/(LN(2)/25)*Calculateur!ER181*Calculateur!ET181*VLOOKUP('Données projet'!$B$15,Paramètres!$A$1:$I$89,3,0)*0.475*44/12</f>
        <v>0.26558193413424758</v>
      </c>
      <c r="EX181" s="21">
        <f>EXP(-LN(2)/2)*EX180+(1-EXP(-LN(2)/2))/(LN(2)/2)*ER181*EU181*VLOOKUP('Données projet'!$B$15,Paramètres!$A$1:$I$89,3,0)*0.475*44/12</f>
        <v>2.2865381236258018E-15</v>
      </c>
      <c r="EY181" s="22">
        <f t="shared" si="181"/>
        <v>9.8494791129488117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-2.8421709430404007E-13</v>
      </c>
      <c r="FF181" s="17">
        <f>FE181*VLOOKUP('Données projet'!$B$16,Paramètres!$A$1:$I$89,3,0)*VLOOKUP('Données projet'!$B$16,Paramètres!$A$1:$I$89,5,0)</f>
        <v>-2.2168933355715128E-13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318.52984981739411</v>
      </c>
      <c r="FK181" s="59">
        <f t="shared" si="156"/>
        <v>311.56398336941714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17.020735125063492</v>
      </c>
      <c r="FR181" s="21">
        <f>EXP(-LN(2)/25)*FR180+(1-EXP(-LN(2)/25))/(LN(2)/25)*Calculateur!FM181*Calculateur!FO181*VLOOKUP('Données projet'!$B$16,Paramètres!$A$1:$I$89,3,0)*0.475*44/12</f>
        <v>0.26513277618741565</v>
      </c>
      <c r="FS181" s="21">
        <f>EXP(-LN(2)/2)*FS180+(1-EXP(-LN(2)/2))/(LN(2)/2)*FM181*FP181*VLOOKUP('Données projet'!$B$16,Paramètres!$A$1:$I$89,3,0)*0.475*44/12</f>
        <v>1.0041537751223938E-13</v>
      </c>
      <c r="FT181" s="22">
        <f t="shared" si="184"/>
        <v>17.285867901251006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-2.8421709430404007E-13</v>
      </c>
      <c r="GA181" s="17">
        <f>FZ181*VLOOKUP('Données projet'!$B$17,Paramètres!$A$1:$I$89,3,0)*VLOOKUP('Données projet'!$B$17,Paramètres!$A$1:$I$89,5,0)</f>
        <v>-2.2612312022829427E-13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325.72928944930294</v>
      </c>
      <c r="GF181" s="59">
        <f t="shared" si="158"/>
        <v>318.38876834819752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21.398626531649615</v>
      </c>
      <c r="GM181" s="21">
        <f>EXP(-LN(2)/25)*GM180+(1-EXP(-LN(2)/25))/(LN(2)/25)*Calculateur!GH181*Calculateur!GJ181*VLOOKUP('Données projet'!$B$17,Paramètres!$A$1:$I$89,3,0)*0.475*44/12</f>
        <v>0.33332739257422522</v>
      </c>
      <c r="GN181" s="21">
        <f>EXP(-LN(2)/2)*GN180+(1-EXP(-LN(2)/2))/(LN(2)/2)*GH181*GK181*VLOOKUP('Données projet'!$B$17,Paramètres!$A$1:$I$89,3,0)*0.475*44/12</f>
        <v>1.0242368506248401E-13</v>
      </c>
      <c r="GO181" s="21">
        <f t="shared" si="187"/>
        <v>21.731953924223944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-2.8421709430404007E-13</v>
      </c>
      <c r="GV181" s="17">
        <f>GU181*VLOOKUP('Données projet'!$B$18,Paramètres!$A$1:$I$89,3,0)*VLOOKUP('Données projet'!$B$18,Paramètres!$A$1:$I$89,5,0)</f>
        <v>-1.9065282685915009E-13</v>
      </c>
      <c r="GW181" s="13" t="e">
        <f t="shared" si="188"/>
        <v>#NUM!</v>
      </c>
      <c r="GX181" s="20" t="e">
        <f t="shared" si="189"/>
        <v>#NUM!</v>
      </c>
      <c r="GY181" s="59" t="e">
        <f t="shared" si="137"/>
        <v>#NUM!</v>
      </c>
      <c r="GZ181" s="59">
        <f ca="1">AVERAGE(OFFSET($GY$3,0,0,'Données projet'!$E$18+1,1))-AVERAGE(OFFSET($H$3,0,0,'Données projet'!$E$18+1,1))</f>
        <v>268.04554291387961</v>
      </c>
      <c r="HA181" s="59">
        <f t="shared" si="160"/>
        <v>263.70463099437148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18.041979232567304</v>
      </c>
      <c r="HH181" s="21">
        <f>EXP(-LN(2)/25)*HH180+(1-EXP(-LN(2)/25))/(LN(2)/25)*Calculateur!HC181*Calculateur!HE181*VLOOKUP('Données projet'!$B$18,Paramètres!$A$1:$I$89,3,0)*0.475*44/12</f>
        <v>0.28104074275866125</v>
      </c>
      <c r="HI181" s="21">
        <f>EXP(-LN(2)/2)*HI180+(1-EXP(-LN(2)/2))/(LN(2)/2)*HC181*HF181*VLOOKUP('Données projet'!$B$18,Paramètres!$A$1:$I$89,3,0)*0.475*44/12</f>
        <v>8.6357224660525737E-14</v>
      </c>
      <c r="HJ181" s="22">
        <f t="shared" si="190"/>
        <v>18.323019975326051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-2.5124791136477146E-14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46.095319339746538</v>
      </c>
      <c r="T182" s="59">
        <f t="shared" si="142"/>
        <v>48.158174304064403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8.5026812492883259</v>
      </c>
      <c r="AA182" s="21">
        <f>EXP(-LN(2)/25)*AA181+(1-EXP(-LN(2)/25))/(LN(2)/25)*Calculateur!V182*Calculateur!X182*VLOOKUP('Données projet'!$B$9,Paramètres!$A$1:$I$89,3,0)*0.475*44/12</f>
        <v>1.7606669878531105</v>
      </c>
      <c r="AB182" s="21">
        <f>EXP(-LN(2)/2)*AB181+(1-EXP(-LN(2)/2))/(LN(2)/2)*V182*Y182*VLOOKUP('Données projet'!$B$9,Paramètres!$A$1:$I$89,3,0)*0.475*44/12</f>
        <v>1.8549456556913327E-14</v>
      </c>
      <c r="AC182" s="22">
        <f t="shared" si="163"/>
        <v>10.263348237141454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-6.7984728957526396E-14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408.84545509668794</v>
      </c>
      <c r="AO182" s="59">
        <f t="shared" si="144"/>
        <v>409.9253979841132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17.817796849070827</v>
      </c>
      <c r="AV182" s="21">
        <f>EXP(-LN(2)/25)*AV181+(1-EXP(-LN(2)/25))/(LN(2)/25)*Calculateur!AQ182*Calculateur!AS182*VLOOKUP('Données projet'!$B$10,Paramètres!$A$1:$I$89,3,0)*0.475*44/12</f>
        <v>2.8140572578304837</v>
      </c>
      <c r="AW182" s="21">
        <f>EXP(-LN(2)/2)*AW181+(1-EXP(-LN(2)/2))/(LN(2)/2)*AQ182*AT182*VLOOKUP('Données projet'!$B$10,Paramètres!$A$1:$I$89,3,0)*0.475*44/12</f>
        <v>1.1515266100890741E-16</v>
      </c>
      <c r="AX182" s="21">
        <f t="shared" si="166"/>
        <v>20.631854106901311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-6.7984728957526396E-14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279.69031306919914</v>
      </c>
      <c r="BJ182" s="59">
        <f t="shared" si="146"/>
        <v>297.01680128882509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16.16532363466828</v>
      </c>
      <c r="BQ182" s="21">
        <f>EXP(-LN(2)/25)*BQ181+(1-EXP(-LN(2)/25))/(LN(2)/25)*Calculateur!BL182*Calculateur!BN182*VLOOKUP('Données projet'!$B$11,Paramètres!$A$1:$I$89,3,0)*0.475*44/12</f>
        <v>3.1919866968687804</v>
      </c>
      <c r="BR182" s="21">
        <f>EXP(-LN(2)/2)*BR181+(1-EXP(-LN(2)/2))/(LN(2)/2)*BL182*BO182*VLOOKUP('Données projet'!$B$11,Paramètres!$A$1:$I$89,3,0)*0.475*44/12</f>
        <v>2.6866662881351119E-16</v>
      </c>
      <c r="BS182" s="22">
        <f t="shared" si="169"/>
        <v>19.357310331537061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81.299024916151723</v>
      </c>
      <c r="CE182" s="59">
        <f t="shared" si="148"/>
        <v>88.106373324240167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4.7813215022390869</v>
      </c>
      <c r="CL182" s="21">
        <f>EXP(-LN(2)/25)*CL181+(1-EXP(-LN(2)/25))/(LN(2)/25)*Calculateur!CG182*Calculateur!CI182*VLOOKUP('Données projet'!$B$12,Paramètres!$A$1:$I$89,3,0)*0.475*44/12</f>
        <v>0.85389546009580919</v>
      </c>
      <c r="CM182" s="21">
        <f>EXP(-LN(2)/2)*CM181+(1-EXP(-LN(2)/2))/(LN(2)/2)*CG182*CJ182*VLOOKUP('Données projet'!$B$12,Paramètres!$A$1:$I$89,3,0)*0.475*44/12</f>
        <v>2.9446078489231834E-17</v>
      </c>
      <c r="CN182" s="22">
        <f t="shared" si="172"/>
        <v>5.635216962334896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-3.4106051316484809E-13</v>
      </c>
      <c r="CU182" s="17">
        <f>CT182*VLOOKUP('Données projet'!$B$13,Paramètres!$A$1:$I$89,3,0)*VLOOKUP('Données projet'!$B$13,Paramètres!$A$1:$I$89,5,0)</f>
        <v>-1.9065282685915009E-13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475.42482703895411</v>
      </c>
      <c r="CZ182" s="59">
        <f t="shared" si="150"/>
        <v>593.51433014569966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32.661478622571941</v>
      </c>
      <c r="DG182" s="21">
        <f>EXP(-LN(2)/25)*DG181+(1-EXP(-LN(2)/25))/(LN(2)/25)*Calculateur!DB182*Calculateur!DD182*VLOOKUP('Données projet'!$B$13,Paramètres!$A$1:$I$89,3,0)*0.475*44/12</f>
        <v>2.7448456354549893</v>
      </c>
      <c r="DH182" s="21">
        <f>EXP(-LN(2)/2)*DH181+(1-EXP(-LN(2)/2))/(LN(2)/2)*DB182*DE182*VLOOKUP('Données projet'!$B$13,Paramètres!$A$1:$I$89,3,0)*0.475*44/12</f>
        <v>3.4144540624058573E-16</v>
      </c>
      <c r="DI182" s="22">
        <f t="shared" si="175"/>
        <v>35.406324258026928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-7.9580786405131221E-13</v>
      </c>
      <c r="DP182" s="17">
        <f>DO182*VLOOKUP('Données projet'!$B$14,Paramètres!$A$1:$I$89,3,0)*VLOOKUP('Données projet'!$B$14,Paramètres!$A$1:$I$89,5,0)</f>
        <v>-7.2004695539362725E-13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401.17301323870578</v>
      </c>
      <c r="DU182" s="59">
        <f t="shared" si="152"/>
        <v>201.57993789149754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111.22513817977179</v>
      </c>
      <c r="EB182" s="21">
        <f>EXP(-LN(2)/25)*EB181+(1-EXP(-LN(2)/25))/(LN(2)/25)*Calculateur!DW182*Calculateur!DY182*VLOOKUP('Données projet'!$B$14,Paramètres!$A$1:$I$89,3,0)*0.475*44/12</f>
        <v>15.402250684472858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126.62738886424465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1.7053025658242404E-13</v>
      </c>
      <c r="EK182" s="17">
        <f>EJ182*VLOOKUP('Données projet'!$B$15,Paramètres!$A$1:$I$89,3,0)*VLOOKUP('Données projet'!$B$15,Paramètres!$A$1:$I$89,5,0)</f>
        <v>1.4897523215040567E-13</v>
      </c>
      <c r="EL182" s="13">
        <f t="shared" si="179"/>
        <v>2.136562777003313E-12</v>
      </c>
      <c r="EM182" s="20">
        <f t="shared" si="180"/>
        <v>3.9806453659427267E-12</v>
      </c>
      <c r="EN182" s="59">
        <f t="shared" si="128"/>
        <v>293.33333333333729</v>
      </c>
      <c r="EO182" s="59">
        <f ca="1">AVERAGE(OFFSET($EN$3,0,0,'Données projet'!$E$15+1,1))-AVERAGE(OFFSET($H$3,0,0,'Données projet'!$E$15+1,1))</f>
        <v>237.8483058552178</v>
      </c>
      <c r="EP182" s="59">
        <f t="shared" si="154"/>
        <v>313.36201272119723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9.3959628007380829</v>
      </c>
      <c r="EW182" s="21">
        <f>EXP(-LN(2)/25)*EW181+(1-EXP(-LN(2)/25))/(LN(2)/25)*Calculateur!ER182*Calculateur!ET182*VLOOKUP('Données projet'!$B$15,Paramètres!$A$1:$I$89,3,0)*0.475*44/12</f>
        <v>0.25831958217899964</v>
      </c>
      <c r="EX182" s="21">
        <f>EXP(-LN(2)/2)*EX181+(1-EXP(-LN(2)/2))/(LN(2)/2)*ER182*EU182*VLOOKUP('Données projet'!$B$15,Paramètres!$A$1:$I$89,3,0)*0.475*44/12</f>
        <v>1.6168266126573688E-15</v>
      </c>
      <c r="EY182" s="22">
        <f t="shared" si="181"/>
        <v>9.654282382917085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-2.8421709430404007E-13</v>
      </c>
      <c r="FF182" s="17">
        <f>FE182*VLOOKUP('Données projet'!$B$16,Paramètres!$A$1:$I$89,3,0)*VLOOKUP('Données projet'!$B$16,Paramètres!$A$1:$I$89,5,0)</f>
        <v>-2.2168933355715128E-13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318.52984981739411</v>
      </c>
      <c r="FK182" s="59">
        <f t="shared" si="156"/>
        <v>311.56398336941714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16.686968890884323</v>
      </c>
      <c r="FR182" s="21">
        <f>EXP(-LN(2)/25)*FR181+(1-EXP(-LN(2)/25))/(LN(2)/25)*Calculateur!FM182*Calculateur!FO182*VLOOKUP('Données projet'!$B$16,Paramètres!$A$1:$I$89,3,0)*0.475*44/12</f>
        <v>0.25788270647984401</v>
      </c>
      <c r="FS182" s="21">
        <f>EXP(-LN(2)/2)*FS181+(1-EXP(-LN(2)/2))/(LN(2)/2)*FM182*FP182*VLOOKUP('Données projet'!$B$16,Paramètres!$A$1:$I$89,3,0)*0.475*44/12</f>
        <v>7.1004394374311614E-14</v>
      </c>
      <c r="FT182" s="22">
        <f t="shared" si="184"/>
        <v>16.944851597364238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-2.8421709430404007E-13</v>
      </c>
      <c r="GA182" s="17">
        <f>FZ182*VLOOKUP('Données projet'!$B$17,Paramètres!$A$1:$I$89,3,0)*VLOOKUP('Données projet'!$B$17,Paramètres!$A$1:$I$89,5,0)</f>
        <v>-2.2612312022829427E-13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325.72928944930294</v>
      </c>
      <c r="GF182" s="59">
        <f t="shared" si="158"/>
        <v>318.38876834819752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20.979012517237386</v>
      </c>
      <c r="GM182" s="21">
        <f>EXP(-LN(2)/25)*GM181+(1-EXP(-LN(2)/25))/(LN(2)/25)*Calculateur!GH182*Calculateur!GJ182*VLOOKUP('Données projet'!$B$17,Paramètres!$A$1:$I$89,3,0)*0.475*44/12</f>
        <v>0.32421253749535728</v>
      </c>
      <c r="GN182" s="21">
        <f>EXP(-LN(2)/2)*GN181+(1-EXP(-LN(2)/2))/(LN(2)/2)*GH182*GK182*VLOOKUP('Données projet'!$B$17,Paramètres!$A$1:$I$89,3,0)*0.475*44/12</f>
        <v>7.2424482261797738E-14</v>
      </c>
      <c r="GO182" s="21">
        <f t="shared" si="187"/>
        <v>21.303225054732813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-2.8421709430404007E-13</v>
      </c>
      <c r="GV182" s="17">
        <f>GU182*VLOOKUP('Données projet'!$B$18,Paramètres!$A$1:$I$89,3,0)*VLOOKUP('Données projet'!$B$18,Paramètres!$A$1:$I$89,5,0)</f>
        <v>-1.9065282685915009E-13</v>
      </c>
      <c r="GW182" s="13" t="e">
        <f t="shared" si="188"/>
        <v>#NUM!</v>
      </c>
      <c r="GX182" s="20" t="e">
        <f t="shared" si="189"/>
        <v>#NUM!</v>
      </c>
      <c r="GY182" s="59" t="e">
        <f t="shared" si="137"/>
        <v>#NUM!</v>
      </c>
      <c r="GZ182" s="59">
        <f ca="1">AVERAGE(OFFSET($GY$3,0,0,'Données projet'!$E$18+1,1))-AVERAGE(OFFSET($H$3,0,0,'Données projet'!$E$18+1,1))</f>
        <v>268.04554291387961</v>
      </c>
      <c r="HA182" s="59">
        <f t="shared" si="160"/>
        <v>263.70463099437148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17.688187024337385</v>
      </c>
      <c r="HH182" s="21">
        <f>EXP(-LN(2)/25)*HH181+(1-EXP(-LN(2)/25))/(LN(2)/25)*Calculateur!HC182*Calculateur!HE182*VLOOKUP('Données projet'!$B$18,Paramètres!$A$1:$I$89,3,0)*0.475*44/12</f>
        <v>0.27335566886863533</v>
      </c>
      <c r="HI182" s="21">
        <f>EXP(-LN(2)/2)*HI181+(1-EXP(-LN(2)/2))/(LN(2)/2)*HC182*HF182*VLOOKUP('Données projet'!$B$18,Paramètres!$A$1:$I$89,3,0)*0.475*44/12</f>
        <v>6.1063779161907897E-14</v>
      </c>
      <c r="HJ182" s="22">
        <f t="shared" si="190"/>
        <v>17.961542693206081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-2.5124791136477146E-14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46.095319339746538</v>
      </c>
      <c r="T183" s="59">
        <f t="shared" si="142"/>
        <v>48.158174304064403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8.3359488561132569</v>
      </c>
      <c r="AA183" s="21">
        <f>EXP(-LN(2)/25)*AA182+(1-EXP(-LN(2)/25))/(LN(2)/25)*Calculateur!V183*Calculateur!X183*VLOOKUP('Données projet'!$B$9,Paramètres!$A$1:$I$89,3,0)*0.475*44/12</f>
        <v>1.7125214564808144</v>
      </c>
      <c r="AB183" s="21">
        <f>EXP(-LN(2)/2)*AB182+(1-EXP(-LN(2)/2))/(LN(2)/2)*V183*Y183*VLOOKUP('Données projet'!$B$9,Paramètres!$A$1:$I$89,3,0)*0.475*44/12</f>
        <v>1.3116446518718681E-14</v>
      </c>
      <c r="AC183" s="22">
        <f t="shared" si="163"/>
        <v>10.048470312594084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-6.7984728957526396E-14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408.84545509668794</v>
      </c>
      <c r="AO183" s="59">
        <f t="shared" si="144"/>
        <v>409.9253979841132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17.468400720643523</v>
      </c>
      <c r="AV183" s="21">
        <f>EXP(-LN(2)/25)*AV182+(1-EXP(-LN(2)/25))/(LN(2)/25)*Calculateur!AQ183*Calculateur!AS183*VLOOKUP('Données projet'!$B$10,Paramètres!$A$1:$I$89,3,0)*0.475*44/12</f>
        <v>2.7371067141302694</v>
      </c>
      <c r="AW183" s="21">
        <f>EXP(-LN(2)/2)*AW182+(1-EXP(-LN(2)/2))/(LN(2)/2)*AQ183*AT183*VLOOKUP('Données projet'!$B$10,Paramètres!$A$1:$I$89,3,0)*0.475*44/12</f>
        <v>8.1425227471074179E-17</v>
      </c>
      <c r="AX183" s="21">
        <f t="shared" si="166"/>
        <v>20.205507434773793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-6.7984728957526396E-14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279.69031306919914</v>
      </c>
      <c r="BJ183" s="59">
        <f t="shared" si="146"/>
        <v>297.01680128882509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15.848331498066271</v>
      </c>
      <c r="BQ183" s="21">
        <f>EXP(-LN(2)/25)*BQ182+(1-EXP(-LN(2)/25))/(LN(2)/25)*Calculateur!BL183*Calculateur!BN183*VLOOKUP('Données projet'!$B$11,Paramètres!$A$1:$I$89,3,0)*0.475*44/12</f>
        <v>3.1047016527836186</v>
      </c>
      <c r="BR183" s="21">
        <f>EXP(-LN(2)/2)*BR182+(1-EXP(-LN(2)/2))/(LN(2)/2)*BL183*BO183*VLOOKUP('Données projet'!$B$11,Paramètres!$A$1:$I$89,3,0)*0.475*44/12</f>
        <v>1.8997599511256285E-16</v>
      </c>
      <c r="BS183" s="22">
        <f t="shared" si="169"/>
        <v>18.95303315084989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81.299024916151723</v>
      </c>
      <c r="CE183" s="59">
        <f t="shared" si="148"/>
        <v>88.106373324240167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4.6875627038983323</v>
      </c>
      <c r="CL183" s="21">
        <f>EXP(-LN(2)/25)*CL182+(1-EXP(-LN(2)/25))/(LN(2)/25)*Calculateur!CG183*Calculateur!CI183*VLOOKUP('Données projet'!$B$12,Paramètres!$A$1:$I$89,3,0)*0.475*44/12</f>
        <v>0.83054564383507867</v>
      </c>
      <c r="CM183" s="21">
        <f>EXP(-LN(2)/2)*CM182+(1-EXP(-LN(2)/2))/(LN(2)/2)*CG183*CJ183*VLOOKUP('Données projet'!$B$12,Paramètres!$A$1:$I$89,3,0)*0.475*44/12</f>
        <v>2.0821521779087159E-17</v>
      </c>
      <c r="CN183" s="22">
        <f t="shared" si="172"/>
        <v>5.5181083477334107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-3.4106051316484809E-13</v>
      </c>
      <c r="CU183" s="17">
        <f>CT183*VLOOKUP('Données projet'!$B$13,Paramètres!$A$1:$I$89,3,0)*VLOOKUP('Données projet'!$B$13,Paramètres!$A$1:$I$89,5,0)</f>
        <v>-1.9065282685915009E-13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475.42482703895411</v>
      </c>
      <c r="CZ183" s="59">
        <f t="shared" si="150"/>
        <v>593.51433014569966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32.021006948318174</v>
      </c>
      <c r="DG183" s="21">
        <f>EXP(-LN(2)/25)*DG182+(1-EXP(-LN(2)/25))/(LN(2)/25)*Calculateur!DB183*Calculateur!DD183*VLOOKUP('Données projet'!$B$13,Paramètres!$A$1:$I$89,3,0)*0.475*44/12</f>
        <v>2.6697876872083142</v>
      </c>
      <c r="DH183" s="21">
        <f>EXP(-LN(2)/2)*DH182+(1-EXP(-LN(2)/2))/(LN(2)/2)*DB183*DE183*VLOOKUP('Données projet'!$B$13,Paramètres!$A$1:$I$89,3,0)*0.475*44/12</f>
        <v>2.4143836215771368E-16</v>
      </c>
      <c r="DI183" s="22">
        <f t="shared" si="175"/>
        <v>34.690794635526487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-7.9580786405131221E-13</v>
      </c>
      <c r="DP183" s="17">
        <f>DO183*VLOOKUP('Données projet'!$B$14,Paramètres!$A$1:$I$89,3,0)*VLOOKUP('Données projet'!$B$14,Paramètres!$A$1:$I$89,5,0)</f>
        <v>-7.2004695539362725E-13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401.17301323870578</v>
      </c>
      <c r="DU183" s="59">
        <f t="shared" si="152"/>
        <v>201.57993789149754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109.04408106070206</v>
      </c>
      <c r="EB183" s="21">
        <f>EXP(-LN(2)/25)*EB182+(1-EXP(-LN(2)/25))/(LN(2)/25)*Calculateur!DW183*Calculateur!DY183*VLOOKUP('Données projet'!$B$14,Paramètres!$A$1:$I$89,3,0)*0.475*44/12</f>
        <v>14.981075329536786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124.02515639023883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1.7053025658242404E-13</v>
      </c>
      <c r="EK183" s="17">
        <f>EJ183*VLOOKUP('Données projet'!$B$15,Paramètres!$A$1:$I$89,3,0)*VLOOKUP('Données projet'!$B$15,Paramètres!$A$1:$I$89,5,0)</f>
        <v>1.4897523215040567E-13</v>
      </c>
      <c r="EL183" s="13">
        <f t="shared" si="179"/>
        <v>2.136562777003313E-12</v>
      </c>
      <c r="EM183" s="20">
        <f t="shared" si="180"/>
        <v>3.9806453659427267E-12</v>
      </c>
      <c r="EN183" s="59">
        <f t="shared" si="128"/>
        <v>293.33333333333729</v>
      </c>
      <c r="EO183" s="59">
        <f ca="1">AVERAGE(OFFSET($EN$3,0,0,'Données projet'!$E$15+1,1))-AVERAGE(OFFSET($H$3,0,0,'Données projet'!$E$15+1,1))</f>
        <v>237.8483058552178</v>
      </c>
      <c r="EP183" s="59">
        <f t="shared" si="154"/>
        <v>313.36201272119723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9.2117137011870316</v>
      </c>
      <c r="EW183" s="21">
        <f>EXP(-LN(2)/25)*EW182+(1-EXP(-LN(2)/25))/(LN(2)/25)*Calculateur!ER183*Calculateur!ET183*VLOOKUP('Données projet'!$B$15,Paramètres!$A$1:$I$89,3,0)*0.475*44/12</f>
        <v>0.25125581961987847</v>
      </c>
      <c r="EX183" s="21">
        <f>EXP(-LN(2)/2)*EX182+(1-EXP(-LN(2)/2))/(LN(2)/2)*ER183*EU183*VLOOKUP('Données projet'!$B$15,Paramètres!$A$1:$I$89,3,0)*0.475*44/12</f>
        <v>1.1432690618129009E-15</v>
      </c>
      <c r="EY183" s="22">
        <f t="shared" si="181"/>
        <v>9.4629695208069116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-2.8421709430404007E-13</v>
      </c>
      <c r="FF183" s="17">
        <f>FE183*VLOOKUP('Données projet'!$B$16,Paramètres!$A$1:$I$89,3,0)*VLOOKUP('Données projet'!$B$16,Paramètres!$A$1:$I$89,5,0)</f>
        <v>-2.2168933355715128E-13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318.52984981739411</v>
      </c>
      <c r="FK183" s="59">
        <f t="shared" si="156"/>
        <v>311.56398336941714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16.359747608980108</v>
      </c>
      <c r="FR183" s="21">
        <f>EXP(-LN(2)/25)*FR182+(1-EXP(-LN(2)/25))/(LN(2)/25)*Calculateur!FM183*Calculateur!FO183*VLOOKUP('Données projet'!$B$16,Paramètres!$A$1:$I$89,3,0)*0.475*44/12</f>
        <v>0.25083089030969052</v>
      </c>
      <c r="FS183" s="21">
        <f>EXP(-LN(2)/2)*FS182+(1-EXP(-LN(2)/2))/(LN(2)/2)*FM183*FP183*VLOOKUP('Données projet'!$B$16,Paramètres!$A$1:$I$89,3,0)*0.475*44/12</f>
        <v>5.0207688756119689E-14</v>
      </c>
      <c r="FT183" s="22">
        <f t="shared" si="184"/>
        <v>16.610578499289847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-2.8421709430404007E-13</v>
      </c>
      <c r="GA183" s="17">
        <f>FZ183*VLOOKUP('Données projet'!$B$17,Paramètres!$A$1:$I$89,3,0)*VLOOKUP('Données projet'!$B$17,Paramètres!$A$1:$I$89,5,0)</f>
        <v>-2.2612312022829427E-13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325.72928944930294</v>
      </c>
      <c r="GF183" s="59">
        <f t="shared" si="158"/>
        <v>318.38876834819752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20.567626877708502</v>
      </c>
      <c r="GM183" s="21">
        <f>EXP(-LN(2)/25)*GM182+(1-EXP(-LN(2)/25))/(LN(2)/25)*Calculateur!GH183*Calculateur!GJ183*VLOOKUP('Données projet'!$B$17,Paramètres!$A$1:$I$89,3,0)*0.475*44/12</f>
        <v>0.31534692860795038</v>
      </c>
      <c r="GN183" s="21">
        <f>EXP(-LN(2)/2)*GN182+(1-EXP(-LN(2)/2))/(LN(2)/2)*GH183*GK183*VLOOKUP('Données projet'!$B$17,Paramètres!$A$1:$I$89,3,0)*0.475*44/12</f>
        <v>5.1211842531242006E-14</v>
      </c>
      <c r="GO183" s="21">
        <f t="shared" si="187"/>
        <v>20.882973806316503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-2.8421709430404007E-13</v>
      </c>
      <c r="GV183" s="17">
        <f>GU183*VLOOKUP('Données projet'!$B$18,Paramètres!$A$1:$I$89,3,0)*VLOOKUP('Données projet'!$B$18,Paramètres!$A$1:$I$89,5,0)</f>
        <v>-1.9065282685915009E-13</v>
      </c>
      <c r="GW183" s="13" t="e">
        <f t="shared" si="188"/>
        <v>#NUM!</v>
      </c>
      <c r="GX183" s="20" t="e">
        <f t="shared" si="189"/>
        <v>#NUM!</v>
      </c>
      <c r="GY183" s="59" t="e">
        <f t="shared" si="137"/>
        <v>#NUM!</v>
      </c>
      <c r="GZ183" s="59">
        <f ca="1">AVERAGE(OFFSET($GY$3,0,0,'Données projet'!$E$18+1,1))-AVERAGE(OFFSET($H$3,0,0,'Données projet'!$E$18+1,1))</f>
        <v>268.04554291387961</v>
      </c>
      <c r="HA183" s="59">
        <f t="shared" si="160"/>
        <v>263.70463099437148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17.341332465518914</v>
      </c>
      <c r="HH183" s="21">
        <f>EXP(-LN(2)/25)*HH182+(1-EXP(-LN(2)/25))/(LN(2)/25)*Calculateur!HC183*Calculateur!HE183*VLOOKUP('Données projet'!$B$18,Paramètres!$A$1:$I$89,3,0)*0.475*44/12</f>
        <v>0.26588074372827264</v>
      </c>
      <c r="HI183" s="21">
        <f>EXP(-LN(2)/2)*HI182+(1-EXP(-LN(2)/2))/(LN(2)/2)*HC183*HF183*VLOOKUP('Données projet'!$B$18,Paramètres!$A$1:$I$89,3,0)*0.475*44/12</f>
        <v>4.3178612330262868E-14</v>
      </c>
      <c r="HJ183" s="22">
        <f t="shared" si="190"/>
        <v>17.607213209247227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-2.5124791136477146E-14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46.095319339746538</v>
      </c>
      <c r="T184" s="59">
        <f t="shared" si="142"/>
        <v>48.158174304064403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8.172485983471633</v>
      </c>
      <c r="AA184" s="21">
        <f>EXP(-LN(2)/25)*AA183+(1-EXP(-LN(2)/25))/(LN(2)/25)*Calculateur!V184*Calculateur!X184*VLOOKUP('Données projet'!$B$9,Paramètres!$A$1:$I$89,3,0)*0.475*44/12</f>
        <v>1.6656924671957571</v>
      </c>
      <c r="AB184" s="21">
        <f>EXP(-LN(2)/2)*AB183+(1-EXP(-LN(2)/2))/(LN(2)/2)*V184*Y184*VLOOKUP('Données projet'!$B$9,Paramètres!$A$1:$I$89,3,0)*0.475*44/12</f>
        <v>9.2747282784566633E-15</v>
      </c>
      <c r="AC184" s="22">
        <f t="shared" si="163"/>
        <v>9.8381784506673995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-6.7984728957526396E-14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408.84545509668794</v>
      </c>
      <c r="AO184" s="59">
        <f t="shared" si="144"/>
        <v>409.9253979841132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17.125856037184082</v>
      </c>
      <c r="AV184" s="21">
        <f>EXP(-LN(2)/25)*AV183+(1-EXP(-LN(2)/25))/(LN(2)/25)*Calculateur!AQ184*Calculateur!AS184*VLOOKUP('Données projet'!$B$10,Paramètres!$A$1:$I$89,3,0)*0.475*44/12</f>
        <v>2.6622603870941908</v>
      </c>
      <c r="AW184" s="21">
        <f>EXP(-LN(2)/2)*AW183+(1-EXP(-LN(2)/2))/(LN(2)/2)*AQ184*AT184*VLOOKUP('Données projet'!$B$10,Paramètres!$A$1:$I$89,3,0)*0.475*44/12</f>
        <v>5.7576330504453707E-17</v>
      </c>
      <c r="AX184" s="21">
        <f t="shared" si="166"/>
        <v>19.788116424278272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-6.7984728957526396E-14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279.69031306919914</v>
      </c>
      <c r="BJ184" s="59">
        <f t="shared" si="146"/>
        <v>297.01680128882509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15.537555383916915</v>
      </c>
      <c r="BQ184" s="21">
        <f>EXP(-LN(2)/25)*BQ183+(1-EXP(-LN(2)/25))/(LN(2)/25)*Calculateur!BL184*Calculateur!BN184*VLOOKUP('Données projet'!$B$11,Paramètres!$A$1:$I$89,3,0)*0.475*44/12</f>
        <v>3.0198034228190864</v>
      </c>
      <c r="BR184" s="21">
        <f>EXP(-LN(2)/2)*BR183+(1-EXP(-LN(2)/2))/(LN(2)/2)*BL184*BO184*VLOOKUP('Données projet'!$B$11,Paramètres!$A$1:$I$89,3,0)*0.475*44/12</f>
        <v>1.343333144067556E-16</v>
      </c>
      <c r="BS184" s="22">
        <f t="shared" si="169"/>
        <v>18.557358806736001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81.299024916151723</v>
      </c>
      <c r="CE184" s="59">
        <f t="shared" si="148"/>
        <v>88.106373324240167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4.5956424584058198</v>
      </c>
      <c r="CL184" s="21">
        <f>EXP(-LN(2)/25)*CL183+(1-EXP(-LN(2)/25))/(LN(2)/25)*Calculateur!CG184*Calculateur!CI184*VLOOKUP('Données projet'!$B$12,Paramètres!$A$1:$I$89,3,0)*0.475*44/12</f>
        <v>0.80783432952791123</v>
      </c>
      <c r="CM184" s="21">
        <f>EXP(-LN(2)/2)*CM183+(1-EXP(-LN(2)/2))/(LN(2)/2)*CG184*CJ184*VLOOKUP('Données projet'!$B$12,Paramètres!$A$1:$I$89,3,0)*0.475*44/12</f>
        <v>1.4723039244615917E-17</v>
      </c>
      <c r="CN184" s="22">
        <f t="shared" si="172"/>
        <v>5.4034767879337311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-3.4106051316484809E-13</v>
      </c>
      <c r="CU184" s="17">
        <f>CT184*VLOOKUP('Données projet'!$B$13,Paramètres!$A$1:$I$89,3,0)*VLOOKUP('Données projet'!$B$13,Paramètres!$A$1:$I$89,5,0)</f>
        <v>-1.9065282685915009E-13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475.42482703895411</v>
      </c>
      <c r="CZ184" s="59">
        <f t="shared" si="150"/>
        <v>593.51433014569966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31.39309453294738</v>
      </c>
      <c r="DG184" s="21">
        <f>EXP(-LN(2)/25)*DG183+(1-EXP(-LN(2)/25))/(LN(2)/25)*Calculateur!DB184*Calculateur!DD184*VLOOKUP('Données projet'!$B$13,Paramètres!$A$1:$I$89,3,0)*0.475*44/12</f>
        <v>2.5967822025035701</v>
      </c>
      <c r="DH184" s="21">
        <f>EXP(-LN(2)/2)*DH183+(1-EXP(-LN(2)/2))/(LN(2)/2)*DB184*DE184*VLOOKUP('Données projet'!$B$13,Paramètres!$A$1:$I$89,3,0)*0.475*44/12</f>
        <v>1.7072270312029286E-16</v>
      </c>
      <c r="DI184" s="22">
        <f t="shared" si="175"/>
        <v>33.989876735450949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-7.9580786405131221E-13</v>
      </c>
      <c r="DP184" s="17">
        <f>DO184*VLOOKUP('Données projet'!$B$14,Paramètres!$A$1:$I$89,3,0)*VLOOKUP('Données projet'!$B$14,Paramètres!$A$1:$I$89,5,0)</f>
        <v>-7.2004695539362725E-13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401.17301323870578</v>
      </c>
      <c r="DU184" s="59">
        <f t="shared" si="152"/>
        <v>201.57993789149754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106.90579314142379</v>
      </c>
      <c r="EB184" s="21">
        <f>EXP(-LN(2)/25)*EB183+(1-EXP(-LN(2)/25))/(LN(2)/25)*Calculateur!DW184*Calculateur!DY184*VLOOKUP('Données projet'!$B$14,Paramètres!$A$1:$I$89,3,0)*0.475*44/12</f>
        <v>14.571417036830091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121.47721017825387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1.7053025658242404E-13</v>
      </c>
      <c r="EK184" s="17">
        <f>EJ184*VLOOKUP('Données projet'!$B$15,Paramètres!$A$1:$I$89,3,0)*VLOOKUP('Données projet'!$B$15,Paramètres!$A$1:$I$89,5,0)</f>
        <v>1.4897523215040567E-13</v>
      </c>
      <c r="EL184" s="13">
        <f t="shared" si="179"/>
        <v>2.136562777003313E-12</v>
      </c>
      <c r="EM184" s="20">
        <f t="shared" si="180"/>
        <v>3.9806453659427267E-12</v>
      </c>
      <c r="EN184" s="59">
        <f t="shared" si="128"/>
        <v>293.33333333333729</v>
      </c>
      <c r="EO184" s="59">
        <f ca="1">AVERAGE(OFFSET($EN$3,0,0,'Données projet'!$E$15+1,1))-AVERAGE(OFFSET($H$3,0,0,'Données projet'!$E$15+1,1))</f>
        <v>237.8483058552178</v>
      </c>
      <c r="EP184" s="59">
        <f t="shared" si="154"/>
        <v>313.36201272119723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9.0310776140973221</v>
      </c>
      <c r="EW184" s="21">
        <f>EXP(-LN(2)/25)*EW183+(1-EXP(-LN(2)/25))/(LN(2)/25)*Calculateur!ER184*Calculateur!ET184*VLOOKUP('Données projet'!$B$15,Paramètres!$A$1:$I$89,3,0)*0.475*44/12</f>
        <v>0.24438521601940361</v>
      </c>
      <c r="EX184" s="21">
        <f>EXP(-LN(2)/2)*EX183+(1-EXP(-LN(2)/2))/(LN(2)/2)*ER184*EU184*VLOOKUP('Données projet'!$B$15,Paramètres!$A$1:$I$89,3,0)*0.475*44/12</f>
        <v>8.0841330632868439E-16</v>
      </c>
      <c r="EY184" s="22">
        <f t="shared" si="181"/>
        <v>9.2754628301167266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-2.8421709430404007E-13</v>
      </c>
      <c r="FF184" s="17">
        <f>FE184*VLOOKUP('Données projet'!$B$16,Paramètres!$A$1:$I$89,3,0)*VLOOKUP('Données projet'!$B$16,Paramètres!$A$1:$I$89,5,0)</f>
        <v>-2.2168933355715128E-13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318.52984981739411</v>
      </c>
      <c r="FK184" s="59">
        <f t="shared" si="156"/>
        <v>311.56398336941714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16.038942936828757</v>
      </c>
      <c r="FR184" s="21">
        <f>EXP(-LN(2)/25)*FR183+(1-EXP(-LN(2)/25))/(LN(2)/25)*Calculateur!FM184*Calculateur!FO184*VLOOKUP('Données projet'!$B$16,Paramètres!$A$1:$I$89,3,0)*0.475*44/12</f>
        <v>0.2439719064235488</v>
      </c>
      <c r="FS184" s="21">
        <f>EXP(-LN(2)/2)*FS183+(1-EXP(-LN(2)/2))/(LN(2)/2)*FM184*FP184*VLOOKUP('Données projet'!$B$16,Paramètres!$A$1:$I$89,3,0)*0.475*44/12</f>
        <v>3.5502197187155807E-14</v>
      </c>
      <c r="FT184" s="22">
        <f t="shared" si="184"/>
        <v>16.282914843252343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-2.8421709430404007E-13</v>
      </c>
      <c r="GA184" s="17">
        <f>FZ184*VLOOKUP('Données projet'!$B$17,Paramètres!$A$1:$I$89,3,0)*VLOOKUP('Données projet'!$B$17,Paramètres!$A$1:$I$89,5,0)</f>
        <v>-2.2612312022829427E-13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325.72928944930294</v>
      </c>
      <c r="GF184" s="59">
        <f t="shared" si="158"/>
        <v>318.38876834819752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20.164308259650316</v>
      </c>
      <c r="GM184" s="21">
        <f>EXP(-LN(2)/25)*GM183+(1-EXP(-LN(2)/25))/(LN(2)/25)*Calculateur!GH184*Calculateur!GJ184*VLOOKUP('Données projet'!$B$17,Paramètres!$A$1:$I$89,3,0)*0.475*44/12</f>
        <v>0.30672375026179172</v>
      </c>
      <c r="GN184" s="21">
        <f>EXP(-LN(2)/2)*GN183+(1-EXP(-LN(2)/2))/(LN(2)/2)*GH184*GK184*VLOOKUP('Données projet'!$B$17,Paramètres!$A$1:$I$89,3,0)*0.475*44/12</f>
        <v>3.6212241130898869E-14</v>
      </c>
      <c r="GO184" s="21">
        <f t="shared" si="187"/>
        <v>20.471032009912143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-2.8421709430404007E-13</v>
      </c>
      <c r="GV184" s="17">
        <f>GU184*VLOOKUP('Données projet'!$B$18,Paramètres!$A$1:$I$89,3,0)*VLOOKUP('Données projet'!$B$18,Paramètres!$A$1:$I$89,5,0)</f>
        <v>-1.9065282685915009E-13</v>
      </c>
      <c r="GW184" s="13" t="e">
        <f t="shared" si="188"/>
        <v>#NUM!</v>
      </c>
      <c r="GX184" s="20" t="e">
        <f t="shared" si="189"/>
        <v>#NUM!</v>
      </c>
      <c r="GY184" s="59" t="e">
        <f t="shared" si="137"/>
        <v>#NUM!</v>
      </c>
      <c r="GZ184" s="59">
        <f ca="1">AVERAGE(OFFSET($GY$3,0,0,'Données projet'!$E$18+1,1))-AVERAGE(OFFSET($H$3,0,0,'Données projet'!$E$18+1,1))</f>
        <v>268.04554291387961</v>
      </c>
      <c r="HA184" s="59">
        <f t="shared" si="160"/>
        <v>263.70463099437148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17.001279513038483</v>
      </c>
      <c r="HH184" s="21">
        <f>EXP(-LN(2)/25)*HH183+(1-EXP(-LN(2)/25))/(LN(2)/25)*Calculateur!HC184*Calculateur!HE184*VLOOKUP('Données projet'!$B$18,Paramètres!$A$1:$I$89,3,0)*0.475*44/12</f>
        <v>0.2586102208089624</v>
      </c>
      <c r="HI184" s="21">
        <f>EXP(-LN(2)/2)*HI183+(1-EXP(-LN(2)/2))/(LN(2)/2)*HC184*HF184*VLOOKUP('Données projet'!$B$18,Paramètres!$A$1:$I$89,3,0)*0.475*44/12</f>
        <v>3.0531889580953948E-14</v>
      </c>
      <c r="HJ184" s="22">
        <f t="shared" si="190"/>
        <v>17.259889733847476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-2.5124791136477146E-14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46.095319339746538</v>
      </c>
      <c r="T185" s="59">
        <f t="shared" si="142"/>
        <v>48.158174304064403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8.0122285180600041</v>
      </c>
      <c r="AA185" s="21">
        <f>EXP(-LN(2)/25)*AA184+(1-EXP(-LN(2)/25))/(LN(2)/25)*Calculateur!V185*Calculateur!X185*VLOOKUP('Données projet'!$B$9,Paramètres!$A$1:$I$89,3,0)*0.475*44/12</f>
        <v>1.6201440190853293</v>
      </c>
      <c r="AB185" s="21">
        <f>EXP(-LN(2)/2)*AB184+(1-EXP(-LN(2)/2))/(LN(2)/2)*V185*Y185*VLOOKUP('Données projet'!$B$9,Paramètres!$A$1:$I$89,3,0)*0.475*44/12</f>
        <v>6.5582232593593405E-15</v>
      </c>
      <c r="AC185" s="22">
        <f t="shared" si="163"/>
        <v>9.6323725371453399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-6.7984728957526396E-14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408.84545509668794</v>
      </c>
      <c r="AO185" s="59">
        <f t="shared" si="144"/>
        <v>409.9253979841132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16.790028446035652</v>
      </c>
      <c r="AV185" s="21">
        <f>EXP(-LN(2)/25)*AV184+(1-EXP(-LN(2)/25))/(LN(2)/25)*Calculateur!AQ185*Calculateur!AS185*VLOOKUP('Données projet'!$B$10,Paramètres!$A$1:$I$89,3,0)*0.475*44/12</f>
        <v>2.5894607368069109</v>
      </c>
      <c r="AW185" s="21">
        <f>EXP(-LN(2)/2)*AW184+(1-EXP(-LN(2)/2))/(LN(2)/2)*AQ185*AT185*VLOOKUP('Données projet'!$B$10,Paramètres!$A$1:$I$89,3,0)*0.475*44/12</f>
        <v>4.071261373553709E-17</v>
      </c>
      <c r="AX185" s="21">
        <f t="shared" si="166"/>
        <v>19.379489182842562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-6.7984728957526396E-14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279.69031306919914</v>
      </c>
      <c r="BJ185" s="59">
        <f t="shared" si="146"/>
        <v>297.01680128882509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15.232873399811316</v>
      </c>
      <c r="BQ185" s="21">
        <f>EXP(-LN(2)/25)*BQ184+(1-EXP(-LN(2)/25))/(LN(2)/25)*Calculateur!BL185*Calculateur!BN185*VLOOKUP('Données projet'!$B$11,Paramètres!$A$1:$I$89,3,0)*0.475*44/12</f>
        <v>2.9372267394175382</v>
      </c>
      <c r="BR185" s="21">
        <f>EXP(-LN(2)/2)*BR184+(1-EXP(-LN(2)/2))/(LN(2)/2)*BL185*BO185*VLOOKUP('Données projet'!$B$11,Paramètres!$A$1:$I$89,3,0)*0.475*44/12</f>
        <v>9.4987997556281424E-17</v>
      </c>
      <c r="BS185" s="22">
        <f t="shared" si="169"/>
        <v>18.170100139228854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81.299024916151723</v>
      </c>
      <c r="CE185" s="59">
        <f t="shared" si="148"/>
        <v>88.106373324240167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4.5055247128616012</v>
      </c>
      <c r="CL185" s="21">
        <f>EXP(-LN(2)/25)*CL184+(1-EXP(-LN(2)/25))/(LN(2)/25)*Calculateur!CG185*Calculateur!CI185*VLOOKUP('Données projet'!$B$12,Paramètres!$A$1:$I$89,3,0)*0.475*44/12</f>
        <v>0.78574405730480945</v>
      </c>
      <c r="CM185" s="21">
        <f>EXP(-LN(2)/2)*CM184+(1-EXP(-LN(2)/2))/(LN(2)/2)*CG185*CJ185*VLOOKUP('Données projet'!$B$12,Paramètres!$A$1:$I$89,3,0)*0.475*44/12</f>
        <v>1.041076088954358E-17</v>
      </c>
      <c r="CN185" s="22">
        <f t="shared" si="172"/>
        <v>5.2912687701664103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-3.4106051316484809E-13</v>
      </c>
      <c r="CU185" s="17">
        <f>CT185*VLOOKUP('Données projet'!$B$13,Paramètres!$A$1:$I$89,3,0)*VLOOKUP('Données projet'!$B$13,Paramètres!$A$1:$I$89,5,0)</f>
        <v>-1.9065282685915009E-13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475.42482703895411</v>
      </c>
      <c r="CZ185" s="59">
        <f t="shared" si="150"/>
        <v>593.51433014569966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30.777495097053251</v>
      </c>
      <c r="DG185" s="21">
        <f>EXP(-LN(2)/25)*DG184+(1-EXP(-LN(2)/25))/(LN(2)/25)*Calculateur!DB185*Calculateur!DD185*VLOOKUP('Données projet'!$B$13,Paramètres!$A$1:$I$89,3,0)*0.475*44/12</f>
        <v>2.5257730566172691</v>
      </c>
      <c r="DH185" s="21">
        <f>EXP(-LN(2)/2)*DH184+(1-EXP(-LN(2)/2))/(LN(2)/2)*DB185*DE185*VLOOKUP('Données projet'!$B$13,Paramètres!$A$1:$I$89,3,0)*0.475*44/12</f>
        <v>1.2071918107885684E-16</v>
      </c>
      <c r="DI185" s="22">
        <f t="shared" si="175"/>
        <v>33.303268153670523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-7.9580786405131221E-13</v>
      </c>
      <c r="DP185" s="17">
        <f>DO185*VLOOKUP('Données projet'!$B$14,Paramètres!$A$1:$I$89,3,0)*VLOOKUP('Données projet'!$B$14,Paramètres!$A$1:$I$89,5,0)</f>
        <v>-7.2004695539362725E-13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401.17301323870578</v>
      </c>
      <c r="DU185" s="59">
        <f t="shared" si="152"/>
        <v>201.57993789149754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104.80943574401572</v>
      </c>
      <c r="EB185" s="21">
        <f>EXP(-LN(2)/25)*EB184+(1-EXP(-LN(2)/25))/(LN(2)/25)*Calculateur!DW185*Calculateur!DY185*VLOOKUP('Données projet'!$B$14,Paramètres!$A$1:$I$89,3,0)*0.475*44/12</f>
        <v>14.172960871680454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118.98239661569617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1.7053025658242404E-13</v>
      </c>
      <c r="EK185" s="17">
        <f>EJ185*VLOOKUP('Données projet'!$B$15,Paramètres!$A$1:$I$89,3,0)*VLOOKUP('Données projet'!$B$15,Paramètres!$A$1:$I$89,5,0)</f>
        <v>1.4897523215040567E-13</v>
      </c>
      <c r="EL185" s="13">
        <f t="shared" si="179"/>
        <v>2.136562777003313E-12</v>
      </c>
      <c r="EM185" s="20">
        <f t="shared" si="180"/>
        <v>3.9806453659427267E-12</v>
      </c>
      <c r="EN185" s="59">
        <f t="shared" si="128"/>
        <v>293.33333333333729</v>
      </c>
      <c r="EO185" s="59">
        <f ca="1">AVERAGE(OFFSET($EN$3,0,0,'Données projet'!$E$15+1,1))-AVERAGE(OFFSET($H$3,0,0,'Données projet'!$E$15+1,1))</f>
        <v>237.8483058552178</v>
      </c>
      <c r="EP185" s="59">
        <f t="shared" si="154"/>
        <v>313.36201272119723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8.8539836904983069</v>
      </c>
      <c r="EW185" s="21">
        <f>EXP(-LN(2)/25)*EW184+(1-EXP(-LN(2)/25))/(LN(2)/25)*Calculateur!ER185*Calculateur!ET185*VLOOKUP('Données projet'!$B$15,Paramètres!$A$1:$I$89,3,0)*0.475*44/12</f>
        <v>0.23770248943569305</v>
      </c>
      <c r="EX185" s="21">
        <f>EXP(-LN(2)/2)*EX184+(1-EXP(-LN(2)/2))/(LN(2)/2)*ER185*EU185*VLOOKUP('Données projet'!$B$15,Paramètres!$A$1:$I$89,3,0)*0.475*44/12</f>
        <v>5.7163453090645044E-16</v>
      </c>
      <c r="EY185" s="22">
        <f t="shared" si="181"/>
        <v>9.0916861799339994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-2.8421709430404007E-13</v>
      </c>
      <c r="FF185" s="17">
        <f>FE185*VLOOKUP('Données projet'!$B$16,Paramètres!$A$1:$I$89,3,0)*VLOOKUP('Données projet'!$B$16,Paramètres!$A$1:$I$89,5,0)</f>
        <v>-2.2168933355715128E-13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318.52984981739411</v>
      </c>
      <c r="FK185" s="59">
        <f t="shared" si="156"/>
        <v>311.56398336941714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15.724429048626767</v>
      </c>
      <c r="FR185" s="21">
        <f>EXP(-LN(2)/25)*FR184+(1-EXP(-LN(2)/25))/(LN(2)/25)*Calculateur!FM185*Calculateur!FO185*VLOOKUP('Données projet'!$B$16,Paramètres!$A$1:$I$89,3,0)*0.475*44/12</f>
        <v>0.2373004818124719</v>
      </c>
      <c r="FS185" s="21">
        <f>EXP(-LN(2)/2)*FS184+(1-EXP(-LN(2)/2))/(LN(2)/2)*FM185*FP185*VLOOKUP('Données projet'!$B$16,Paramètres!$A$1:$I$89,3,0)*0.475*44/12</f>
        <v>2.5103844378059844E-14</v>
      </c>
      <c r="FT185" s="22">
        <f t="shared" si="184"/>
        <v>15.961729530439264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-2.8421709430404007E-13</v>
      </c>
      <c r="GA185" s="17">
        <f>FZ185*VLOOKUP('Données projet'!$B$17,Paramètres!$A$1:$I$89,3,0)*VLOOKUP('Données projet'!$B$17,Paramètres!$A$1:$I$89,5,0)</f>
        <v>-2.2612312022829427E-13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325.72928944930294</v>
      </c>
      <c r="GF185" s="59">
        <f t="shared" si="158"/>
        <v>318.38876834819752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19.768898473692186</v>
      </c>
      <c r="GM185" s="21">
        <f>EXP(-LN(2)/25)*GM184+(1-EXP(-LN(2)/25))/(LN(2)/25)*Calculateur!GH185*Calculateur!GJ185*VLOOKUP('Données projet'!$B$17,Paramètres!$A$1:$I$89,3,0)*0.475*44/12</f>
        <v>0.298336373180982</v>
      </c>
      <c r="GN185" s="21">
        <f>EXP(-LN(2)/2)*GN184+(1-EXP(-LN(2)/2))/(LN(2)/2)*GH185*GK185*VLOOKUP('Données projet'!$B$17,Paramètres!$A$1:$I$89,3,0)*0.475*44/12</f>
        <v>2.5605921265621003E-14</v>
      </c>
      <c r="GO185" s="21">
        <f t="shared" si="187"/>
        <v>20.067234846873191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-2.8421709430404007E-13</v>
      </c>
      <c r="GV185" s="17">
        <f>GU185*VLOOKUP('Données projet'!$B$18,Paramètres!$A$1:$I$89,3,0)*VLOOKUP('Données projet'!$B$18,Paramètres!$A$1:$I$89,5,0)</f>
        <v>-1.9065282685915009E-13</v>
      </c>
      <c r="GW185" s="13" t="e">
        <f t="shared" si="188"/>
        <v>#NUM!</v>
      </c>
      <c r="GX185" s="20" t="e">
        <f t="shared" si="189"/>
        <v>#NUM!</v>
      </c>
      <c r="GY185" s="59" t="e">
        <f t="shared" si="137"/>
        <v>#NUM!</v>
      </c>
      <c r="GZ185" s="59">
        <f ca="1">AVERAGE(OFFSET($GY$3,0,0,'Données projet'!$E$18+1,1))-AVERAGE(OFFSET($H$3,0,0,'Données projet'!$E$18+1,1))</f>
        <v>268.04554291387961</v>
      </c>
      <c r="HA185" s="59">
        <f t="shared" si="160"/>
        <v>263.70463099437148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16.667894791544374</v>
      </c>
      <c r="HH185" s="21">
        <f>EXP(-LN(2)/25)*HH184+(1-EXP(-LN(2)/25))/(LN(2)/25)*Calculateur!HC185*Calculateur!HE185*VLOOKUP('Données projet'!$B$18,Paramètres!$A$1:$I$89,3,0)*0.475*44/12</f>
        <v>0.25153851072122085</v>
      </c>
      <c r="HI185" s="21">
        <f>EXP(-LN(2)/2)*HI184+(1-EXP(-LN(2)/2))/(LN(2)/2)*HC185*HF185*VLOOKUP('Données projet'!$B$18,Paramètres!$A$1:$I$89,3,0)*0.475*44/12</f>
        <v>2.1589306165131434E-14</v>
      </c>
      <c r="HJ185" s="22">
        <f t="shared" si="190"/>
        <v>16.919433302265617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-2.5124791136477146E-14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46.095319339746538</v>
      </c>
      <c r="T186" s="59">
        <f t="shared" si="142"/>
        <v>48.158174304064403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7.8551136037976947</v>
      </c>
      <c r="AA186" s="21">
        <f>EXP(-LN(2)/25)*AA185+(1-EXP(-LN(2)/25))/(LN(2)/25)*Calculateur!V186*Calculateur!X186*VLOOKUP('Données projet'!$B$9,Paramètres!$A$1:$I$89,3,0)*0.475*44/12</f>
        <v>1.5758410956837698</v>
      </c>
      <c r="AB186" s="21">
        <f>EXP(-LN(2)/2)*AB185+(1-EXP(-LN(2)/2))/(LN(2)/2)*V186*Y186*VLOOKUP('Données projet'!$B$9,Paramètres!$A$1:$I$89,3,0)*0.475*44/12</f>
        <v>4.6373641392283317E-15</v>
      </c>
      <c r="AC186" s="22">
        <f t="shared" si="163"/>
        <v>9.4309546994814699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-6.7984728957526396E-14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408.84545509668794</v>
      </c>
      <c r="AO186" s="59">
        <f t="shared" si="144"/>
        <v>409.9253979841132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16.46078622911504</v>
      </c>
      <c r="AV186" s="21">
        <f>EXP(-LN(2)/25)*AV185+(1-EXP(-LN(2)/25))/(LN(2)/25)*Calculateur!AQ186*Calculateur!AS186*VLOOKUP('Données projet'!$B$10,Paramètres!$A$1:$I$89,3,0)*0.475*44/12</f>
        <v>2.5186517967851039</v>
      </c>
      <c r="AW186" s="21">
        <f>EXP(-LN(2)/2)*AW185+(1-EXP(-LN(2)/2))/(LN(2)/2)*AQ186*AT186*VLOOKUP('Données projet'!$B$10,Paramètres!$A$1:$I$89,3,0)*0.475*44/12</f>
        <v>2.8788165252226854E-17</v>
      </c>
      <c r="AX186" s="21">
        <f t="shared" si="166"/>
        <v>18.979438025900144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-6.7984728957526396E-14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279.69031306919914</v>
      </c>
      <c r="BJ186" s="59">
        <f t="shared" si="146"/>
        <v>297.01680128882509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14.934166043576367</v>
      </c>
      <c r="BQ186" s="21">
        <f>EXP(-LN(2)/25)*BQ185+(1-EXP(-LN(2)/25))/(LN(2)/25)*Calculateur!BL186*Calculateur!BN186*VLOOKUP('Données projet'!$B$11,Paramètres!$A$1:$I$89,3,0)*0.475*44/12</f>
        <v>2.8569081197661244</v>
      </c>
      <c r="BR186" s="21">
        <f>EXP(-LN(2)/2)*BR185+(1-EXP(-LN(2)/2))/(LN(2)/2)*BL186*BO186*VLOOKUP('Données projet'!$B$11,Paramètres!$A$1:$I$89,3,0)*0.475*44/12</f>
        <v>6.7166657203377798E-17</v>
      </c>
      <c r="BS186" s="22">
        <f t="shared" si="169"/>
        <v>17.79107416334249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81.299024916151723</v>
      </c>
      <c r="CE186" s="59">
        <f t="shared" si="148"/>
        <v>88.106373324240167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4.417174121341108</v>
      </c>
      <c r="CL186" s="21">
        <f>EXP(-LN(2)/25)*CL185+(1-EXP(-LN(2)/25))/(LN(2)/25)*Calculateur!CG186*Calculateur!CI186*VLOOKUP('Données projet'!$B$12,Paramètres!$A$1:$I$89,3,0)*0.475*44/12</f>
        <v>0.76425784473732528</v>
      </c>
      <c r="CM186" s="21">
        <f>EXP(-LN(2)/2)*CM185+(1-EXP(-LN(2)/2))/(LN(2)/2)*CG186*CJ186*VLOOKUP('Données projet'!$B$12,Paramètres!$A$1:$I$89,3,0)*0.475*44/12</f>
        <v>7.3615196223079586E-18</v>
      </c>
      <c r="CN186" s="22">
        <f t="shared" si="172"/>
        <v>5.1814319660784331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-3.4106051316484809E-13</v>
      </c>
      <c r="CU186" s="17">
        <f>CT186*VLOOKUP('Données projet'!$B$13,Paramètres!$A$1:$I$89,3,0)*VLOOKUP('Données projet'!$B$13,Paramètres!$A$1:$I$89,5,0)</f>
        <v>-1.9065282685915009E-13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475.42482703895411</v>
      </c>
      <c r="CZ186" s="59">
        <f t="shared" si="150"/>
        <v>593.51433014569966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30.173967190618423</v>
      </c>
      <c r="DG186" s="21">
        <f>EXP(-LN(2)/25)*DG185+(1-EXP(-LN(2)/25))/(LN(2)/25)*Calculateur!DB186*Calculateur!DD186*VLOOKUP('Données projet'!$B$13,Paramètres!$A$1:$I$89,3,0)*0.475*44/12</f>
        <v>2.4567056595594376</v>
      </c>
      <c r="DH186" s="21">
        <f>EXP(-LN(2)/2)*DH185+(1-EXP(-LN(2)/2))/(LN(2)/2)*DB186*DE186*VLOOKUP('Données projet'!$B$13,Paramètres!$A$1:$I$89,3,0)*0.475*44/12</f>
        <v>8.5361351560146432E-17</v>
      </c>
      <c r="DI186" s="22">
        <f t="shared" si="175"/>
        <v>32.630672850177859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-7.9580786405131221E-13</v>
      </c>
      <c r="DP186" s="17">
        <f>DO186*VLOOKUP('Données projet'!$B$14,Paramètres!$A$1:$I$89,3,0)*VLOOKUP('Données projet'!$B$14,Paramètres!$A$1:$I$89,5,0)</f>
        <v>-7.2004695539362725E-13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401.17301323870578</v>
      </c>
      <c r="DU186" s="59">
        <f t="shared" si="152"/>
        <v>201.57993789149754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102.75418663651907</v>
      </c>
      <c r="EB186" s="21">
        <f>EXP(-LN(2)/25)*EB185+(1-EXP(-LN(2)/25))/(LN(2)/25)*Calculateur!DW186*Calculateur!DY186*VLOOKUP('Données projet'!$B$14,Paramètres!$A$1:$I$89,3,0)*0.475*44/12</f>
        <v>13.785400511320733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116.5395871478398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1.7053025658242404E-13</v>
      </c>
      <c r="EK186" s="17">
        <f>EJ186*VLOOKUP('Données projet'!$B$15,Paramètres!$A$1:$I$89,3,0)*VLOOKUP('Données projet'!$B$15,Paramètres!$A$1:$I$89,5,0)</f>
        <v>1.4897523215040567E-13</v>
      </c>
      <c r="EL186" s="13">
        <f t="shared" si="179"/>
        <v>2.136562777003313E-12</v>
      </c>
      <c r="EM186" s="20">
        <f t="shared" si="180"/>
        <v>3.9806453659427267E-12</v>
      </c>
      <c r="EN186" s="59">
        <f t="shared" si="128"/>
        <v>293.33333333333729</v>
      </c>
      <c r="EO186" s="59">
        <f ca="1">AVERAGE(OFFSET($EN$3,0,0,'Données projet'!$E$15+1,1))-AVERAGE(OFFSET($H$3,0,0,'Données projet'!$E$15+1,1))</f>
        <v>237.8483058552178</v>
      </c>
      <c r="EP186" s="59">
        <f t="shared" si="154"/>
        <v>313.36201272119723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8.6803624707244413</v>
      </c>
      <c r="EW186" s="21">
        <f>EXP(-LN(2)/25)*EW185+(1-EXP(-LN(2)/25))/(LN(2)/25)*Calculateur!ER186*Calculateur!ET186*VLOOKUP('Données projet'!$B$15,Paramètres!$A$1:$I$89,3,0)*0.475*44/12</f>
        <v>0.23120250236184339</v>
      </c>
      <c r="EX186" s="21">
        <f>EXP(-LN(2)/2)*EX185+(1-EXP(-LN(2)/2))/(LN(2)/2)*ER186*EU186*VLOOKUP('Données projet'!$B$15,Paramètres!$A$1:$I$89,3,0)*0.475*44/12</f>
        <v>4.042066531643422E-16</v>
      </c>
      <c r="EY186" s="22">
        <f t="shared" si="181"/>
        <v>8.9115649730862856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-2.8421709430404007E-13</v>
      </c>
      <c r="FF186" s="17">
        <f>FE186*VLOOKUP('Données projet'!$B$16,Paramètres!$A$1:$I$89,3,0)*VLOOKUP('Données projet'!$B$16,Paramètres!$A$1:$I$89,5,0)</f>
        <v>-2.2168933355715128E-13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318.52984981739411</v>
      </c>
      <c r="FK186" s="59">
        <f t="shared" si="156"/>
        <v>311.56398336941714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15.416082585937888</v>
      </c>
      <c r="FR186" s="21">
        <f>EXP(-LN(2)/25)*FR185+(1-EXP(-LN(2)/25))/(LN(2)/25)*Calculateur!FM186*Calculateur!FO186*VLOOKUP('Données projet'!$B$16,Paramètres!$A$1:$I$89,3,0)*0.475*44/12</f>
        <v>0.23081148765821988</v>
      </c>
      <c r="FS186" s="21">
        <f>EXP(-LN(2)/2)*FS185+(1-EXP(-LN(2)/2))/(LN(2)/2)*FM186*FP186*VLOOKUP('Données projet'!$B$16,Paramètres!$A$1:$I$89,3,0)*0.475*44/12</f>
        <v>1.7751098593577903E-14</v>
      </c>
      <c r="FT186" s="22">
        <f t="shared" si="184"/>
        <v>15.646894073596126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-2.8421709430404007E-13</v>
      </c>
      <c r="GA186" s="17">
        <f>FZ186*VLOOKUP('Données projet'!$B$17,Paramètres!$A$1:$I$89,3,0)*VLOOKUP('Données projet'!$B$17,Paramètres!$A$1:$I$89,5,0)</f>
        <v>-2.2612312022829427E-13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325.72928944930294</v>
      </c>
      <c r="GF186" s="59">
        <f t="shared" si="158"/>
        <v>318.38876834819752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19.381242432460539</v>
      </c>
      <c r="GM186" s="21">
        <f>EXP(-LN(2)/25)*GM185+(1-EXP(-LN(2)/25))/(LN(2)/25)*Calculateur!GH186*Calculateur!GJ186*VLOOKUP('Données projet'!$B$17,Paramètres!$A$1:$I$89,3,0)*0.475*44/12</f>
        <v>0.29017834936752002</v>
      </c>
      <c r="GN186" s="21">
        <f>EXP(-LN(2)/2)*GN185+(1-EXP(-LN(2)/2))/(LN(2)/2)*GH186*GK186*VLOOKUP('Données projet'!$B$17,Paramètres!$A$1:$I$89,3,0)*0.475*44/12</f>
        <v>1.8106120565449435E-14</v>
      </c>
      <c r="GO186" s="21">
        <f t="shared" si="187"/>
        <v>19.671420781828076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-2.8421709430404007E-13</v>
      </c>
      <c r="GV186" s="17">
        <f>GU186*VLOOKUP('Données projet'!$B$18,Paramètres!$A$1:$I$89,3,0)*VLOOKUP('Données projet'!$B$18,Paramètres!$A$1:$I$89,5,0)</f>
        <v>-1.9065282685915009E-13</v>
      </c>
      <c r="GW186" s="13" t="e">
        <f t="shared" si="188"/>
        <v>#NUM!</v>
      </c>
      <c r="GX186" s="20" t="e">
        <f t="shared" si="189"/>
        <v>#NUM!</v>
      </c>
      <c r="GY186" s="59" t="e">
        <f t="shared" si="137"/>
        <v>#NUM!</v>
      </c>
      <c r="GZ186" s="59">
        <f ca="1">AVERAGE(OFFSET($GY$3,0,0,'Données projet'!$E$18+1,1))-AVERAGE(OFFSET($H$3,0,0,'Données projet'!$E$18+1,1))</f>
        <v>268.04554291387961</v>
      </c>
      <c r="HA186" s="59">
        <f t="shared" si="160"/>
        <v>263.70463099437148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16.341047541094163</v>
      </c>
      <c r="HH186" s="21">
        <f>EXP(-LN(2)/25)*HH185+(1-EXP(-LN(2)/25))/(LN(2)/25)*Calculateur!HC186*Calculateur!HE186*VLOOKUP('Données projet'!$B$18,Paramètres!$A$1:$I$89,3,0)*0.475*44/12</f>
        <v>0.24466017691771369</v>
      </c>
      <c r="HI186" s="21">
        <f>EXP(-LN(2)/2)*HI185+(1-EXP(-LN(2)/2))/(LN(2)/2)*HC186*HF186*VLOOKUP('Données projet'!$B$18,Paramètres!$A$1:$I$89,3,0)*0.475*44/12</f>
        <v>1.5265944790476974E-14</v>
      </c>
      <c r="HJ186" s="22">
        <f t="shared" si="190"/>
        <v>16.585707718011889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-2.5124791136477146E-14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46.095319339746538</v>
      </c>
      <c r="T187" s="59">
        <f t="shared" si="142"/>
        <v>48.158174304064403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7.7010796171734341</v>
      </c>
      <c r="AA187" s="21">
        <f>EXP(-LN(2)/25)*AA186+(1-EXP(-LN(2)/25))/(LN(2)/25)*Calculateur!V187*Calculateur!X187*VLOOKUP('Données projet'!$B$9,Paramètres!$A$1:$I$89,3,0)*0.475*44/12</f>
        <v>1.5327496380524155</v>
      </c>
      <c r="AB187" s="21">
        <f>EXP(-LN(2)/2)*AB186+(1-EXP(-LN(2)/2))/(LN(2)/2)*V187*Y187*VLOOKUP('Données projet'!$B$9,Paramètres!$A$1:$I$89,3,0)*0.475*44/12</f>
        <v>3.2791116296796703E-15</v>
      </c>
      <c r="AC187" s="22">
        <f t="shared" si="163"/>
        <v>9.233829255225853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-6.7984728957526396E-14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408.84545509668794</v>
      </c>
      <c r="AO187" s="59">
        <f t="shared" si="144"/>
        <v>409.9253979841132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16.138000251250318</v>
      </c>
      <c r="AV187" s="21">
        <f>EXP(-LN(2)/25)*AV186+(1-EXP(-LN(2)/25))/(LN(2)/25)*Calculateur!AQ187*Calculateur!AS187*VLOOKUP('Données projet'!$B$10,Paramètres!$A$1:$I$89,3,0)*0.475*44/12</f>
        <v>2.4497791309518737</v>
      </c>
      <c r="AW187" s="21">
        <f>EXP(-LN(2)/2)*AW186+(1-EXP(-LN(2)/2))/(LN(2)/2)*AQ187*AT187*VLOOKUP('Données projet'!$B$10,Paramètres!$A$1:$I$89,3,0)*0.475*44/12</f>
        <v>2.0356306867768545E-17</v>
      </c>
      <c r="AX187" s="21">
        <f t="shared" si="166"/>
        <v>18.587779382202193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-6.7984728957526396E-14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279.69031306919914</v>
      </c>
      <c r="BJ187" s="59">
        <f t="shared" si="146"/>
        <v>297.01680128882509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14.641316156403688</v>
      </c>
      <c r="BQ187" s="21">
        <f>EXP(-LN(2)/25)*BQ186+(1-EXP(-LN(2)/25))/(LN(2)/25)*Calculateur!BL187*Calculateur!BN187*VLOOKUP('Données projet'!$B$11,Paramètres!$A$1:$I$89,3,0)*0.475*44/12</f>
        <v>2.7787858169928512</v>
      </c>
      <c r="BR187" s="21">
        <f>EXP(-LN(2)/2)*BR186+(1-EXP(-LN(2)/2))/(LN(2)/2)*BL187*BO187*VLOOKUP('Données projet'!$B$11,Paramètres!$A$1:$I$89,3,0)*0.475*44/12</f>
        <v>4.7493998778140712E-17</v>
      </c>
      <c r="BS187" s="22">
        <f t="shared" si="169"/>
        <v>17.420101973396541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81.299024916151723</v>
      </c>
      <c r="CE187" s="59">
        <f t="shared" si="148"/>
        <v>88.106373324240167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4.3305560310317919</v>
      </c>
      <c r="CL187" s="21">
        <f>EXP(-LN(2)/25)*CL186+(1-EXP(-LN(2)/25))/(LN(2)/25)*Calculateur!CG187*Calculateur!CI187*VLOOKUP('Données projet'!$B$12,Paramètres!$A$1:$I$89,3,0)*0.475*44/12</f>
        <v>0.74335917378240979</v>
      </c>
      <c r="CM187" s="21">
        <f>EXP(-LN(2)/2)*CM186+(1-EXP(-LN(2)/2))/(LN(2)/2)*CG187*CJ187*VLOOKUP('Données projet'!$B$12,Paramètres!$A$1:$I$89,3,0)*0.475*44/12</f>
        <v>5.2053804447717898E-18</v>
      </c>
      <c r="CN187" s="22">
        <f t="shared" si="172"/>
        <v>5.0739152048142016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-3.4106051316484809E-13</v>
      </c>
      <c r="CU187" s="17">
        <f>CT187*VLOOKUP('Données projet'!$B$13,Paramètres!$A$1:$I$89,3,0)*VLOOKUP('Données projet'!$B$13,Paramètres!$A$1:$I$89,5,0)</f>
        <v>-1.9065282685915009E-13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475.42482703895411</v>
      </c>
      <c r="CZ187" s="59">
        <f t="shared" si="150"/>
        <v>593.51433014569966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29.582274098313107</v>
      </c>
      <c r="DG187" s="21">
        <f>EXP(-LN(2)/25)*DG186+(1-EXP(-LN(2)/25))/(LN(2)/25)*Calculateur!DB187*Calculateur!DD187*VLOOKUP('Données projet'!$B$13,Paramètres!$A$1:$I$89,3,0)*0.475*44/12</f>
        <v>2.389526914106249</v>
      </c>
      <c r="DH187" s="21">
        <f>EXP(-LN(2)/2)*DH186+(1-EXP(-LN(2)/2))/(LN(2)/2)*DB187*DE187*VLOOKUP('Données projet'!$B$13,Paramètres!$A$1:$I$89,3,0)*0.475*44/12</f>
        <v>6.035959053942842E-17</v>
      </c>
      <c r="DI187" s="22">
        <f t="shared" si="175"/>
        <v>31.971801012419355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-7.9580786405131221E-13</v>
      </c>
      <c r="DP187" s="17">
        <f>DO187*VLOOKUP('Données projet'!$B$14,Paramètres!$A$1:$I$89,3,0)*VLOOKUP('Données projet'!$B$14,Paramètres!$A$1:$I$89,5,0)</f>
        <v>-7.2004695539362725E-13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401.17301323870578</v>
      </c>
      <c r="DU187" s="59">
        <f t="shared" si="152"/>
        <v>201.57993789149754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100.73923971044225</v>
      </c>
      <c r="EB187" s="21">
        <f>EXP(-LN(2)/25)*EB186+(1-EXP(-LN(2)/25))/(LN(2)/25)*Calculateur!DW187*Calculateur!DY187*VLOOKUP('Données projet'!$B$14,Paramètres!$A$1:$I$89,3,0)*0.475*44/12</f>
        <v>13.408438009395962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114.14767771983821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1.7053025658242404E-13</v>
      </c>
      <c r="EK187" s="17">
        <f>EJ187*VLOOKUP('Données projet'!$B$15,Paramètres!$A$1:$I$89,3,0)*VLOOKUP('Données projet'!$B$15,Paramètres!$A$1:$I$89,5,0)</f>
        <v>1.4897523215040567E-13</v>
      </c>
      <c r="EL187" s="13">
        <f t="shared" si="179"/>
        <v>2.136562777003313E-12</v>
      </c>
      <c r="EM187" s="20">
        <f t="shared" si="180"/>
        <v>3.9806453659427267E-12</v>
      </c>
      <c r="EN187" s="59">
        <f t="shared" si="128"/>
        <v>293.33333333333729</v>
      </c>
      <c r="EO187" s="59">
        <f ca="1">AVERAGE(OFFSET($EN$3,0,0,'Données projet'!$E$15+1,1))-AVERAGE(OFFSET($H$3,0,0,'Données projet'!$E$15+1,1))</f>
        <v>237.8483058552178</v>
      </c>
      <c r="EP187" s="59">
        <f t="shared" si="154"/>
        <v>313.36201272119723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8.5101458571718531</v>
      </c>
      <c r="EW187" s="21">
        <f>EXP(-LN(2)/25)*EW186+(1-EXP(-LN(2)/25))/(LN(2)/25)*Calculateur!ER187*Calculateur!ET187*VLOOKUP('Données projet'!$B$15,Paramètres!$A$1:$I$89,3,0)*0.475*44/12</f>
        <v>0.2248802577763476</v>
      </c>
      <c r="EX187" s="21">
        <f>EXP(-LN(2)/2)*EX186+(1-EXP(-LN(2)/2))/(LN(2)/2)*ER187*EU187*VLOOKUP('Données projet'!$B$15,Paramètres!$A$1:$I$89,3,0)*0.475*44/12</f>
        <v>2.8581726545322522E-16</v>
      </c>
      <c r="EY187" s="22">
        <f t="shared" si="181"/>
        <v>8.7350261149482016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-2.8421709430404007E-13</v>
      </c>
      <c r="FF187" s="17">
        <f>FE187*VLOOKUP('Données projet'!$B$16,Paramètres!$A$1:$I$89,3,0)*VLOOKUP('Données projet'!$B$16,Paramètres!$A$1:$I$89,5,0)</f>
        <v>-2.2168933355715128E-13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318.52984981739411</v>
      </c>
      <c r="FK187" s="59">
        <f t="shared" si="156"/>
        <v>311.56398336941714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15.113782609309565</v>
      </c>
      <c r="FR187" s="21">
        <f>EXP(-LN(2)/25)*FR186+(1-EXP(-LN(2)/25))/(LN(2)/25)*Calculateur!FM187*Calculateur!FO187*VLOOKUP('Données projet'!$B$16,Paramètres!$A$1:$I$89,3,0)*0.475*44/12</f>
        <v>0.22449993539035726</v>
      </c>
      <c r="FS187" s="21">
        <f>EXP(-LN(2)/2)*FS186+(1-EXP(-LN(2)/2))/(LN(2)/2)*FM187*FP187*VLOOKUP('Données projet'!$B$16,Paramètres!$A$1:$I$89,3,0)*0.475*44/12</f>
        <v>1.2551922189029922E-14</v>
      </c>
      <c r="FT187" s="22">
        <f t="shared" si="184"/>
        <v>15.338282544699934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-2.8421709430404007E-13</v>
      </c>
      <c r="GA187" s="17">
        <f>FZ187*VLOOKUP('Données projet'!$B$17,Paramètres!$A$1:$I$89,3,0)*VLOOKUP('Données projet'!$B$17,Paramètres!$A$1:$I$89,5,0)</f>
        <v>-2.2612312022829427E-13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325.72928944930294</v>
      </c>
      <c r="GF187" s="59">
        <f t="shared" si="158"/>
        <v>318.38876834819752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19.001188089750606</v>
      </c>
      <c r="GM187" s="21">
        <f>EXP(-LN(2)/25)*GM186+(1-EXP(-LN(2)/25))/(LN(2)/25)*Calculateur!GH187*Calculateur!GJ187*VLOOKUP('Données projet'!$B$17,Paramètres!$A$1:$I$89,3,0)*0.475*44/12</f>
        <v>0.282243407144249</v>
      </c>
      <c r="GN187" s="21">
        <f>EXP(-LN(2)/2)*GN186+(1-EXP(-LN(2)/2))/(LN(2)/2)*GH187*GK187*VLOOKUP('Données projet'!$B$17,Paramètres!$A$1:$I$89,3,0)*0.475*44/12</f>
        <v>1.2802960632810502E-14</v>
      </c>
      <c r="GO187" s="21">
        <f t="shared" si="187"/>
        <v>19.28343149689487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-2.8421709430404007E-13</v>
      </c>
      <c r="GV187" s="17">
        <f>GU187*VLOOKUP('Données projet'!$B$18,Paramètres!$A$1:$I$89,3,0)*VLOOKUP('Données projet'!$B$18,Paramètres!$A$1:$I$89,5,0)</f>
        <v>-1.9065282685915009E-13</v>
      </c>
      <c r="GW187" s="13" t="e">
        <f t="shared" si="188"/>
        <v>#NUM!</v>
      </c>
      <c r="GX187" s="20" t="e">
        <f t="shared" si="189"/>
        <v>#NUM!</v>
      </c>
      <c r="GY187" s="59" t="e">
        <f t="shared" si="137"/>
        <v>#NUM!</v>
      </c>
      <c r="GZ187" s="59">
        <f ca="1">AVERAGE(OFFSET($GY$3,0,0,'Données projet'!$E$18+1,1))-AVERAGE(OFFSET($H$3,0,0,'Données projet'!$E$18+1,1))</f>
        <v>268.04554291387961</v>
      </c>
      <c r="HA187" s="59">
        <f t="shared" si="160"/>
        <v>263.70463099437148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16.020609565868142</v>
      </c>
      <c r="HH187" s="21">
        <f>EXP(-LN(2)/25)*HH186+(1-EXP(-LN(2)/25))/(LN(2)/25)*Calculateur!HC187*Calculateur!HE187*VLOOKUP('Données projet'!$B$18,Paramètres!$A$1:$I$89,3,0)*0.475*44/12</f>
        <v>0.23796993151377929</v>
      </c>
      <c r="HI187" s="21">
        <f>EXP(-LN(2)/2)*HI186+(1-EXP(-LN(2)/2))/(LN(2)/2)*HC187*HF187*VLOOKUP('Données projet'!$B$18,Paramètres!$A$1:$I$89,3,0)*0.475*44/12</f>
        <v>1.0794653082565717E-14</v>
      </c>
      <c r="HJ187" s="22">
        <f t="shared" si="190"/>
        <v>16.25857949738193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-2.5124791136477146E-14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46.095319339746538</v>
      </c>
      <c r="T188" s="59">
        <f t="shared" si="142"/>
        <v>48.158174304064403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7.5500661430754201</v>
      </c>
      <c r="AA188" s="21">
        <f>EXP(-LN(2)/25)*AA187+(1-EXP(-LN(2)/25))/(LN(2)/25)*Calculateur!V188*Calculateur!X188*VLOOKUP('Données projet'!$B$9,Paramètres!$A$1:$I$89,3,0)*0.475*44/12</f>
        <v>1.4908365185960719</v>
      </c>
      <c r="AB188" s="21">
        <f>EXP(-LN(2)/2)*AB187+(1-EXP(-LN(2)/2))/(LN(2)/2)*V188*Y188*VLOOKUP('Données projet'!$B$9,Paramètres!$A$1:$I$89,3,0)*0.475*44/12</f>
        <v>2.3186820696141658E-15</v>
      </c>
      <c r="AC188" s="22">
        <f t="shared" si="163"/>
        <v>9.0409026616714936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-6.7984728957526396E-14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408.84545509668794</v>
      </c>
      <c r="AO188" s="59">
        <f t="shared" si="144"/>
        <v>409.9253979841132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15.821543909531517</v>
      </c>
      <c r="AV188" s="21">
        <f>EXP(-LN(2)/25)*AV187+(1-EXP(-LN(2)/25))/(LN(2)/25)*Calculateur!AQ188*Calculateur!AS188*VLOOKUP('Données projet'!$B$10,Paramètres!$A$1:$I$89,3,0)*0.475*44/12</f>
        <v>2.3827897917877094</v>
      </c>
      <c r="AW188" s="21">
        <f>EXP(-LN(2)/2)*AW187+(1-EXP(-LN(2)/2))/(LN(2)/2)*AQ188*AT188*VLOOKUP('Données projet'!$B$10,Paramètres!$A$1:$I$89,3,0)*0.475*44/12</f>
        <v>1.4394082626113427E-17</v>
      </c>
      <c r="AX188" s="21">
        <f t="shared" si="166"/>
        <v>18.204333701319225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-6.7984728957526396E-14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279.69031306919914</v>
      </c>
      <c r="BJ188" s="59">
        <f t="shared" si="146"/>
        <v>297.01680128882509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14.354208876897671</v>
      </c>
      <c r="BQ188" s="21">
        <f>EXP(-LN(2)/25)*BQ187+(1-EXP(-LN(2)/25))/(LN(2)/25)*Calculateur!BL188*Calculateur!BN188*VLOOKUP('Données projet'!$B$11,Paramètres!$A$1:$I$89,3,0)*0.475*44/12</f>
        <v>2.7027997726971864</v>
      </c>
      <c r="BR188" s="21">
        <f>EXP(-LN(2)/2)*BR187+(1-EXP(-LN(2)/2))/(LN(2)/2)*BL188*BO188*VLOOKUP('Données projet'!$B$11,Paramètres!$A$1:$I$89,3,0)*0.475*44/12</f>
        <v>3.3583328601688899E-17</v>
      </c>
      <c r="BS188" s="22">
        <f t="shared" si="169"/>
        <v>17.057008649594856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81.299024916151723</v>
      </c>
      <c r="CE188" s="59">
        <f t="shared" si="148"/>
        <v>88.106373324240167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4.2456364686416226</v>
      </c>
      <c r="CL188" s="21">
        <f>EXP(-LN(2)/25)*CL187+(1-EXP(-LN(2)/25))/(LN(2)/25)*Calculateur!CG188*Calculateur!CI188*VLOOKUP('Données projet'!$B$12,Paramètres!$A$1:$I$89,3,0)*0.475*44/12</f>
        <v>0.72303197808376984</v>
      </c>
      <c r="CM188" s="21">
        <f>EXP(-LN(2)/2)*CM187+(1-EXP(-LN(2)/2))/(LN(2)/2)*CG188*CJ188*VLOOKUP('Données projet'!$B$12,Paramètres!$A$1:$I$89,3,0)*0.475*44/12</f>
        <v>3.6807598111539793E-18</v>
      </c>
      <c r="CN188" s="22">
        <f t="shared" si="172"/>
        <v>4.9686684467253928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-3.4106051316484809E-13</v>
      </c>
      <c r="CU188" s="17">
        <f>CT188*VLOOKUP('Données projet'!$B$13,Paramètres!$A$1:$I$89,3,0)*VLOOKUP('Données projet'!$B$13,Paramètres!$A$1:$I$89,5,0)</f>
        <v>-1.9065282685915009E-13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475.42482703895411</v>
      </c>
      <c r="CZ188" s="59">
        <f t="shared" si="150"/>
        <v>593.51433014569966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29.002183746650747</v>
      </c>
      <c r="DG188" s="21">
        <f>EXP(-LN(2)/25)*DG187+(1-EXP(-LN(2)/25))/(LN(2)/25)*Calculateur!DB188*Calculateur!DD188*VLOOKUP('Données projet'!$B$13,Paramètres!$A$1:$I$89,3,0)*0.475*44/12</f>
        <v>2.3241851749802547</v>
      </c>
      <c r="DH188" s="21">
        <f>EXP(-LN(2)/2)*DH187+(1-EXP(-LN(2)/2))/(LN(2)/2)*DB188*DE188*VLOOKUP('Données projet'!$B$13,Paramètres!$A$1:$I$89,3,0)*0.475*44/12</f>
        <v>4.2680675780073216E-17</v>
      </c>
      <c r="DI188" s="22">
        <f t="shared" si="175"/>
        <v>31.326368921631001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-7.9580786405131221E-13</v>
      </c>
      <c r="DP188" s="17">
        <f>DO188*VLOOKUP('Données projet'!$B$14,Paramètres!$A$1:$I$89,3,0)*VLOOKUP('Données projet'!$B$14,Paramètres!$A$1:$I$89,5,0)</f>
        <v>-7.2004695539362725E-13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401.17301323870578</v>
      </c>
      <c r="DU188" s="59">
        <f t="shared" si="152"/>
        <v>201.57993789149754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98.763804664589529</v>
      </c>
      <c r="EB188" s="21">
        <f>EXP(-LN(2)/25)*EB187+(1-EXP(-LN(2)/25))/(LN(2)/25)*Calculateur!DW188*Calculateur!DY188*VLOOKUP('Données projet'!$B$14,Paramètres!$A$1:$I$89,3,0)*0.475*44/12</f>
        <v>13.041783566909919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111.80558823149944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1.7053025658242404E-13</v>
      </c>
      <c r="EK188" s="17">
        <f>EJ188*VLOOKUP('Données projet'!$B$15,Paramètres!$A$1:$I$89,3,0)*VLOOKUP('Données projet'!$B$15,Paramètres!$A$1:$I$89,5,0)</f>
        <v>1.4897523215040567E-13</v>
      </c>
      <c r="EL188" s="13">
        <f t="shared" si="179"/>
        <v>2.136562777003313E-12</v>
      </c>
      <c r="EM188" s="20">
        <f t="shared" si="180"/>
        <v>3.9806453659427267E-12</v>
      </c>
      <c r="EN188" s="59">
        <f t="shared" si="128"/>
        <v>293.33333333333729</v>
      </c>
      <c r="EO188" s="59">
        <f ca="1">AVERAGE(OFFSET($EN$3,0,0,'Données projet'!$E$15+1,1))-AVERAGE(OFFSET($H$3,0,0,'Données projet'!$E$15+1,1))</f>
        <v>237.8483058552178</v>
      </c>
      <c r="EP188" s="59">
        <f t="shared" si="154"/>
        <v>313.36201272119723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8.3432670875891493</v>
      </c>
      <c r="EW188" s="21">
        <f>EXP(-LN(2)/25)*EW187+(1-EXP(-LN(2)/25))/(LN(2)/25)*Calculateur!ER188*Calculateur!ET188*VLOOKUP('Données projet'!$B$15,Paramètres!$A$1:$I$89,3,0)*0.475*44/12</f>
        <v>0.2187308953015146</v>
      </c>
      <c r="EX188" s="21">
        <f>EXP(-LN(2)/2)*EX187+(1-EXP(-LN(2)/2))/(LN(2)/2)*ER188*EU188*VLOOKUP('Données projet'!$B$15,Paramètres!$A$1:$I$89,3,0)*0.475*44/12</f>
        <v>2.021033265821711E-16</v>
      </c>
      <c r="EY188" s="22">
        <f t="shared" si="181"/>
        <v>8.5619979828906647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-2.8421709430404007E-13</v>
      </c>
      <c r="FF188" s="17">
        <f>FE188*VLOOKUP('Données projet'!$B$16,Paramètres!$A$1:$I$89,3,0)*VLOOKUP('Données projet'!$B$16,Paramètres!$A$1:$I$89,5,0)</f>
        <v>-2.2168933355715128E-13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318.52984981739411</v>
      </c>
      <c r="FK188" s="59">
        <f t="shared" si="156"/>
        <v>311.56398336941714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14.817410550838146</v>
      </c>
      <c r="FR188" s="21">
        <f>EXP(-LN(2)/25)*FR187+(1-EXP(-LN(2)/25))/(LN(2)/25)*Calculateur!FM188*Calculateur!FO188*VLOOKUP('Données projet'!$B$16,Paramètres!$A$1:$I$89,3,0)*0.475*44/12</f>
        <v>0.21836097285116943</v>
      </c>
      <c r="FS188" s="21">
        <f>EXP(-LN(2)/2)*FS187+(1-EXP(-LN(2)/2))/(LN(2)/2)*FM188*FP188*VLOOKUP('Données projet'!$B$16,Paramètres!$A$1:$I$89,3,0)*0.475*44/12</f>
        <v>8.8755492967889517E-15</v>
      </c>
      <c r="FT188" s="22">
        <f t="shared" si="184"/>
        <v>15.035771523689323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-2.8421709430404007E-13</v>
      </c>
      <c r="GA188" s="17">
        <f>FZ188*VLOOKUP('Données projet'!$B$17,Paramètres!$A$1:$I$89,3,0)*VLOOKUP('Données projet'!$B$17,Paramètres!$A$1:$I$89,5,0)</f>
        <v>-2.2612312022829427E-13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325.72928944930294</v>
      </c>
      <c r="GF188" s="59">
        <f t="shared" si="158"/>
        <v>318.38876834819752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18.628586380890955</v>
      </c>
      <c r="GM188" s="21">
        <f>EXP(-LN(2)/25)*GM187+(1-EXP(-LN(2)/25))/(LN(2)/25)*Calculateur!GH188*Calculateur!GJ188*VLOOKUP('Données projet'!$B$17,Paramètres!$A$1:$I$89,3,0)*0.475*44/12</f>
        <v>0.2745254463333538</v>
      </c>
      <c r="GN188" s="21">
        <f>EXP(-LN(2)/2)*GN187+(1-EXP(-LN(2)/2))/(LN(2)/2)*GH188*GK188*VLOOKUP('Données projet'!$B$17,Paramètres!$A$1:$I$89,3,0)*0.475*44/12</f>
        <v>9.0530602827247173E-15</v>
      </c>
      <c r="GO188" s="21">
        <f t="shared" si="187"/>
        <v>18.903111827224318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-2.8421709430404007E-13</v>
      </c>
      <c r="GV188" s="17">
        <f>GU188*VLOOKUP('Données projet'!$B$18,Paramètres!$A$1:$I$89,3,0)*VLOOKUP('Données projet'!$B$18,Paramètres!$A$1:$I$89,5,0)</f>
        <v>-1.9065282685915009E-13</v>
      </c>
      <c r="GW188" s="13" t="e">
        <f t="shared" si="188"/>
        <v>#NUM!</v>
      </c>
      <c r="GX188" s="20" t="e">
        <f t="shared" si="189"/>
        <v>#NUM!</v>
      </c>
      <c r="GY188" s="59" t="e">
        <f t="shared" si="137"/>
        <v>#NUM!</v>
      </c>
      <c r="GZ188" s="59">
        <f ca="1">AVERAGE(OFFSET($GY$3,0,0,'Données projet'!$E$18+1,1))-AVERAGE(OFFSET($H$3,0,0,'Données projet'!$E$18+1,1))</f>
        <v>268.04554291387961</v>
      </c>
      <c r="HA188" s="59">
        <f t="shared" si="160"/>
        <v>263.70463099437148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15.706455183888437</v>
      </c>
      <c r="HH188" s="21">
        <f>EXP(-LN(2)/25)*HH187+(1-EXP(-LN(2)/25))/(LN(2)/25)*Calculateur!HC188*Calculateur!HE188*VLOOKUP('Données projet'!$B$18,Paramètres!$A$1:$I$89,3,0)*0.475*44/12</f>
        <v>0.2314626312222402</v>
      </c>
      <c r="HI188" s="21">
        <f>EXP(-LN(2)/2)*HI187+(1-EXP(-LN(2)/2))/(LN(2)/2)*HC188*HF188*VLOOKUP('Données projet'!$B$18,Paramètres!$A$1:$I$89,3,0)*0.475*44/12</f>
        <v>7.6329723952384871E-15</v>
      </c>
      <c r="HJ188" s="22">
        <f t="shared" si="190"/>
        <v>15.937917815110684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-2.5124791136477146E-14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46.095319339746538</v>
      </c>
      <c r="T189" s="59">
        <f t="shared" si="142"/>
        <v>48.158174304064403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7.402013951095344</v>
      </c>
      <c r="AA189" s="21">
        <f>EXP(-LN(2)/25)*AA188+(1-EXP(-LN(2)/25))/(LN(2)/25)*Calculateur!V189*Calculateur!X189*VLOOKUP('Données projet'!$B$9,Paramètres!$A$1:$I$89,3,0)*0.475*44/12</f>
        <v>1.4500695155953771</v>
      </c>
      <c r="AB189" s="21">
        <f>EXP(-LN(2)/2)*AB188+(1-EXP(-LN(2)/2))/(LN(2)/2)*V189*Y189*VLOOKUP('Données projet'!$B$9,Paramètres!$A$1:$I$89,3,0)*0.475*44/12</f>
        <v>1.6395558148398351E-15</v>
      </c>
      <c r="AC189" s="22">
        <f t="shared" si="163"/>
        <v>8.8520834666907238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-6.7984728957526396E-14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408.84545509668794</v>
      </c>
      <c r="AO189" s="59">
        <f t="shared" si="144"/>
        <v>409.9253979841132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15.511293083654511</v>
      </c>
      <c r="AV189" s="21">
        <f>EXP(-LN(2)/25)*AV188+(1-EXP(-LN(2)/25))/(LN(2)/25)*Calculateur!AQ189*Calculateur!AS189*VLOOKUP('Données projet'!$B$10,Paramètres!$A$1:$I$89,3,0)*0.475*44/12</f>
        <v>2.3176322796258053</v>
      </c>
      <c r="AW189" s="21">
        <f>EXP(-LN(2)/2)*AW188+(1-EXP(-LN(2)/2))/(LN(2)/2)*AQ189*AT189*VLOOKUP('Données projet'!$B$10,Paramètres!$A$1:$I$89,3,0)*0.475*44/12</f>
        <v>1.0178153433884272E-17</v>
      </c>
      <c r="AX189" s="21">
        <f t="shared" si="166"/>
        <v>17.828925363280316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-6.7984728957526396E-14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279.69031306919914</v>
      </c>
      <c r="BJ189" s="59">
        <f t="shared" si="146"/>
        <v>297.01680128882509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14.072731596024617</v>
      </c>
      <c r="BQ189" s="21">
        <f>EXP(-LN(2)/25)*BQ188+(1-EXP(-LN(2)/25))/(LN(2)/25)*Calculateur!BL189*Calculateur!BN189*VLOOKUP('Données projet'!$B$11,Paramètres!$A$1:$I$89,3,0)*0.475*44/12</f>
        <v>2.6288915707787193</v>
      </c>
      <c r="BR189" s="21">
        <f>EXP(-LN(2)/2)*BR188+(1-EXP(-LN(2)/2))/(LN(2)/2)*BL189*BO189*VLOOKUP('Données projet'!$B$11,Paramètres!$A$1:$I$89,3,0)*0.475*44/12</f>
        <v>2.3746999389070356E-17</v>
      </c>
      <c r="BS189" s="22">
        <f t="shared" si="169"/>
        <v>16.701623166803337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81.299024916151723</v>
      </c>
      <c r="CE189" s="59">
        <f t="shared" si="148"/>
        <v>88.106373324240167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4.1623821270741059</v>
      </c>
      <c r="CL189" s="21">
        <f>EXP(-LN(2)/25)*CL188+(1-EXP(-LN(2)/25))/(LN(2)/25)*Calculateur!CG189*Calculateur!CI189*VLOOKUP('Données projet'!$B$12,Paramètres!$A$1:$I$89,3,0)*0.475*44/12</f>
        <v>0.70326063062046995</v>
      </c>
      <c r="CM189" s="21">
        <f>EXP(-LN(2)/2)*CM188+(1-EXP(-LN(2)/2))/(LN(2)/2)*CG189*CJ189*VLOOKUP('Données projet'!$B$12,Paramètres!$A$1:$I$89,3,0)*0.475*44/12</f>
        <v>2.6026902223858949E-18</v>
      </c>
      <c r="CN189" s="22">
        <f t="shared" si="172"/>
        <v>4.8656427576945758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-3.4106051316484809E-13</v>
      </c>
      <c r="CU189" s="17">
        <f>CT189*VLOOKUP('Données projet'!$B$13,Paramètres!$A$1:$I$89,3,0)*VLOOKUP('Données projet'!$B$13,Paramètres!$A$1:$I$89,5,0)</f>
        <v>-1.9065282685915009E-13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475.42482703895411</v>
      </c>
      <c r="CZ189" s="59">
        <f t="shared" si="150"/>
        <v>593.51433014569966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28.433468612964308</v>
      </c>
      <c r="DG189" s="21">
        <f>EXP(-LN(2)/25)*DG188+(1-EXP(-LN(2)/25))/(LN(2)/25)*Calculateur!DB189*Calculateur!DD189*VLOOKUP('Données projet'!$B$13,Paramètres!$A$1:$I$89,3,0)*0.475*44/12</f>
        <v>2.2606302091468331</v>
      </c>
      <c r="DH189" s="21">
        <f>EXP(-LN(2)/2)*DH188+(1-EXP(-LN(2)/2))/(LN(2)/2)*DB189*DE189*VLOOKUP('Données projet'!$B$13,Paramètres!$A$1:$I$89,3,0)*0.475*44/12</f>
        <v>3.017979526971421E-17</v>
      </c>
      <c r="DI189" s="22">
        <f t="shared" si="175"/>
        <v>30.69409882211114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-7.9580786405131221E-13</v>
      </c>
      <c r="DP189" s="17">
        <f>DO189*VLOOKUP('Données projet'!$B$14,Paramètres!$A$1:$I$89,3,0)*VLOOKUP('Données projet'!$B$14,Paramètres!$A$1:$I$89,5,0)</f>
        <v>-7.2004695539362725E-13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401.17301323870578</v>
      </c>
      <c r="DU189" s="59">
        <f t="shared" si="152"/>
        <v>201.57993789149754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96.827106695089569</v>
      </c>
      <c r="EB189" s="21">
        <f>EXP(-LN(2)/25)*EB188+(1-EXP(-LN(2)/25))/(LN(2)/25)*Calculateur!DW189*Calculateur!DY189*VLOOKUP('Données projet'!$B$14,Paramètres!$A$1:$I$89,3,0)*0.475*44/12</f>
        <v>12.685155309435176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109.51226200452474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1.7053025658242404E-13</v>
      </c>
      <c r="EK189" s="17">
        <f>EJ189*VLOOKUP('Données projet'!$B$15,Paramètres!$A$1:$I$89,3,0)*VLOOKUP('Données projet'!$B$15,Paramètres!$A$1:$I$89,5,0)</f>
        <v>1.4897523215040567E-13</v>
      </c>
      <c r="EL189" s="13">
        <f t="shared" si="179"/>
        <v>2.136562777003313E-12</v>
      </c>
      <c r="EM189" s="20">
        <f t="shared" si="180"/>
        <v>3.9806453659427267E-12</v>
      </c>
      <c r="EN189" s="59">
        <f t="shared" si="128"/>
        <v>293.33333333333729</v>
      </c>
      <c r="EO189" s="59">
        <f ca="1">AVERAGE(OFFSET($EN$3,0,0,'Données projet'!$E$15+1,1))-AVERAGE(OFFSET($H$3,0,0,'Données projet'!$E$15+1,1))</f>
        <v>237.8483058552178</v>
      </c>
      <c r="EP189" s="59">
        <f t="shared" si="154"/>
        <v>313.36201272119723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8.1796607088919639</v>
      </c>
      <c r="EW189" s="21">
        <f>EXP(-LN(2)/25)*EW188+(1-EXP(-LN(2)/25))/(LN(2)/25)*Calculateur!ER189*Calculateur!ET189*VLOOKUP('Données projet'!$B$15,Paramètres!$A$1:$I$89,3,0)*0.475*44/12</f>
        <v>0.21274968746693682</v>
      </c>
      <c r="EX189" s="21">
        <f>EXP(-LN(2)/2)*EX188+(1-EXP(-LN(2)/2))/(LN(2)/2)*ER189*EU189*VLOOKUP('Données projet'!$B$15,Paramètres!$A$1:$I$89,3,0)*0.475*44/12</f>
        <v>1.4290863272661261E-16</v>
      </c>
      <c r="EY189" s="22">
        <f t="shared" si="181"/>
        <v>8.3924103963589012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-2.8421709430404007E-13</v>
      </c>
      <c r="FF189" s="17">
        <f>FE189*VLOOKUP('Données projet'!$B$16,Paramètres!$A$1:$I$89,3,0)*VLOOKUP('Données projet'!$B$16,Paramètres!$A$1:$I$89,5,0)</f>
        <v>-2.2168933355715128E-13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318.52984981739411</v>
      </c>
      <c r="FK189" s="59">
        <f t="shared" si="156"/>
        <v>311.56398336941714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14.526850167664245</v>
      </c>
      <c r="FR189" s="21">
        <f>EXP(-LN(2)/25)*FR188+(1-EXP(-LN(2)/25))/(LN(2)/25)*Calculateur!FM189*Calculateur!FO189*VLOOKUP('Données projet'!$B$16,Paramètres!$A$1:$I$89,3,0)*0.475*44/12</f>
        <v>0.21238988056544972</v>
      </c>
      <c r="FS189" s="21">
        <f>EXP(-LN(2)/2)*FS188+(1-EXP(-LN(2)/2))/(LN(2)/2)*FM189*FP189*VLOOKUP('Données projet'!$B$16,Paramètres!$A$1:$I$89,3,0)*0.475*44/12</f>
        <v>6.2759610945149611E-15</v>
      </c>
      <c r="FT189" s="22">
        <f t="shared" si="184"/>
        <v>14.739240048229702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-2.8421709430404007E-13</v>
      </c>
      <c r="GA189" s="17">
        <f>FZ189*VLOOKUP('Données projet'!$B$17,Paramètres!$A$1:$I$89,3,0)*VLOOKUP('Données projet'!$B$17,Paramètres!$A$1:$I$89,5,0)</f>
        <v>-2.2612312022829427E-13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325.72928944930294</v>
      </c>
      <c r="GF189" s="59">
        <f t="shared" si="158"/>
        <v>318.38876834819752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18.26329116427744</v>
      </c>
      <c r="GM189" s="21">
        <f>EXP(-LN(2)/25)*GM188+(1-EXP(-LN(2)/25))/(LN(2)/25)*Calculateur!GH189*Calculateur!GJ189*VLOOKUP('Données projet'!$B$17,Paramètres!$A$1:$I$89,3,0)*0.475*44/12</f>
        <v>0.26701853356670247</v>
      </c>
      <c r="GN189" s="21">
        <f>EXP(-LN(2)/2)*GN188+(1-EXP(-LN(2)/2))/(LN(2)/2)*GH189*GK189*VLOOKUP('Données projet'!$B$17,Paramètres!$A$1:$I$89,3,0)*0.475*44/12</f>
        <v>6.4014803164052508E-15</v>
      </c>
      <c r="GO189" s="21">
        <f t="shared" si="187"/>
        <v>18.530309697844149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-2.8421709430404007E-13</v>
      </c>
      <c r="GV189" s="17">
        <f>GU189*VLOOKUP('Données projet'!$B$18,Paramètres!$A$1:$I$89,3,0)*VLOOKUP('Données projet'!$B$18,Paramètres!$A$1:$I$89,5,0)</f>
        <v>-1.9065282685915009E-13</v>
      </c>
      <c r="GW189" s="13" t="e">
        <f t="shared" si="188"/>
        <v>#NUM!</v>
      </c>
      <c r="GX189" s="20" t="e">
        <f t="shared" si="189"/>
        <v>#NUM!</v>
      </c>
      <c r="GY189" s="59" t="e">
        <f t="shared" si="137"/>
        <v>#NUM!</v>
      </c>
      <c r="GZ189" s="59">
        <f ca="1">AVERAGE(OFFSET($GY$3,0,0,'Données projet'!$E$18+1,1))-AVERAGE(OFFSET($H$3,0,0,'Données projet'!$E$18+1,1))</f>
        <v>268.04554291387961</v>
      </c>
      <c r="HA189" s="59">
        <f t="shared" si="160"/>
        <v>263.70463099437148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15.398461177724101</v>
      </c>
      <c r="HH189" s="21">
        <f>EXP(-LN(2)/25)*HH188+(1-EXP(-LN(2)/25))/(LN(2)/25)*Calculateur!HC189*Calculateur!HE189*VLOOKUP('Données projet'!$B$18,Paramètres!$A$1:$I$89,3,0)*0.475*44/12</f>
        <v>0.22513327339937728</v>
      </c>
      <c r="HI189" s="21">
        <f>EXP(-LN(2)/2)*HI188+(1-EXP(-LN(2)/2))/(LN(2)/2)*HC189*HF189*VLOOKUP('Données projet'!$B$18,Paramètres!$A$1:$I$89,3,0)*0.475*44/12</f>
        <v>5.3973265412828585E-15</v>
      </c>
      <c r="HJ189" s="22">
        <f t="shared" si="190"/>
        <v>15.623594451123484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-2.5124791136477146E-14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46.095319339746538</v>
      </c>
      <c r="T190" s="59">
        <f t="shared" si="142"/>
        <v>48.158174304064403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7.2568649722970768</v>
      </c>
      <c r="AA190" s="21">
        <f>EXP(-LN(2)/25)*AA189+(1-EXP(-LN(2)/25))/(LN(2)/25)*Calculateur!V190*Calculateur!X190*VLOOKUP('Données projet'!$B$9,Paramètres!$A$1:$I$89,3,0)*0.475*44/12</f>
        <v>1.4104172884355799</v>
      </c>
      <c r="AB190" s="21">
        <f>EXP(-LN(2)/2)*AB189+(1-EXP(-LN(2)/2))/(LN(2)/2)*V190*Y190*VLOOKUP('Données projet'!$B$9,Paramètres!$A$1:$I$89,3,0)*0.475*44/12</f>
        <v>1.1593410348070829E-15</v>
      </c>
      <c r="AC190" s="22">
        <f t="shared" si="163"/>
        <v>8.6672822607326587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-6.7984728957526396E-14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408.84545509668794</v>
      </c>
      <c r="AO190" s="59">
        <f t="shared" si="144"/>
        <v>409.9253979841132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15.207126087238635</v>
      </c>
      <c r="AV190" s="21">
        <f>EXP(-LN(2)/25)*AV189+(1-EXP(-LN(2)/25))/(LN(2)/25)*Calculateur!AQ190*Calculateur!AS190*VLOOKUP('Données projet'!$B$10,Paramètres!$A$1:$I$89,3,0)*0.475*44/12</f>
        <v>2.2542565030604531</v>
      </c>
      <c r="AW190" s="21">
        <f>EXP(-LN(2)/2)*AW189+(1-EXP(-LN(2)/2))/(LN(2)/2)*AQ190*AT190*VLOOKUP('Données projet'!$B$10,Paramètres!$A$1:$I$89,3,0)*0.475*44/12</f>
        <v>7.1970413130567134E-18</v>
      </c>
      <c r="AX190" s="21">
        <f t="shared" si="166"/>
        <v>17.461382590299088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-6.7984728957526396E-14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279.69031306919914</v>
      </c>
      <c r="BJ190" s="59">
        <f t="shared" si="146"/>
        <v>297.01680128882509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13.796773912945296</v>
      </c>
      <c r="BQ190" s="21">
        <f>EXP(-LN(2)/25)*BQ189+(1-EXP(-LN(2)/25))/(LN(2)/25)*Calculateur!BL190*Calculateur!BN190*VLOOKUP('Données projet'!$B$11,Paramètres!$A$1:$I$89,3,0)*0.475*44/12</f>
        <v>2.5570043925283761</v>
      </c>
      <c r="BR190" s="21">
        <f>EXP(-LN(2)/2)*BR189+(1-EXP(-LN(2)/2))/(LN(2)/2)*BL190*BO190*VLOOKUP('Données projet'!$B$11,Paramètres!$A$1:$I$89,3,0)*0.475*44/12</f>
        <v>1.679166430084445E-17</v>
      </c>
      <c r="BS190" s="22">
        <f t="shared" si="169"/>
        <v>16.353778305473671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81.299024916151723</v>
      </c>
      <c r="CE190" s="59">
        <f t="shared" si="148"/>
        <v>88.106373324240167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4.0807603523645941</v>
      </c>
      <c r="CL190" s="21">
        <f>EXP(-LN(2)/25)*CL189+(1-EXP(-LN(2)/25))/(LN(2)/25)*Calculateur!CG190*Calculateur!CI190*VLOOKUP('Données projet'!$B$12,Paramètres!$A$1:$I$89,3,0)*0.475*44/12</f>
        <v>0.68402993169328397</v>
      </c>
      <c r="CM190" s="21">
        <f>EXP(-LN(2)/2)*CM189+(1-EXP(-LN(2)/2))/(LN(2)/2)*CG190*CJ190*VLOOKUP('Données projet'!$B$12,Paramètres!$A$1:$I$89,3,0)*0.475*44/12</f>
        <v>1.8403799055769896E-18</v>
      </c>
      <c r="CN190" s="22">
        <f t="shared" si="172"/>
        <v>4.7647902840578782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-3.4106051316484809E-13</v>
      </c>
      <c r="CU190" s="17">
        <f>CT190*VLOOKUP('Données projet'!$B$13,Paramètres!$A$1:$I$89,3,0)*VLOOKUP('Données projet'!$B$13,Paramètres!$A$1:$I$89,5,0)</f>
        <v>-1.9065282685915009E-13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475.42482703895411</v>
      </c>
      <c r="CZ190" s="59">
        <f t="shared" si="150"/>
        <v>593.51433014569966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27.875905636167481</v>
      </c>
      <c r="DG190" s="21">
        <f>EXP(-LN(2)/25)*DG189+(1-EXP(-LN(2)/25))/(LN(2)/25)*Calculateur!DB190*Calculateur!DD190*VLOOKUP('Données projet'!$B$13,Paramètres!$A$1:$I$89,3,0)*0.475*44/12</f>
        <v>2.1988131571963372</v>
      </c>
      <c r="DH190" s="21">
        <f>EXP(-LN(2)/2)*DH189+(1-EXP(-LN(2)/2))/(LN(2)/2)*DB190*DE190*VLOOKUP('Données projet'!$B$13,Paramètres!$A$1:$I$89,3,0)*0.475*44/12</f>
        <v>2.1340337890036608E-17</v>
      </c>
      <c r="DI190" s="22">
        <f t="shared" si="175"/>
        <v>30.074718793363818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-7.9580786405131221E-13</v>
      </c>
      <c r="DP190" s="17">
        <f>DO190*VLOOKUP('Données projet'!$B$14,Paramètres!$A$1:$I$89,3,0)*VLOOKUP('Données projet'!$B$14,Paramètres!$A$1:$I$89,5,0)</f>
        <v>-7.2004695539362725E-13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401.17301323870578</v>
      </c>
      <c r="DU190" s="59">
        <f t="shared" si="152"/>
        <v>201.57993789149754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94.928386191502383</v>
      </c>
      <c r="EB190" s="21">
        <f>EXP(-LN(2)/25)*EB189+(1-EXP(-LN(2)/25))/(LN(2)/25)*Calculateur!DW190*Calculateur!DY190*VLOOKUP('Données projet'!$B$14,Paramètres!$A$1:$I$89,3,0)*0.475*44/12</f>
        <v>12.338279070415346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107.26666526191772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1.7053025658242404E-13</v>
      </c>
      <c r="EK190" s="17">
        <f>EJ190*VLOOKUP('Données projet'!$B$15,Paramètres!$A$1:$I$89,3,0)*VLOOKUP('Données projet'!$B$15,Paramètres!$A$1:$I$89,5,0)</f>
        <v>1.4897523215040567E-13</v>
      </c>
      <c r="EL190" s="13">
        <f t="shared" si="179"/>
        <v>2.136562777003313E-12</v>
      </c>
      <c r="EM190" s="20">
        <f t="shared" si="180"/>
        <v>3.9806453659427267E-12</v>
      </c>
      <c r="EN190" s="59">
        <f t="shared" si="128"/>
        <v>293.33333333333729</v>
      </c>
      <c r="EO190" s="59">
        <f ca="1">AVERAGE(OFFSET($EN$3,0,0,'Données projet'!$E$15+1,1))-AVERAGE(OFFSET($H$3,0,0,'Données projet'!$E$15+1,1))</f>
        <v>237.8483058552178</v>
      </c>
      <c r="EP190" s="59">
        <f t="shared" si="154"/>
        <v>313.36201272119723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8.0192625514909928</v>
      </c>
      <c r="EW190" s="21">
        <f>EXP(-LN(2)/25)*EW189+(1-EXP(-LN(2)/25))/(LN(2)/25)*Calculateur!ER190*Calculateur!ET190*VLOOKUP('Données projet'!$B$15,Paramètres!$A$1:$I$89,3,0)*0.475*44/12</f>
        <v>0.20693203607513361</v>
      </c>
      <c r="EX190" s="21">
        <f>EXP(-LN(2)/2)*EX189+(1-EXP(-LN(2)/2))/(LN(2)/2)*ER190*EU190*VLOOKUP('Données projet'!$B$15,Paramètres!$A$1:$I$89,3,0)*0.475*44/12</f>
        <v>1.0105166329108555E-16</v>
      </c>
      <c r="EY190" s="22">
        <f t="shared" si="181"/>
        <v>8.2261945875661269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-2.8421709430404007E-13</v>
      </c>
      <c r="FF190" s="17">
        <f>FE190*VLOOKUP('Données projet'!$B$16,Paramètres!$A$1:$I$89,3,0)*VLOOKUP('Données projet'!$B$16,Paramètres!$A$1:$I$89,5,0)</f>
        <v>-2.2168933355715128E-13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318.52984981739411</v>
      </c>
      <c r="FK190" s="59">
        <f t="shared" si="156"/>
        <v>311.56398336941714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14.24198749638005</v>
      </c>
      <c r="FR190" s="21">
        <f>EXP(-LN(2)/25)*FR189+(1-EXP(-LN(2)/25))/(LN(2)/25)*Calculateur!FM190*Calculateur!FO190*VLOOKUP('Données projet'!$B$16,Paramètres!$A$1:$I$89,3,0)*0.475*44/12</f>
        <v>0.2065820681122891</v>
      </c>
      <c r="FS190" s="21">
        <f>EXP(-LN(2)/2)*FS189+(1-EXP(-LN(2)/2))/(LN(2)/2)*FM190*FP190*VLOOKUP('Données projet'!$B$16,Paramètres!$A$1:$I$89,3,0)*0.475*44/12</f>
        <v>4.4377746483944759E-15</v>
      </c>
      <c r="FT190" s="22">
        <f t="shared" si="184"/>
        <v>14.448569564492342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-2.8421709430404007E-13</v>
      </c>
      <c r="GA190" s="17">
        <f>FZ190*VLOOKUP('Données projet'!$B$17,Paramètres!$A$1:$I$89,3,0)*VLOOKUP('Données projet'!$B$17,Paramètres!$A$1:$I$89,5,0)</f>
        <v>-2.2612312022829427E-13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325.72928944930294</v>
      </c>
      <c r="GF190" s="59">
        <f t="shared" si="158"/>
        <v>318.38876834819752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17.905159164053636</v>
      </c>
      <c r="GM190" s="21">
        <f>EXP(-LN(2)/25)*GM189+(1-EXP(-LN(2)/25))/(LN(2)/25)*Calculateur!GH190*Calculateur!GJ190*VLOOKUP('Données projet'!$B$17,Paramètres!$A$1:$I$89,3,0)*0.475*44/12</f>
        <v>0.25971689772442658</v>
      </c>
      <c r="GN190" s="21">
        <f>EXP(-LN(2)/2)*GN189+(1-EXP(-LN(2)/2))/(LN(2)/2)*GH190*GK190*VLOOKUP('Données projet'!$B$17,Paramètres!$A$1:$I$89,3,0)*0.475*44/12</f>
        <v>4.5265301413623586E-15</v>
      </c>
      <c r="GO190" s="21">
        <f t="shared" si="187"/>
        <v>18.164876061778067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-2.8421709430404007E-13</v>
      </c>
      <c r="GV190" s="17">
        <f>GU190*VLOOKUP('Données projet'!$B$18,Paramètres!$A$1:$I$89,3,0)*VLOOKUP('Données projet'!$B$18,Paramètres!$A$1:$I$89,5,0)</f>
        <v>-1.9065282685915009E-13</v>
      </c>
      <c r="GW190" s="13" t="e">
        <f t="shared" si="188"/>
        <v>#NUM!</v>
      </c>
      <c r="GX190" s="20" t="e">
        <f t="shared" si="189"/>
        <v>#NUM!</v>
      </c>
      <c r="GY190" s="59" t="e">
        <f t="shared" si="137"/>
        <v>#NUM!</v>
      </c>
      <c r="GZ190" s="59">
        <f ca="1">AVERAGE(OFFSET($GY$3,0,0,'Données projet'!$E$18+1,1))-AVERAGE(OFFSET($H$3,0,0,'Données projet'!$E$18+1,1))</f>
        <v>268.04554291387961</v>
      </c>
      <c r="HA190" s="59">
        <f t="shared" si="160"/>
        <v>263.70463099437148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15.096506746162854</v>
      </c>
      <c r="HH190" s="21">
        <f>EXP(-LN(2)/25)*HH189+(1-EXP(-LN(2)/25))/(LN(2)/25)*Calculateur!HC190*Calculateur!HE190*VLOOKUP('Données projet'!$B$18,Paramètres!$A$1:$I$89,3,0)*0.475*44/12</f>
        <v>0.218976992199027</v>
      </c>
      <c r="HI190" s="21">
        <f>EXP(-LN(2)/2)*HI189+(1-EXP(-LN(2)/2))/(LN(2)/2)*HC190*HF190*VLOOKUP('Données projet'!$B$18,Paramètres!$A$1:$I$89,3,0)*0.475*44/12</f>
        <v>3.8164861976192435E-15</v>
      </c>
      <c r="HJ190" s="22">
        <f t="shared" si="190"/>
        <v>15.315483738361884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-2.5124791136477146E-14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46.095319339746538</v>
      </c>
      <c r="T191" s="59">
        <f t="shared" si="142"/>
        <v>48.158174304064403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7.1145622764409087</v>
      </c>
      <c r="AA191" s="21">
        <f>EXP(-LN(2)/25)*AA190+(1-EXP(-LN(2)/25))/(LN(2)/25)*Calculateur!V191*Calculateur!X191*VLOOKUP('Données projet'!$B$9,Paramètres!$A$1:$I$89,3,0)*0.475*44/12</f>
        <v>1.3718493535126872</v>
      </c>
      <c r="AB191" s="21">
        <f>EXP(-LN(2)/2)*AB190+(1-EXP(-LN(2)/2))/(LN(2)/2)*V191*Y191*VLOOKUP('Données projet'!$B$9,Paramètres!$A$1:$I$89,3,0)*0.475*44/12</f>
        <v>8.1977790741991757E-16</v>
      </c>
      <c r="AC191" s="22">
        <f t="shared" si="163"/>
        <v>8.4864116299535954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-6.7984728957526396E-14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408.84545509668794</v>
      </c>
      <c r="AO191" s="59">
        <f t="shared" si="144"/>
        <v>409.9253979841132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14.908923620098925</v>
      </c>
      <c r="AV191" s="21">
        <f>EXP(-LN(2)/25)*AV190+(1-EXP(-LN(2)/25))/(LN(2)/25)*Calculateur!AQ191*Calculateur!AS191*VLOOKUP('Données projet'!$B$10,Paramètres!$A$1:$I$89,3,0)*0.475*44/12</f>
        <v>2.1926137404380679</v>
      </c>
      <c r="AW191" s="21">
        <f>EXP(-LN(2)/2)*AW190+(1-EXP(-LN(2)/2))/(LN(2)/2)*AQ191*AT191*VLOOKUP('Données projet'!$B$10,Paramètres!$A$1:$I$89,3,0)*0.475*44/12</f>
        <v>5.0890767169421362E-18</v>
      </c>
      <c r="AX191" s="21">
        <f t="shared" si="166"/>
        <v>17.101537360536994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-6.7984728957526396E-14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279.69031306919914</v>
      </c>
      <c r="BJ191" s="59">
        <f t="shared" si="146"/>
        <v>297.01680128882509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13.526227591713594</v>
      </c>
      <c r="BQ191" s="21">
        <f>EXP(-LN(2)/25)*BQ190+(1-EXP(-LN(2)/25))/(LN(2)/25)*Calculateur!BL191*Calculateur!BN191*VLOOKUP('Données projet'!$B$11,Paramètres!$A$1:$I$89,3,0)*0.475*44/12</f>
        <v>2.4870829729476709</v>
      </c>
      <c r="BR191" s="21">
        <f>EXP(-LN(2)/2)*BR190+(1-EXP(-LN(2)/2))/(LN(2)/2)*BL191*BO191*VLOOKUP('Données projet'!$B$11,Paramètres!$A$1:$I$89,3,0)*0.475*44/12</f>
        <v>1.1873499694535178E-17</v>
      </c>
      <c r="BS191" s="22">
        <f t="shared" si="169"/>
        <v>16.013310564661264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81.299024916151723</v>
      </c>
      <c r="CE191" s="59">
        <f t="shared" si="148"/>
        <v>88.106373324240167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4.0007391308727689</v>
      </c>
      <c r="CL191" s="21">
        <f>EXP(-LN(2)/25)*CL190+(1-EXP(-LN(2)/25))/(LN(2)/25)*Calculateur!CG191*Calculateur!CI191*VLOOKUP('Données projet'!$B$12,Paramètres!$A$1:$I$89,3,0)*0.475*44/12</f>
        <v>0.66532509723956035</v>
      </c>
      <c r="CM191" s="21">
        <f>EXP(-LN(2)/2)*CM190+(1-EXP(-LN(2)/2))/(LN(2)/2)*CG191*CJ191*VLOOKUP('Données projet'!$B$12,Paramètres!$A$1:$I$89,3,0)*0.475*44/12</f>
        <v>1.3013451111929475E-18</v>
      </c>
      <c r="CN191" s="22">
        <f t="shared" si="172"/>
        <v>4.6660642281123295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-3.4106051316484809E-13</v>
      </c>
      <c r="CU191" s="17">
        <f>CT191*VLOOKUP('Données projet'!$B$13,Paramètres!$A$1:$I$89,3,0)*VLOOKUP('Données projet'!$B$13,Paramètres!$A$1:$I$89,5,0)</f>
        <v>-1.9065282685915009E-13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475.42482703895411</v>
      </c>
      <c r="CZ191" s="59">
        <f t="shared" si="150"/>
        <v>593.51433014569966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27.329276129265804</v>
      </c>
      <c r="DG191" s="21">
        <f>EXP(-LN(2)/25)*DG190+(1-EXP(-LN(2)/25))/(LN(2)/25)*Calculateur!DB191*Calculateur!DD191*VLOOKUP('Données projet'!$B$13,Paramètres!$A$1:$I$89,3,0)*0.475*44/12</f>
        <v>2.1386864957822449</v>
      </c>
      <c r="DH191" s="21">
        <f>EXP(-LN(2)/2)*DH190+(1-EXP(-LN(2)/2))/(LN(2)/2)*DB191*DE191*VLOOKUP('Données projet'!$B$13,Paramètres!$A$1:$I$89,3,0)*0.475*44/12</f>
        <v>1.5089897634857105E-17</v>
      </c>
      <c r="DI191" s="22">
        <f t="shared" si="175"/>
        <v>29.467962625048049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-7.9580786405131221E-13</v>
      </c>
      <c r="DP191" s="17">
        <f>DO191*VLOOKUP('Données projet'!$B$14,Paramètres!$A$1:$I$89,3,0)*VLOOKUP('Données projet'!$B$14,Paramètres!$A$1:$I$89,5,0)</f>
        <v>-7.2004695539362725E-13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401.17301323870578</v>
      </c>
      <c r="DU191" s="59">
        <f t="shared" si="152"/>
        <v>201.57993789149754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93.066898438885389</v>
      </c>
      <c r="EB191" s="21">
        <f>EXP(-LN(2)/25)*EB190+(1-EXP(-LN(2)/25))/(LN(2)/25)*Calculateur!DW191*Calculateur!DY191*VLOOKUP('Données projet'!$B$14,Paramètres!$A$1:$I$89,3,0)*0.475*44/12</f>
        <v>12.000888180392941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105.06778661927834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1.7053025658242404E-13</v>
      </c>
      <c r="EK191" s="17">
        <f>EJ191*VLOOKUP('Données projet'!$B$15,Paramètres!$A$1:$I$89,3,0)*VLOOKUP('Données projet'!$B$15,Paramètres!$A$1:$I$89,5,0)</f>
        <v>1.4897523215040567E-13</v>
      </c>
      <c r="EL191" s="13">
        <f t="shared" si="179"/>
        <v>2.136562777003313E-12</v>
      </c>
      <c r="EM191" s="20">
        <f t="shared" si="180"/>
        <v>3.9806453659427267E-12</v>
      </c>
      <c r="EN191" s="59">
        <f t="shared" si="128"/>
        <v>293.33333333333729</v>
      </c>
      <c r="EO191" s="59">
        <f ca="1">AVERAGE(OFFSET($EN$3,0,0,'Données projet'!$E$15+1,1))-AVERAGE(OFFSET($H$3,0,0,'Données projet'!$E$15+1,1))</f>
        <v>237.8483058552178</v>
      </c>
      <c r="EP191" s="59">
        <f t="shared" si="154"/>
        <v>313.36201272119723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7.8620097041234382</v>
      </c>
      <c r="EW191" s="21">
        <f>EXP(-LN(2)/25)*EW190+(1-EXP(-LN(2)/25))/(LN(2)/25)*Calculateur!ER191*Calculateur!ET191*VLOOKUP('Données projet'!$B$15,Paramètres!$A$1:$I$89,3,0)*0.475*44/12</f>
        <v>0.20127346866657625</v>
      </c>
      <c r="EX191" s="21">
        <f>EXP(-LN(2)/2)*EX190+(1-EXP(-LN(2)/2))/(LN(2)/2)*ER191*EU191*VLOOKUP('Données projet'!$B$15,Paramètres!$A$1:$I$89,3,0)*0.475*44/12</f>
        <v>7.1454316363306305E-17</v>
      </c>
      <c r="EY191" s="22">
        <f t="shared" si="181"/>
        <v>8.0632831727900154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-2.8421709430404007E-13</v>
      </c>
      <c r="FF191" s="17">
        <f>FE191*VLOOKUP('Données projet'!$B$16,Paramètres!$A$1:$I$89,3,0)*VLOOKUP('Données projet'!$B$16,Paramètres!$A$1:$I$89,5,0)</f>
        <v>-2.2168933355715128E-13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318.52984981739411</v>
      </c>
      <c r="FK191" s="59">
        <f t="shared" si="156"/>
        <v>311.56398336941714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13.962710808330664</v>
      </c>
      <c r="FR191" s="21">
        <f>EXP(-LN(2)/25)*FR190+(1-EXP(-LN(2)/25))/(LN(2)/25)*Calculateur!FM191*Calculateur!FO191*VLOOKUP('Données projet'!$B$16,Paramètres!$A$1:$I$89,3,0)*0.475*44/12</f>
        <v>0.20093307059607973</v>
      </c>
      <c r="FS191" s="21">
        <f>EXP(-LN(2)/2)*FS190+(1-EXP(-LN(2)/2))/(LN(2)/2)*FM191*FP191*VLOOKUP('Données projet'!$B$16,Paramètres!$A$1:$I$89,3,0)*0.475*44/12</f>
        <v>3.1379805472574806E-15</v>
      </c>
      <c r="FT191" s="22">
        <f t="shared" si="184"/>
        <v>14.163643878926747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-2.8421709430404007E-13</v>
      </c>
      <c r="GA191" s="17">
        <f>FZ191*VLOOKUP('Données projet'!$B$17,Paramètres!$A$1:$I$89,3,0)*VLOOKUP('Données projet'!$B$17,Paramètres!$A$1:$I$89,5,0)</f>
        <v>-2.2612312022829427E-13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325.72928944930294</v>
      </c>
      <c r="GF191" s="59">
        <f t="shared" si="158"/>
        <v>318.38876834819752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17.554049913915268</v>
      </c>
      <c r="GM191" s="21">
        <f>EXP(-LN(2)/25)*GM190+(1-EXP(-LN(2)/25))/(LN(2)/25)*Calculateur!GH191*Calculateur!GJ191*VLOOKUP('Données projet'!$B$17,Paramètres!$A$1:$I$89,3,0)*0.475*44/12</f>
        <v>0.25261492549823406</v>
      </c>
      <c r="GN191" s="21">
        <f>EXP(-LN(2)/2)*GN190+(1-EXP(-LN(2)/2))/(LN(2)/2)*GH191*GK191*VLOOKUP('Données projet'!$B$17,Paramètres!$A$1:$I$89,3,0)*0.475*44/12</f>
        <v>3.2007401582026254E-15</v>
      </c>
      <c r="GO191" s="21">
        <f t="shared" si="187"/>
        <v>17.806664839413507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-2.8421709430404007E-13</v>
      </c>
      <c r="GV191" s="17">
        <f>GU191*VLOOKUP('Données projet'!$B$18,Paramètres!$A$1:$I$89,3,0)*VLOOKUP('Données projet'!$B$18,Paramètres!$A$1:$I$89,5,0)</f>
        <v>-1.9065282685915009E-13</v>
      </c>
      <c r="GW191" s="13" t="e">
        <f t="shared" si="188"/>
        <v>#NUM!</v>
      </c>
      <c r="GX191" s="20" t="e">
        <f t="shared" si="189"/>
        <v>#NUM!</v>
      </c>
      <c r="GY191" s="59" t="e">
        <f t="shared" si="137"/>
        <v>#NUM!</v>
      </c>
      <c r="GZ191" s="59">
        <f ca="1">AVERAGE(OFFSET($GY$3,0,0,'Données projet'!$E$18+1,1))-AVERAGE(OFFSET($H$3,0,0,'Données projet'!$E$18+1,1))</f>
        <v>268.04554291387961</v>
      </c>
      <c r="HA191" s="59">
        <f t="shared" si="160"/>
        <v>263.70463099437148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14.800473456830504</v>
      </c>
      <c r="HH191" s="21">
        <f>EXP(-LN(2)/25)*HH190+(1-EXP(-LN(2)/25))/(LN(2)/25)*Calculateur!HC191*Calculateur!HE191*VLOOKUP('Données projet'!$B$18,Paramètres!$A$1:$I$89,3,0)*0.475*44/12</f>
        <v>0.21298905483184508</v>
      </c>
      <c r="HI191" s="21">
        <f>EXP(-LN(2)/2)*HI190+(1-EXP(-LN(2)/2))/(LN(2)/2)*HC191*HF191*VLOOKUP('Données projet'!$B$18,Paramètres!$A$1:$I$89,3,0)*0.475*44/12</f>
        <v>2.6986632706414293E-15</v>
      </c>
      <c r="HJ191" s="22">
        <f t="shared" si="190"/>
        <v>15.013462511662352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-2.5124791136477146E-14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46.095319339746538</v>
      </c>
      <c r="T192" s="59">
        <f t="shared" si="142"/>
        <v>48.158174304064403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6.9750500496544054</v>
      </c>
      <c r="AA192" s="21">
        <f>EXP(-LN(2)/25)*AA191+(1-EXP(-LN(2)/25))/(LN(2)/25)*Calculateur!V192*Calculateur!X192*VLOOKUP('Données projet'!$B$9,Paramètres!$A$1:$I$89,3,0)*0.475*44/12</f>
        <v>1.3343360607984607</v>
      </c>
      <c r="AB192" s="21">
        <f>EXP(-LN(2)/2)*AB191+(1-EXP(-LN(2)/2))/(LN(2)/2)*V192*Y192*VLOOKUP('Données projet'!$B$9,Paramètres!$A$1:$I$89,3,0)*0.475*44/12</f>
        <v>5.7967051740354146E-16</v>
      </c>
      <c r="AC192" s="22">
        <f t="shared" si="163"/>
        <v>8.3093861104528663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-6.7984728957526396E-14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408.84545509668794</v>
      </c>
      <c r="AO192" s="59">
        <f t="shared" si="144"/>
        <v>409.9253979841132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14.61656872145428</v>
      </c>
      <c r="AV192" s="21">
        <f>EXP(-LN(2)/25)*AV191+(1-EXP(-LN(2)/25))/(LN(2)/25)*Calculateur!AQ192*Calculateur!AS192*VLOOKUP('Données projet'!$B$10,Paramètres!$A$1:$I$89,3,0)*0.475*44/12</f>
        <v>2.1326566024012434</v>
      </c>
      <c r="AW192" s="21">
        <f>EXP(-LN(2)/2)*AW191+(1-EXP(-LN(2)/2))/(LN(2)/2)*AQ192*AT192*VLOOKUP('Données projet'!$B$10,Paramètres!$A$1:$I$89,3,0)*0.475*44/12</f>
        <v>3.5985206565283567E-18</v>
      </c>
      <c r="AX192" s="21">
        <f t="shared" si="166"/>
        <v>16.749225323855523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-6.7984728957526396E-14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279.69031306919914</v>
      </c>
      <c r="BJ192" s="59">
        <f t="shared" si="146"/>
        <v>297.01680128882509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13.260986518824284</v>
      </c>
      <c r="BQ192" s="21">
        <f>EXP(-LN(2)/25)*BQ191+(1-EXP(-LN(2)/25))/(LN(2)/25)*Calculateur!BL192*Calculateur!BN192*VLOOKUP('Données projet'!$B$11,Paramètres!$A$1:$I$89,3,0)*0.475*44/12</f>
        <v>2.4190735582624074</v>
      </c>
      <c r="BR192" s="21">
        <f>EXP(-LN(2)/2)*BR191+(1-EXP(-LN(2)/2))/(LN(2)/2)*BL192*BO192*VLOOKUP('Données projet'!$B$11,Paramètres!$A$1:$I$89,3,0)*0.475*44/12</f>
        <v>8.3958321504222248E-18</v>
      </c>
      <c r="BS192" s="22">
        <f t="shared" si="169"/>
        <v>15.680060077086692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81.299024916151723</v>
      </c>
      <c r="CE192" s="59">
        <f t="shared" si="148"/>
        <v>88.106373324240167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3.9222870767262732</v>
      </c>
      <c r="CL192" s="21">
        <f>EXP(-LN(2)/25)*CL191+(1-EXP(-LN(2)/25))/(LN(2)/25)*Calculateur!CG192*Calculateur!CI192*VLOOKUP('Données projet'!$B$12,Paramètres!$A$1:$I$89,3,0)*0.475*44/12</f>
        <v>0.64713174746761837</v>
      </c>
      <c r="CM192" s="21">
        <f>EXP(-LN(2)/2)*CM191+(1-EXP(-LN(2)/2))/(LN(2)/2)*CG192*CJ192*VLOOKUP('Données projet'!$B$12,Paramètres!$A$1:$I$89,3,0)*0.475*44/12</f>
        <v>9.2018995278849482E-19</v>
      </c>
      <c r="CN192" s="22">
        <f t="shared" si="172"/>
        <v>4.5694188241938916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-3.4106051316484809E-13</v>
      </c>
      <c r="CU192" s="17">
        <f>CT192*VLOOKUP('Données projet'!$B$13,Paramètres!$A$1:$I$89,3,0)*VLOOKUP('Données projet'!$B$13,Paramètres!$A$1:$I$89,5,0)</f>
        <v>-1.9065282685915009E-13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475.42482703895411</v>
      </c>
      <c r="CZ192" s="59">
        <f t="shared" si="150"/>
        <v>593.51433014569966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26.793365693583393</v>
      </c>
      <c r="DG192" s="21">
        <f>EXP(-LN(2)/25)*DG191+(1-EXP(-LN(2)/25))/(LN(2)/25)*Calculateur!DB192*Calculateur!DD192*VLOOKUP('Données projet'!$B$13,Paramètres!$A$1:$I$89,3,0)*0.475*44/12</f>
        <v>2.0802040010864444</v>
      </c>
      <c r="DH192" s="21">
        <f>EXP(-LN(2)/2)*DH191+(1-EXP(-LN(2)/2))/(LN(2)/2)*DB192*DE192*VLOOKUP('Données projet'!$B$13,Paramètres!$A$1:$I$89,3,0)*0.475*44/12</f>
        <v>1.0670168945018304E-17</v>
      </c>
      <c r="DI192" s="22">
        <f t="shared" si="175"/>
        <v>28.873569694669836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-7.9580786405131221E-13</v>
      </c>
      <c r="DP192" s="17">
        <f>DO192*VLOOKUP('Données projet'!$B$14,Paramètres!$A$1:$I$89,3,0)*VLOOKUP('Données projet'!$B$14,Paramètres!$A$1:$I$89,5,0)</f>
        <v>-7.2004695539362725E-13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401.17301323870578</v>
      </c>
      <c r="DU192" s="59">
        <f t="shared" si="152"/>
        <v>201.57993789149754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91.241913325701802</v>
      </c>
      <c r="EB192" s="21">
        <f>EXP(-LN(2)/25)*EB191+(1-EXP(-LN(2)/25))/(LN(2)/25)*Calculateur!DW192*Calculateur!DY192*VLOOKUP('Données projet'!$B$14,Paramètres!$A$1:$I$89,3,0)*0.475*44/12</f>
        <v>11.672723262000815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102.91463658770262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1.7053025658242404E-13</v>
      </c>
      <c r="EK192" s="17">
        <f>EJ192*VLOOKUP('Données projet'!$B$15,Paramètres!$A$1:$I$89,3,0)*VLOOKUP('Données projet'!$B$15,Paramètres!$A$1:$I$89,5,0)</f>
        <v>1.4897523215040567E-13</v>
      </c>
      <c r="EL192" s="13">
        <f t="shared" si="179"/>
        <v>2.136562777003313E-12</v>
      </c>
      <c r="EM192" s="20">
        <f t="shared" si="180"/>
        <v>3.9806453659427267E-12</v>
      </c>
      <c r="EN192" s="59">
        <f t="shared" si="128"/>
        <v>293.33333333333729</v>
      </c>
      <c r="EO192" s="59">
        <f ca="1">AVERAGE(OFFSET($EN$3,0,0,'Données projet'!$E$15+1,1))-AVERAGE(OFFSET($H$3,0,0,'Données projet'!$E$15+1,1))</f>
        <v>237.8483058552178</v>
      </c>
      <c r="EP192" s="59">
        <f t="shared" si="154"/>
        <v>313.36201272119723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7.707840489177995</v>
      </c>
      <c r="EW192" s="21">
        <f>EXP(-LN(2)/25)*EW191+(1-EXP(-LN(2)/25))/(LN(2)/25)*Calculateur!ER192*Calculateur!ET192*VLOOKUP('Données projet'!$B$15,Paramètres!$A$1:$I$89,3,0)*0.475*44/12</f>
        <v>0.19576963508137701</v>
      </c>
      <c r="EX192" s="21">
        <f>EXP(-LN(2)/2)*EX191+(1-EXP(-LN(2)/2))/(LN(2)/2)*ER192*EU192*VLOOKUP('Données projet'!$B$15,Paramètres!$A$1:$I$89,3,0)*0.475*44/12</f>
        <v>5.0525831645542774E-17</v>
      </c>
      <c r="EY192" s="22">
        <f t="shared" si="181"/>
        <v>7.9036101242593721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-2.8421709430404007E-13</v>
      </c>
      <c r="FF192" s="17">
        <f>FE192*VLOOKUP('Données projet'!$B$16,Paramètres!$A$1:$I$89,3,0)*VLOOKUP('Données projet'!$B$16,Paramètres!$A$1:$I$89,5,0)</f>
        <v>-2.2168933355715128E-13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318.52984981739411</v>
      </c>
      <c r="FK192" s="59">
        <f t="shared" si="156"/>
        <v>311.56398336941714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13.688910565791968</v>
      </c>
      <c r="FR192" s="21">
        <f>EXP(-LN(2)/25)*FR191+(1-EXP(-LN(2)/25))/(LN(2)/25)*Calculateur!FM192*Calculateur!FO192*VLOOKUP('Données projet'!$B$16,Paramètres!$A$1:$I$89,3,0)*0.475*44/12</f>
        <v>0.19543854521401899</v>
      </c>
      <c r="FS192" s="21">
        <f>EXP(-LN(2)/2)*FS191+(1-EXP(-LN(2)/2))/(LN(2)/2)*FM192*FP192*VLOOKUP('Données projet'!$B$16,Paramètres!$A$1:$I$89,3,0)*0.475*44/12</f>
        <v>2.2188873241972379E-15</v>
      </c>
      <c r="FT192" s="22">
        <f t="shared" si="184"/>
        <v>13.884349111005989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-2.8421709430404007E-13</v>
      </c>
      <c r="GA192" s="17">
        <f>FZ192*VLOOKUP('Données projet'!$B$17,Paramètres!$A$1:$I$89,3,0)*VLOOKUP('Données projet'!$B$17,Paramètres!$A$1:$I$89,5,0)</f>
        <v>-2.2612312022829427E-13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325.72928944930294</v>
      </c>
      <c r="GF192" s="59">
        <f t="shared" si="158"/>
        <v>318.38876834819752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17.209825702016616</v>
      </c>
      <c r="GM192" s="21">
        <f>EXP(-LN(2)/25)*GM191+(1-EXP(-LN(2)/25))/(LN(2)/25)*Calculateur!GH192*Calculateur!GJ192*VLOOKUP('Données projet'!$B$17,Paramètres!$A$1:$I$89,3,0)*0.475*44/12</f>
        <v>0.24570715707604326</v>
      </c>
      <c r="GN192" s="21">
        <f>EXP(-LN(2)/2)*GN191+(1-EXP(-LN(2)/2))/(LN(2)/2)*GH192*GK192*VLOOKUP('Données projet'!$B$17,Paramètres!$A$1:$I$89,3,0)*0.475*44/12</f>
        <v>2.2632650706811793E-15</v>
      </c>
      <c r="GO192" s="21">
        <f t="shared" si="187"/>
        <v>17.455532859092664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-2.8421709430404007E-13</v>
      </c>
      <c r="GV192" s="17">
        <f>GU192*VLOOKUP('Données projet'!$B$18,Paramètres!$A$1:$I$89,3,0)*VLOOKUP('Données projet'!$B$18,Paramètres!$A$1:$I$89,5,0)</f>
        <v>-1.9065282685915009E-13</v>
      </c>
      <c r="GW192" s="13" t="e">
        <f t="shared" si="188"/>
        <v>#NUM!</v>
      </c>
      <c r="GX192" s="20" t="e">
        <f t="shared" si="189"/>
        <v>#NUM!</v>
      </c>
      <c r="GY192" s="59" t="e">
        <f t="shared" si="137"/>
        <v>#NUM!</v>
      </c>
      <c r="GZ192" s="59">
        <f ca="1">AVERAGE(OFFSET($GY$3,0,0,'Données projet'!$E$18+1,1))-AVERAGE(OFFSET($H$3,0,0,'Données projet'!$E$18+1,1))</f>
        <v>268.04554291387961</v>
      </c>
      <c r="HA192" s="59">
        <f t="shared" si="160"/>
        <v>263.70463099437148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14.510245199739485</v>
      </c>
      <c r="HH192" s="21">
        <f>EXP(-LN(2)/25)*HH191+(1-EXP(-LN(2)/25))/(LN(2)/25)*Calculateur!HC192*Calculateur!HE192*VLOOKUP('Données projet'!$B$18,Paramètres!$A$1:$I$89,3,0)*0.475*44/12</f>
        <v>0.20716485792686068</v>
      </c>
      <c r="HI192" s="21">
        <f>EXP(-LN(2)/2)*HI191+(1-EXP(-LN(2)/2))/(LN(2)/2)*HC192*HF192*VLOOKUP('Données projet'!$B$18,Paramètres!$A$1:$I$89,3,0)*0.475*44/12</f>
        <v>1.9082430988096218E-15</v>
      </c>
      <c r="HJ192" s="22">
        <f t="shared" si="190"/>
        <v>14.717410057666347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-2.5124791136477146E-14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46.095319339746538</v>
      </c>
      <c r="T193" s="59">
        <f t="shared" si="142"/>
        <v>48.158174304064403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6.8382735725411292</v>
      </c>
      <c r="AA193" s="21">
        <f>EXP(-LN(2)/25)*AA192+(1-EXP(-LN(2)/25))/(LN(2)/25)*Calculateur!V193*Calculateur!X193*VLOOKUP('Données projet'!$B$9,Paramètres!$A$1:$I$89,3,0)*0.475*44/12</f>
        <v>1.2978485710462431</v>
      </c>
      <c r="AB193" s="21">
        <f>EXP(-LN(2)/2)*AB192+(1-EXP(-LN(2)/2))/(LN(2)/2)*V193*Y193*VLOOKUP('Données projet'!$B$9,Paramètres!$A$1:$I$89,3,0)*0.475*44/12</f>
        <v>4.0988895370995878E-16</v>
      </c>
      <c r="AC193" s="22">
        <f t="shared" si="163"/>
        <v>8.1361221435873716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-6.7984728957526396E-14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408.84545509668794</v>
      </c>
      <c r="AO193" s="59">
        <f t="shared" si="144"/>
        <v>409.9253979841132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14.329946724053176</v>
      </c>
      <c r="AV193" s="21">
        <f>EXP(-LN(2)/25)*AV192+(1-EXP(-LN(2)/25))/(LN(2)/25)*Calculateur!AQ193*Calculateur!AS193*VLOOKUP('Données projet'!$B$10,Paramètres!$A$1:$I$89,3,0)*0.475*44/12</f>
        <v>2.0743389954570448</v>
      </c>
      <c r="AW193" s="21">
        <f>EXP(-LN(2)/2)*AW192+(1-EXP(-LN(2)/2))/(LN(2)/2)*AQ193*AT193*VLOOKUP('Données projet'!$B$10,Paramètres!$A$1:$I$89,3,0)*0.475*44/12</f>
        <v>2.5445383584710681E-18</v>
      </c>
      <c r="AX193" s="21">
        <f t="shared" si="166"/>
        <v>16.40428571951022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-6.7984728957526396E-14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279.69031306919914</v>
      </c>
      <c r="BJ193" s="59">
        <f t="shared" si="146"/>
        <v>297.01680128882509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13.000946661593252</v>
      </c>
      <c r="BQ193" s="21">
        <f>EXP(-LN(2)/25)*BQ192+(1-EXP(-LN(2)/25))/(LN(2)/25)*Calculateur!BL193*Calculateur!BN193*VLOOKUP('Données projet'!$B$11,Paramètres!$A$1:$I$89,3,0)*0.475*44/12</f>
        <v>2.3529238645981723</v>
      </c>
      <c r="BR193" s="21">
        <f>EXP(-LN(2)/2)*BR192+(1-EXP(-LN(2)/2))/(LN(2)/2)*BL193*BO193*VLOOKUP('Données projet'!$B$11,Paramètres!$A$1:$I$89,3,0)*0.475*44/12</f>
        <v>5.936749847267589E-18</v>
      </c>
      <c r="BS193" s="22">
        <f t="shared" si="169"/>
        <v>15.353870526191425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81.299024916151723</v>
      </c>
      <c r="CE193" s="59">
        <f t="shared" si="148"/>
        <v>88.106373324240167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3.8453734195105618</v>
      </c>
      <c r="CL193" s="21">
        <f>EXP(-LN(2)/25)*CL192+(1-EXP(-LN(2)/25))/(LN(2)/25)*Calculateur!CG193*Calculateur!CI193*VLOOKUP('Données projet'!$B$12,Paramètres!$A$1:$I$89,3,0)*0.475*44/12</f>
        <v>0.62943589580193682</v>
      </c>
      <c r="CM193" s="21">
        <f>EXP(-LN(2)/2)*CM192+(1-EXP(-LN(2)/2))/(LN(2)/2)*CG193*CJ193*VLOOKUP('Données projet'!$B$12,Paramètres!$A$1:$I$89,3,0)*0.475*44/12</f>
        <v>6.5067255559647373E-19</v>
      </c>
      <c r="CN193" s="22">
        <f t="shared" si="172"/>
        <v>4.4748093153124984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-3.4106051316484809E-13</v>
      </c>
      <c r="CU193" s="17">
        <f>CT193*VLOOKUP('Données projet'!$B$13,Paramètres!$A$1:$I$89,3,0)*VLOOKUP('Données projet'!$B$13,Paramètres!$A$1:$I$89,5,0)</f>
        <v>-1.9065282685915009E-13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475.42482703895411</v>
      </c>
      <c r="CZ193" s="59">
        <f t="shared" si="150"/>
        <v>593.51433014569966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26.267964134671622</v>
      </c>
      <c r="DG193" s="21">
        <f>EXP(-LN(2)/25)*DG192+(1-EXP(-LN(2)/25))/(LN(2)/25)*Calculateur!DB193*Calculateur!DD193*VLOOKUP('Données projet'!$B$13,Paramètres!$A$1:$I$89,3,0)*0.475*44/12</f>
        <v>2.0233207132835616</v>
      </c>
      <c r="DH193" s="21">
        <f>EXP(-LN(2)/2)*DH192+(1-EXP(-LN(2)/2))/(LN(2)/2)*DB193*DE193*VLOOKUP('Données projet'!$B$13,Paramètres!$A$1:$I$89,3,0)*0.475*44/12</f>
        <v>7.5449488174285525E-18</v>
      </c>
      <c r="DI193" s="22">
        <f t="shared" si="175"/>
        <v>28.291284847955183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-7.9580786405131221E-13</v>
      </c>
      <c r="DP193" s="17">
        <f>DO193*VLOOKUP('Données projet'!$B$14,Paramètres!$A$1:$I$89,3,0)*VLOOKUP('Données projet'!$B$14,Paramètres!$A$1:$I$89,5,0)</f>
        <v>-7.2004695539362725E-13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401.17301323870578</v>
      </c>
      <c r="DU193" s="59">
        <f t="shared" si="152"/>
        <v>201.57993789149754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89.452715057456729</v>
      </c>
      <c r="EB193" s="21">
        <f>EXP(-LN(2)/25)*EB192+(1-EXP(-LN(2)/25))/(LN(2)/25)*Calculateur!DW193*Calculateur!DY193*VLOOKUP('Données projet'!$B$14,Paramètres!$A$1:$I$89,3,0)*0.475*44/12</f>
        <v>11.353532030559565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100.80624708801629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1.7053025658242404E-13</v>
      </c>
      <c r="EK193" s="17">
        <f>EJ193*VLOOKUP('Données projet'!$B$15,Paramètres!$A$1:$I$89,3,0)*VLOOKUP('Données projet'!$B$15,Paramètres!$A$1:$I$89,5,0)</f>
        <v>1.4897523215040567E-13</v>
      </c>
      <c r="EL193" s="13">
        <f t="shared" si="179"/>
        <v>2.136562777003313E-12</v>
      </c>
      <c r="EM193" s="20">
        <f t="shared" si="180"/>
        <v>3.9806453659427267E-12</v>
      </c>
      <c r="EN193" s="59">
        <f t="shared" si="128"/>
        <v>293.33333333333729</v>
      </c>
      <c r="EO193" s="59">
        <f ca="1">AVERAGE(OFFSET($EN$3,0,0,'Données projet'!$E$15+1,1))-AVERAGE(OFFSET($H$3,0,0,'Données projet'!$E$15+1,1))</f>
        <v>237.8483058552178</v>
      </c>
      <c r="EP193" s="59">
        <f t="shared" si="154"/>
        <v>313.36201272119723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7.5566944385036967</v>
      </c>
      <c r="EW193" s="21">
        <f>EXP(-LN(2)/25)*EW192+(1-EXP(-LN(2)/25))/(LN(2)/25)*Calculateur!ER193*Calculateur!ET193*VLOOKUP('Données projet'!$B$15,Paramètres!$A$1:$I$89,3,0)*0.475*44/12</f>
        <v>0.19041630411499907</v>
      </c>
      <c r="EX193" s="21">
        <f>EXP(-LN(2)/2)*EX192+(1-EXP(-LN(2)/2))/(LN(2)/2)*ER193*EU193*VLOOKUP('Données projet'!$B$15,Paramètres!$A$1:$I$89,3,0)*0.475*44/12</f>
        <v>3.5727158181653152E-17</v>
      </c>
      <c r="EY193" s="22">
        <f t="shared" si="181"/>
        <v>7.7471107426186956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-2.8421709430404007E-13</v>
      </c>
      <c r="FF193" s="17">
        <f>FE193*VLOOKUP('Données projet'!$B$16,Paramètres!$A$1:$I$89,3,0)*VLOOKUP('Données projet'!$B$16,Paramètres!$A$1:$I$89,5,0)</f>
        <v>-2.2168933355715128E-13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318.52984981739411</v>
      </c>
      <c r="FK193" s="59">
        <f t="shared" si="156"/>
        <v>311.56398336941714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13.420479379007796</v>
      </c>
      <c r="FR193" s="21">
        <f>EXP(-LN(2)/25)*FR192+(1-EXP(-LN(2)/25))/(LN(2)/25)*Calculateur!FM193*Calculateur!FO193*VLOOKUP('Données projet'!$B$16,Paramètres!$A$1:$I$89,3,0)*0.475*44/12</f>
        <v>0.19009426791747522</v>
      </c>
      <c r="FS193" s="21">
        <f>EXP(-LN(2)/2)*FS192+(1-EXP(-LN(2)/2))/(LN(2)/2)*FM193*FP193*VLOOKUP('Données projet'!$B$16,Paramètres!$A$1:$I$89,3,0)*0.475*44/12</f>
        <v>1.5689902736287403E-15</v>
      </c>
      <c r="FT193" s="22">
        <f t="shared" si="184"/>
        <v>13.610573646925273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-2.8421709430404007E-13</v>
      </c>
      <c r="GA193" s="17">
        <f>FZ193*VLOOKUP('Données projet'!$B$17,Paramètres!$A$1:$I$89,3,0)*VLOOKUP('Données projet'!$B$17,Paramètres!$A$1:$I$89,5,0)</f>
        <v>-2.2612312022829427E-13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325.72928944930294</v>
      </c>
      <c r="GF193" s="59">
        <f t="shared" si="158"/>
        <v>318.38876834819752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16.872351516957259</v>
      </c>
      <c r="GM193" s="21">
        <f>EXP(-LN(2)/25)*GM192+(1-EXP(-LN(2)/25))/(LN(2)/25)*Calculateur!GH193*Calculateur!GJ193*VLOOKUP('Données projet'!$B$17,Paramètres!$A$1:$I$89,3,0)*0.475*44/12</f>
        <v>0.23898828194462104</v>
      </c>
      <c r="GN193" s="21">
        <f>EXP(-LN(2)/2)*GN192+(1-EXP(-LN(2)/2))/(LN(2)/2)*GH193*GK193*VLOOKUP('Données projet'!$B$17,Paramètres!$A$1:$I$89,3,0)*0.475*44/12</f>
        <v>1.6003700791013127E-15</v>
      </c>
      <c r="GO193" s="21">
        <f t="shared" si="187"/>
        <v>17.111339798901881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-2.8421709430404007E-13</v>
      </c>
      <c r="GV193" s="17">
        <f>GU193*VLOOKUP('Données projet'!$B$18,Paramètres!$A$1:$I$89,3,0)*VLOOKUP('Données projet'!$B$18,Paramètres!$A$1:$I$89,5,0)</f>
        <v>-1.9065282685915009E-13</v>
      </c>
      <c r="GW193" s="13" t="e">
        <f t="shared" si="188"/>
        <v>#NUM!</v>
      </c>
      <c r="GX193" s="20" t="e">
        <f t="shared" si="189"/>
        <v>#NUM!</v>
      </c>
      <c r="GY193" s="59" t="e">
        <f t="shared" si="137"/>
        <v>#NUM!</v>
      </c>
      <c r="GZ193" s="59">
        <f ca="1">AVERAGE(OFFSET($GY$3,0,0,'Données projet'!$E$18+1,1))-AVERAGE(OFFSET($H$3,0,0,'Données projet'!$E$18+1,1))</f>
        <v>268.04554291387961</v>
      </c>
      <c r="HA193" s="59">
        <f t="shared" si="160"/>
        <v>263.70463099437148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14.225708141748264</v>
      </c>
      <c r="HH193" s="21">
        <f>EXP(-LN(2)/25)*HH192+(1-EXP(-LN(2)/25))/(LN(2)/25)*Calculateur!HC193*Calculateur!HE193*VLOOKUP('Données projet'!$B$18,Paramètres!$A$1:$I$89,3,0)*0.475*44/12</f>
        <v>0.20149992399252428</v>
      </c>
      <c r="HI193" s="21">
        <f>EXP(-LN(2)/2)*HI192+(1-EXP(-LN(2)/2))/(LN(2)/2)*HC193*HF193*VLOOKUP('Données projet'!$B$18,Paramètres!$A$1:$I$89,3,0)*0.475*44/12</f>
        <v>1.3493316353207146E-15</v>
      </c>
      <c r="HJ193" s="22">
        <f t="shared" si="190"/>
        <v>14.427208065740789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-2.5124791136477146E-14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46.095319339746538</v>
      </c>
      <c r="T194" s="59">
        <f t="shared" si="142"/>
        <v>48.158174304064403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6.7041791987186317</v>
      </c>
      <c r="AA194" s="21">
        <f>EXP(-LN(2)/25)*AA193+(1-EXP(-LN(2)/25))/(LN(2)/25)*Calculateur!V194*Calculateur!X194*VLOOKUP('Données projet'!$B$9,Paramètres!$A$1:$I$89,3,0)*0.475*44/12</f>
        <v>1.2623588336200935</v>
      </c>
      <c r="AB194" s="21">
        <f>EXP(-LN(2)/2)*AB193+(1-EXP(-LN(2)/2))/(LN(2)/2)*V194*Y194*VLOOKUP('Données projet'!$B$9,Paramètres!$A$1:$I$89,3,0)*0.475*44/12</f>
        <v>2.8983525870177073E-16</v>
      </c>
      <c r="AC194" s="22">
        <f t="shared" si="163"/>
        <v>7.9665380323387254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-6.7984728957526396E-14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408.84545509668794</v>
      </c>
      <c r="AO194" s="59">
        <f t="shared" si="144"/>
        <v>409.9253979841132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14.048945209198951</v>
      </c>
      <c r="AV194" s="21">
        <f>EXP(-LN(2)/25)*AV193+(1-EXP(-LN(2)/25))/(LN(2)/25)*Calculateur!AQ194*Calculateur!AS194*VLOOKUP('Données projet'!$B$10,Paramètres!$A$1:$I$89,3,0)*0.475*44/12</f>
        <v>2.0176160865415249</v>
      </c>
      <c r="AW194" s="21">
        <f>EXP(-LN(2)/2)*AW193+(1-EXP(-LN(2)/2))/(LN(2)/2)*AQ194*AT194*VLOOKUP('Données projet'!$B$10,Paramètres!$A$1:$I$89,3,0)*0.475*44/12</f>
        <v>1.7992603282641784E-18</v>
      </c>
      <c r="AX194" s="21">
        <f t="shared" si="166"/>
        <v>16.066561295740478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-6.7984728957526396E-14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279.69031306919914</v>
      </c>
      <c r="BJ194" s="59">
        <f t="shared" si="146"/>
        <v>297.01680128882509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12.74600602735387</v>
      </c>
      <c r="BQ194" s="21">
        <f>EXP(-LN(2)/25)*BQ193+(1-EXP(-LN(2)/25))/(LN(2)/25)*Calculateur!BL194*Calculateur!BN194*VLOOKUP('Données projet'!$B$11,Paramètres!$A$1:$I$89,3,0)*0.475*44/12</f>
        <v>2.2885830377858469</v>
      </c>
      <c r="BR194" s="21">
        <f>EXP(-LN(2)/2)*BR193+(1-EXP(-LN(2)/2))/(LN(2)/2)*BL194*BO194*VLOOKUP('Données projet'!$B$11,Paramètres!$A$1:$I$89,3,0)*0.475*44/12</f>
        <v>4.1979160752111124E-18</v>
      </c>
      <c r="BS194" s="22">
        <f t="shared" si="169"/>
        <v>15.034589065139716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81.299024916151723</v>
      </c>
      <c r="CE194" s="59">
        <f t="shared" si="148"/>
        <v>88.106373324240167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3.7699679922001521</v>
      </c>
      <c r="CL194" s="21">
        <f>EXP(-LN(2)/25)*CL193+(1-EXP(-LN(2)/25))/(LN(2)/25)*Calculateur!CG194*Calculateur!CI194*VLOOKUP('Données projet'!$B$12,Paramètres!$A$1:$I$89,3,0)*0.475*44/12</f>
        <v>0.61222393813063769</v>
      </c>
      <c r="CM194" s="21">
        <f>EXP(-LN(2)/2)*CM193+(1-EXP(-LN(2)/2))/(LN(2)/2)*CG194*CJ194*VLOOKUP('Données projet'!$B$12,Paramètres!$A$1:$I$89,3,0)*0.475*44/12</f>
        <v>4.6009497639424741E-19</v>
      </c>
      <c r="CN194" s="22">
        <f t="shared" si="172"/>
        <v>4.3821919303307899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-3.4106051316484809E-13</v>
      </c>
      <c r="CU194" s="17">
        <f>CT194*VLOOKUP('Données projet'!$B$13,Paramètres!$A$1:$I$89,3,0)*VLOOKUP('Données projet'!$B$13,Paramètres!$A$1:$I$89,5,0)</f>
        <v>-1.9065282685915009E-13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475.42482703895411</v>
      </c>
      <c r="CZ194" s="59">
        <f t="shared" si="150"/>
        <v>593.51433014569966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25.752865379866805</v>
      </c>
      <c r="DG194" s="21">
        <f>EXP(-LN(2)/25)*DG193+(1-EXP(-LN(2)/25))/(LN(2)/25)*Calculateur!DB194*Calculateur!DD194*VLOOKUP('Données projet'!$B$13,Paramètres!$A$1:$I$89,3,0)*0.475*44/12</f>
        <v>1.9679929019770106</v>
      </c>
      <c r="DH194" s="21">
        <f>EXP(-LN(2)/2)*DH193+(1-EXP(-LN(2)/2))/(LN(2)/2)*DB194*DE194*VLOOKUP('Données projet'!$B$13,Paramètres!$A$1:$I$89,3,0)*0.475*44/12</f>
        <v>5.335084472509152E-18</v>
      </c>
      <c r="DI194" s="22">
        <f t="shared" si="175"/>
        <v>27.720858281843814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-7.9580786405131221E-13</v>
      </c>
      <c r="DP194" s="17">
        <f>DO194*VLOOKUP('Données projet'!$B$14,Paramètres!$A$1:$I$89,3,0)*VLOOKUP('Données projet'!$B$14,Paramètres!$A$1:$I$89,5,0)</f>
        <v>-7.2004695539362725E-13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401.17301323870578</v>
      </c>
      <c r="DU194" s="59">
        <f t="shared" si="152"/>
        <v>201.57993789149754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87.698601875948754</v>
      </c>
      <c r="EB194" s="21">
        <f>EXP(-LN(2)/25)*EB193+(1-EXP(-LN(2)/25))/(LN(2)/25)*Calculateur!DW194*Calculateur!DY194*VLOOKUP('Données projet'!$B$14,Paramètres!$A$1:$I$89,3,0)*0.475*44/12</f>
        <v>11.043069100127614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98.741670976076364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1.7053025658242404E-13</v>
      </c>
      <c r="EK194" s="17">
        <f>EJ194*VLOOKUP('Données projet'!$B$15,Paramètres!$A$1:$I$89,3,0)*VLOOKUP('Données projet'!$B$15,Paramètres!$A$1:$I$89,5,0)</f>
        <v>1.4897523215040567E-13</v>
      </c>
      <c r="EL194" s="13">
        <f t="shared" si="179"/>
        <v>2.136562777003313E-12</v>
      </c>
      <c r="EM194" s="20">
        <f t="shared" si="180"/>
        <v>3.9806453659427267E-12</v>
      </c>
      <c r="EN194" s="59">
        <f t="shared" si="128"/>
        <v>293.33333333333729</v>
      </c>
      <c r="EO194" s="59">
        <f ca="1">AVERAGE(OFFSET($EN$3,0,0,'Données projet'!$E$15+1,1))-AVERAGE(OFFSET($H$3,0,0,'Données projet'!$E$15+1,1))</f>
        <v>237.8483058552178</v>
      </c>
      <c r="EP194" s="59">
        <f t="shared" si="154"/>
        <v>313.36201272119723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7.4085122696931327</v>
      </c>
      <c r="EW194" s="21">
        <f>EXP(-LN(2)/25)*EW193+(1-EXP(-LN(2)/25))/(LN(2)/25)*Calculateur!ER194*Calculateur!ET194*VLOOKUP('Données projet'!$B$15,Paramètres!$A$1:$I$89,3,0)*0.475*44/12</f>
        <v>0.18520936026541621</v>
      </c>
      <c r="EX194" s="21">
        <f>EXP(-LN(2)/2)*EX193+(1-EXP(-LN(2)/2))/(LN(2)/2)*ER194*EU194*VLOOKUP('Données projet'!$B$15,Paramètres!$A$1:$I$89,3,0)*0.475*44/12</f>
        <v>2.5262915822771387E-17</v>
      </c>
      <c r="EY194" s="22">
        <f t="shared" si="181"/>
        <v>7.5937216299585488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-2.8421709430404007E-13</v>
      </c>
      <c r="FF194" s="17">
        <f>FE194*VLOOKUP('Données projet'!$B$16,Paramètres!$A$1:$I$89,3,0)*VLOOKUP('Données projet'!$B$16,Paramètres!$A$1:$I$89,5,0)</f>
        <v>-2.2168933355715128E-13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318.52984981739411</v>
      </c>
      <c r="FK194" s="59">
        <f t="shared" si="156"/>
        <v>311.56398336941714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13.157311964069605</v>
      </c>
      <c r="FR194" s="21">
        <f>EXP(-LN(2)/25)*FR193+(1-EXP(-LN(2)/25))/(LN(2)/25)*Calculateur!FM194*Calculateur!FO194*VLOOKUP('Données projet'!$B$16,Paramètres!$A$1:$I$89,3,0)*0.475*44/12</f>
        <v>0.18489613016464879</v>
      </c>
      <c r="FS194" s="21">
        <f>EXP(-LN(2)/2)*FS193+(1-EXP(-LN(2)/2))/(LN(2)/2)*FM194*FP194*VLOOKUP('Données projet'!$B$16,Paramètres!$A$1:$I$89,3,0)*0.475*44/12</f>
        <v>1.109443662098619E-15</v>
      </c>
      <c r="FT194" s="22">
        <f t="shared" si="184"/>
        <v>13.342208094234255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-2.8421709430404007E-13</v>
      </c>
      <c r="GA194" s="17">
        <f>FZ194*VLOOKUP('Données projet'!$B$17,Paramètres!$A$1:$I$89,3,0)*VLOOKUP('Données projet'!$B$17,Paramètres!$A$1:$I$89,5,0)</f>
        <v>-2.2612312022829427E-13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325.72928944930294</v>
      </c>
      <c r="GF194" s="59">
        <f t="shared" si="158"/>
        <v>318.38876834819752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16.541494994827989</v>
      </c>
      <c r="GM194" s="21">
        <f>EXP(-LN(2)/25)*GM193+(1-EXP(-LN(2)/25))/(LN(2)/25)*Calculateur!GH194*Calculateur!GJ194*VLOOKUP('Données projet'!$B$17,Paramètres!$A$1:$I$89,3,0)*0.475*44/12</f>
        <v>0.23245313480699786</v>
      </c>
      <c r="GN194" s="21">
        <f>EXP(-LN(2)/2)*GN193+(1-EXP(-LN(2)/2))/(LN(2)/2)*GH194*GK194*VLOOKUP('Données projet'!$B$17,Paramètres!$A$1:$I$89,3,0)*0.475*44/12</f>
        <v>1.1316325353405897E-15</v>
      </c>
      <c r="GO194" s="21">
        <f t="shared" si="187"/>
        <v>16.773948129634988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-2.8421709430404007E-13</v>
      </c>
      <c r="GV194" s="17">
        <f>GU194*VLOOKUP('Données projet'!$B$18,Paramètres!$A$1:$I$89,3,0)*VLOOKUP('Données projet'!$B$18,Paramètres!$A$1:$I$89,5,0)</f>
        <v>-1.9065282685915009E-13</v>
      </c>
      <c r="GW194" s="13" t="e">
        <f t="shared" si="188"/>
        <v>#NUM!</v>
      </c>
      <c r="GX194" s="20" t="e">
        <f t="shared" si="189"/>
        <v>#NUM!</v>
      </c>
      <c r="GY194" s="59" t="e">
        <f t="shared" si="137"/>
        <v>#NUM!</v>
      </c>
      <c r="GZ194" s="59">
        <f ca="1">AVERAGE(OFFSET($GY$3,0,0,'Données projet'!$E$18+1,1))-AVERAGE(OFFSET($H$3,0,0,'Données projet'!$E$18+1,1))</f>
        <v>268.04554291387961</v>
      </c>
      <c r="HA194" s="59">
        <f t="shared" si="160"/>
        <v>263.70463099437148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13.946750681913782</v>
      </c>
      <c r="HH194" s="21">
        <f>EXP(-LN(2)/25)*HH193+(1-EXP(-LN(2)/25))/(LN(2)/25)*Calculateur!HC194*Calculateur!HE194*VLOOKUP('Données projet'!$B$18,Paramètres!$A$1:$I$89,3,0)*0.475*44/12</f>
        <v>0.19598989797452823</v>
      </c>
      <c r="HI194" s="21">
        <f>EXP(-LN(2)/2)*HI193+(1-EXP(-LN(2)/2))/(LN(2)/2)*HC194*HF194*VLOOKUP('Données projet'!$B$18,Paramètres!$A$1:$I$89,3,0)*0.475*44/12</f>
        <v>9.5412154940481088E-16</v>
      </c>
      <c r="HJ194" s="22">
        <f t="shared" si="190"/>
        <v>14.142740579888311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-2.5124791136477146E-14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46.095319339746538</v>
      </c>
      <c r="T195" s="59">
        <f t="shared" si="142"/>
        <v>48.158174304064403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6.5727143337773013</v>
      </c>
      <c r="AA195" s="21">
        <f>EXP(-LN(2)/25)*AA194+(1-EXP(-LN(2)/25))/(LN(2)/25)*Calculateur!V195*Calculateur!X195*VLOOKUP('Données projet'!$B$9,Paramètres!$A$1:$I$89,3,0)*0.475*44/12</f>
        <v>1.2278395649301861</v>
      </c>
      <c r="AB195" s="21">
        <f>EXP(-LN(2)/2)*AB194+(1-EXP(-LN(2)/2))/(LN(2)/2)*V195*Y195*VLOOKUP('Données projet'!$B$9,Paramètres!$A$1:$I$89,3,0)*0.475*44/12</f>
        <v>2.0494447685497939E-16</v>
      </c>
      <c r="AC195" s="22">
        <f t="shared" si="163"/>
        <v>7.8005538987074878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-6.7984728957526396E-14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408.84545509668794</v>
      </c>
      <c r="AO195" s="59">
        <f t="shared" si="144"/>
        <v>409.9253979841132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13.773453962657017</v>
      </c>
      <c r="AV195" s="21">
        <f>EXP(-LN(2)/25)*AV194+(1-EXP(-LN(2)/25))/(LN(2)/25)*Calculateur!AQ195*Calculateur!AS195*VLOOKUP('Données projet'!$B$10,Paramètres!$A$1:$I$89,3,0)*0.475*44/12</f>
        <v>1.9624442685532282</v>
      </c>
      <c r="AW195" s="21">
        <f>EXP(-LN(2)/2)*AW194+(1-EXP(-LN(2)/2))/(LN(2)/2)*AQ195*AT195*VLOOKUP('Données projet'!$B$10,Paramètres!$A$1:$I$89,3,0)*0.475*44/12</f>
        <v>1.2722691792355341E-18</v>
      </c>
      <c r="AX195" s="21">
        <f t="shared" si="166"/>
        <v>15.735898231210246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-6.7984728957526396E-14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279.69031306919914</v>
      </c>
      <c r="BJ195" s="59">
        <f t="shared" si="146"/>
        <v>297.01680128882509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12.496064623453488</v>
      </c>
      <c r="BQ195" s="21">
        <f>EXP(-LN(2)/25)*BQ194+(1-EXP(-LN(2)/25))/(LN(2)/25)*Calculateur!BL195*Calculateur!BN195*VLOOKUP('Données projet'!$B$11,Paramètres!$A$1:$I$89,3,0)*0.475*44/12</f>
        <v>2.2260016142662415</v>
      </c>
      <c r="BR195" s="21">
        <f>EXP(-LN(2)/2)*BR194+(1-EXP(-LN(2)/2))/(LN(2)/2)*BL195*BO195*VLOOKUP('Données projet'!$B$11,Paramètres!$A$1:$I$89,3,0)*0.475*44/12</f>
        <v>2.9683749236337945E-18</v>
      </c>
      <c r="BS195" s="22">
        <f t="shared" si="169"/>
        <v>14.72206623771973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81.299024916151723</v>
      </c>
      <c r="CE195" s="59">
        <f t="shared" si="148"/>
        <v>88.106373324240167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3.6960412193265304</v>
      </c>
      <c r="CL195" s="21">
        <f>EXP(-LN(2)/25)*CL194+(1-EXP(-LN(2)/25))/(LN(2)/25)*Calculateur!CG195*Calculateur!CI195*VLOOKUP('Données projet'!$B$12,Paramètres!$A$1:$I$89,3,0)*0.475*44/12</f>
        <v>0.59548264234699777</v>
      </c>
      <c r="CM195" s="21">
        <f>EXP(-LN(2)/2)*CM194+(1-EXP(-LN(2)/2))/(LN(2)/2)*CG195*CJ195*VLOOKUP('Données projet'!$B$12,Paramètres!$A$1:$I$89,3,0)*0.475*44/12</f>
        <v>3.2533627779823686E-19</v>
      </c>
      <c r="CN195" s="22">
        <f t="shared" si="172"/>
        <v>4.2915238616735278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-3.4106051316484809E-13</v>
      </c>
      <c r="CU195" s="17">
        <f>CT195*VLOOKUP('Données projet'!$B$13,Paramètres!$A$1:$I$89,3,0)*VLOOKUP('Données projet'!$B$13,Paramètres!$A$1:$I$89,5,0)</f>
        <v>-1.9065282685915009E-13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475.42482703895411</v>
      </c>
      <c r="CZ195" s="59">
        <f t="shared" si="150"/>
        <v>593.51433014569966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25.247867397464493</v>
      </c>
      <c r="DG195" s="21">
        <f>EXP(-LN(2)/25)*DG194+(1-EXP(-LN(2)/25))/(LN(2)/25)*Calculateur!DB195*Calculateur!DD195*VLOOKUP('Données projet'!$B$13,Paramètres!$A$1:$I$89,3,0)*0.475*44/12</f>
        <v>1.9141780325802005</v>
      </c>
      <c r="DH195" s="21">
        <f>EXP(-LN(2)/2)*DH194+(1-EXP(-LN(2)/2))/(LN(2)/2)*DB195*DE195*VLOOKUP('Données projet'!$B$13,Paramètres!$A$1:$I$89,3,0)*0.475*44/12</f>
        <v>3.7724744087142763E-18</v>
      </c>
      <c r="DI195" s="22">
        <f t="shared" si="175"/>
        <v>27.162045430044692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-7.9580786405131221E-13</v>
      </c>
      <c r="DP195" s="17">
        <f>DO195*VLOOKUP('Données projet'!$B$14,Paramètres!$A$1:$I$89,3,0)*VLOOKUP('Données projet'!$B$14,Paramètres!$A$1:$I$89,5,0)</f>
        <v>-7.2004695539362725E-13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401.17301323870578</v>
      </c>
      <c r="DU195" s="59">
        <f t="shared" si="152"/>
        <v>201.57993789149754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85.978885784026758</v>
      </c>
      <c r="EB195" s="21">
        <f>EXP(-LN(2)/25)*EB194+(1-EXP(-LN(2)/25))/(LN(2)/25)*Calculateur!DW195*Calculateur!DY195*VLOOKUP('Données projet'!$B$14,Paramètres!$A$1:$I$89,3,0)*0.475*44/12</f>
        <v>10.741095794854859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96.719981578881615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1.7053025658242404E-13</v>
      </c>
      <c r="EK195" s="17">
        <f>EJ195*VLOOKUP('Données projet'!$B$15,Paramètres!$A$1:$I$89,3,0)*VLOOKUP('Données projet'!$B$15,Paramètres!$A$1:$I$89,5,0)</f>
        <v>1.4897523215040567E-13</v>
      </c>
      <c r="EL195" s="13">
        <f t="shared" si="179"/>
        <v>2.136562777003313E-12</v>
      </c>
      <c r="EM195" s="20">
        <f t="shared" si="180"/>
        <v>3.9806453659427267E-12</v>
      </c>
      <c r="EN195" s="59">
        <f t="shared" si="128"/>
        <v>293.33333333333729</v>
      </c>
      <c r="EO195" s="59">
        <f ca="1">AVERAGE(OFFSET($EN$3,0,0,'Données projet'!$E$15+1,1))-AVERAGE(OFFSET($H$3,0,0,'Données projet'!$E$15+1,1))</f>
        <v>237.8483058552178</v>
      </c>
      <c r="EP195" s="59">
        <f t="shared" si="154"/>
        <v>313.36201272119723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7.2632358628307454</v>
      </c>
      <c r="EW195" s="21">
        <f>EXP(-LN(2)/25)*EW194+(1-EXP(-LN(2)/25))/(LN(2)/25)*Calculateur!ER195*Calculateur!ET195*VLOOKUP('Données projet'!$B$15,Paramètres!$A$1:$I$89,3,0)*0.475*44/12</f>
        <v>0.18014480056922144</v>
      </c>
      <c r="EX195" s="21">
        <f>EXP(-LN(2)/2)*EX194+(1-EXP(-LN(2)/2))/(LN(2)/2)*ER195*EU195*VLOOKUP('Données projet'!$B$15,Paramètres!$A$1:$I$89,3,0)*0.475*44/12</f>
        <v>1.7863579090826576E-17</v>
      </c>
      <c r="EY195" s="22">
        <f t="shared" si="181"/>
        <v>7.4433806633999673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-2.8421709430404007E-13</v>
      </c>
      <c r="FF195" s="17">
        <f>FE195*VLOOKUP('Données projet'!$B$16,Paramètres!$A$1:$I$89,3,0)*VLOOKUP('Données projet'!$B$16,Paramètres!$A$1:$I$89,5,0)</f>
        <v>-2.2168933355715128E-13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318.52984981739411</v>
      </c>
      <c r="FK195" s="59">
        <f t="shared" si="156"/>
        <v>311.56398336941714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12.899305101622078</v>
      </c>
      <c r="FR195" s="21">
        <f>EXP(-LN(2)/25)*FR194+(1-EXP(-LN(2)/25))/(LN(2)/25)*Calculateur!FM195*Calculateur!FO195*VLOOKUP('Données projet'!$B$16,Paramètres!$A$1:$I$89,3,0)*0.475*44/12</f>
        <v>0.17984013576203156</v>
      </c>
      <c r="FS195" s="21">
        <f>EXP(-LN(2)/2)*FS194+(1-EXP(-LN(2)/2))/(LN(2)/2)*FM195*FP195*VLOOKUP('Données projet'!$B$16,Paramètres!$A$1:$I$89,3,0)*0.475*44/12</f>
        <v>7.8449513681437014E-16</v>
      </c>
      <c r="FT195" s="22">
        <f t="shared" si="184"/>
        <v>13.079145237384109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-2.8421709430404007E-13</v>
      </c>
      <c r="GA195" s="17">
        <f>FZ195*VLOOKUP('Données projet'!$B$17,Paramètres!$A$1:$I$89,3,0)*VLOOKUP('Données projet'!$B$17,Paramètres!$A$1:$I$89,5,0)</f>
        <v>-2.2612312022829427E-13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325.72928944930294</v>
      </c>
      <c r="GF195" s="59">
        <f t="shared" si="158"/>
        <v>318.38876834819752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16.217126367295123</v>
      </c>
      <c r="GM195" s="21">
        <f>EXP(-LN(2)/25)*GM194+(1-EXP(-LN(2)/25))/(LN(2)/25)*Calculateur!GH195*Calculateur!GJ195*VLOOKUP('Données projet'!$B$17,Paramètres!$A$1:$I$89,3,0)*0.475*44/12</f>
        <v>0.22609669161152143</v>
      </c>
      <c r="GN195" s="21">
        <f>EXP(-LN(2)/2)*GN194+(1-EXP(-LN(2)/2))/(LN(2)/2)*GH195*GK195*VLOOKUP('Données projet'!$B$17,Paramètres!$A$1:$I$89,3,0)*0.475*44/12</f>
        <v>8.0018503955065635E-16</v>
      </c>
      <c r="GO195" s="21">
        <f t="shared" si="187"/>
        <v>16.443223058906643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-2.8421709430404007E-13</v>
      </c>
      <c r="GV195" s="17">
        <f>GU195*VLOOKUP('Données projet'!$B$18,Paramètres!$A$1:$I$89,3,0)*VLOOKUP('Données projet'!$B$18,Paramètres!$A$1:$I$89,5,0)</f>
        <v>-1.9065282685915009E-13</v>
      </c>
      <c r="GW195" s="13" t="e">
        <f t="shared" si="188"/>
        <v>#NUM!</v>
      </c>
      <c r="GX195" s="20" t="e">
        <f t="shared" si="189"/>
        <v>#NUM!</v>
      </c>
      <c r="GY195" s="59" t="e">
        <f t="shared" si="137"/>
        <v>#NUM!</v>
      </c>
      <c r="GZ195" s="59">
        <f ca="1">AVERAGE(OFFSET($GY$3,0,0,'Données projet'!$E$18+1,1))-AVERAGE(OFFSET($H$3,0,0,'Données projet'!$E$18+1,1))</f>
        <v>268.04554291387961</v>
      </c>
      <c r="HA195" s="59">
        <f t="shared" si="160"/>
        <v>263.70463099437148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13.673263407719404</v>
      </c>
      <c r="HH195" s="21">
        <f>EXP(-LN(2)/25)*HH194+(1-EXP(-LN(2)/25))/(LN(2)/25)*Calculateur!HC195*Calculateur!HE195*VLOOKUP('Données projet'!$B$18,Paramètres!$A$1:$I$89,3,0)*0.475*44/12</f>
        <v>0.19063054390775397</v>
      </c>
      <c r="HI195" s="21">
        <f>EXP(-LN(2)/2)*HI194+(1-EXP(-LN(2)/2))/(LN(2)/2)*HC195*HF195*VLOOKUP('Données projet'!$B$18,Paramètres!$A$1:$I$89,3,0)*0.475*44/12</f>
        <v>6.7466581766035732E-16</v>
      </c>
      <c r="HJ195" s="22">
        <f t="shared" si="190"/>
        <v>13.863893951627157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-2.5124791136477146E-14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46.095319339746538</v>
      </c>
      <c r="T196" s="59">
        <f t="shared" si="142"/>
        <v>48.158174304064403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6.4438274146518202</v>
      </c>
      <c r="AA196" s="21">
        <f>EXP(-LN(2)/25)*AA195+(1-EXP(-LN(2)/25))/(LN(2)/25)*Calculateur!V196*Calculateur!X196*VLOOKUP('Données projet'!$B$9,Paramètres!$A$1:$I$89,3,0)*0.475*44/12</f>
        <v>1.1942642274578936</v>
      </c>
      <c r="AB196" s="21">
        <f>EXP(-LN(2)/2)*AB195+(1-EXP(-LN(2)/2))/(LN(2)/2)*V196*Y196*VLOOKUP('Données projet'!$B$9,Paramètres!$A$1:$I$89,3,0)*0.475*44/12</f>
        <v>1.4491762935088536E-16</v>
      </c>
      <c r="AC196" s="22">
        <f t="shared" si="163"/>
        <v>7.638091642109714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-6.7984728957526396E-14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408.84545509668794</v>
      </c>
      <c r="AO196" s="59">
        <f t="shared" si="144"/>
        <v>409.9253979841132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13.503364931426702</v>
      </c>
      <c r="AV196" s="21">
        <f>EXP(-LN(2)/25)*AV195+(1-EXP(-LN(2)/25))/(LN(2)/25)*Calculateur!AQ196*Calculateur!AS196*VLOOKUP('Données projet'!$B$10,Paramètres!$A$1:$I$89,3,0)*0.475*44/12</f>
        <v>1.9087811268291812</v>
      </c>
      <c r="AW196" s="21">
        <f>EXP(-LN(2)/2)*AW195+(1-EXP(-LN(2)/2))/(LN(2)/2)*AQ196*AT196*VLOOKUP('Données projet'!$B$10,Paramètres!$A$1:$I$89,3,0)*0.475*44/12</f>
        <v>8.9963016413208918E-19</v>
      </c>
      <c r="AX196" s="21">
        <f t="shared" si="166"/>
        <v>15.412146058255884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-6.7984728957526396E-14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279.69031306919914</v>
      </c>
      <c r="BJ196" s="59">
        <f t="shared" si="146"/>
        <v>297.01680128882509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12.25102441803439</v>
      </c>
      <c r="BQ196" s="21">
        <f>EXP(-LN(2)/25)*BQ195+(1-EXP(-LN(2)/25))/(LN(2)/25)*Calculateur!BL196*Calculateur!BN196*VLOOKUP('Données projet'!$B$11,Paramètres!$A$1:$I$89,3,0)*0.475*44/12</f>
        <v>2.165131483063794</v>
      </c>
      <c r="BR196" s="21">
        <f>EXP(-LN(2)/2)*BR195+(1-EXP(-LN(2)/2))/(LN(2)/2)*BL196*BO196*VLOOKUP('Données projet'!$B$11,Paramètres!$A$1:$I$89,3,0)*0.475*44/12</f>
        <v>2.0989580376055562E-18</v>
      </c>
      <c r="BS196" s="22">
        <f t="shared" si="169"/>
        <v>14.416155901098184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81.299024916151723</v>
      </c>
      <c r="CE196" s="59">
        <f t="shared" si="148"/>
        <v>88.106373324240167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3.6235641053780809</v>
      </c>
      <c r="CL196" s="21">
        <f>EXP(-LN(2)/25)*CL195+(1-EXP(-LN(2)/25))/(LN(2)/25)*Calculateur!CG196*Calculateur!CI196*VLOOKUP('Données projet'!$B$12,Paramètres!$A$1:$I$89,3,0)*0.475*44/12</f>
        <v>0.5791991381769479</v>
      </c>
      <c r="CM196" s="21">
        <f>EXP(-LN(2)/2)*CM195+(1-EXP(-LN(2)/2))/(LN(2)/2)*CG196*CJ196*VLOOKUP('Données projet'!$B$12,Paramètres!$A$1:$I$89,3,0)*0.475*44/12</f>
        <v>2.300474881971237E-19</v>
      </c>
      <c r="CN196" s="22">
        <f t="shared" si="172"/>
        <v>4.2027632435550286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-3.4106051316484809E-13</v>
      </c>
      <c r="CU196" s="17">
        <f>CT196*VLOOKUP('Données projet'!$B$13,Paramètres!$A$1:$I$89,3,0)*VLOOKUP('Données projet'!$B$13,Paramètres!$A$1:$I$89,5,0)</f>
        <v>-1.9065282685915009E-13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475.42482703895411</v>
      </c>
      <c r="CZ196" s="59">
        <f t="shared" si="150"/>
        <v>593.51433014569966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24.752772117478735</v>
      </c>
      <c r="DG196" s="21">
        <f>EXP(-LN(2)/25)*DG195+(1-EXP(-LN(2)/25))/(LN(2)/25)*Calculateur!DB196*Calculateur!DD196*VLOOKUP('Données projet'!$B$13,Paramètres!$A$1:$I$89,3,0)*0.475*44/12</f>
        <v>1.8618347336170471</v>
      </c>
      <c r="DH196" s="21">
        <f>EXP(-LN(2)/2)*DH195+(1-EXP(-LN(2)/2))/(LN(2)/2)*DB196*DE196*VLOOKUP('Données projet'!$B$13,Paramètres!$A$1:$I$89,3,0)*0.475*44/12</f>
        <v>2.667542236254576E-18</v>
      </c>
      <c r="DI196" s="22">
        <f t="shared" si="175"/>
        <v>26.614606851095783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-7.9580786405131221E-13</v>
      </c>
      <c r="DP196" s="17">
        <f>DO196*VLOOKUP('Données projet'!$B$14,Paramètres!$A$1:$I$89,3,0)*VLOOKUP('Données projet'!$B$14,Paramètres!$A$1:$I$89,5,0)</f>
        <v>-7.2004695539362725E-13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401.17301323870578</v>
      </c>
      <c r="DU196" s="59">
        <f t="shared" si="152"/>
        <v>201.57993789149754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84.292892275744109</v>
      </c>
      <c r="EB196" s="21">
        <f>EXP(-LN(2)/25)*EB195+(1-EXP(-LN(2)/25))/(LN(2)/25)*Calculateur!DW196*Calculateur!DY196*VLOOKUP('Données projet'!$B$14,Paramètres!$A$1:$I$89,3,0)*0.475*44/12</f>
        <v>10.447379965494873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94.740272241238983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1.7053025658242404E-13</v>
      </c>
      <c r="EK196" s="17">
        <f>EJ196*VLOOKUP('Données projet'!$B$15,Paramètres!$A$1:$I$89,3,0)*VLOOKUP('Données projet'!$B$15,Paramètres!$A$1:$I$89,5,0)</f>
        <v>1.4897523215040567E-13</v>
      </c>
      <c r="EL196" s="13">
        <f t="shared" si="179"/>
        <v>2.136562777003313E-12</v>
      </c>
      <c r="EM196" s="20">
        <f t="shared" si="180"/>
        <v>3.9806453659427267E-12</v>
      </c>
      <c r="EN196" s="59">
        <f t="shared" ref="EN196:EN203" si="198">EM196+(EE196+EF196)*44/12</f>
        <v>293.33333333333729</v>
      </c>
      <c r="EO196" s="59">
        <f ca="1">AVERAGE(OFFSET($EN$3,0,0,'Données projet'!$E$15+1,1))-AVERAGE(OFFSET($H$3,0,0,'Données projet'!$E$15+1,1))</f>
        <v>237.8483058552178</v>
      </c>
      <c r="EP196" s="59">
        <f t="shared" si="154"/>
        <v>313.36201272119723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7.1208082376970712</v>
      </c>
      <c r="EW196" s="21">
        <f>EXP(-LN(2)/25)*EW195+(1-EXP(-LN(2)/25))/(LN(2)/25)*Calculateur!ER196*Calculateur!ET196*VLOOKUP('Données projet'!$B$15,Paramètres!$A$1:$I$89,3,0)*0.475*44/12</f>
        <v>0.17521873152425274</v>
      </c>
      <c r="EX196" s="21">
        <f>EXP(-LN(2)/2)*EX195+(1-EXP(-LN(2)/2))/(LN(2)/2)*ER196*EU196*VLOOKUP('Données projet'!$B$15,Paramètres!$A$1:$I$89,3,0)*0.475*44/12</f>
        <v>1.2631457911385694E-17</v>
      </c>
      <c r="EY196" s="22">
        <f t="shared" si="181"/>
        <v>7.296026969221324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-2.8421709430404007E-13</v>
      </c>
      <c r="FF196" s="17">
        <f>FE196*VLOOKUP('Données projet'!$B$16,Paramètres!$A$1:$I$89,3,0)*VLOOKUP('Données projet'!$B$16,Paramètres!$A$1:$I$89,5,0)</f>
        <v>-2.2168933355715128E-13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318.52984981739411</v>
      </c>
      <c r="FK196" s="59">
        <f t="shared" si="156"/>
        <v>311.56398336941714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12.6463575963785</v>
      </c>
      <c r="FR196" s="21">
        <f>EXP(-LN(2)/25)*FR195+(1-EXP(-LN(2)/25))/(LN(2)/25)*Calculateur!FM196*Calculateur!FO196*VLOOKUP('Données projet'!$B$16,Paramètres!$A$1:$I$89,3,0)*0.475*44/12</f>
        <v>0.17492239779223709</v>
      </c>
      <c r="FS196" s="21">
        <f>EXP(-LN(2)/2)*FS195+(1-EXP(-LN(2)/2))/(LN(2)/2)*FM196*FP196*VLOOKUP('Données projet'!$B$16,Paramètres!$A$1:$I$89,3,0)*0.475*44/12</f>
        <v>5.5472183104930948E-16</v>
      </c>
      <c r="FT196" s="22">
        <f t="shared" si="184"/>
        <v>12.821279994170737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-2.8421709430404007E-13</v>
      </c>
      <c r="GA196" s="17">
        <f>FZ196*VLOOKUP('Données projet'!$B$17,Paramètres!$A$1:$I$89,3,0)*VLOOKUP('Données projet'!$B$17,Paramètres!$A$1:$I$89,5,0)</f>
        <v>-2.2612312022829427E-13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325.72928944930294</v>
      </c>
      <c r="GF196" s="59">
        <f t="shared" si="158"/>
        <v>318.38876834819752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15.899118410702847</v>
      </c>
      <c r="GM196" s="21">
        <f>EXP(-LN(2)/25)*GM195+(1-EXP(-LN(2)/25))/(LN(2)/25)*Calculateur!GH196*Calculateur!GJ196*VLOOKUP('Données projet'!$B$17,Paramètres!$A$1:$I$89,3,0)*0.475*44/12</f>
        <v>0.21991406568949612</v>
      </c>
      <c r="GN196" s="21">
        <f>EXP(-LN(2)/2)*GN195+(1-EXP(-LN(2)/2))/(LN(2)/2)*GH196*GK196*VLOOKUP('Données projet'!$B$17,Paramètres!$A$1:$I$89,3,0)*0.475*44/12</f>
        <v>5.6581626767029483E-16</v>
      </c>
      <c r="GO196" s="21">
        <f t="shared" si="187"/>
        <v>16.119032476392345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-2.8421709430404007E-13</v>
      </c>
      <c r="GV196" s="17">
        <f>GU196*VLOOKUP('Données projet'!$B$18,Paramètres!$A$1:$I$89,3,0)*VLOOKUP('Données projet'!$B$18,Paramètres!$A$1:$I$89,5,0)</f>
        <v>-1.9065282685915009E-13</v>
      </c>
      <c r="GW196" s="13" t="e">
        <f t="shared" si="188"/>
        <v>#NUM!</v>
      </c>
      <c r="GX196" s="20" t="e">
        <f t="shared" si="189"/>
        <v>#NUM!</v>
      </c>
      <c r="GY196" s="59" t="e">
        <f t="shared" ref="GY196:GY203" si="201">GX196+(GP196+GQ196)*44/12</f>
        <v>#NUM!</v>
      </c>
      <c r="GZ196" s="59">
        <f ca="1">AVERAGE(OFFSET($GY$3,0,0,'Données projet'!$E$18+1,1))-AVERAGE(OFFSET($H$3,0,0,'Données projet'!$E$18+1,1))</f>
        <v>268.04554291387961</v>
      </c>
      <c r="HA196" s="59">
        <f t="shared" si="160"/>
        <v>263.70463099437148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13.405139052161211</v>
      </c>
      <c r="HH196" s="21">
        <f>EXP(-LN(2)/25)*HH195+(1-EXP(-LN(2)/25))/(LN(2)/25)*Calculateur!HC196*Calculateur!HE196*VLOOKUP('Données projet'!$B$18,Paramètres!$A$1:$I$89,3,0)*0.475*44/12</f>
        <v>0.18541774165977182</v>
      </c>
      <c r="HI196" s="21">
        <f>EXP(-LN(2)/2)*HI195+(1-EXP(-LN(2)/2))/(LN(2)/2)*HC196*HF196*VLOOKUP('Données projet'!$B$18,Paramètres!$A$1:$I$89,3,0)*0.475*44/12</f>
        <v>4.7706077470240544E-16</v>
      </c>
      <c r="HJ196" s="22">
        <f t="shared" si="190"/>
        <v>13.590556793820982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-2.5124791136477146E-14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46.095319339746538</v>
      </c>
      <c r="T197" s="59">
        <f t="shared" ref="T197:T203" si="204">$T$3</f>
        <v>48.158174304064403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6.3174678893971317</v>
      </c>
      <c r="AA197" s="21">
        <f>EXP(-LN(2)/25)*AA196+(1-EXP(-LN(2)/25))/(LN(2)/25)*Calculateur!V197*Calculateur!X197*VLOOKUP('Données projet'!$B$9,Paramètres!$A$1:$I$89,3,0)*0.475*44/12</f>
        <v>1.1616070093544313</v>
      </c>
      <c r="AB197" s="21">
        <f>EXP(-LN(2)/2)*AB196+(1-EXP(-LN(2)/2))/(LN(2)/2)*V197*Y197*VLOOKUP('Données projet'!$B$9,Paramètres!$A$1:$I$89,3,0)*0.475*44/12</f>
        <v>1.024722384274897E-16</v>
      </c>
      <c r="AC197" s="22">
        <f t="shared" si="163"/>
        <v>7.4790748987515627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-6.7984728957526396E-14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408.84545509668794</v>
      </c>
      <c r="AO197" s="59">
        <f t="shared" ref="AO197:AO203" si="205">$AO$3</f>
        <v>409.9253979841132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13.238572181360771</v>
      </c>
      <c r="AV197" s="21">
        <f>EXP(-LN(2)/25)*AV196+(1-EXP(-LN(2)/25))/(LN(2)/25)*Calculateur!AQ197*Calculateur!AS197*VLOOKUP('Données projet'!$B$10,Paramètres!$A$1:$I$89,3,0)*0.475*44/12</f>
        <v>1.8565854065376004</v>
      </c>
      <c r="AW197" s="21">
        <f>EXP(-LN(2)/2)*AW196+(1-EXP(-LN(2)/2))/(LN(2)/2)*AQ197*AT197*VLOOKUP('Données projet'!$B$10,Paramètres!$A$1:$I$89,3,0)*0.475*44/12</f>
        <v>6.3613458961776703E-19</v>
      </c>
      <c r="AX197" s="21">
        <f t="shared" si="166"/>
        <v>15.095157587898372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-6.7984728957526396E-14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279.69031306919914</v>
      </c>
      <c r="BJ197" s="59">
        <f t="shared" ref="BJ197:BJ203" si="206">$BJ$3</f>
        <v>297.01680128882509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12.010789301583793</v>
      </c>
      <c r="BQ197" s="21">
        <f>EXP(-LN(2)/25)*BQ196+(1-EXP(-LN(2)/25))/(LN(2)/25)*Calculateur!BL197*Calculateur!BN197*VLOOKUP('Données projet'!$B$11,Paramètres!$A$1:$I$89,3,0)*0.475*44/12</f>
        <v>2.1059258488000983</v>
      </c>
      <c r="BR197" s="21">
        <f>EXP(-LN(2)/2)*BR196+(1-EXP(-LN(2)/2))/(LN(2)/2)*BL197*BO197*VLOOKUP('Données projet'!$B$11,Paramètres!$A$1:$I$89,3,0)*0.475*44/12</f>
        <v>1.4841874618168972E-18</v>
      </c>
      <c r="BS197" s="22">
        <f t="shared" si="169"/>
        <v>14.116715150383891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81.299024916151723</v>
      </c>
      <c r="CE197" s="59">
        <f t="shared" ref="CE197:CE203" si="207">$CE$3</f>
        <v>88.106373324240167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3.5525082234274863</v>
      </c>
      <c r="CL197" s="21">
        <f>EXP(-LN(2)/25)*CL196+(1-EXP(-LN(2)/25))/(LN(2)/25)*Calculateur!CG197*Calculateur!CI197*VLOOKUP('Données projet'!$B$12,Paramètres!$A$1:$I$89,3,0)*0.475*44/12</f>
        <v>0.56336090728474031</v>
      </c>
      <c r="CM197" s="21">
        <f>EXP(-LN(2)/2)*CM196+(1-EXP(-LN(2)/2))/(LN(2)/2)*CG197*CJ197*VLOOKUP('Données projet'!$B$12,Paramètres!$A$1:$I$89,3,0)*0.475*44/12</f>
        <v>1.6266813889911843E-19</v>
      </c>
      <c r="CN197" s="22">
        <f t="shared" si="172"/>
        <v>4.1158691307122268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-3.4106051316484809E-13</v>
      </c>
      <c r="CU197" s="17">
        <f>CT197*VLOOKUP('Données projet'!$B$13,Paramètres!$A$1:$I$89,3,0)*VLOOKUP('Données projet'!$B$13,Paramètres!$A$1:$I$89,5,0)</f>
        <v>-1.9065282685915009E-13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475.42482703895411</v>
      </c>
      <c r="CZ197" s="59">
        <f t="shared" ref="CZ197:CZ203" si="208">$CZ$3</f>
        <v>593.51433014569966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24.267385353955195</v>
      </c>
      <c r="DG197" s="21">
        <f>EXP(-LN(2)/25)*DG196+(1-EXP(-LN(2)/25))/(LN(2)/25)*Calculateur!DB197*Calculateur!DD197*VLOOKUP('Données projet'!$B$13,Paramètres!$A$1:$I$89,3,0)*0.475*44/12</f>
        <v>1.8109227649166555</v>
      </c>
      <c r="DH197" s="21">
        <f>EXP(-LN(2)/2)*DH196+(1-EXP(-LN(2)/2))/(LN(2)/2)*DB197*DE197*VLOOKUP('Données projet'!$B$13,Paramètres!$A$1:$I$89,3,0)*0.475*44/12</f>
        <v>1.8862372043571381E-18</v>
      </c>
      <c r="DI197" s="22">
        <f t="shared" si="175"/>
        <v>26.078308118871849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-7.9580786405131221E-13</v>
      </c>
      <c r="DP197" s="17">
        <f>DO197*VLOOKUP('Données projet'!$B$14,Paramètres!$A$1:$I$89,3,0)*VLOOKUP('Données projet'!$B$14,Paramètres!$A$1:$I$89,5,0)</f>
        <v>-7.2004695539362725E-13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401.17301323870578</v>
      </c>
      <c r="DU197" s="59">
        <f t="shared" ref="DU197:DU203" si="209">$DU$3</f>
        <v>201.57993789149754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82.639960071804381</v>
      </c>
      <c r="EB197" s="21">
        <f>EXP(-LN(2)/25)*EB196+(1-EXP(-LN(2)/25))/(LN(2)/25)*Calculateur!DW197*Calculateur!DY197*VLOOKUP('Données projet'!$B$14,Paramètres!$A$1:$I$89,3,0)*0.475*44/12</f>
        <v>10.161695810934582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92.80165588273897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1.7053025658242404E-13</v>
      </c>
      <c r="EK197" s="17">
        <f>EJ197*VLOOKUP('Données projet'!$B$15,Paramètres!$A$1:$I$89,3,0)*VLOOKUP('Données projet'!$B$15,Paramètres!$A$1:$I$89,5,0)</f>
        <v>1.4897523215040567E-13</v>
      </c>
      <c r="EL197" s="13">
        <f t="shared" si="179"/>
        <v>2.136562777003313E-12</v>
      </c>
      <c r="EM197" s="20">
        <f t="shared" si="180"/>
        <v>3.9806453659427267E-12</v>
      </c>
      <c r="EN197" s="59">
        <f t="shared" si="198"/>
        <v>293.33333333333729</v>
      </c>
      <c r="EO197" s="59">
        <f ca="1">AVERAGE(OFFSET($EN$3,0,0,'Données projet'!$E$15+1,1))-AVERAGE(OFFSET($H$3,0,0,'Données projet'!$E$15+1,1))</f>
        <v>237.8483058552178</v>
      </c>
      <c r="EP197" s="59">
        <f t="shared" ref="EP197:EP203" si="210">$EP$3</f>
        <v>313.36201272119723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6.9811735314199952</v>
      </c>
      <c r="EW197" s="21">
        <f>EXP(-LN(2)/25)*EW196+(1-EXP(-LN(2)/25))/(LN(2)/25)*Calculateur!ER197*Calculateur!ET197*VLOOKUP('Données projet'!$B$15,Paramètres!$A$1:$I$89,3,0)*0.475*44/12</f>
        <v>0.17042736609636944</v>
      </c>
      <c r="EX197" s="21">
        <f>EXP(-LN(2)/2)*EX196+(1-EXP(-LN(2)/2))/(LN(2)/2)*ER197*EU197*VLOOKUP('Données projet'!$B$15,Paramètres!$A$1:$I$89,3,0)*0.475*44/12</f>
        <v>8.9317895454132881E-18</v>
      </c>
      <c r="EY197" s="22">
        <f t="shared" si="181"/>
        <v>7.1516008975163645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-2.8421709430404007E-13</v>
      </c>
      <c r="FF197" s="17">
        <f>FE197*VLOOKUP('Données projet'!$B$16,Paramètres!$A$1:$I$89,3,0)*VLOOKUP('Données projet'!$B$16,Paramètres!$A$1:$I$89,5,0)</f>
        <v>-2.2168933355715128E-13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318.52984981739411</v>
      </c>
      <c r="FK197" s="59">
        <f t="shared" ref="FK197:FK203" si="211">$FK$3</f>
        <v>311.56398336941714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12.398370237430006</v>
      </c>
      <c r="FR197" s="21">
        <f>EXP(-LN(2)/25)*FR196+(1-EXP(-LN(2)/25))/(LN(2)/25)*Calculateur!FM197*Calculateur!FO197*VLOOKUP('Données projet'!$B$16,Paramètres!$A$1:$I$89,3,0)*0.475*44/12</f>
        <v>0.17013913562583927</v>
      </c>
      <c r="FS197" s="21">
        <f>EXP(-LN(2)/2)*FS196+(1-EXP(-LN(2)/2))/(LN(2)/2)*FM197*FP197*VLOOKUP('Données projet'!$B$16,Paramètres!$A$1:$I$89,3,0)*0.475*44/12</f>
        <v>3.9224756840718507E-16</v>
      </c>
      <c r="FT197" s="22">
        <f t="shared" si="184"/>
        <v>12.568509373055846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-2.8421709430404007E-13</v>
      </c>
      <c r="GA197" s="17">
        <f>FZ197*VLOOKUP('Données projet'!$B$17,Paramètres!$A$1:$I$89,3,0)*VLOOKUP('Données projet'!$B$17,Paramètres!$A$1:$I$89,5,0)</f>
        <v>-2.2612312022829427E-13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325.72928944930294</v>
      </c>
      <c r="GF197" s="59">
        <f t="shared" ref="GF197:GF203" si="212">$GF$3</f>
        <v>318.38876834819752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15.587346396173645</v>
      </c>
      <c r="GM197" s="21">
        <f>EXP(-LN(2)/25)*GM196+(1-EXP(-LN(2)/25))/(LN(2)/25)*Calculateur!GH197*Calculateur!GJ197*VLOOKUP('Données projet'!$B$17,Paramètres!$A$1:$I$89,3,0)*0.475*44/12</f>
        <v>0.21390050399843874</v>
      </c>
      <c r="GN197" s="21">
        <f>EXP(-LN(2)/2)*GN196+(1-EXP(-LN(2)/2))/(LN(2)/2)*GH197*GK197*VLOOKUP('Données projet'!$B$17,Paramètres!$A$1:$I$89,3,0)*0.475*44/12</f>
        <v>4.0009251977532817E-16</v>
      </c>
      <c r="GO197" s="21">
        <f t="shared" si="187"/>
        <v>15.801246900172083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-2.8421709430404007E-13</v>
      </c>
      <c r="GV197" s="17">
        <f>GU197*VLOOKUP('Données projet'!$B$18,Paramètres!$A$1:$I$89,3,0)*VLOOKUP('Données projet'!$B$18,Paramètres!$A$1:$I$89,5,0)</f>
        <v>-1.9065282685915009E-13</v>
      </c>
      <c r="GW197" s="13" t="e">
        <f t="shared" si="188"/>
        <v>#NUM!</v>
      </c>
      <c r="GX197" s="20" t="e">
        <f t="shared" si="189"/>
        <v>#NUM!</v>
      </c>
      <c r="GY197" s="59" t="e">
        <f t="shared" si="201"/>
        <v>#NUM!</v>
      </c>
      <c r="GZ197" s="59">
        <f ca="1">AVERAGE(OFFSET($GY$3,0,0,'Données projet'!$E$18+1,1))-AVERAGE(OFFSET($H$3,0,0,'Données projet'!$E$18+1,1))</f>
        <v>268.04554291387961</v>
      </c>
      <c r="HA197" s="59">
        <f t="shared" ref="HA197:HA203" si="213">$HA$3</f>
        <v>263.70463099437148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13.142272451675806</v>
      </c>
      <c r="HH197" s="21">
        <f>EXP(-LN(2)/25)*HH196+(1-EXP(-LN(2)/25))/(LN(2)/25)*Calculateur!HC197*Calculateur!HE197*VLOOKUP('Données projet'!$B$18,Paramètres!$A$1:$I$89,3,0)*0.475*44/12</f>
        <v>0.1803474837633901</v>
      </c>
      <c r="HI197" s="21">
        <f>EXP(-LN(2)/2)*HI196+(1-EXP(-LN(2)/2))/(LN(2)/2)*HC197*HF197*VLOOKUP('Données projet'!$B$18,Paramètres!$A$1:$I$89,3,0)*0.475*44/12</f>
        <v>3.3733290883017866E-16</v>
      </c>
      <c r="HJ197" s="22">
        <f t="shared" si="190"/>
        <v>13.322619935439196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-2.5124791136477146E-14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46.095319339746538</v>
      </c>
      <c r="T198" s="59">
        <f t="shared" si="204"/>
        <v>48.158174304064403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6.1935861973609869</v>
      </c>
      <c r="AA198" s="21">
        <f>EXP(-LN(2)/25)*AA197+(1-EXP(-LN(2)/25))/(LN(2)/25)*Calculateur!V198*Calculateur!X198*VLOOKUP('Données projet'!$B$9,Paramètres!$A$1:$I$89,3,0)*0.475*44/12</f>
        <v>1.1298428045973767</v>
      </c>
      <c r="AB198" s="21">
        <f>EXP(-LN(2)/2)*AB197+(1-EXP(-LN(2)/2))/(LN(2)/2)*V198*Y198*VLOOKUP('Données projet'!$B$9,Paramètres!$A$1:$I$89,3,0)*0.475*44/12</f>
        <v>7.2458814675442682E-17</v>
      </c>
      <c r="AC198" s="22">
        <f t="shared" si="163"/>
        <v>7.3234290019583632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-6.7984728957526396E-14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408.84545509668794</v>
      </c>
      <c r="AO198" s="59">
        <f t="shared" si="205"/>
        <v>409.9253979841132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12.978971855616004</v>
      </c>
      <c r="AV198" s="21">
        <f>EXP(-LN(2)/25)*AV197+(1-EXP(-LN(2)/25))/(LN(2)/25)*Calculateur!AQ198*Calculateur!AS198*VLOOKUP('Données projet'!$B$10,Paramètres!$A$1:$I$89,3,0)*0.475*44/12</f>
        <v>1.8058169809622464</v>
      </c>
      <c r="AW198" s="21">
        <f>EXP(-LN(2)/2)*AW197+(1-EXP(-LN(2)/2))/(LN(2)/2)*AQ198*AT198*VLOOKUP('Données projet'!$B$10,Paramètres!$A$1:$I$89,3,0)*0.475*44/12</f>
        <v>4.4981508206604459E-19</v>
      </c>
      <c r="AX198" s="21">
        <f t="shared" si="166"/>
        <v>14.784788836578251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-6.7984728957526396E-14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279.69031306919914</v>
      </c>
      <c r="BJ198" s="59">
        <f t="shared" si="206"/>
        <v>297.01680128882509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11.775265049237841</v>
      </c>
      <c r="BQ198" s="21">
        <f>EXP(-LN(2)/25)*BQ197+(1-EXP(-LN(2)/25))/(LN(2)/25)*Calculateur!BL198*Calculateur!BN198*VLOOKUP('Données projet'!$B$11,Paramètres!$A$1:$I$89,3,0)*0.475*44/12</f>
        <v>2.0483391957188322</v>
      </c>
      <c r="BR198" s="21">
        <f>EXP(-LN(2)/2)*BR197+(1-EXP(-LN(2)/2))/(LN(2)/2)*BL198*BO198*VLOOKUP('Données projet'!$B$11,Paramètres!$A$1:$I$89,3,0)*0.475*44/12</f>
        <v>1.0494790188027781E-18</v>
      </c>
      <c r="BS198" s="22">
        <f t="shared" si="169"/>
        <v>13.823604244956673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81.299024916151723</v>
      </c>
      <c r="CE198" s="59">
        <f t="shared" si="207"/>
        <v>88.106373324240167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3.4828457039821341</v>
      </c>
      <c r="CL198" s="21">
        <f>EXP(-LN(2)/25)*CL197+(1-EXP(-LN(2)/25))/(LN(2)/25)*Calculateur!CG198*Calculateur!CI198*VLOOKUP('Données projet'!$B$12,Paramètres!$A$1:$I$89,3,0)*0.475*44/12</f>
        <v>0.54795577364917658</v>
      </c>
      <c r="CM198" s="21">
        <f>EXP(-LN(2)/2)*CM197+(1-EXP(-LN(2)/2))/(LN(2)/2)*CG198*CJ198*VLOOKUP('Données projet'!$B$12,Paramètres!$A$1:$I$89,3,0)*0.475*44/12</f>
        <v>1.1502374409856185E-19</v>
      </c>
      <c r="CN198" s="22">
        <f t="shared" si="172"/>
        <v>4.0308014776313108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-3.4106051316484809E-13</v>
      </c>
      <c r="CU198" s="17">
        <f>CT198*VLOOKUP('Données projet'!$B$13,Paramètres!$A$1:$I$89,3,0)*VLOOKUP('Données projet'!$B$13,Paramètres!$A$1:$I$89,5,0)</f>
        <v>-1.9065282685915009E-13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475.42482703895411</v>
      </c>
      <c r="CZ198" s="59">
        <f t="shared" si="208"/>
        <v>593.51433014569966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23.791516728807657</v>
      </c>
      <c r="DG198" s="21">
        <f>EXP(-LN(2)/25)*DG197+(1-EXP(-LN(2)/25))/(LN(2)/25)*Calculateur!DB198*Calculateur!DD198*VLOOKUP('Données projet'!$B$13,Paramètres!$A$1:$I$89,3,0)*0.475*44/12</f>
        <v>1.7614029866777203</v>
      </c>
      <c r="DH198" s="21">
        <f>EXP(-LN(2)/2)*DH197+(1-EXP(-LN(2)/2))/(LN(2)/2)*DB198*DE198*VLOOKUP('Données projet'!$B$13,Paramètres!$A$1:$I$89,3,0)*0.475*44/12</f>
        <v>1.333771118127288E-18</v>
      </c>
      <c r="DI198" s="22">
        <f t="shared" si="175"/>
        <v>25.552919715485377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-7.9580786405131221E-13</v>
      </c>
      <c r="DP198" s="17">
        <f>DO198*VLOOKUP('Données projet'!$B$14,Paramètres!$A$1:$I$89,3,0)*VLOOKUP('Données projet'!$B$14,Paramètres!$A$1:$I$89,5,0)</f>
        <v>-7.2004695539362725E-13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401.17301323870578</v>
      </c>
      <c r="DU198" s="59">
        <f t="shared" si="209"/>
        <v>201.57993789149754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81.01944086019482</v>
      </c>
      <c r="EB198" s="21">
        <f>EXP(-LN(2)/25)*EB197+(1-EXP(-LN(2)/25))/(LN(2)/25)*Calculateur!DW198*Calculateur!DY198*VLOOKUP('Données projet'!$B$14,Paramètres!$A$1:$I$89,3,0)*0.475*44/12</f>
        <v>9.8838237046042181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90.903264564799031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1.7053025658242404E-13</v>
      </c>
      <c r="EK198" s="17">
        <f>EJ198*VLOOKUP('Données projet'!$B$15,Paramètres!$A$1:$I$89,3,0)*VLOOKUP('Données projet'!$B$15,Paramètres!$A$1:$I$89,5,0)</f>
        <v>1.4897523215040567E-13</v>
      </c>
      <c r="EL198" s="13">
        <f t="shared" si="179"/>
        <v>2.136562777003313E-12</v>
      </c>
      <c r="EM198" s="20">
        <f t="shared" si="180"/>
        <v>3.9806453659427267E-12</v>
      </c>
      <c r="EN198" s="59">
        <f t="shared" si="198"/>
        <v>293.33333333333729</v>
      </c>
      <c r="EO198" s="59">
        <f ca="1">AVERAGE(OFFSET($EN$3,0,0,'Données projet'!$E$15+1,1))-AVERAGE(OFFSET($H$3,0,0,'Données projet'!$E$15+1,1))</f>
        <v>237.8483058552178</v>
      </c>
      <c r="EP198" s="59">
        <f t="shared" si="210"/>
        <v>313.36201272119723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6.8442769765642515</v>
      </c>
      <c r="EW198" s="21">
        <f>EXP(-LN(2)/25)*EW197+(1-EXP(-LN(2)/25))/(LN(2)/25)*Calculateur!ER198*Calculateur!ET198*VLOOKUP('Données projet'!$B$15,Paramètres!$A$1:$I$89,3,0)*0.475*44/12</f>
        <v>0.16576702080807854</v>
      </c>
      <c r="EX198" s="21">
        <f>EXP(-LN(2)/2)*EX197+(1-EXP(-LN(2)/2))/(LN(2)/2)*ER198*EU198*VLOOKUP('Données projet'!$B$15,Paramètres!$A$1:$I$89,3,0)*0.475*44/12</f>
        <v>6.3157289556928468E-18</v>
      </c>
      <c r="EY198" s="22">
        <f t="shared" si="181"/>
        <v>7.0100439973723301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-2.8421709430404007E-13</v>
      </c>
      <c r="FF198" s="17">
        <f>FE198*VLOOKUP('Données projet'!$B$16,Paramètres!$A$1:$I$89,3,0)*VLOOKUP('Données projet'!$B$16,Paramètres!$A$1:$I$89,5,0)</f>
        <v>-2.2168933355715128E-13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318.52984981739411</v>
      </c>
      <c r="FK198" s="59">
        <f t="shared" si="211"/>
        <v>311.56398336941714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12.155245759333138</v>
      </c>
      <c r="FR198" s="21">
        <f>EXP(-LN(2)/25)*FR197+(1-EXP(-LN(2)/25))/(LN(2)/25)*Calculateur!FM198*Calculateur!FO198*VLOOKUP('Données projet'!$B$16,Paramètres!$A$1:$I$89,3,0)*0.475*44/12</f>
        <v>0.1654866720149224</v>
      </c>
      <c r="FS198" s="21">
        <f>EXP(-LN(2)/2)*FS197+(1-EXP(-LN(2)/2))/(LN(2)/2)*FM198*FP198*VLOOKUP('Données projet'!$B$16,Paramètres!$A$1:$I$89,3,0)*0.475*44/12</f>
        <v>2.7736091552465474E-16</v>
      </c>
      <c r="FT198" s="22">
        <f t="shared" si="184"/>
        <v>12.320732431348059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-2.8421709430404007E-13</v>
      </c>
      <c r="GA198" s="17">
        <f>FZ198*VLOOKUP('Données projet'!$B$17,Paramètres!$A$1:$I$89,3,0)*VLOOKUP('Données projet'!$B$17,Paramètres!$A$1:$I$89,5,0)</f>
        <v>-2.2612312022829427E-13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325.72928944930294</v>
      </c>
      <c r="GF198" s="59">
        <f t="shared" si="212"/>
        <v>318.38876834819752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15.281688040687209</v>
      </c>
      <c r="GM198" s="21">
        <f>EXP(-LN(2)/25)*GM197+(1-EXP(-LN(2)/25))/(LN(2)/25)*Calculateur!GH198*Calculateur!GJ198*VLOOKUP('Données projet'!$B$17,Paramètres!$A$1:$I$89,3,0)*0.475*44/12</f>
        <v>0.20805138346806282</v>
      </c>
      <c r="GN198" s="21">
        <f>EXP(-LN(2)/2)*GN197+(1-EXP(-LN(2)/2))/(LN(2)/2)*GH198*GK198*VLOOKUP('Données projet'!$B$17,Paramètres!$A$1:$I$89,3,0)*0.475*44/12</f>
        <v>2.8290813383514741E-16</v>
      </c>
      <c r="GO198" s="21">
        <f t="shared" si="187"/>
        <v>15.489739424155271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-2.8421709430404007E-13</v>
      </c>
      <c r="GV198" s="17">
        <f>GU198*VLOOKUP('Données projet'!$B$18,Paramètres!$A$1:$I$89,3,0)*VLOOKUP('Données projet'!$B$18,Paramètres!$A$1:$I$89,5,0)</f>
        <v>-1.9065282685915009E-13</v>
      </c>
      <c r="GW198" s="13" t="e">
        <f t="shared" si="188"/>
        <v>#NUM!</v>
      </c>
      <c r="GX198" s="20" t="e">
        <f t="shared" si="189"/>
        <v>#NUM!</v>
      </c>
      <c r="GY198" s="59" t="e">
        <f t="shared" si="201"/>
        <v>#NUM!</v>
      </c>
      <c r="GZ198" s="59">
        <f ca="1">AVERAGE(OFFSET($GY$3,0,0,'Données projet'!$E$18+1,1))-AVERAGE(OFFSET($H$3,0,0,'Données projet'!$E$18+1,1))</f>
        <v>268.04554291387961</v>
      </c>
      <c r="HA198" s="59">
        <f t="shared" si="213"/>
        <v>263.70463099437148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12.884560504893125</v>
      </c>
      <c r="HH198" s="21">
        <f>EXP(-LN(2)/25)*HH197+(1-EXP(-LN(2)/25))/(LN(2)/25)*Calculateur!HC198*Calculateur!HE198*VLOOKUP('Données projet'!$B$18,Paramètres!$A$1:$I$89,3,0)*0.475*44/12</f>
        <v>0.17541587233581821</v>
      </c>
      <c r="HI198" s="21">
        <f>EXP(-LN(2)/2)*HI197+(1-EXP(-LN(2)/2))/(LN(2)/2)*HC198*HF198*VLOOKUP('Données projet'!$B$18,Paramètres!$A$1:$I$89,3,0)*0.475*44/12</f>
        <v>2.3853038735120272E-16</v>
      </c>
      <c r="HJ198" s="22">
        <f t="shared" si="190"/>
        <v>13.059976377228944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-2.5124791136477146E-14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46.095319339746538</v>
      </c>
      <c r="T199" s="59">
        <f t="shared" si="204"/>
        <v>48.158174304064403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6.0721337497452996</v>
      </c>
      <c r="AA199" s="21">
        <f>EXP(-LN(2)/25)*AA198+(1-EXP(-LN(2)/25))/(LN(2)/25)*Calculateur!V199*Calculateur!X199*VLOOKUP('Données projet'!$B$9,Paramètres!$A$1:$I$89,3,0)*0.475*44/12</f>
        <v>1.0989471936898108</v>
      </c>
      <c r="AB199" s="21">
        <f>EXP(-LN(2)/2)*AB198+(1-EXP(-LN(2)/2))/(LN(2)/2)*V199*Y199*VLOOKUP('Données projet'!$B$9,Paramètres!$A$1:$I$89,3,0)*0.475*44/12</f>
        <v>5.1236119213744848E-17</v>
      </c>
      <c r="AC199" s="22">
        <f t="shared" si="163"/>
        <v>7.1710809434351104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-6.7984728957526396E-14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408.84545509668794</v>
      </c>
      <c r="AO199" s="59">
        <f t="shared" si="205"/>
        <v>409.9253979841132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12.724462133918527</v>
      </c>
      <c r="AV199" s="21">
        <f>EXP(-LN(2)/25)*AV198+(1-EXP(-LN(2)/25))/(LN(2)/25)*Calculateur!AQ199*Calculateur!AS199*VLOOKUP('Données projet'!$B$10,Paramètres!$A$1:$I$89,3,0)*0.475*44/12</f>
        <v>1.7564368206540459</v>
      </c>
      <c r="AW199" s="21">
        <f>EXP(-LN(2)/2)*AW198+(1-EXP(-LN(2)/2))/(LN(2)/2)*AQ199*AT199*VLOOKUP('Données projet'!$B$10,Paramètres!$A$1:$I$89,3,0)*0.475*44/12</f>
        <v>3.1806729480888351E-19</v>
      </c>
      <c r="AX199" s="21">
        <f t="shared" si="166"/>
        <v>14.480898954572574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-6.7984728957526396E-14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279.69031306919914</v>
      </c>
      <c r="BJ199" s="59">
        <f t="shared" si="206"/>
        <v>297.01680128882509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11.544359283824784</v>
      </c>
      <c r="BQ199" s="21">
        <f>EXP(-LN(2)/25)*BQ198+(1-EXP(-LN(2)/25))/(LN(2)/25)*Calculateur!BL199*Calculateur!BN199*VLOOKUP('Données projet'!$B$11,Paramètres!$A$1:$I$89,3,0)*0.475*44/12</f>
        <v>1.992327252694424</v>
      </c>
      <c r="BR199" s="21">
        <f>EXP(-LN(2)/2)*BR198+(1-EXP(-LN(2)/2))/(LN(2)/2)*BL199*BO199*VLOOKUP('Données projet'!$B$11,Paramètres!$A$1:$I$89,3,0)*0.475*44/12</f>
        <v>7.4209373090844862E-19</v>
      </c>
      <c r="BS199" s="22">
        <f t="shared" si="169"/>
        <v>13.536686536519209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81.299024916151723</v>
      </c>
      <c r="CE199" s="59">
        <f t="shared" si="207"/>
        <v>88.106373324240167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3.4145492240531641</v>
      </c>
      <c r="CL199" s="21">
        <f>EXP(-LN(2)/25)*CL198+(1-EXP(-LN(2)/25))/(LN(2)/25)*Calculateur!CG199*Calculateur!CI199*VLOOKUP('Données projet'!$B$12,Paramètres!$A$1:$I$89,3,0)*0.475*44/12</f>
        <v>0.53297189420299806</v>
      </c>
      <c r="CM199" s="21">
        <f>EXP(-LN(2)/2)*CM198+(1-EXP(-LN(2)/2))/(LN(2)/2)*CG199*CJ199*VLOOKUP('Données projet'!$B$12,Paramètres!$A$1:$I$89,3,0)*0.475*44/12</f>
        <v>8.1334069449559216E-20</v>
      </c>
      <c r="CN199" s="22">
        <f t="shared" si="172"/>
        <v>3.9475211182561623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-3.4106051316484809E-13</v>
      </c>
      <c r="CU199" s="17">
        <f>CT199*VLOOKUP('Données projet'!$B$13,Paramètres!$A$1:$I$89,3,0)*VLOOKUP('Données projet'!$B$13,Paramètres!$A$1:$I$89,5,0)</f>
        <v>-1.9065282685915009E-13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475.42482703895411</v>
      </c>
      <c r="CZ199" s="59">
        <f t="shared" si="208"/>
        <v>593.51433014569966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23.324979597148062</v>
      </c>
      <c r="DG199" s="21">
        <f>EXP(-LN(2)/25)*DG198+(1-EXP(-LN(2)/25))/(LN(2)/25)*Calculateur!DB199*Calculateur!DD199*VLOOKUP('Données projet'!$B$13,Paramètres!$A$1:$I$89,3,0)*0.475*44/12</f>
        <v>1.7132373293788608</v>
      </c>
      <c r="DH199" s="21">
        <f>EXP(-LN(2)/2)*DH198+(1-EXP(-LN(2)/2))/(LN(2)/2)*DB199*DE199*VLOOKUP('Données projet'!$B$13,Paramètres!$A$1:$I$89,3,0)*0.475*44/12</f>
        <v>9.4311860217856907E-19</v>
      </c>
      <c r="DI199" s="22">
        <f t="shared" si="175"/>
        <v>25.038216926526921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-7.9580786405131221E-13</v>
      </c>
      <c r="DP199" s="17">
        <f>DO199*VLOOKUP('Données projet'!$B$14,Paramètres!$A$1:$I$89,3,0)*VLOOKUP('Données projet'!$B$14,Paramètres!$A$1:$I$89,5,0)</f>
        <v>-7.2004695539362725E-13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401.17301323870578</v>
      </c>
      <c r="DU199" s="59">
        <f t="shared" si="209"/>
        <v>201.57993789149754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79.430699041905797</v>
      </c>
      <c r="EB199" s="21">
        <f>EXP(-LN(2)/25)*EB198+(1-EXP(-LN(2)/25))/(LN(2)/25)*Calculateur!DW199*Calculateur!DY199*VLOOKUP('Données projet'!$B$14,Paramètres!$A$1:$I$89,3,0)*0.475*44/12</f>
        <v>9.6135500256341171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89.044249067539909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1.7053025658242404E-13</v>
      </c>
      <c r="EK199" s="17">
        <f>EJ199*VLOOKUP('Données projet'!$B$15,Paramètres!$A$1:$I$89,3,0)*VLOOKUP('Données projet'!$B$15,Paramètres!$A$1:$I$89,5,0)</f>
        <v>1.4897523215040567E-13</v>
      </c>
      <c r="EL199" s="13">
        <f t="shared" si="179"/>
        <v>2.136562777003313E-12</v>
      </c>
      <c r="EM199" s="20">
        <f t="shared" si="180"/>
        <v>3.9806453659427267E-12</v>
      </c>
      <c r="EN199" s="59">
        <f t="shared" si="198"/>
        <v>293.33333333333729</v>
      </c>
      <c r="EO199" s="59">
        <f ca="1">AVERAGE(OFFSET($EN$3,0,0,'Données projet'!$E$15+1,1))-AVERAGE(OFFSET($H$3,0,0,'Données projet'!$E$15+1,1))</f>
        <v>237.8483058552178</v>
      </c>
      <c r="EP199" s="59">
        <f t="shared" si="210"/>
        <v>313.36201272119723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6.7100648796505746</v>
      </c>
      <c r="EW199" s="21">
        <f>EXP(-LN(2)/25)*EW198+(1-EXP(-LN(2)/25))/(LN(2)/25)*Calculateur!ER199*Calculateur!ET199*VLOOKUP('Données projet'!$B$15,Paramètres!$A$1:$I$89,3,0)*0.475*44/12</f>
        <v>0.16123411290677286</v>
      </c>
      <c r="EX199" s="21">
        <f>EXP(-LN(2)/2)*EX198+(1-EXP(-LN(2)/2))/(LN(2)/2)*ER199*EU199*VLOOKUP('Données projet'!$B$15,Paramètres!$A$1:$I$89,3,0)*0.475*44/12</f>
        <v>4.4658947727066441E-18</v>
      </c>
      <c r="EY199" s="22">
        <f t="shared" si="181"/>
        <v>6.8712989925573478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-2.8421709430404007E-13</v>
      </c>
      <c r="FF199" s="17">
        <f>FE199*VLOOKUP('Données projet'!$B$16,Paramètres!$A$1:$I$89,3,0)*VLOOKUP('Données projet'!$B$16,Paramètres!$A$1:$I$89,5,0)</f>
        <v>-2.2168933355715128E-13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318.52984981739411</v>
      </c>
      <c r="FK199" s="59">
        <f t="shared" si="211"/>
        <v>311.56398336941714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11.916888803960459</v>
      </c>
      <c r="FR199" s="21">
        <f>EXP(-LN(2)/25)*FR198+(1-EXP(-LN(2)/25))/(LN(2)/25)*Calculateur!FM199*Calculateur!FO199*VLOOKUP('Données projet'!$B$16,Paramètres!$A$1:$I$89,3,0)*0.475*44/12</f>
        <v>0.16096143026610849</v>
      </c>
      <c r="FS199" s="21">
        <f>EXP(-LN(2)/2)*FS198+(1-EXP(-LN(2)/2))/(LN(2)/2)*FM199*FP199*VLOOKUP('Données projet'!$B$16,Paramètres!$A$1:$I$89,3,0)*0.475*44/12</f>
        <v>1.9612378420359253E-16</v>
      </c>
      <c r="FT199" s="22">
        <f t="shared" si="184"/>
        <v>12.077850234226569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-2.8421709430404007E-13</v>
      </c>
      <c r="GA199" s="17">
        <f>FZ199*VLOOKUP('Données projet'!$B$17,Paramètres!$A$1:$I$89,3,0)*VLOOKUP('Données projet'!$B$17,Paramètres!$A$1:$I$89,5,0)</f>
        <v>-2.2612312022829427E-13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325.72928944930294</v>
      </c>
      <c r="GF199" s="59">
        <f t="shared" si="212"/>
        <v>318.38876834819752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14.982023459118674</v>
      </c>
      <c r="GM199" s="21">
        <f>EXP(-LN(2)/25)*GM198+(1-EXP(-LN(2)/25))/(LN(2)/25)*Calculateur!GH199*Calculateur!GJ199*VLOOKUP('Données projet'!$B$17,Paramètres!$A$1:$I$89,3,0)*0.475*44/12</f>
        <v>0.20236220744618189</v>
      </c>
      <c r="GN199" s="21">
        <f>EXP(-LN(2)/2)*GN198+(1-EXP(-LN(2)/2))/(LN(2)/2)*GH199*GK199*VLOOKUP('Données projet'!$B$17,Paramètres!$A$1:$I$89,3,0)*0.475*44/12</f>
        <v>2.0004625988766409E-16</v>
      </c>
      <c r="GO199" s="21">
        <f t="shared" si="187"/>
        <v>15.184385666564856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-2.8421709430404007E-13</v>
      </c>
      <c r="GV199" s="17">
        <f>GU199*VLOOKUP('Données projet'!$B$18,Paramètres!$A$1:$I$89,3,0)*VLOOKUP('Données projet'!$B$18,Paramètres!$A$1:$I$89,5,0)</f>
        <v>-1.9065282685915009E-13</v>
      </c>
      <c r="GW199" s="13" t="e">
        <f t="shared" si="188"/>
        <v>#NUM!</v>
      </c>
      <c r="GX199" s="20" t="e">
        <f t="shared" si="189"/>
        <v>#NUM!</v>
      </c>
      <c r="GY199" s="59" t="e">
        <f t="shared" si="201"/>
        <v>#NUM!</v>
      </c>
      <c r="GZ199" s="59">
        <f ca="1">AVERAGE(OFFSET($GY$3,0,0,'Données projet'!$E$18+1,1))-AVERAGE(OFFSET($H$3,0,0,'Données projet'!$E$18+1,1))</f>
        <v>268.04554291387961</v>
      </c>
      <c r="HA199" s="59">
        <f t="shared" si="213"/>
        <v>263.70463099437148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12.631902132198086</v>
      </c>
      <c r="HH199" s="21">
        <f>EXP(-LN(2)/25)*HH198+(1-EXP(-LN(2)/25))/(LN(2)/25)*Calculateur!HC199*Calculateur!HE199*VLOOKUP('Données projet'!$B$18,Paramètres!$A$1:$I$89,3,0)*0.475*44/12</f>
        <v>0.17061911608207544</v>
      </c>
      <c r="HI199" s="21">
        <f>EXP(-LN(2)/2)*HI198+(1-EXP(-LN(2)/2))/(LN(2)/2)*HC199*HF199*VLOOKUP('Données projet'!$B$18,Paramètres!$A$1:$I$89,3,0)*0.475*44/12</f>
        <v>1.6866645441508933E-16</v>
      </c>
      <c r="HJ199" s="22">
        <f t="shared" si="190"/>
        <v>12.802521248280161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-2.5124791136477146E-14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46.095319339746538</v>
      </c>
      <c r="T200" s="59">
        <f t="shared" si="204"/>
        <v>48.158174304064403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5.9530629105486783</v>
      </c>
      <c r="AA200" s="21">
        <f>EXP(-LN(2)/25)*AA199+(1-EXP(-LN(2)/25))/(LN(2)/25)*Calculateur!V200*Calculateur!X200*VLOOKUP('Données projet'!$B$9,Paramètres!$A$1:$I$89,3,0)*0.475*44/12</f>
        <v>1.0688964248872417</v>
      </c>
      <c r="AB200" s="21">
        <f>EXP(-LN(2)/2)*AB199+(1-EXP(-LN(2)/2))/(LN(2)/2)*V200*Y200*VLOOKUP('Données projet'!$B$9,Paramètres!$A$1:$I$89,3,0)*0.475*44/12</f>
        <v>3.6229407337721341E-17</v>
      </c>
      <c r="AC200" s="22">
        <f t="shared" si="163"/>
        <v>7.0219593354359198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-6.7984728957526396E-14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408.84545509668794</v>
      </c>
      <c r="AO200" s="59">
        <f t="shared" si="205"/>
        <v>409.9253979841132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12.474943192627936</v>
      </c>
      <c r="AV200" s="21">
        <f>EXP(-LN(2)/25)*AV199+(1-EXP(-LN(2)/25))/(LN(2)/25)*Calculateur!AQ200*Calculateur!AS200*VLOOKUP('Données projet'!$B$10,Paramètres!$A$1:$I$89,3,0)*0.475*44/12</f>
        <v>1.7084069634262631</v>
      </c>
      <c r="AW200" s="21">
        <f>EXP(-LN(2)/2)*AW199+(1-EXP(-LN(2)/2))/(LN(2)/2)*AQ200*AT200*VLOOKUP('Données projet'!$B$10,Paramètres!$A$1:$I$89,3,0)*0.475*44/12</f>
        <v>2.2490754103302229E-19</v>
      </c>
      <c r="AX200" s="21">
        <f t="shared" si="166"/>
        <v>14.1833501560542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-6.7984728957526396E-14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279.69031306919914</v>
      </c>
      <c r="BJ200" s="59">
        <f t="shared" si="206"/>
        <v>297.01680128882509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11.317981439632867</v>
      </c>
      <c r="BQ200" s="21">
        <f>EXP(-LN(2)/25)*BQ199+(1-EXP(-LN(2)/25))/(LN(2)/25)*Calculateur!BL200*Calculateur!BN200*VLOOKUP('Données projet'!$B$11,Paramètres!$A$1:$I$89,3,0)*0.475*44/12</f>
        <v>1.9378469591975582</v>
      </c>
      <c r="BR200" s="21">
        <f>EXP(-LN(2)/2)*BR199+(1-EXP(-LN(2)/2))/(LN(2)/2)*BL200*BO200*VLOOKUP('Données projet'!$B$11,Paramètres!$A$1:$I$89,3,0)*0.475*44/12</f>
        <v>5.2473950940138905E-19</v>
      </c>
      <c r="BS200" s="22">
        <f t="shared" si="169"/>
        <v>13.255828398830424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81.299024916151723</v>
      </c>
      <c r="CE200" s="59">
        <f t="shared" si="207"/>
        <v>88.106373324240167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3.3475919964388616</v>
      </c>
      <c r="CL200" s="21">
        <f>EXP(-LN(2)/25)*CL199+(1-EXP(-LN(2)/25))/(LN(2)/25)*Calculateur!CG200*Calculateur!CI200*VLOOKUP('Données projet'!$B$12,Paramètres!$A$1:$I$89,3,0)*0.475*44/12</f>
        <v>0.51839774972824326</v>
      </c>
      <c r="CM200" s="21">
        <f>EXP(-LN(2)/2)*CM199+(1-EXP(-LN(2)/2))/(LN(2)/2)*CG200*CJ200*VLOOKUP('Données projet'!$B$12,Paramètres!$A$1:$I$89,3,0)*0.475*44/12</f>
        <v>5.7511872049280926E-20</v>
      </c>
      <c r="CN200" s="22">
        <f t="shared" si="172"/>
        <v>3.8659897461671049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-3.4106051316484809E-13</v>
      </c>
      <c r="CU200" s="17">
        <f>CT200*VLOOKUP('Données projet'!$B$13,Paramètres!$A$1:$I$89,3,0)*VLOOKUP('Données projet'!$B$13,Paramètres!$A$1:$I$89,5,0)</f>
        <v>-1.9065282685915009E-13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475.42482703895411</v>
      </c>
      <c r="CZ200" s="59">
        <f t="shared" si="208"/>
        <v>593.51433014569966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22.867590974080759</v>
      </c>
      <c r="DG200" s="21">
        <f>EXP(-LN(2)/25)*DG199+(1-EXP(-LN(2)/25))/(LN(2)/25)*Calculateur!DB200*Calculateur!DD200*VLOOKUP('Données projet'!$B$13,Paramètres!$A$1:$I$89,3,0)*0.475*44/12</f>
        <v>1.6663887645117603</v>
      </c>
      <c r="DH200" s="21">
        <f>EXP(-LN(2)/2)*DH199+(1-EXP(-LN(2)/2))/(LN(2)/2)*DB200*DE200*VLOOKUP('Données projet'!$B$13,Paramètres!$A$1:$I$89,3,0)*0.475*44/12</f>
        <v>6.66885559063644E-19</v>
      </c>
      <c r="DI200" s="22">
        <f t="shared" si="175"/>
        <v>24.533979738592521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-7.9580786405131221E-13</v>
      </c>
      <c r="DP200" s="17">
        <f>DO200*VLOOKUP('Données projet'!$B$14,Paramètres!$A$1:$I$89,3,0)*VLOOKUP('Données projet'!$B$14,Paramètres!$A$1:$I$89,5,0)</f>
        <v>-7.2004695539362725E-13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401.17301323870578</v>
      </c>
      <c r="DU200" s="59">
        <f t="shared" si="209"/>
        <v>201.57993789149754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77.873111481636599</v>
      </c>
      <c r="EB200" s="21">
        <f>EXP(-LN(2)/25)*EB199+(1-EXP(-LN(2)/25))/(LN(2)/25)*Calculateur!DW200*Calculateur!DY200*VLOOKUP('Données projet'!$B$14,Paramètres!$A$1:$I$89,3,0)*0.475*44/12</f>
        <v>9.3506669946285292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87.223778476265124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1.7053025658242404E-13</v>
      </c>
      <c r="EK200" s="17">
        <f>EJ200*VLOOKUP('Données projet'!$B$15,Paramètres!$A$1:$I$89,3,0)*VLOOKUP('Données projet'!$B$15,Paramètres!$A$1:$I$89,5,0)</f>
        <v>1.4897523215040567E-13</v>
      </c>
      <c r="EL200" s="13">
        <f t="shared" si="179"/>
        <v>2.136562777003313E-12</v>
      </c>
      <c r="EM200" s="20">
        <f t="shared" si="180"/>
        <v>3.9806453659427267E-12</v>
      </c>
      <c r="EN200" s="59">
        <f t="shared" si="198"/>
        <v>293.33333333333729</v>
      </c>
      <c r="EO200" s="59">
        <f ca="1">AVERAGE(OFFSET($EN$3,0,0,'Données projet'!$E$15+1,1))-AVERAGE(OFFSET($H$3,0,0,'Données projet'!$E$15+1,1))</f>
        <v>237.8483058552178</v>
      </c>
      <c r="EP200" s="59">
        <f t="shared" si="210"/>
        <v>313.36201272119723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6.578484600096079</v>
      </c>
      <c r="EW200" s="21">
        <f>EXP(-LN(2)/25)*EW199+(1-EXP(-LN(2)/25))/(LN(2)/25)*Calculateur!ER200*Calculateur!ET200*VLOOKUP('Données projet'!$B$15,Paramètres!$A$1:$I$89,3,0)*0.475*44/12</f>
        <v>0.15682515761040366</v>
      </c>
      <c r="EX200" s="21">
        <f>EXP(-LN(2)/2)*EX199+(1-EXP(-LN(2)/2))/(LN(2)/2)*ER200*EU200*VLOOKUP('Données projet'!$B$15,Paramètres!$A$1:$I$89,3,0)*0.475*44/12</f>
        <v>3.1578644778464234E-18</v>
      </c>
      <c r="EY200" s="22">
        <f t="shared" si="181"/>
        <v>6.7353097577064824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-2.8421709430404007E-13</v>
      </c>
      <c r="FF200" s="17">
        <f>FE200*VLOOKUP('Données projet'!$B$16,Paramètres!$A$1:$I$89,3,0)*VLOOKUP('Données projet'!$B$16,Paramètres!$A$1:$I$89,5,0)</f>
        <v>-2.2168933355715128E-13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318.52984981739411</v>
      </c>
      <c r="FK200" s="59">
        <f t="shared" si="211"/>
        <v>311.56398336941714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11.683205883099252</v>
      </c>
      <c r="FR200" s="21">
        <f>EXP(-LN(2)/25)*FR199+(1-EXP(-LN(2)/25))/(LN(2)/25)*Calculateur!FM200*Calculateur!FO200*VLOOKUP('Données projet'!$B$16,Paramètres!$A$1:$I$89,3,0)*0.475*44/12</f>
        <v>0.15655993149088801</v>
      </c>
      <c r="FS200" s="21">
        <f>EXP(-LN(2)/2)*FS199+(1-EXP(-LN(2)/2))/(LN(2)/2)*FM200*FP200*VLOOKUP('Données projet'!$B$16,Paramètres!$A$1:$I$89,3,0)*0.475*44/12</f>
        <v>1.3868045776232737E-16</v>
      </c>
      <c r="FT200" s="22">
        <f t="shared" si="184"/>
        <v>11.839765814590139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-2.8421709430404007E-13</v>
      </c>
      <c r="GA200" s="17">
        <f>FZ200*VLOOKUP('Données projet'!$B$17,Paramètres!$A$1:$I$89,3,0)*VLOOKUP('Données projet'!$B$17,Paramètres!$A$1:$I$89,5,0)</f>
        <v>-2.2612312022829427E-13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325.72928944930294</v>
      </c>
      <c r="GF200" s="59">
        <f t="shared" si="212"/>
        <v>318.38876834819752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14.688235117217351</v>
      </c>
      <c r="GM200" s="21">
        <f>EXP(-LN(2)/25)*GM199+(1-EXP(-LN(2)/25))/(LN(2)/25)*Calculateur!GH200*Calculateur!GJ200*VLOOKUP('Données projet'!$B$17,Paramètres!$A$1:$I$89,3,0)*0.475*44/12</f>
        <v>0.19682860224180004</v>
      </c>
      <c r="GN200" s="21">
        <f>EXP(-LN(2)/2)*GN199+(1-EXP(-LN(2)/2))/(LN(2)/2)*GH200*GK200*VLOOKUP('Données projet'!$B$17,Paramètres!$A$1:$I$89,3,0)*0.475*44/12</f>
        <v>1.4145406691757371E-16</v>
      </c>
      <c r="GO200" s="21">
        <f t="shared" si="187"/>
        <v>14.885063719459151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-2.8421709430404007E-13</v>
      </c>
      <c r="GV200" s="17">
        <f>GU200*VLOOKUP('Données projet'!$B$18,Paramètres!$A$1:$I$89,3,0)*VLOOKUP('Données projet'!$B$18,Paramètres!$A$1:$I$89,5,0)</f>
        <v>-1.9065282685915009E-13</v>
      </c>
      <c r="GW200" s="13" t="e">
        <f t="shared" si="188"/>
        <v>#NUM!</v>
      </c>
      <c r="GX200" s="20" t="e">
        <f t="shared" si="189"/>
        <v>#NUM!</v>
      </c>
      <c r="GY200" s="59" t="e">
        <f t="shared" si="201"/>
        <v>#NUM!</v>
      </c>
      <c r="GZ200" s="59">
        <f ca="1">AVERAGE(OFFSET($GY$3,0,0,'Données projet'!$E$18+1,1))-AVERAGE(OFFSET($H$3,0,0,'Données projet'!$E$18+1,1))</f>
        <v>268.04554291387961</v>
      </c>
      <c r="HA200" s="59">
        <f t="shared" si="213"/>
        <v>263.70463099437148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12.384198236085206</v>
      </c>
      <c r="HH200" s="21">
        <f>EXP(-LN(2)/25)*HH199+(1-EXP(-LN(2)/25))/(LN(2)/25)*Calculateur!HC200*Calculateur!HE200*VLOOKUP('Données projet'!$B$18,Paramètres!$A$1:$I$89,3,0)*0.475*44/12</f>
        <v>0.16595352738034172</v>
      </c>
      <c r="HI200" s="21">
        <f>EXP(-LN(2)/2)*HI199+(1-EXP(-LN(2)/2))/(LN(2)/2)*HC200*HF200*VLOOKUP('Données projet'!$B$18,Paramètres!$A$1:$I$89,3,0)*0.475*44/12</f>
        <v>1.1926519367560136E-16</v>
      </c>
      <c r="HJ200" s="22">
        <f t="shared" si="190"/>
        <v>12.550151763465548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-2.5124791136477146E-14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46.095319339746538</v>
      </c>
      <c r="T201" s="59">
        <f t="shared" si="204"/>
        <v>48.158174304064403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5.8363269778826616</v>
      </c>
      <c r="AA201" s="21">
        <f>EXP(-LN(2)/25)*AA200+(1-EXP(-LN(2)/25))/(LN(2)/25)*Calculateur!V201*Calculateur!X201*VLOOKUP('Données projet'!$B$9,Paramètres!$A$1:$I$89,3,0)*0.475*44/12</f>
        <v>1.0396673959378802</v>
      </c>
      <c r="AB201" s="21">
        <f>EXP(-LN(2)/2)*AB200+(1-EXP(-LN(2)/2))/(LN(2)/2)*V201*Y201*VLOOKUP('Données projet'!$B$9,Paramètres!$A$1:$I$89,3,0)*0.475*44/12</f>
        <v>2.5618059606872424E-17</v>
      </c>
      <c r="AC201" s="22">
        <f t="shared" si="163"/>
        <v>6.875994373820542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-6.7984728957526396E-14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408.84545509668794</v>
      </c>
      <c r="AO201" s="59">
        <f t="shared" si="205"/>
        <v>409.9253979841132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12.230317165584527</v>
      </c>
      <c r="AV201" s="21">
        <f>EXP(-LN(2)/25)*AV200+(1-EXP(-LN(2)/25))/(LN(2)/25)*Calculateur!AQ201*Calculateur!AS201*VLOOKUP('Données projet'!$B$10,Paramètres!$A$1:$I$89,3,0)*0.475*44/12</f>
        <v>1.6616904851701544</v>
      </c>
      <c r="AW201" s="21">
        <f>EXP(-LN(2)/2)*AW200+(1-EXP(-LN(2)/2))/(LN(2)/2)*AQ201*AT201*VLOOKUP('Données projet'!$B$10,Paramètres!$A$1:$I$89,3,0)*0.475*44/12</f>
        <v>1.5903364740444176E-19</v>
      </c>
      <c r="AX201" s="21">
        <f t="shared" si="166"/>
        <v>13.892007650754682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-6.7984728957526396E-14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279.69031306919914</v>
      </c>
      <c r="BJ201" s="59">
        <f t="shared" si="206"/>
        <v>297.01680128882509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11.096042726888701</v>
      </c>
      <c r="BQ201" s="21">
        <f>EXP(-LN(2)/25)*BQ200+(1-EXP(-LN(2)/25))/(LN(2)/25)*Calculateur!BL201*Calculateur!BN201*VLOOKUP('Données projet'!$B$11,Paramètres!$A$1:$I$89,3,0)*0.475*44/12</f>
        <v>1.8848564321913583</v>
      </c>
      <c r="BR201" s="21">
        <f>EXP(-LN(2)/2)*BR200+(1-EXP(-LN(2)/2))/(LN(2)/2)*BL201*BO201*VLOOKUP('Données projet'!$B$11,Paramètres!$A$1:$I$89,3,0)*0.475*44/12</f>
        <v>3.7104686545422431E-19</v>
      </c>
      <c r="BS201" s="22">
        <f t="shared" si="169"/>
        <v>12.98089915908006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81.299024916151723</v>
      </c>
      <c r="CE201" s="59">
        <f t="shared" si="207"/>
        <v>88.106373324240167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3.2819477592181996</v>
      </c>
      <c r="CL201" s="21">
        <f>EXP(-LN(2)/25)*CL200+(1-EXP(-LN(2)/25))/(LN(2)/25)*Calculateur!CG201*Calculateur!CI201*VLOOKUP('Données projet'!$B$12,Paramètres!$A$1:$I$89,3,0)*0.475*44/12</f>
        <v>0.50422213600057164</v>
      </c>
      <c r="CM201" s="21">
        <f>EXP(-LN(2)/2)*CM200+(1-EXP(-LN(2)/2))/(LN(2)/2)*CG201*CJ201*VLOOKUP('Données projet'!$B$12,Paramètres!$A$1:$I$89,3,0)*0.475*44/12</f>
        <v>4.0667034724779608E-20</v>
      </c>
      <c r="CN201" s="22">
        <f t="shared" si="172"/>
        <v>3.7861698952187712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-3.4106051316484809E-13</v>
      </c>
      <c r="CU201" s="17">
        <f>CT201*VLOOKUP('Données projet'!$B$13,Paramètres!$A$1:$I$89,3,0)*VLOOKUP('Données projet'!$B$13,Paramètres!$A$1:$I$89,5,0)</f>
        <v>-1.9065282685915009E-13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475.42482703895411</v>
      </c>
      <c r="CZ201" s="59">
        <f t="shared" si="208"/>
        <v>593.51433014569966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22.419171462932294</v>
      </c>
      <c r="DG201" s="21">
        <f>EXP(-LN(2)/25)*DG200+(1-EXP(-LN(2)/25))/(LN(2)/25)*Calculateur!DB201*Calculateur!DD201*VLOOKUP('Données projet'!$B$13,Paramètres!$A$1:$I$89,3,0)*0.475*44/12</f>
        <v>1.6208212761146097</v>
      </c>
      <c r="DH201" s="21">
        <f>EXP(-LN(2)/2)*DH200+(1-EXP(-LN(2)/2))/(LN(2)/2)*DB201*DE201*VLOOKUP('Données projet'!$B$13,Paramètres!$A$1:$I$89,3,0)*0.475*44/12</f>
        <v>4.7155930108928453E-19</v>
      </c>
      <c r="DI201" s="22">
        <f t="shared" si="175"/>
        <v>24.039992739046902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-7.9580786405131221E-13</v>
      </c>
      <c r="DP201" s="17">
        <f>DO201*VLOOKUP('Données projet'!$B$14,Paramètres!$A$1:$I$89,3,0)*VLOOKUP('Données projet'!$B$14,Paramètres!$A$1:$I$89,5,0)</f>
        <v>-7.2004695539362725E-13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401.17301323870578</v>
      </c>
      <c r="DU201" s="59">
        <f t="shared" si="209"/>
        <v>201.57993789149754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76.346067263389685</v>
      </c>
      <c r="EB201" s="21">
        <f>EXP(-LN(2)/25)*EB200+(1-EXP(-LN(2)/25))/(LN(2)/25)*Calculateur!DW201*Calculateur!DY201*VLOOKUP('Données projet'!$B$14,Paramètres!$A$1:$I$89,3,0)*0.475*44/12</f>
        <v>9.0949725139302053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85.441039777319887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1.7053025658242404E-13</v>
      </c>
      <c r="EK201" s="17">
        <f>EJ201*VLOOKUP('Données projet'!$B$15,Paramètres!$A$1:$I$89,3,0)*VLOOKUP('Données projet'!$B$15,Paramètres!$A$1:$I$89,5,0)</f>
        <v>1.4897523215040567E-13</v>
      </c>
      <c r="EL201" s="13">
        <f t="shared" si="179"/>
        <v>2.136562777003313E-12</v>
      </c>
      <c r="EM201" s="20">
        <f t="shared" si="180"/>
        <v>3.9806453659427267E-12</v>
      </c>
      <c r="EN201" s="59">
        <f t="shared" si="198"/>
        <v>293.33333333333729</v>
      </c>
      <c r="EO201" s="59">
        <f ca="1">AVERAGE(OFFSET($EN$3,0,0,'Données projet'!$E$15+1,1))-AVERAGE(OFFSET($H$3,0,0,'Données projet'!$E$15+1,1))</f>
        <v>237.8483058552178</v>
      </c>
      <c r="EP201" s="59">
        <f t="shared" si="210"/>
        <v>313.36201272119723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6.4494845295676013</v>
      </c>
      <c r="EW201" s="21">
        <f>EXP(-LN(2)/25)*EW200+(1-EXP(-LN(2)/25))/(LN(2)/25)*Calculateur!ER201*Calculateur!ET201*VLOOKUP('Données projet'!$B$15,Paramètres!$A$1:$I$89,3,0)*0.475*44/12</f>
        <v>0.15253676542847056</v>
      </c>
      <c r="EX201" s="21">
        <f>EXP(-LN(2)/2)*EX200+(1-EXP(-LN(2)/2))/(LN(2)/2)*ER201*EU201*VLOOKUP('Données projet'!$B$15,Paramètres!$A$1:$I$89,3,0)*0.475*44/12</f>
        <v>2.232947386353322E-18</v>
      </c>
      <c r="EY201" s="22">
        <f t="shared" si="181"/>
        <v>6.6020212949960717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-2.8421709430404007E-13</v>
      </c>
      <c r="FF201" s="17">
        <f>FE201*VLOOKUP('Données projet'!$B$16,Paramètres!$A$1:$I$89,3,0)*VLOOKUP('Données projet'!$B$16,Paramètres!$A$1:$I$89,5,0)</f>
        <v>-2.2168933355715128E-13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318.52984981739411</v>
      </c>
      <c r="FK201" s="59">
        <f t="shared" si="211"/>
        <v>311.56398336941714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11.454105341783626</v>
      </c>
      <c r="FR201" s="21">
        <f>EXP(-LN(2)/25)*FR200+(1-EXP(-LN(2)/25))/(LN(2)/25)*Calculateur!FM201*Calculateur!FO201*VLOOKUP('Données projet'!$B$16,Paramètres!$A$1:$I$89,3,0)*0.475*44/12</f>
        <v>0.15227879193114072</v>
      </c>
      <c r="FS201" s="21">
        <f>EXP(-LN(2)/2)*FS200+(1-EXP(-LN(2)/2))/(LN(2)/2)*FM201*FP201*VLOOKUP('Données projet'!$B$16,Paramètres!$A$1:$I$89,3,0)*0.475*44/12</f>
        <v>9.8061892101796267E-17</v>
      </c>
      <c r="FT201" s="22">
        <f t="shared" si="184"/>
        <v>11.606384133714766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-2.8421709430404007E-13</v>
      </c>
      <c r="GA201" s="17">
        <f>FZ201*VLOOKUP('Données projet'!$B$17,Paramètres!$A$1:$I$89,3,0)*VLOOKUP('Données projet'!$B$17,Paramètres!$A$1:$I$89,5,0)</f>
        <v>-2.2612312022829427E-13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325.72928944930294</v>
      </c>
      <c r="GF201" s="59">
        <f t="shared" si="212"/>
        <v>318.38876834819752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14.400207785507519</v>
      </c>
      <c r="GM201" s="21">
        <f>EXP(-LN(2)/25)*GM200+(1-EXP(-LN(2)/25))/(LN(2)/25)*Calculateur!GH201*Calculateur!GJ201*VLOOKUP('Données projet'!$B$17,Paramètres!$A$1:$I$89,3,0)*0.475*44/12</f>
        <v>0.19144631376273169</v>
      </c>
      <c r="GN201" s="21">
        <f>EXP(-LN(2)/2)*GN200+(1-EXP(-LN(2)/2))/(LN(2)/2)*GH201*GK201*VLOOKUP('Données projet'!$B$17,Paramètres!$A$1:$I$89,3,0)*0.475*44/12</f>
        <v>1.0002312994383204E-16</v>
      </c>
      <c r="GO201" s="21">
        <f t="shared" si="187"/>
        <v>14.591654099270251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-2.8421709430404007E-13</v>
      </c>
      <c r="GV201" s="17">
        <f>GU201*VLOOKUP('Données projet'!$B$18,Paramètres!$A$1:$I$89,3,0)*VLOOKUP('Données projet'!$B$18,Paramètres!$A$1:$I$89,5,0)</f>
        <v>-1.9065282685915009E-13</v>
      </c>
      <c r="GW201" s="13" t="e">
        <f t="shared" si="188"/>
        <v>#NUM!</v>
      </c>
      <c r="GX201" s="20" t="e">
        <f t="shared" si="189"/>
        <v>#NUM!</v>
      </c>
      <c r="GY201" s="59" t="e">
        <f t="shared" si="201"/>
        <v>#NUM!</v>
      </c>
      <c r="GZ201" s="59">
        <f ca="1">AVERAGE(OFFSET($GY$3,0,0,'Données projet'!$E$18+1,1))-AVERAGE(OFFSET($H$3,0,0,'Données projet'!$E$18+1,1))</f>
        <v>268.04554291387961</v>
      </c>
      <c r="HA201" s="59">
        <f t="shared" si="213"/>
        <v>263.70463099437148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12.141351662290642</v>
      </c>
      <c r="HH201" s="21">
        <f>EXP(-LN(2)/25)*HH200+(1-EXP(-LN(2)/25))/(LN(2)/25)*Calculateur!HC201*Calculateur!HE201*VLOOKUP('Données projet'!$B$18,Paramètres!$A$1:$I$89,3,0)*0.475*44/12</f>
        <v>0.16141551944700958</v>
      </c>
      <c r="HI201" s="21">
        <f>EXP(-LN(2)/2)*HI200+(1-EXP(-LN(2)/2))/(LN(2)/2)*HC201*HF201*VLOOKUP('Données projet'!$B$18,Paramètres!$A$1:$I$89,3,0)*0.475*44/12</f>
        <v>8.4333227207544665E-17</v>
      </c>
      <c r="HJ201" s="22">
        <f t="shared" si="190"/>
        <v>12.302767181737652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-2.5124791136477146E-14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46.095319339746538</v>
      </c>
      <c r="T202" s="59">
        <f t="shared" si="204"/>
        <v>48.158174304064403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5.721880165654337</v>
      </c>
      <c r="AA202" s="21">
        <f>EXP(-LN(2)/25)*AA201+(1-EXP(-LN(2)/25))/(LN(2)/25)*Calculateur!V202*Calculateur!X202*VLOOKUP('Données projet'!$B$9,Paramètres!$A$1:$I$89,3,0)*0.475*44/12</f>
        <v>1.0112376363222266</v>
      </c>
      <c r="AB202" s="21">
        <f>EXP(-LN(2)/2)*AB201+(1-EXP(-LN(2)/2))/(LN(2)/2)*V202*Y202*VLOOKUP('Données projet'!$B$9,Paramètres!$A$1:$I$89,3,0)*0.475*44/12</f>
        <v>1.8114703668860671E-17</v>
      </c>
      <c r="AC202" s="22">
        <f t="shared" si="163"/>
        <v>6.7331178019765634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-6.7984728957526396E-14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408.84545509668794</v>
      </c>
      <c r="AO202" s="59">
        <f t="shared" si="205"/>
        <v>409.9253979841132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11.990488105724296</v>
      </c>
      <c r="AV202" s="21">
        <f>EXP(-LN(2)/25)*AV201+(1-EXP(-LN(2)/25))/(LN(2)/25)*Calculateur!AQ202*Calculateur!AS202*VLOOKUP('Données projet'!$B$10,Paramètres!$A$1:$I$89,3,0)*0.475*44/12</f>
        <v>1.6162514714686718</v>
      </c>
      <c r="AW202" s="21">
        <f>EXP(-LN(2)/2)*AW201+(1-EXP(-LN(2)/2))/(LN(2)/2)*AQ202*AT202*VLOOKUP('Données projet'!$B$10,Paramètres!$A$1:$I$89,3,0)*0.475*44/12</f>
        <v>1.1245377051651115E-19</v>
      </c>
      <c r="AX202" s="21">
        <f t="shared" si="166"/>
        <v>13.606739577192968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-6.7984728957526396E-14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279.69031306919914</v>
      </c>
      <c r="BJ202" s="59">
        <f t="shared" si="206"/>
        <v>297.01680128882509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10.878456096932201</v>
      </c>
      <c r="BQ202" s="21">
        <f>EXP(-LN(2)/25)*BQ201+(1-EXP(-LN(2)/25))/(LN(2)/25)*Calculateur!BL202*Calculateur!BN202*VLOOKUP('Données projet'!$B$11,Paramètres!$A$1:$I$89,3,0)*0.475*44/12</f>
        <v>1.8333149339327939</v>
      </c>
      <c r="BR202" s="21">
        <f>EXP(-LN(2)/2)*BR201+(1-EXP(-LN(2)/2))/(LN(2)/2)*BL202*BO202*VLOOKUP('Données projet'!$B$11,Paramètres!$A$1:$I$89,3,0)*0.475*44/12</f>
        <v>2.6236975470069452E-19</v>
      </c>
      <c r="BS202" s="22">
        <f t="shared" si="169"/>
        <v>12.711771030864995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81.299024916151723</v>
      </c>
      <c r="CE202" s="59">
        <f t="shared" si="207"/>
        <v>88.106373324240167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3.2175907654504035</v>
      </c>
      <c r="CL202" s="21">
        <f>EXP(-LN(2)/25)*CL201+(1-EXP(-LN(2)/25))/(LN(2)/25)*Calculateur!CG202*Calculateur!CI202*VLOOKUP('Données projet'!$B$12,Paramètres!$A$1:$I$89,3,0)*0.475*44/12</f>
        <v>0.49043415517574629</v>
      </c>
      <c r="CM202" s="21">
        <f>EXP(-LN(2)/2)*CM201+(1-EXP(-LN(2)/2))/(LN(2)/2)*CG202*CJ202*VLOOKUP('Données projet'!$B$12,Paramètres!$A$1:$I$89,3,0)*0.475*44/12</f>
        <v>2.8755936024640463E-20</v>
      </c>
      <c r="CN202" s="22">
        <f t="shared" si="172"/>
        <v>3.7080249206261495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-3.4106051316484809E-13</v>
      </c>
      <c r="CU202" s="17">
        <f>CT202*VLOOKUP('Données projet'!$B$13,Paramètres!$A$1:$I$89,3,0)*VLOOKUP('Données projet'!$B$13,Paramètres!$A$1:$I$89,5,0)</f>
        <v>-1.9065282685915009E-13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475.42482703895411</v>
      </c>
      <c r="CZ202" s="59">
        <f t="shared" si="208"/>
        <v>593.51433014569966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21.979545184888554</v>
      </c>
      <c r="DG202" s="21">
        <f>EXP(-LN(2)/25)*DG201+(1-EXP(-LN(2)/25))/(LN(2)/25)*Calculateur!DB202*Calculateur!DD202*VLOOKUP('Données projet'!$B$13,Paramètres!$A$1:$I$89,3,0)*0.475*44/12</f>
        <v>1.5764998330839692</v>
      </c>
      <c r="DH202" s="21">
        <f>EXP(-LN(2)/2)*DH201+(1-EXP(-LN(2)/2))/(LN(2)/2)*DB202*DE202*VLOOKUP('Données projet'!$B$13,Paramètres!$A$1:$I$89,3,0)*0.475*44/12</f>
        <v>3.33442779531822E-19</v>
      </c>
      <c r="DI202" s="22">
        <f t="shared" si="175"/>
        <v>23.556045017972522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-7.9580786405131221E-13</v>
      </c>
      <c r="DP202" s="17">
        <f>DO202*VLOOKUP('Données projet'!$B$14,Paramètres!$A$1:$I$89,3,0)*VLOOKUP('Données projet'!$B$14,Paramètres!$A$1:$I$89,5,0)</f>
        <v>-7.2004695539362725E-13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401.17301323870578</v>
      </c>
      <c r="DU202" s="59">
        <f t="shared" si="209"/>
        <v>201.57993789149754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74.848967450857586</v>
      </c>
      <c r="EB202" s="21">
        <f>EXP(-LN(2)/25)*EB201+(1-EXP(-LN(2)/25))/(LN(2)/25)*Calculateur!DW202*Calculateur!DY202*VLOOKUP('Données projet'!$B$14,Paramètres!$A$1:$I$89,3,0)*0.475*44/12</f>
        <v>8.8462700122529654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83.695237463110544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1.7053025658242404E-13</v>
      </c>
      <c r="EK202" s="17">
        <f>EJ202*VLOOKUP('Données projet'!$B$15,Paramètres!$A$1:$I$89,3,0)*VLOOKUP('Données projet'!$B$15,Paramètres!$A$1:$I$89,5,0)</f>
        <v>1.4897523215040567E-13</v>
      </c>
      <c r="EL202" s="13">
        <f t="shared" si="179"/>
        <v>2.136562777003313E-12</v>
      </c>
      <c r="EM202" s="20">
        <f t="shared" si="180"/>
        <v>3.9806453659427267E-12</v>
      </c>
      <c r="EN202" s="59">
        <f t="shared" si="198"/>
        <v>293.33333333333729</v>
      </c>
      <c r="EO202" s="59">
        <f ca="1">AVERAGE(OFFSET($EN$3,0,0,'Données projet'!$E$15+1,1))-AVERAGE(OFFSET($H$3,0,0,'Données projet'!$E$15+1,1))</f>
        <v>237.8483058552178</v>
      </c>
      <c r="EP202" s="59">
        <f t="shared" si="210"/>
        <v>313.36201272119723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6.3230140717399133</v>
      </c>
      <c r="EW202" s="21">
        <f>EXP(-LN(2)/25)*EW201+(1-EXP(-LN(2)/25))/(LN(2)/25)*Calculateur!ER202*Calculateur!ET202*VLOOKUP('Données projet'!$B$15,Paramètres!$A$1:$I$89,3,0)*0.475*44/12</f>
        <v>0.14836563955626916</v>
      </c>
      <c r="EX202" s="21">
        <f>EXP(-LN(2)/2)*EX201+(1-EXP(-LN(2)/2))/(LN(2)/2)*ER202*EU202*VLOOKUP('Données projet'!$B$15,Paramètres!$A$1:$I$89,3,0)*0.475*44/12</f>
        <v>1.5789322389232117E-18</v>
      </c>
      <c r="EY202" s="22">
        <f t="shared" si="181"/>
        <v>6.4713797112961826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-2.8421709430404007E-13</v>
      </c>
      <c r="FF202" s="17">
        <f>FE202*VLOOKUP('Données projet'!$B$16,Paramètres!$A$1:$I$89,3,0)*VLOOKUP('Données projet'!$B$16,Paramètres!$A$1:$I$89,5,0)</f>
        <v>-2.2168933355715128E-13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318.52984981739411</v>
      </c>
      <c r="FK202" s="59">
        <f t="shared" si="211"/>
        <v>311.56398336941714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11.229497322345665</v>
      </c>
      <c r="FR202" s="21">
        <f>EXP(-LN(2)/25)*FR201+(1-EXP(-LN(2)/25))/(LN(2)/25)*Calculateur!FM202*Calculateur!FO202*VLOOKUP('Données projet'!$B$16,Paramètres!$A$1:$I$89,3,0)*0.475*44/12</f>
        <v>0.14811472035779005</v>
      </c>
      <c r="FS202" s="21">
        <f>EXP(-LN(2)/2)*FS201+(1-EXP(-LN(2)/2))/(LN(2)/2)*FM202*FP202*VLOOKUP('Données projet'!$B$16,Paramètres!$A$1:$I$89,3,0)*0.475*44/12</f>
        <v>6.9340228881163685E-17</v>
      </c>
      <c r="FT202" s="22">
        <f t="shared" si="184"/>
        <v>11.377612042703456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-2.8421709430404007E-13</v>
      </c>
      <c r="GA202" s="17">
        <f>FZ202*VLOOKUP('Données projet'!$B$17,Paramètres!$A$1:$I$89,3,0)*VLOOKUP('Données projet'!$B$17,Paramètres!$A$1:$I$89,5,0)</f>
        <v>-2.2612312022829427E-13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325.72928944930294</v>
      </c>
      <c r="GF202" s="59">
        <f t="shared" si="212"/>
        <v>318.38876834819752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14.117828494093191</v>
      </c>
      <c r="GM202" s="21">
        <f>EXP(-LN(2)/25)*GM201+(1-EXP(-LN(2)/25))/(LN(2)/25)*Calculateur!GH202*Calculateur!GJ202*VLOOKUP('Données projet'!$B$17,Paramètres!$A$1:$I$89,3,0)*0.475*44/12</f>
        <v>0.18621120424516571</v>
      </c>
      <c r="GN202" s="21">
        <f>EXP(-LN(2)/2)*GN201+(1-EXP(-LN(2)/2))/(LN(2)/2)*GH202*GK202*VLOOKUP('Données projet'!$B$17,Paramètres!$A$1:$I$89,3,0)*0.475*44/12</f>
        <v>7.0727033458786854E-17</v>
      </c>
      <c r="GO202" s="21">
        <f t="shared" si="187"/>
        <v>14.304039698338356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-2.8421709430404007E-13</v>
      </c>
      <c r="GV202" s="17">
        <f>GU202*VLOOKUP('Données projet'!$B$18,Paramètres!$A$1:$I$89,3,0)*VLOOKUP('Données projet'!$B$18,Paramètres!$A$1:$I$89,5,0)</f>
        <v>-1.9065282685915009E-13</v>
      </c>
      <c r="GW202" s="13" t="e">
        <f t="shared" si="188"/>
        <v>#NUM!</v>
      </c>
      <c r="GX202" s="20" t="e">
        <f t="shared" si="189"/>
        <v>#NUM!</v>
      </c>
      <c r="GY202" s="59" t="e">
        <f t="shared" si="201"/>
        <v>#NUM!</v>
      </c>
      <c r="GZ202" s="59">
        <f ca="1">AVERAGE(OFFSET($GY$3,0,0,'Données projet'!$E$18+1,1))-AVERAGE(OFFSET($H$3,0,0,'Données projet'!$E$18+1,1))</f>
        <v>268.04554291387961</v>
      </c>
      <c r="HA202" s="59">
        <f t="shared" si="213"/>
        <v>263.70463099437148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11.903267161686404</v>
      </c>
      <c r="HH202" s="21">
        <f>EXP(-LN(2)/25)*HH201+(1-EXP(-LN(2)/25))/(LN(2)/25)*Calculateur!HC202*Calculateur!HE202*VLOOKUP('Données projet'!$B$18,Paramètres!$A$1:$I$89,3,0)*0.475*44/12</f>
        <v>0.15700160357925785</v>
      </c>
      <c r="HI202" s="21">
        <f>EXP(-LN(2)/2)*HI201+(1-EXP(-LN(2)/2))/(LN(2)/2)*HC202*HF202*VLOOKUP('Données projet'!$B$18,Paramètres!$A$1:$I$89,3,0)*0.475*44/12</f>
        <v>5.963259683780068E-17</v>
      </c>
      <c r="HJ202" s="22">
        <f t="shared" si="190"/>
        <v>12.060268765265661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-2.5124791136477146E-14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46.095319339746538</v>
      </c>
      <c r="T203" s="59">
        <f t="shared" si="204"/>
        <v>48.158174304064403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5.6096775856081473</v>
      </c>
      <c r="AA203" s="21">
        <f>EXP(-LN(2)/25)*AA202+(1-EXP(-LN(2)/25))/(LN(2)/25)*Calculateur!V203*Calculateur!X203*VLOOKUP('Données projet'!$B$9,Paramètres!$A$1:$I$89,3,0)*0.475*44/12</f>
        <v>0.98358528997831929</v>
      </c>
      <c r="AB203" s="21">
        <f>EXP(-LN(2)/2)*AB202+(1-EXP(-LN(2)/2))/(LN(2)/2)*V203*Y203*VLOOKUP('Données projet'!$B$9,Paramètres!$A$1:$I$89,3,0)*0.475*44/12</f>
        <v>1.2809029803436212E-17</v>
      </c>
      <c r="AC203" s="22">
        <f t="shared" si="163"/>
        <v>6.5932628755864666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-6.7984728957526396E-14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408.84545509668794</v>
      </c>
      <c r="AO203" s="59">
        <f t="shared" si="205"/>
        <v>409.9253979841132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11.755361947446641</v>
      </c>
      <c r="AV203" s="21">
        <f>EXP(-LN(2)/25)*AV202+(1-EXP(-LN(2)/25))/(LN(2)/25)*Calculateur!AQ203*Calculateur!AS203*VLOOKUP('Données projet'!$B$10,Paramètres!$A$1:$I$89,3,0)*0.475*44/12</f>
        <v>1.57205498998639</v>
      </c>
      <c r="AW203" s="21">
        <f>EXP(-LN(2)/2)*AW202+(1-EXP(-LN(2)/2))/(LN(2)/2)*AQ203*AT203*VLOOKUP('Données projet'!$B$10,Paramètres!$A$1:$I$89,3,0)*0.475*44/12</f>
        <v>7.9516823702220878E-20</v>
      </c>
      <c r="AX203" s="21">
        <f t="shared" si="166"/>
        <v>13.32741693743303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-6.7984728957526396E-14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279.69031306919914</v>
      </c>
      <c r="BJ203" s="59">
        <f t="shared" si="206"/>
        <v>297.01680128882509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10.665136208074408</v>
      </c>
      <c r="BQ203" s="21">
        <f>EXP(-LN(2)/25)*BQ202+(1-EXP(-LN(2)/25))/(LN(2)/25)*Calculateur!BL203*Calculateur!BN203*VLOOKUP('Données projet'!$B$11,Paramètres!$A$1:$I$89,3,0)*0.475*44/12</f>
        <v>1.7831828406545593</v>
      </c>
      <c r="BR203" s="21">
        <f>EXP(-LN(2)/2)*BR202+(1-EXP(-LN(2)/2))/(LN(2)/2)*BL203*BO203*VLOOKUP('Données projet'!$B$11,Paramètres!$A$1:$I$89,3,0)*0.475*44/12</f>
        <v>1.8552343272711216E-19</v>
      </c>
      <c r="BS203" s="22">
        <f t="shared" si="169"/>
        <v>12.448319048728967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81.299024916151723</v>
      </c>
      <c r="CE203" s="59">
        <f t="shared" si="207"/>
        <v>88.106373324240167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3.1544957730765035</v>
      </c>
      <c r="CL203" s="21">
        <f>EXP(-LN(2)/25)*CL202+(1-EXP(-LN(2)/25))/(LN(2)/25)*Calculateur!CG203*Calculateur!CI203*VLOOKUP('Données projet'!$B$12,Paramètres!$A$1:$I$89,3,0)*0.475*44/12</f>
        <v>0.47702320741165422</v>
      </c>
      <c r="CM203" s="21">
        <f>EXP(-LN(2)/2)*CM202+(1-EXP(-LN(2)/2))/(LN(2)/2)*CG203*CJ203*VLOOKUP('Données projet'!$B$12,Paramètres!$A$1:$I$89,3,0)*0.475*44/12</f>
        <v>2.0333517362389804E-20</v>
      </c>
      <c r="CN203" s="22">
        <f t="shared" si="172"/>
        <v>3.6315189804881576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-3.4106051316484809E-13</v>
      </c>
      <c r="CU203" s="17">
        <f>CT203*VLOOKUP('Données projet'!$B$13,Paramètres!$A$1:$I$89,3,0)*VLOOKUP('Données projet'!$B$13,Paramètres!$A$1:$I$89,5,0)</f>
        <v>-1.9065282685915009E-13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475.42482703895411</v>
      </c>
      <c r="CZ203" s="59">
        <f t="shared" si="208"/>
        <v>593.51433014569966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21.548539710011699</v>
      </c>
      <c r="DG203" s="21">
        <f>EXP(-LN(2)/25)*DG202+(1-EXP(-LN(2)/25))/(LN(2)/25)*Calculateur!DB203*Calculateur!DD203*VLOOKUP('Données projet'!$B$13,Paramètres!$A$1:$I$89,3,0)*0.475*44/12</f>
        <v>1.533390362243765</v>
      </c>
      <c r="DH203" s="21">
        <f>EXP(-LN(2)/2)*DH202+(1-EXP(-LN(2)/2))/(LN(2)/2)*DB203*DE203*VLOOKUP('Données projet'!$B$13,Paramètres!$A$1:$I$89,3,0)*0.475*44/12</f>
        <v>2.3577965054464227E-19</v>
      </c>
      <c r="DI203" s="22">
        <f t="shared" si="175"/>
        <v>23.081930072255464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-7.9580786405131221E-13</v>
      </c>
      <c r="DP203" s="17">
        <f>DO203*VLOOKUP('Données projet'!$B$14,Paramètres!$A$1:$I$89,3,0)*VLOOKUP('Données projet'!$B$14,Paramètres!$A$1:$I$89,5,0)</f>
        <v>-7.2004695539362725E-13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401.17301323870578</v>
      </c>
      <c r="DU203" s="59">
        <f t="shared" si="209"/>
        <v>201.57993789149754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73.381224852508524</v>
      </c>
      <c r="EB203" s="21">
        <f>EXP(-LN(2)/25)*EB202+(1-EXP(-LN(2)/25))/(LN(2)/25)*Calculateur!DW203*Calculateur!DY203*VLOOKUP('Données projet'!$B$14,Paramètres!$A$1:$I$89,3,0)*0.475*44/12</f>
        <v>8.6043682935627857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81.985593146071309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1.7053025658242404E-13</v>
      </c>
      <c r="EK203" s="17">
        <f>EJ203*VLOOKUP('Données projet'!$B$15,Paramètres!$A$1:$I$89,3,0)*VLOOKUP('Données projet'!$B$15,Paramètres!$A$1:$I$89,5,0)</f>
        <v>1.4897523215040567E-13</v>
      </c>
      <c r="EL203" s="13">
        <f t="shared" si="179"/>
        <v>2.136562777003313E-12</v>
      </c>
      <c r="EM203" s="20">
        <f t="shared" si="180"/>
        <v>3.9806453659427267E-12</v>
      </c>
      <c r="EN203" s="59">
        <f t="shared" si="198"/>
        <v>293.33333333333729</v>
      </c>
      <c r="EO203" s="59">
        <f ca="1">AVERAGE(OFFSET($EN$3,0,0,'Données projet'!$E$15+1,1))-AVERAGE(OFFSET($H$3,0,0,'Données projet'!$E$15+1,1))</f>
        <v>237.8483058552178</v>
      </c>
      <c r="EP203" s="59">
        <f t="shared" si="210"/>
        <v>313.36201272119723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6.1990236224508637</v>
      </c>
      <c r="EW203" s="21">
        <f>EXP(-LN(2)/25)*EW202+(1-EXP(-LN(2)/25))/(LN(2)/25)*Calculateur!ER203*Calculateur!ET203*VLOOKUP('Données projet'!$B$15,Paramètres!$A$1:$I$89,3,0)*0.475*44/12</f>
        <v>0.1443085733403931</v>
      </c>
      <c r="EX203" s="21">
        <f>EXP(-LN(2)/2)*EX202+(1-EXP(-LN(2)/2))/(LN(2)/2)*ER203*EU203*VLOOKUP('Données projet'!$B$15,Paramètres!$A$1:$I$89,3,0)*0.475*44/12</f>
        <v>1.116473693176661E-18</v>
      </c>
      <c r="EY203" s="22">
        <f t="shared" si="181"/>
        <v>6.3433321957912572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-2.8421709430404007E-13</v>
      </c>
      <c r="FF203" s="17">
        <f>FE203*VLOOKUP('Données projet'!$B$16,Paramètres!$A$1:$I$89,3,0)*VLOOKUP('Données projet'!$B$16,Paramètres!$A$1:$I$89,5,0)</f>
        <v>-2.2168933355715128E-13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318.52984981739411</v>
      </c>
      <c r="FK203" s="59">
        <f t="shared" si="211"/>
        <v>311.56398336941714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11.009293729171519</v>
      </c>
      <c r="FR203" s="21">
        <f>EXP(-LN(2)/25)*FR202+(1-EXP(-LN(2)/25))/(LN(2)/25)*Calculateur!FM203*Calculateur!FO203*VLOOKUP('Données projet'!$B$16,Paramètres!$A$1:$I$89,3,0)*0.475*44/12</f>
        <v>0.14406451554059166</v>
      </c>
      <c r="FS203" s="21">
        <f>EXP(-LN(2)/2)*FS202+(1-EXP(-LN(2)/2))/(LN(2)/2)*FM203*FP203*VLOOKUP('Données projet'!$B$16,Paramètres!$A$1:$I$89,3,0)*0.475*44/12</f>
        <v>4.9030946050898134E-17</v>
      </c>
      <c r="FT203" s="22">
        <f t="shared" si="184"/>
        <v>11.153358244712111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-2.8421709430404007E-13</v>
      </c>
      <c r="GA203" s="17">
        <f>FZ203*VLOOKUP('Données projet'!$B$17,Paramètres!$A$1:$I$89,3,0)*VLOOKUP('Données projet'!$B$17,Paramètres!$A$1:$I$89,5,0)</f>
        <v>-2.2612312022829427E-13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325.72928944930294</v>
      </c>
      <c r="GF203" s="59">
        <f t="shared" si="212"/>
        <v>318.38876834819752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13.840986488349136</v>
      </c>
      <c r="GM203" s="21">
        <f>EXP(-LN(2)/25)*GM202+(1-EXP(-LN(2)/25))/(LN(2)/25)*Calculateur!GH203*Calculateur!GJ203*VLOOKUP('Données projet'!$B$17,Paramètres!$A$1:$I$89,3,0)*0.475*44/12</f>
        <v>0.18111924907266003</v>
      </c>
      <c r="GN203" s="21">
        <f>EXP(-LN(2)/2)*GN202+(1-EXP(-LN(2)/2))/(LN(2)/2)*GH203*GK203*VLOOKUP('Données projet'!$B$17,Paramètres!$A$1:$I$89,3,0)*0.475*44/12</f>
        <v>5.0011564971916022E-17</v>
      </c>
      <c r="GO203" s="21">
        <f t="shared" si="187"/>
        <v>14.022105737421796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-2.8421709430404007E-13</v>
      </c>
      <c r="GV203" s="17">
        <f>GU203*VLOOKUP('Données projet'!$B$18,Paramètres!$A$1:$I$89,3,0)*VLOOKUP('Données projet'!$B$18,Paramètres!$A$1:$I$89,5,0)</f>
        <v>-1.9065282685915009E-13</v>
      </c>
      <c r="GW203" s="13" t="e">
        <f t="shared" si="188"/>
        <v>#NUM!</v>
      </c>
      <c r="GX203" s="20" t="e">
        <f t="shared" si="189"/>
        <v>#NUM!</v>
      </c>
      <c r="GY203" s="59" t="e">
        <f t="shared" si="201"/>
        <v>#NUM!</v>
      </c>
      <c r="GZ203" s="59">
        <f ca="1">AVERAGE(OFFSET($GY$3,0,0,'Données projet'!$E$18+1,1))-AVERAGE(OFFSET($H$3,0,0,'Données projet'!$E$18+1,1))</f>
        <v>268.04554291387961</v>
      </c>
      <c r="HA203" s="59">
        <f t="shared" si="213"/>
        <v>263.70463099437148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11.66985135292181</v>
      </c>
      <c r="HH203" s="21">
        <f>EXP(-LN(2)/25)*HH202+(1-EXP(-LN(2)/25))/(LN(2)/25)*Calculateur!HC203*Calculateur!HE203*VLOOKUP('Données projet'!$B$18,Paramètres!$A$1:$I$89,3,0)*0.475*44/12</f>
        <v>0.15270838647302754</v>
      </c>
      <c r="HI203" s="21">
        <f>EXP(-LN(2)/2)*HI202+(1-EXP(-LN(2)/2))/(LN(2)/2)*HC203*HF203*VLOOKUP('Données projet'!$B$18,Paramètres!$A$1:$I$89,3,0)*0.475*44/12</f>
        <v>4.2166613603772332E-17</v>
      </c>
      <c r="HJ203" s="22">
        <f t="shared" si="190"/>
        <v>11.822559739394839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1.1600675581518149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1.3758248603770518</v>
      </c>
      <c r="BA205" s="82">
        <f>EXP(LN('Données projet'!B88)/'Données projet'!A88)</f>
        <v>1.3239616704988877</v>
      </c>
      <c r="BV205" s="82">
        <f>EXP(LN('Données projet'!B114)/'Données projet'!A114)</f>
        <v>1.2599210498948732</v>
      </c>
      <c r="CQ205" s="82">
        <f>EXP(LN('Données projet'!B140)/'Données projet'!A140)</f>
        <v>1.4037863041747067</v>
      </c>
      <c r="DL205" s="82">
        <f>EXP(LN('Données projet'!B166)/'Données projet'!A166)</f>
        <v>1.1480333746076383</v>
      </c>
      <c r="EG205" s="82">
        <f>EXP(LN('Données projet'!B192)/'Données projet'!A192)</f>
        <v>1.278898353844806</v>
      </c>
      <c r="FB205" s="82">
        <f>EXP(LN('Données projet'!B218)/'Données projet'!A218)</f>
        <v>1.3423796509621049</v>
      </c>
      <c r="FW205" s="82">
        <f>EXP(LN('Données projet'!B244)/'Données projet'!A244)</f>
        <v>1.3423796509621049</v>
      </c>
      <c r="GR205" s="82">
        <f>EXP(LN('Données projet'!B270)/'Données projet'!A270)</f>
        <v>1.3423796509621049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de Weymouth</v>
      </c>
      <c r="B6" s="146">
        <f>'Données projet'!D9</f>
        <v>1.9824000000000002</v>
      </c>
      <c r="C6" s="147">
        <f ca="1">IF(OR('Données projet'!B9="",'Données projet'!C9="",'Données projet'!C9=0%),0,Calculateur!S3)</f>
        <v>46.095319339746538</v>
      </c>
      <c r="D6" s="147">
        <f>IF(OR('Données projet'!B9="",'Données projet'!C9="",'Données projet'!C9=0%),0,Calculateur!T3)</f>
        <v>48.158174304064403</v>
      </c>
      <c r="E6" s="147">
        <f ca="1">MIN(C6,D6)</f>
        <v>46.095319339746538</v>
      </c>
      <c r="F6" s="147">
        <f ca="1">E6*B6</f>
        <v>91.379361059113549</v>
      </c>
      <c r="G6" s="147">
        <f ca="1">F6*(100%-'Données projet'!$C$24)*(100%-'Données projet'!$C$25)*(100%-'Données projet'!$C$26)*(100%-'Données projet'!$C$27)</f>
        <v>82.241424953202198</v>
      </c>
      <c r="H6" s="148">
        <f>IF(OR('Données projet'!B9="",'Données projet'!C9="",'Données projet'!C9=0%),0,AVERAGE(Calculateur!$AC$3:$AC$33)*B6)</f>
        <v>0.27462062131287485</v>
      </c>
      <c r="I6" s="149">
        <f>H6*(100%-'Données projet'!$C$24)*(100%-'Données projet'!$C$25)*(100%-'Données projet'!$C$26)*(100%-'Données projet'!$C$27)</f>
        <v>0.24715855918158736</v>
      </c>
      <c r="J6" s="150">
        <f>IF(OR('Données projet'!B9="",'Données projet'!C9="",'Données projet'!C9=0%),0,SUM(Calculateur!$V$3:$V$33)*VLOOKUP('Données projet'!$B$9,Paramètres!$A$1:$I$89,9,0)*B6)</f>
        <v>10.229184000000002</v>
      </c>
      <c r="K6" s="151">
        <f>J6*(100%-'Données projet'!$C$24)*(100%-'Données projet'!$C$25)*(100%-'Données projet'!$C$26)*(100%-'Données projet'!$C$27)</f>
        <v>9.2062656000000018</v>
      </c>
      <c r="L6" s="152">
        <f ca="1">G6+I6+K6</f>
        <v>91.694849112383793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Pin maritime</v>
      </c>
      <c r="B7" s="154">
        <f>'Données projet'!D10</f>
        <v>1.2390000000000001</v>
      </c>
      <c r="C7" s="147">
        <f ca="1">IF(OR('Données projet'!B10="",'Données projet'!C10="",'Données projet'!C10=0%),0,Calculateur!AN3)</f>
        <v>408.84545509668794</v>
      </c>
      <c r="D7" s="147">
        <f>IF(OR('Données projet'!B10="",'Données projet'!C10="",'Données projet'!C10=0%),0,Calculateur!AO3)</f>
        <v>409.9253979841132</v>
      </c>
      <c r="E7" s="147">
        <f t="shared" ref="E7:E15" ca="1" si="0">MIN(C7,D7)</f>
        <v>408.84545509668794</v>
      </c>
      <c r="F7" s="147">
        <f t="shared" ref="F7:F15" ca="1" si="1">E7*B7</f>
        <v>506.55951886479642</v>
      </c>
      <c r="G7" s="147">
        <f ca="1">F7*(100%-'Données projet'!$C$24)*(100%-'Données projet'!$C$25)*(100%-'Données projet'!$C$26)*(100%-'Données projet'!$C$27)</f>
        <v>455.9035669783168</v>
      </c>
      <c r="H7" s="155">
        <f>IF(OR('Données projet'!B10="",'Données projet'!C10="",'Données projet'!C10=0%),0,AVERAGE(Calculateur!$AX$3:$AX$33)*B7)</f>
        <v>14.202740156359159</v>
      </c>
      <c r="I7" s="149">
        <f>H7*(100%-'Données projet'!$C$24)*(100%-'Données projet'!$C$25)*(100%-'Données projet'!$C$26)*(100%-'Données projet'!$C$27)</f>
        <v>12.782466140723244</v>
      </c>
      <c r="J7" s="150">
        <f>IF(OR('Données projet'!B10="",'Données projet'!C10="",'Données projet'!C10=0%),0,SUM(Calculateur!$AQ$3:$AQ$33)*VLOOKUP('Données projet'!$B$10,Paramètres!$A$1:$I$89,9,0)*B7)</f>
        <v>108.18948</v>
      </c>
      <c r="K7" s="151">
        <f>J7*(100%-'Données projet'!$C$24)*(100%-'Données projet'!$C$25)*(100%-'Données projet'!$C$26)*(100%-'Données projet'!$C$27)</f>
        <v>97.370532000000011</v>
      </c>
      <c r="L7" s="152">
        <f t="shared" ref="L7:L15" ca="1" si="2">G7+I7+K7</f>
        <v>566.0565651190401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Pin laricio</v>
      </c>
      <c r="B8" s="154">
        <f>'Données projet'!D11</f>
        <v>1.4868000000000001</v>
      </c>
      <c r="C8" s="147">
        <f ca="1">IF(OR('Données projet'!B11="",'Données projet'!C11="",'Données projet'!C11=0%),0,Calculateur!BI3)</f>
        <v>279.69031306919914</v>
      </c>
      <c r="D8" s="147">
        <f>IF(OR('Données projet'!B11="",'Données projet'!C11="",'Données projet'!C11=0%),0,Calculateur!BJ3)</f>
        <v>297.01680128882509</v>
      </c>
      <c r="E8" s="147">
        <f t="shared" ca="1" si="0"/>
        <v>279.69031306919914</v>
      </c>
      <c r="F8" s="147">
        <f t="shared" ca="1" si="1"/>
        <v>415.84355747128529</v>
      </c>
      <c r="G8" s="147">
        <f ca="1">F8*(100%-'Données projet'!$C$24)*(100%-'Données projet'!$C$25)*(100%-'Données projet'!$C$26)*(100%-'Données projet'!$C$27)</f>
        <v>374.25920172415675</v>
      </c>
      <c r="H8" s="155">
        <f>IF(OR('Données projet'!B11="",'Données projet'!C11="",'Données projet'!C11=0%),0,AVERAGE(Calculateur!$BS$3:$BS$33)*B8)</f>
        <v>9.3070314842965072</v>
      </c>
      <c r="I8" s="149">
        <f>H8*(100%-'Données projet'!$C$24)*(100%-'Données projet'!$C$25)*(100%-'Données projet'!$C$26)*(100%-'Données projet'!$C$27)</f>
        <v>8.376328335866857</v>
      </c>
      <c r="J8" s="150">
        <f>IF(OR('Données projet'!B11="",'Données projet'!C11="",'Données projet'!C11=0%),0,SUM(Calculateur!$BL$3:$BL$33)*VLOOKUP('Données projet'!$B$11,Paramètres!$A$1:$I$89,9,0)*B8)</f>
        <v>76.718880000000013</v>
      </c>
      <c r="K8" s="151">
        <f>J8*(100%-'Données projet'!$C$24)*(100%-'Données projet'!$C$25)*(100%-'Données projet'!$C$26)*(100%-'Données projet'!$C$27)</f>
        <v>69.046992000000017</v>
      </c>
      <c r="L8" s="152">
        <f t="shared" ca="1" si="2"/>
        <v>451.68252206002364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Pin taeda</v>
      </c>
      <c r="B9" s="154">
        <f>'Données projet'!D12</f>
        <v>1.2390000000000001</v>
      </c>
      <c r="C9" s="147">
        <f ca="1">IF(OR('Données projet'!B12="",'Données projet'!C12="",'Données projet'!C12=0%),0,Calculateur!CD3)</f>
        <v>81.299024916151723</v>
      </c>
      <c r="D9" s="147">
        <f>IF(OR('Données projet'!B12="",'Données projet'!C12="",'Données projet'!C12=0%),0,Calculateur!CE3)</f>
        <v>88.106373324240167</v>
      </c>
      <c r="E9" s="147">
        <f t="shared" ca="1" si="0"/>
        <v>81.299024916151723</v>
      </c>
      <c r="F9" s="147">
        <f t="shared" ca="1" si="1"/>
        <v>100.72949187111199</v>
      </c>
      <c r="G9" s="147">
        <f ca="1">F9*(100%-'Données projet'!$C$24)*(100%-'Données projet'!$C$25)*(100%-'Données projet'!$C$26)*(100%-'Données projet'!$C$27)</f>
        <v>90.656542684000797</v>
      </c>
      <c r="H9" s="155">
        <f>IF(OR('Données projet'!B12="",'Données projet'!C12="",'Données projet'!C12=0%),0,AVERAGE(Calculateur!$CN$3:$CN$33)*B9)</f>
        <v>2.8604489244974283</v>
      </c>
      <c r="I9" s="149">
        <f>H9*(100%-'Données projet'!$C$24)*(100%-'Données projet'!$C$25)*(100%-'Données projet'!$C$26)*(100%-'Données projet'!$C$27)</f>
        <v>2.5744040320476853</v>
      </c>
      <c r="J9" s="150">
        <f>IF(OR('Données projet'!B12="",'Données projet'!C12="",'Données projet'!C12=0%),0,SUM(Calculateur!$CG$3:$CG$33)*VLOOKUP('Données projet'!$B$12,Paramètres!$A$1:$I$89,9,0)*B9)</f>
        <v>18.114180000000001</v>
      </c>
      <c r="K9" s="151">
        <f>J9*(100%-'Données projet'!$C$24)*(100%-'Données projet'!$C$25)*(100%-'Données projet'!$C$26)*(100%-'Données projet'!$C$27)</f>
        <v>16.302762000000001</v>
      </c>
      <c r="L9" s="152">
        <f t="shared" ca="1" si="2"/>
        <v>109.53370871604848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Douglas</v>
      </c>
      <c r="B10" s="154">
        <f>'Données projet'!D13</f>
        <v>1.9824000000000002</v>
      </c>
      <c r="C10" s="147">
        <f ca="1">IF(OR('Données projet'!B13="",'Données projet'!C13="",'Données projet'!C13=0%),0,Calculateur!CY3)</f>
        <v>475.42482703895411</v>
      </c>
      <c r="D10" s="147">
        <f>IF(OR('Données projet'!B13="",'Données projet'!C13="",'Données projet'!C13=0%),0,Calculateur!CZ3)</f>
        <v>593.51433014569966</v>
      </c>
      <c r="E10" s="147">
        <f t="shared" ca="1" si="0"/>
        <v>475.42482703895411</v>
      </c>
      <c r="F10" s="147">
        <f t="shared" ca="1" si="1"/>
        <v>942.48217712202268</v>
      </c>
      <c r="G10" s="147">
        <f ca="1">F10*(100%-'Données projet'!$C$24)*(100%-'Données projet'!$C$25)*(100%-'Données projet'!$C$26)*(100%-'Données projet'!$C$27)</f>
        <v>848.23395940982039</v>
      </c>
      <c r="H10" s="155">
        <f>IF(OR('Données projet'!B13="",'Données projet'!C13="",'Données projet'!C13=0%),0,AVERAGE(Calculateur!$DI$3:$DI$33)*B10)</f>
        <v>19.772589327950968</v>
      </c>
      <c r="I10" s="149">
        <f>H10*(100%-'Données projet'!$C$24)*(100%-'Données projet'!$C$25)*(100%-'Données projet'!$C$26)*(100%-'Données projet'!$C$27)</f>
        <v>17.795330395155872</v>
      </c>
      <c r="J10" s="150">
        <f>IF(OR('Données projet'!B13="",'Données projet'!C13="",'Données projet'!C13=0%),0,SUM(Calculateur!$DB$3:$DB$33)*VLOOKUP('Données projet'!$B$13,Paramètres!$A$1:$I$89,9,0)*B10)</f>
        <v>164.51937599999999</v>
      </c>
      <c r="K10" s="151">
        <f>J10*(100%-'Données projet'!$C$24)*(100%-'Données projet'!$C$25)*(100%-'Données projet'!$C$26)*(100%-'Données projet'!$C$27)</f>
        <v>148.06743839999999</v>
      </c>
      <c r="L10" s="152">
        <f t="shared" ca="1" si="2"/>
        <v>1014.0967282049763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Chêne sessile</v>
      </c>
      <c r="B11" s="154">
        <f>'Données projet'!D14</f>
        <v>2.7258</v>
      </c>
      <c r="C11" s="147">
        <f ca="1">IF(OR('Données projet'!B14="",'Données projet'!C14="",'Données projet'!C14=0%),0,Calculateur!DT3)</f>
        <v>401.17301323870578</v>
      </c>
      <c r="D11" s="147">
        <f>IF(OR('Données projet'!B14="",'Données projet'!C14="",'Données projet'!C14=0%),0,Calculateur!DU3)</f>
        <v>201.57993789149754</v>
      </c>
      <c r="E11" s="147">
        <f t="shared" ca="1" si="0"/>
        <v>201.57993789149754</v>
      </c>
      <c r="F11" s="147">
        <f t="shared" ca="1" si="1"/>
        <v>549.46659470464397</v>
      </c>
      <c r="G11" s="147">
        <f ca="1">F11*(100%-'Données projet'!$C$24)*(100%-'Données projet'!$C$25)*(100%-'Données projet'!$C$26)*(100%-'Données projet'!$C$27)</f>
        <v>494.51993523417957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494.51993523417957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Chêne rouge d'Amérique</v>
      </c>
      <c r="B12" s="154">
        <f>'Données projet'!D15</f>
        <v>0.99120000000000008</v>
      </c>
      <c r="C12" s="147">
        <f ca="1">IF(OR('Données projet'!B15="",'Données projet'!C15="",'Données projet'!C15=0%),0,Calculateur!EO3)</f>
        <v>237.8483058552178</v>
      </c>
      <c r="D12" s="147">
        <f>IF(OR('Données projet'!B15="",'Données projet'!C15="",'Données projet'!C15=0%),0,Calculateur!EP3)</f>
        <v>313.36201272119723</v>
      </c>
      <c r="E12" s="147">
        <f t="shared" ca="1" si="0"/>
        <v>237.8483058552178</v>
      </c>
      <c r="F12" s="147">
        <f t="shared" ca="1" si="1"/>
        <v>235.75524076369192</v>
      </c>
      <c r="G12" s="147">
        <f ca="1">F12*(100%-'Données projet'!$C$24)*(100%-'Données projet'!$C$25)*(100%-'Données projet'!$C$26)*(100%-'Données projet'!$C$27)</f>
        <v>212.17971668732272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21.558600000000002</v>
      </c>
      <c r="K12" s="151">
        <f>J12*(100%-'Données projet'!$C$24)*(100%-'Données projet'!$C$25)*(100%-'Données projet'!$C$26)*(100%-'Données projet'!$C$27)</f>
        <v>19.402740000000001</v>
      </c>
      <c r="L12" s="152">
        <f t="shared" ca="1" si="2"/>
        <v>231.58245668732272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Merisier</v>
      </c>
      <c r="B13" s="154">
        <f>'Données projet'!D16</f>
        <v>0.24780000000000002</v>
      </c>
      <c r="C13" s="147">
        <f ca="1">IF(OR('Données projet'!B16="",'Données projet'!C16="",'Données projet'!C16=0%),0,Calculateur!FJ3)</f>
        <v>318.52984981739411</v>
      </c>
      <c r="D13" s="147">
        <f>IF(OR('Données projet'!B16="",'Données projet'!C16="",'Données projet'!C16=0%),0,Calculateur!FK3)</f>
        <v>311.56398336941714</v>
      </c>
      <c r="E13" s="147">
        <f t="shared" ca="1" si="0"/>
        <v>311.56398336941714</v>
      </c>
      <c r="F13" s="147">
        <f t="shared" ca="1" si="1"/>
        <v>77.205555078941572</v>
      </c>
      <c r="G13" s="147">
        <f ca="1">F13*(100%-'Données projet'!$C$24)*(100%-'Données projet'!$C$25)*(100%-'Données projet'!$C$26)*(100%-'Données projet'!$C$27)</f>
        <v>69.48499957104741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10.84125</v>
      </c>
      <c r="K13" s="151">
        <f>J13*(100%-'Données projet'!$C$24)*(100%-'Données projet'!$C$25)*(100%-'Données projet'!$C$26)*(100%-'Données projet'!$C$27)</f>
        <v>9.7571250000000003</v>
      </c>
      <c r="L13" s="152">
        <f t="shared" ca="1" si="2"/>
        <v>79.242124571047412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>Erable sycomore</v>
      </c>
      <c r="B14" s="154">
        <f>'Données projet'!D17</f>
        <v>0.24780000000000002</v>
      </c>
      <c r="C14" s="147">
        <f ca="1">IF(OR('Données projet'!B17="",'Données projet'!C17="",'Données projet'!C17=0%),0,Calculateur!GE3)</f>
        <v>325.72928944930294</v>
      </c>
      <c r="D14" s="147">
        <f>IF(OR('Données projet'!B17="",'Données projet'!C17="",'Données projet'!C17=0%),0,Calculateur!GF3)</f>
        <v>318.38876834819752</v>
      </c>
      <c r="E14" s="147">
        <f t="shared" ca="1" si="0"/>
        <v>318.38876834819752</v>
      </c>
      <c r="F14" s="147">
        <f t="shared" ca="1" si="1"/>
        <v>78.896736796683356</v>
      </c>
      <c r="G14" s="147">
        <f ca="1">F14*(100%-'Données projet'!$C$24)*(100%-'Données projet'!$C$25)*(100%-'Données projet'!$C$26)*(100%-'Données projet'!$C$27)</f>
        <v>71.007063117015022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10.84125</v>
      </c>
      <c r="K14" s="151">
        <f>J14*(100%-'Données projet'!$C$24)*(100%-'Données projet'!$C$25)*(100%-'Données projet'!$C$26)*(100%-'Données projet'!$C$27)</f>
        <v>9.7571250000000003</v>
      </c>
      <c r="L14" s="152">
        <f t="shared" ca="1" si="2"/>
        <v>80.764188117015024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>Tilleul</v>
      </c>
      <c r="B15" s="157">
        <f>'Données projet'!D18</f>
        <v>0.24780000000000002</v>
      </c>
      <c r="C15" s="158">
        <f ca="1">IF(OR('Données projet'!B18="",'Données projet'!C18="",'Données projet'!C18=0%),0,Calculateur!GZ3)</f>
        <v>268.04554291387961</v>
      </c>
      <c r="D15" s="158">
        <f>IF(OR('Données projet'!B18="",'Données projet'!C18="",'Données projet'!C18=0%),0,Calculateur!HA3)</f>
        <v>263.70463099437148</v>
      </c>
      <c r="E15" s="158">
        <f t="shared" ca="1" si="0"/>
        <v>263.70463099437148</v>
      </c>
      <c r="F15" s="159">
        <f t="shared" ca="1" si="1"/>
        <v>65.346007560405255</v>
      </c>
      <c r="G15" s="159">
        <f ca="1">F15*(100%-'Données projet'!$C$24)*(100%-'Données projet'!$C$25)*(100%-'Données projet'!$C$26)*(100%-'Données projet'!$C$27)</f>
        <v>58.811406804364729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10.84125</v>
      </c>
      <c r="K15" s="163">
        <f>J15*(100%-'Données projet'!$C$24)*(100%-'Données projet'!$C$25)*(100%-'Données projet'!$C$26)*(100%-'Données projet'!$C$27)</f>
        <v>9.7571250000000003</v>
      </c>
      <c r="L15" s="164">
        <f t="shared" ca="1" si="2"/>
        <v>68.568531804364724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3063.6642412926958</v>
      </c>
      <c r="G16" s="166">
        <f t="shared" ca="1" si="3"/>
        <v>2757.2978171634263</v>
      </c>
      <c r="H16" s="167">
        <f t="shared" si="3"/>
        <v>46.417430514416935</v>
      </c>
      <c r="I16" s="167">
        <f t="shared" si="3"/>
        <v>41.775687462975242</v>
      </c>
      <c r="J16" s="168">
        <f t="shared" si="3"/>
        <v>431.85345000000007</v>
      </c>
      <c r="K16" s="168">
        <f t="shared" si="3"/>
        <v>388.66810499999997</v>
      </c>
      <c r="L16" s="169">
        <f t="shared" ca="1" si="3"/>
        <v>3187.7416096264019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de Weymouth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Pin maritime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Pin taeda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Douglas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Chêne sessile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Chêne rouge d'Amérique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Merisier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>Erable sycomore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>Tilleul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1" zoomScale="80" zoomScaleNormal="80" workbookViewId="0">
      <selection activeCell="C159" sqref="C15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de Weymouth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437.756401851595</v>
      </c>
      <c r="U10" s="178">
        <f>'Données projet'!D9</f>
        <v>1.9824000000000002</v>
      </c>
      <c r="V10" s="177">
        <f>U10*T10</f>
        <v>867.80829103060205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maritime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1973.8127668054292</v>
      </c>
      <c r="U11" s="178">
        <f>'Données projet'!D10</f>
        <v>1.2390000000000001</v>
      </c>
      <c r="V11" s="177">
        <f t="shared" ref="V11" si="0">U11*T11</f>
        <v>2445.5540180719267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laricio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1793.2997647937482</v>
      </c>
      <c r="U12" s="178">
        <f>'Données projet'!D11</f>
        <v>1.4868000000000001</v>
      </c>
      <c r="V12" s="177">
        <f t="shared" ref="V12:V19" si="1">U12*T12</f>
        <v>2666.278090295345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taeda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629.38156130370851</v>
      </c>
      <c r="U13" s="178">
        <f>'Données projet'!D12</f>
        <v>1.2390000000000001</v>
      </c>
      <c r="V13" s="177">
        <f t="shared" si="1"/>
        <v>779.80375445529489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de Weymouth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Douglas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4260.6208490738636</v>
      </c>
      <c r="U14" s="178">
        <f>'Données projet'!D13</f>
        <v>1.9824000000000002</v>
      </c>
      <c r="V14" s="177">
        <f t="shared" si="1"/>
        <v>8446.2547712040287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sessile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471.49124729379758</v>
      </c>
      <c r="U15" s="178">
        <f>'Données projet'!D14</f>
        <v>2.7258</v>
      </c>
      <c r="V15" s="177">
        <f t="shared" si="1"/>
        <v>1285.1908418734336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30</v>
      </c>
      <c r="O16" s="23"/>
      <c r="P16" s="23"/>
      <c r="Q16" s="234"/>
      <c r="R16" s="23"/>
      <c r="S16" s="36" t="str">
        <f>B200</f>
        <v>Chêne rouge d'Amérique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1627.8558475130596</v>
      </c>
      <c r="U16" s="178">
        <f>'Données projet'!D15</f>
        <v>0.99120000000000008</v>
      </c>
      <c r="V16" s="177">
        <f t="shared" si="1"/>
        <v>1613.5307160549448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>Merisier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1529.7075868900267</v>
      </c>
      <c r="U17" s="178">
        <f>'Données projet'!D16</f>
        <v>0.24780000000000002</v>
      </c>
      <c r="V17" s="177">
        <f t="shared" si="1"/>
        <v>379.06154003134867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8</v>
      </c>
      <c r="O18" s="23"/>
      <c r="P18" s="23"/>
      <c r="Q18" s="234"/>
      <c r="R18" s="23"/>
      <c r="S18" s="36" t="str">
        <f>B262</f>
        <v>Erable sycomore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1529.7075868900267</v>
      </c>
      <c r="U18" s="178">
        <f>'Données projet'!D17</f>
        <v>0.24780000000000002</v>
      </c>
      <c r="V18" s="177">
        <f t="shared" si="1"/>
        <v>379.06154003134867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239.99999999999994</v>
      </c>
      <c r="O19" s="23"/>
      <c r="P19" s="4"/>
      <c r="Q19" s="235"/>
      <c r="R19" s="4"/>
      <c r="S19" s="36" t="str">
        <f>B293</f>
        <v>Tilleul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1356.0895182719289</v>
      </c>
      <c r="U19" s="178">
        <f>'Données projet'!D18</f>
        <v>0.24780000000000002</v>
      </c>
      <c r="V19" s="177">
        <f t="shared" si="1"/>
        <v>336.03898262778404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6398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1369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1369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30</v>
      </c>
      <c r="B23" s="181">
        <f>'Données projet'!D36</f>
        <v>12</v>
      </c>
      <c r="C23" s="193">
        <v>11.600000000000001</v>
      </c>
      <c r="D23" s="182">
        <f>B23*C23</f>
        <v>139.20000000000002</v>
      </c>
      <c r="E23" s="193"/>
      <c r="F23" s="230"/>
      <c r="H23" s="190">
        <v>3</v>
      </c>
      <c r="I23" s="191">
        <v>1369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-108301.04474881741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35</v>
      </c>
      <c r="B24" s="181">
        <f>'Données projet'!D37</f>
        <v>18</v>
      </c>
      <c r="C24" s="193">
        <v>11.600000000000001</v>
      </c>
      <c r="D24" s="182">
        <f t="shared" ref="D24:D42" si="2">B24*C24</f>
        <v>208.8</v>
      </c>
      <c r="E24" s="193"/>
      <c r="F24" s="233"/>
      <c r="H24" s="190">
        <v>4</v>
      </c>
      <c r="I24" s="191">
        <v>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793.95124611162407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20</v>
      </c>
      <c r="C25" s="193">
        <v>11.600000000000001</v>
      </c>
      <c r="D25" s="182">
        <f t="shared" si="2"/>
        <v>232.00000000000003</v>
      </c>
      <c r="E25" s="193"/>
      <c r="F25" s="233"/>
      <c r="H25" s="190">
        <v>5</v>
      </c>
      <c r="I25" s="191">
        <v>161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-109094.99599492904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53</v>
      </c>
      <c r="C26" s="193">
        <v>11.600000000000001</v>
      </c>
      <c r="D26" s="182">
        <f t="shared" si="2"/>
        <v>614.80000000000007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54</v>
      </c>
      <c r="C27" s="193">
        <v>16</v>
      </c>
      <c r="D27" s="182">
        <f t="shared" si="2"/>
        <v>864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52</v>
      </c>
      <c r="C28" s="193">
        <v>17</v>
      </c>
      <c r="D28" s="182">
        <f t="shared" si="2"/>
        <v>884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290</v>
      </c>
      <c r="C29" s="193">
        <v>17</v>
      </c>
      <c r="D29" s="182">
        <f t="shared" si="2"/>
        <v>4930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>
        <v>21</v>
      </c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>
        <v>21</v>
      </c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>
        <v>24</v>
      </c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Pin maritime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12</v>
      </c>
      <c r="B54" s="181">
        <f>'Données projet'!D62</f>
        <v>7</v>
      </c>
      <c r="C54" s="191">
        <v>11.600000000000001</v>
      </c>
      <c r="D54" s="179">
        <f>B54*C54</f>
        <v>81.200000000000017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16</v>
      </c>
      <c r="B55" s="181">
        <f>'Données projet'!D63</f>
        <v>22</v>
      </c>
      <c r="C55" s="191">
        <v>11.600000000000001</v>
      </c>
      <c r="D55" s="179">
        <f t="shared" ref="D55:D73" si="4">B55*C55</f>
        <v>255.20000000000005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20</v>
      </c>
      <c r="B56" s="181">
        <f>'Données projet'!D64</f>
        <v>35</v>
      </c>
      <c r="C56" s="191">
        <v>11.600000000000001</v>
      </c>
      <c r="D56" s="179">
        <f t="shared" si="4"/>
        <v>406.00000000000006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24</v>
      </c>
      <c r="B57" s="181">
        <f>'Données projet'!D65</f>
        <v>42</v>
      </c>
      <c r="C57" s="191">
        <v>11.600000000000001</v>
      </c>
      <c r="D57" s="179">
        <f t="shared" si="4"/>
        <v>487.20000000000005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28</v>
      </c>
      <c r="B58" s="181">
        <f>'Données projet'!D66</f>
        <v>42</v>
      </c>
      <c r="C58" s="191">
        <v>11.600000000000001</v>
      </c>
      <c r="D58" s="179">
        <f t="shared" si="4"/>
        <v>487.20000000000005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34</v>
      </c>
      <c r="B59" s="181">
        <f>'Données projet'!D67</f>
        <v>39</v>
      </c>
      <c r="C59" s="191">
        <v>15.600000000000001</v>
      </c>
      <c r="D59" s="179">
        <f t="shared" si="4"/>
        <v>608.40000000000009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40</v>
      </c>
      <c r="B60" s="181">
        <f>'Données projet'!D68</f>
        <v>36</v>
      </c>
      <c r="C60" s="191">
        <v>15.600000000000001</v>
      </c>
      <c r="D60" s="179">
        <f t="shared" si="4"/>
        <v>561.6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46</v>
      </c>
      <c r="B61" s="181">
        <f>'Données projet'!D69</f>
        <v>36</v>
      </c>
      <c r="C61" s="191">
        <v>17.2</v>
      </c>
      <c r="D61" s="179">
        <f t="shared" si="4"/>
        <v>619.19999999999993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54</v>
      </c>
      <c r="B62" s="181">
        <f>'Données projet'!D70</f>
        <v>36</v>
      </c>
      <c r="C62" s="191">
        <v>17</v>
      </c>
      <c r="D62" s="179">
        <f t="shared" si="4"/>
        <v>612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62</v>
      </c>
      <c r="B63" s="181">
        <f>'Données projet'!D71</f>
        <v>686</v>
      </c>
      <c r="C63" s="191">
        <v>24</v>
      </c>
      <c r="D63" s="179">
        <f t="shared" si="4"/>
        <v>16464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Pin laricio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17</v>
      </c>
      <c r="B85" s="181">
        <f>'Données projet'!D88</f>
        <v>15</v>
      </c>
      <c r="C85" s="191">
        <v>11.600000000000001</v>
      </c>
      <c r="D85" s="179">
        <f>B85*C85</f>
        <v>174.00000000000003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15</v>
      </c>
      <c r="C86" s="191">
        <v>11.600000000000001</v>
      </c>
      <c r="D86" s="179">
        <f t="shared" ref="D86:D104" si="6">B86*C86</f>
        <v>174.00000000000003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25</v>
      </c>
      <c r="B87" s="181">
        <f>'Données projet'!D90</f>
        <v>36</v>
      </c>
      <c r="C87" s="191">
        <v>11.600000000000001</v>
      </c>
      <c r="D87" s="179">
        <f t="shared" si="6"/>
        <v>417.6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30</v>
      </c>
      <c r="B88" s="181">
        <f>'Données projet'!D91</f>
        <v>54</v>
      </c>
      <c r="C88" s="191">
        <v>11.600000000000001</v>
      </c>
      <c r="D88" s="179">
        <f t="shared" si="6"/>
        <v>626.40000000000009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35</v>
      </c>
      <c r="B89" s="181">
        <f>'Données projet'!D92</f>
        <v>52</v>
      </c>
      <c r="C89" s="191">
        <v>11.600000000000001</v>
      </c>
      <c r="D89" s="179">
        <f t="shared" si="6"/>
        <v>603.20000000000005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40</v>
      </c>
      <c r="B90" s="181">
        <f>'Données projet'!D93</f>
        <v>48</v>
      </c>
      <c r="C90" s="191">
        <v>11.600000000000001</v>
      </c>
      <c r="D90" s="179">
        <f t="shared" si="6"/>
        <v>556.80000000000007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45</v>
      </c>
      <c r="B91" s="181">
        <f>'Données projet'!D94</f>
        <v>57</v>
      </c>
      <c r="C91" s="191">
        <v>15.600000000000001</v>
      </c>
      <c r="D91" s="179">
        <f t="shared" si="6"/>
        <v>889.2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50</v>
      </c>
      <c r="B92" s="181">
        <f>'Données projet'!D95</f>
        <v>47</v>
      </c>
      <c r="C92" s="191">
        <v>17.2</v>
      </c>
      <c r="D92" s="179">
        <f t="shared" si="6"/>
        <v>808.4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55</v>
      </c>
      <c r="B93" s="181">
        <f>'Données projet'!D96</f>
        <v>48</v>
      </c>
      <c r="C93" s="191">
        <v>17.2</v>
      </c>
      <c r="D93" s="179">
        <f t="shared" si="6"/>
        <v>825.59999999999991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60</v>
      </c>
      <c r="B94" s="181">
        <f>'Données projet'!D97</f>
        <v>32</v>
      </c>
      <c r="C94" s="191">
        <v>20.8</v>
      </c>
      <c r="D94" s="179">
        <f t="shared" si="6"/>
        <v>665.6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65</v>
      </c>
      <c r="B95" s="181">
        <f>'Données projet'!D98</f>
        <v>555</v>
      </c>
      <c r="C95" s="191">
        <v>24.4</v>
      </c>
      <c r="D95" s="179">
        <f t="shared" si="6"/>
        <v>13542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Pin taeda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12</v>
      </c>
      <c r="B116" s="181">
        <f>'Données projet'!D114</f>
        <v>0</v>
      </c>
      <c r="C116" s="191">
        <v>11.600000000000001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16</v>
      </c>
      <c r="B117" s="181">
        <f>'Données projet'!D115</f>
        <v>4</v>
      </c>
      <c r="C117" s="191">
        <v>11.600000000000001</v>
      </c>
      <c r="D117" s="179">
        <f t="shared" ref="D117:D135" si="8">B117*C117</f>
        <v>46.400000000000006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20</v>
      </c>
      <c r="B118" s="181">
        <f>'Données projet'!D116</f>
        <v>5</v>
      </c>
      <c r="C118" s="191">
        <v>11.600000000000001</v>
      </c>
      <c r="D118" s="179">
        <f t="shared" si="8"/>
        <v>58.000000000000007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24</v>
      </c>
      <c r="B119" s="181">
        <f>'Données projet'!D117</f>
        <v>12</v>
      </c>
      <c r="C119" s="191">
        <v>11.600000000000001</v>
      </c>
      <c r="D119" s="179">
        <f t="shared" si="8"/>
        <v>139.20000000000002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28</v>
      </c>
      <c r="B120" s="181">
        <f>'Données projet'!D118</f>
        <v>13</v>
      </c>
      <c r="C120" s="191">
        <v>11.600000000000001</v>
      </c>
      <c r="D120" s="179">
        <f t="shared" si="8"/>
        <v>150.80000000000001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34</v>
      </c>
      <c r="B121" s="181">
        <f>'Données projet'!D119</f>
        <v>25</v>
      </c>
      <c r="C121" s="191">
        <v>15.600000000000001</v>
      </c>
      <c r="D121" s="179">
        <f t="shared" si="8"/>
        <v>390.00000000000006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40</v>
      </c>
      <c r="B122" s="181">
        <f>'Données projet'!D120</f>
        <v>23</v>
      </c>
      <c r="C122" s="191">
        <v>15.600000000000001</v>
      </c>
      <c r="D122" s="179">
        <f t="shared" si="8"/>
        <v>358.8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46</v>
      </c>
      <c r="B123" s="181">
        <f>'Données projet'!D121</f>
        <v>19</v>
      </c>
      <c r="C123" s="191">
        <v>17.2</v>
      </c>
      <c r="D123" s="179">
        <f t="shared" si="8"/>
        <v>326.8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54</v>
      </c>
      <c r="B124" s="181">
        <f>'Données projet'!D122</f>
        <v>16</v>
      </c>
      <c r="C124" s="191">
        <v>17</v>
      </c>
      <c r="D124" s="179">
        <f t="shared" si="8"/>
        <v>272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62</v>
      </c>
      <c r="B125" s="181">
        <f>'Données projet'!D123</f>
        <v>174</v>
      </c>
      <c r="C125" s="191">
        <v>24</v>
      </c>
      <c r="D125" s="179">
        <f t="shared" si="8"/>
        <v>4176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Douglas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15</v>
      </c>
      <c r="B147" s="175">
        <f>'Données projet'!D140</f>
        <v>0</v>
      </c>
      <c r="C147" s="191">
        <v>11.600000000000001</v>
      </c>
      <c r="D147" s="182">
        <f t="shared" ref="D147:D157" si="10"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20</v>
      </c>
      <c r="B148" s="175">
        <f>'Données projet'!D141</f>
        <v>43</v>
      </c>
      <c r="C148" s="191">
        <v>11.600000000000001</v>
      </c>
      <c r="D148" s="182">
        <f t="shared" si="10"/>
        <v>498.80000000000007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25</v>
      </c>
      <c r="B149" s="175">
        <f>'Données projet'!D142</f>
        <v>60</v>
      </c>
      <c r="C149" s="191">
        <v>11.600000000000001</v>
      </c>
      <c r="D149" s="182">
        <f t="shared" si="10"/>
        <v>696.00000000000011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30</v>
      </c>
      <c r="B150" s="175">
        <f>'Données projet'!D143</f>
        <v>90</v>
      </c>
      <c r="C150" s="191">
        <v>17.600000000000001</v>
      </c>
      <c r="D150" s="182">
        <f t="shared" si="10"/>
        <v>1584.0000000000002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35</v>
      </c>
      <c r="B151" s="175">
        <f>'Données projet'!D144</f>
        <v>72</v>
      </c>
      <c r="C151" s="191">
        <v>23.2</v>
      </c>
      <c r="D151" s="182">
        <f t="shared" si="10"/>
        <v>1670.3999999999999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40</v>
      </c>
      <c r="B152" s="175">
        <f>'Données projet'!D145</f>
        <v>77</v>
      </c>
      <c r="C152" s="191">
        <v>25.8</v>
      </c>
      <c r="D152" s="182">
        <f t="shared" si="10"/>
        <v>1986.6000000000001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45</v>
      </c>
      <c r="B153" s="175">
        <f>'Données projet'!D146</f>
        <v>64</v>
      </c>
      <c r="C153" s="191">
        <v>28.8</v>
      </c>
      <c r="D153" s="182">
        <f t="shared" si="10"/>
        <v>1843.2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50</v>
      </c>
      <c r="B154" s="175">
        <f>'Données projet'!D147</f>
        <v>62</v>
      </c>
      <c r="C154" s="191">
        <v>28.8</v>
      </c>
      <c r="D154" s="182">
        <f t="shared" si="10"/>
        <v>1785.6000000000001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55</v>
      </c>
      <c r="B155" s="175">
        <f>'Données projet'!D148</f>
        <v>46</v>
      </c>
      <c r="C155" s="191">
        <v>31.4</v>
      </c>
      <c r="D155" s="182">
        <f t="shared" si="10"/>
        <v>1444.3999999999999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60</v>
      </c>
      <c r="B156" s="175">
        <f>'Données projet'!D149</f>
        <v>35</v>
      </c>
      <c r="C156" s="191">
        <v>31.4</v>
      </c>
      <c r="D156" s="182">
        <f t="shared" si="10"/>
        <v>1099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65</v>
      </c>
      <c r="B157" s="175">
        <f>'Données projet'!D150</f>
        <v>769</v>
      </c>
      <c r="C157" s="191">
        <v>46.4</v>
      </c>
      <c r="D157" s="182">
        <f t="shared" si="10"/>
        <v>35681.599999999999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ref="D158:D166" si="11">B158*C158</f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Chêne sessile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36</v>
      </c>
      <c r="B178" s="181">
        <f>'Données projet'!D166</f>
        <v>35</v>
      </c>
      <c r="C178" s="193">
        <v>8</v>
      </c>
      <c r="D178" s="179">
        <f>B178*C178</f>
        <v>280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44</v>
      </c>
      <c r="B179" s="181">
        <f>'Données projet'!D167</f>
        <v>46</v>
      </c>
      <c r="C179" s="193">
        <v>9</v>
      </c>
      <c r="D179" s="179">
        <f t="shared" ref="D179:D197" si="12">B179*C179</f>
        <v>414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52</v>
      </c>
      <c r="B180" s="181">
        <f>'Données projet'!D168</f>
        <v>63</v>
      </c>
      <c r="C180" s="193">
        <v>9</v>
      </c>
      <c r="D180" s="179">
        <f t="shared" si="12"/>
        <v>567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60</v>
      </c>
      <c r="B181" s="181">
        <f>'Données projet'!D169</f>
        <v>54</v>
      </c>
      <c r="C181" s="193">
        <v>9</v>
      </c>
      <c r="D181" s="179">
        <f t="shared" si="12"/>
        <v>486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69</v>
      </c>
      <c r="B182" s="181">
        <f>'Données projet'!D170</f>
        <v>51</v>
      </c>
      <c r="C182" s="193">
        <v>9</v>
      </c>
      <c r="D182" s="179">
        <f t="shared" si="12"/>
        <v>459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78</v>
      </c>
      <c r="B183" s="181">
        <f>'Données projet'!D171</f>
        <v>49</v>
      </c>
      <c r="C183" s="193">
        <v>14.2</v>
      </c>
      <c r="D183" s="179">
        <f t="shared" si="12"/>
        <v>695.8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87</v>
      </c>
      <c r="B184" s="181">
        <f>'Données projet'!D172</f>
        <v>45</v>
      </c>
      <c r="C184" s="193">
        <v>24.3</v>
      </c>
      <c r="D184" s="179">
        <f t="shared" si="12"/>
        <v>1093.5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96</v>
      </c>
      <c r="B185" s="181">
        <f>'Données projet'!D173</f>
        <v>44</v>
      </c>
      <c r="C185" s="193">
        <v>57.4</v>
      </c>
      <c r="D185" s="179">
        <f t="shared" si="12"/>
        <v>2525.6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105</v>
      </c>
      <c r="B186" s="181">
        <f>'Données projet'!D174</f>
        <v>43</v>
      </c>
      <c r="C186" s="193">
        <v>93.6</v>
      </c>
      <c r="D186" s="179">
        <f t="shared" si="12"/>
        <v>4024.7999999999997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114</v>
      </c>
      <c r="B187" s="181">
        <f>'Données projet'!D175</f>
        <v>43</v>
      </c>
      <c r="C187" s="193">
        <v>93.6</v>
      </c>
      <c r="D187" s="179">
        <f t="shared" si="12"/>
        <v>4024.7999999999997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123</v>
      </c>
      <c r="B188" s="181">
        <f>'Données projet'!D176</f>
        <v>41</v>
      </c>
      <c r="C188" s="193">
        <v>93.6</v>
      </c>
      <c r="D188" s="179">
        <f t="shared" si="12"/>
        <v>3837.6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132</v>
      </c>
      <c r="B189" s="181">
        <f>'Données projet'!D177</f>
        <v>42</v>
      </c>
      <c r="C189" s="193">
        <v>93.6</v>
      </c>
      <c r="D189" s="179">
        <f t="shared" si="12"/>
        <v>3931.2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141</v>
      </c>
      <c r="B190" s="181">
        <f>'Données projet'!D178</f>
        <v>45</v>
      </c>
      <c r="C190" s="193">
        <v>93.6</v>
      </c>
      <c r="D190" s="179">
        <f t="shared" si="12"/>
        <v>4212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153</v>
      </c>
      <c r="B191" s="181">
        <f>'Données projet'!D179</f>
        <v>481</v>
      </c>
      <c r="C191" s="193">
        <v>93.6</v>
      </c>
      <c r="D191" s="179">
        <f t="shared" si="12"/>
        <v>45021.599999999999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Chêne rouge d'Amérique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20</v>
      </c>
      <c r="B209" s="181">
        <f>'Données projet'!D192</f>
        <v>43</v>
      </c>
      <c r="C209" s="193">
        <v>9</v>
      </c>
      <c r="D209" s="179">
        <f>B209*C209</f>
        <v>387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30</v>
      </c>
      <c r="B210" s="181">
        <f>'Données projet'!D193</f>
        <v>44</v>
      </c>
      <c r="C210" s="193">
        <v>9</v>
      </c>
      <c r="D210" s="179">
        <f t="shared" ref="D210:D228" si="13">B210*C210</f>
        <v>396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40</v>
      </c>
      <c r="B211" s="181">
        <f>'Données projet'!D194</f>
        <v>39</v>
      </c>
      <c r="C211" s="193">
        <v>14</v>
      </c>
      <c r="D211" s="179">
        <f t="shared" si="13"/>
        <v>546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50</v>
      </c>
      <c r="B212" s="181">
        <f>'Données projet'!D195</f>
        <v>33</v>
      </c>
      <c r="C212" s="193">
        <v>24</v>
      </c>
      <c r="D212" s="179">
        <f t="shared" si="13"/>
        <v>792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60</v>
      </c>
      <c r="B213" s="181">
        <f>'Données projet'!D196</f>
        <v>26</v>
      </c>
      <c r="C213" s="193">
        <v>57</v>
      </c>
      <c r="D213" s="179">
        <f t="shared" si="13"/>
        <v>1482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70</v>
      </c>
      <c r="B214" s="181">
        <f>'Données projet'!D197</f>
        <v>249</v>
      </c>
      <c r="C214" s="193">
        <v>94</v>
      </c>
      <c r="D214" s="179">
        <f t="shared" si="13"/>
        <v>23406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3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3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3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3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Merisier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10</v>
      </c>
      <c r="B240" s="181">
        <f>'Données projet'!D218</f>
        <v>7</v>
      </c>
      <c r="C240" s="193">
        <v>8</v>
      </c>
      <c r="D240" s="179">
        <f>B240*C240</f>
        <v>56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15</v>
      </c>
      <c r="B241" s="181">
        <f>'Données projet'!D219</f>
        <v>42</v>
      </c>
      <c r="C241" s="193">
        <v>8</v>
      </c>
      <c r="D241" s="179">
        <f t="shared" ref="D241:D259" si="14">B241*C241</f>
        <v>336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20</v>
      </c>
      <c r="B242" s="181">
        <f>'Données projet'!D220</f>
        <v>42</v>
      </c>
      <c r="C242" s="193">
        <v>8</v>
      </c>
      <c r="D242" s="179">
        <f t="shared" si="14"/>
        <v>336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25</v>
      </c>
      <c r="B243" s="181">
        <f>'Données projet'!D221</f>
        <v>42</v>
      </c>
      <c r="C243" s="193">
        <v>8</v>
      </c>
      <c r="D243" s="179">
        <f t="shared" si="14"/>
        <v>336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30</v>
      </c>
      <c r="B244" s="181">
        <f>'Données projet'!D222</f>
        <v>42</v>
      </c>
      <c r="C244" s="193">
        <v>8</v>
      </c>
      <c r="D244" s="179">
        <f t="shared" si="14"/>
        <v>336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35</v>
      </c>
      <c r="B245" s="181">
        <f>'Données projet'!D223</f>
        <v>42</v>
      </c>
      <c r="C245" s="193">
        <v>11.000000000000002</v>
      </c>
      <c r="D245" s="179">
        <f t="shared" si="14"/>
        <v>462.00000000000006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40</v>
      </c>
      <c r="B246" s="181">
        <f>'Données projet'!D224</f>
        <v>40</v>
      </c>
      <c r="C246" s="193">
        <v>14.799999999999999</v>
      </c>
      <c r="D246" s="179">
        <f t="shared" si="14"/>
        <v>592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45</v>
      </c>
      <c r="B247" s="181">
        <f>'Données projet'!D225</f>
        <v>26</v>
      </c>
      <c r="C247" s="193">
        <v>22.8</v>
      </c>
      <c r="D247" s="179">
        <f t="shared" si="14"/>
        <v>592.80000000000007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50</v>
      </c>
      <c r="B248" s="181">
        <f>'Données projet'!D226</f>
        <v>21</v>
      </c>
      <c r="C248" s="193">
        <v>30.8</v>
      </c>
      <c r="D248" s="179">
        <f t="shared" si="14"/>
        <v>646.80000000000007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55</v>
      </c>
      <c r="B249" s="181">
        <f>'Données projet'!D227</f>
        <v>18</v>
      </c>
      <c r="C249" s="193">
        <v>38.599999999999994</v>
      </c>
      <c r="D249" s="179">
        <f t="shared" si="14"/>
        <v>694.8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60</v>
      </c>
      <c r="B250" s="181">
        <f>'Données projet'!D228</f>
        <v>17</v>
      </c>
      <c r="C250" s="193">
        <v>38.599999999999994</v>
      </c>
      <c r="D250" s="179">
        <f t="shared" si="14"/>
        <v>656.19999999999993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65</v>
      </c>
      <c r="B251" s="181">
        <f>'Données projet'!D229</f>
        <v>16</v>
      </c>
      <c r="C251" s="193">
        <v>38.599999999999994</v>
      </c>
      <c r="D251" s="179">
        <f t="shared" si="14"/>
        <v>617.59999999999991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70</v>
      </c>
      <c r="B252" s="181">
        <f>'Données projet'!D230</f>
        <v>15</v>
      </c>
      <c r="C252" s="193">
        <v>38.599999999999994</v>
      </c>
      <c r="D252" s="179">
        <f t="shared" si="14"/>
        <v>578.99999999999989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75</v>
      </c>
      <c r="B253" s="181">
        <f>'Données projet'!D231</f>
        <v>14</v>
      </c>
      <c r="C253" s="193">
        <v>38.599999999999994</v>
      </c>
      <c r="D253" s="179">
        <f t="shared" si="14"/>
        <v>540.39999999999986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80</v>
      </c>
      <c r="B254" s="181">
        <f>'Données projet'!D232</f>
        <v>381</v>
      </c>
      <c r="C254" s="193">
        <v>38.599999999999994</v>
      </c>
      <c r="D254" s="179">
        <f t="shared" si="14"/>
        <v>14706.599999999999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>Erable sycomore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10</v>
      </c>
      <c r="B271" s="181">
        <f>'Données projet'!D244</f>
        <v>7</v>
      </c>
      <c r="C271" s="193">
        <v>8</v>
      </c>
      <c r="D271" s="179">
        <f>B271*C271</f>
        <v>56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15</v>
      </c>
      <c r="B272" s="181">
        <f>'Données projet'!D245</f>
        <v>42</v>
      </c>
      <c r="C272" s="193">
        <v>8</v>
      </c>
      <c r="D272" s="179">
        <f t="shared" ref="D272:D290" si="15">B272*C272</f>
        <v>336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20</v>
      </c>
      <c r="B273" s="181">
        <f>'Données projet'!D246</f>
        <v>42</v>
      </c>
      <c r="C273" s="193">
        <v>8</v>
      </c>
      <c r="D273" s="179">
        <f t="shared" si="15"/>
        <v>336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25</v>
      </c>
      <c r="B274" s="181">
        <f>'Données projet'!D247</f>
        <v>42</v>
      </c>
      <c r="C274" s="193">
        <v>8</v>
      </c>
      <c r="D274" s="179">
        <f t="shared" si="15"/>
        <v>336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30</v>
      </c>
      <c r="B275" s="181">
        <f>'Données projet'!D248</f>
        <v>42</v>
      </c>
      <c r="C275" s="193">
        <v>8</v>
      </c>
      <c r="D275" s="179">
        <f t="shared" si="15"/>
        <v>336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35</v>
      </c>
      <c r="B276" s="181">
        <f>'Données projet'!D249</f>
        <v>42</v>
      </c>
      <c r="C276" s="193">
        <v>11.000000000000002</v>
      </c>
      <c r="D276" s="179">
        <f t="shared" si="15"/>
        <v>462.00000000000006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40</v>
      </c>
      <c r="B277" s="181">
        <f>'Données projet'!D250</f>
        <v>40</v>
      </c>
      <c r="C277" s="193">
        <v>14.799999999999999</v>
      </c>
      <c r="D277" s="179">
        <f t="shared" si="15"/>
        <v>592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45</v>
      </c>
      <c r="B278" s="181">
        <f>'Données projet'!D251</f>
        <v>26</v>
      </c>
      <c r="C278" s="193">
        <v>22.8</v>
      </c>
      <c r="D278" s="179">
        <f t="shared" si="15"/>
        <v>592.80000000000007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50</v>
      </c>
      <c r="B279" s="181">
        <f>'Données projet'!D252</f>
        <v>21</v>
      </c>
      <c r="C279" s="193">
        <v>30.8</v>
      </c>
      <c r="D279" s="179">
        <f t="shared" si="15"/>
        <v>646.80000000000007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55</v>
      </c>
      <c r="B280" s="181">
        <f>'Données projet'!D253</f>
        <v>18</v>
      </c>
      <c r="C280" s="193">
        <v>38.599999999999994</v>
      </c>
      <c r="D280" s="179">
        <f t="shared" si="15"/>
        <v>694.8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60</v>
      </c>
      <c r="B281" s="181">
        <f>'Données projet'!D254</f>
        <v>17</v>
      </c>
      <c r="C281" s="193">
        <v>38.599999999999994</v>
      </c>
      <c r="D281" s="179">
        <f t="shared" si="15"/>
        <v>656.19999999999993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65</v>
      </c>
      <c r="B282" s="181">
        <f>'Données projet'!D255</f>
        <v>16</v>
      </c>
      <c r="C282" s="193">
        <v>38.599999999999994</v>
      </c>
      <c r="D282" s="179">
        <f t="shared" si="15"/>
        <v>617.59999999999991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70</v>
      </c>
      <c r="B283" s="181">
        <f>'Données projet'!D256</f>
        <v>15</v>
      </c>
      <c r="C283" s="193">
        <v>38.599999999999994</v>
      </c>
      <c r="D283" s="179">
        <f t="shared" si="15"/>
        <v>578.99999999999989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75</v>
      </c>
      <c r="B284" s="181">
        <f>'Données projet'!D257</f>
        <v>14</v>
      </c>
      <c r="C284" s="193">
        <v>38.599999999999994</v>
      </c>
      <c r="D284" s="179">
        <f t="shared" si="15"/>
        <v>540.39999999999986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80</v>
      </c>
      <c r="B285" s="181">
        <f>'Données projet'!D258</f>
        <v>381</v>
      </c>
      <c r="C285" s="193">
        <v>38.599999999999994</v>
      </c>
      <c r="D285" s="179">
        <f t="shared" si="15"/>
        <v>14706.599999999999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>Tilleul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10</v>
      </c>
      <c r="B302" s="181">
        <f>'Données projet'!D270</f>
        <v>7</v>
      </c>
      <c r="C302" s="191">
        <v>8</v>
      </c>
      <c r="D302" s="182">
        <f>B302*C302</f>
        <v>56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15</v>
      </c>
      <c r="B303" s="181">
        <f>'Données projet'!D271</f>
        <v>42</v>
      </c>
      <c r="C303" s="191">
        <v>8</v>
      </c>
      <c r="D303" s="182">
        <f t="shared" ref="D303:D321" si="16">B303*C303</f>
        <v>336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20</v>
      </c>
      <c r="B304" s="181">
        <f>'Données projet'!D272</f>
        <v>42</v>
      </c>
      <c r="C304" s="191">
        <v>8</v>
      </c>
      <c r="D304" s="182">
        <f t="shared" si="16"/>
        <v>336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25</v>
      </c>
      <c r="B305" s="181">
        <f>'Données projet'!D273</f>
        <v>42</v>
      </c>
      <c r="C305" s="191">
        <v>8</v>
      </c>
      <c r="D305" s="182">
        <f t="shared" si="16"/>
        <v>336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30</v>
      </c>
      <c r="B306" s="181">
        <f>'Données projet'!D274</f>
        <v>42</v>
      </c>
      <c r="C306" s="191">
        <v>8</v>
      </c>
      <c r="D306" s="182">
        <f t="shared" si="16"/>
        <v>336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35</v>
      </c>
      <c r="B307" s="181">
        <f>'Données projet'!D275</f>
        <v>42</v>
      </c>
      <c r="C307" s="191">
        <v>11.000000000000002</v>
      </c>
      <c r="D307" s="182">
        <f t="shared" si="16"/>
        <v>462.00000000000006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40</v>
      </c>
      <c r="B308" s="181">
        <f>'Données projet'!D276</f>
        <v>40</v>
      </c>
      <c r="C308" s="191">
        <v>14.799999999999999</v>
      </c>
      <c r="D308" s="182">
        <f t="shared" si="16"/>
        <v>592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45</v>
      </c>
      <c r="B309" s="181">
        <f>'Données projet'!D277</f>
        <v>26</v>
      </c>
      <c r="C309" s="191">
        <v>22.8</v>
      </c>
      <c r="D309" s="182">
        <f t="shared" si="16"/>
        <v>592.80000000000007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50</v>
      </c>
      <c r="B310" s="181">
        <f>'Données projet'!D278</f>
        <v>21</v>
      </c>
      <c r="C310" s="191">
        <v>30.8</v>
      </c>
      <c r="D310" s="182">
        <f t="shared" si="16"/>
        <v>646.80000000000007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55</v>
      </c>
      <c r="B311" s="181">
        <f>'Données projet'!D279</f>
        <v>18</v>
      </c>
      <c r="C311" s="191">
        <v>38.599999999999994</v>
      </c>
      <c r="D311" s="182">
        <f t="shared" si="16"/>
        <v>694.8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60</v>
      </c>
      <c r="B312" s="181">
        <f>'Données projet'!D280</f>
        <v>17</v>
      </c>
      <c r="C312" s="191">
        <v>38.599999999999994</v>
      </c>
      <c r="D312" s="182">
        <f t="shared" si="16"/>
        <v>656.19999999999993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65</v>
      </c>
      <c r="B313" s="181">
        <f>'Données projet'!D281</f>
        <v>16</v>
      </c>
      <c r="C313" s="191">
        <v>38.599999999999994</v>
      </c>
      <c r="D313" s="182">
        <f t="shared" si="16"/>
        <v>617.59999999999991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70</v>
      </c>
      <c r="B314" s="181">
        <f>'Données projet'!D282</f>
        <v>15</v>
      </c>
      <c r="C314" s="191">
        <v>38.599999999999994</v>
      </c>
      <c r="D314" s="182">
        <f t="shared" si="16"/>
        <v>578.99999999999989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75</v>
      </c>
      <c r="B315" s="181">
        <f>'Données projet'!D283</f>
        <v>14</v>
      </c>
      <c r="C315" s="191">
        <v>38.599999999999994</v>
      </c>
      <c r="D315" s="182">
        <f t="shared" si="16"/>
        <v>540.39999999999986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80</v>
      </c>
      <c r="B316" s="181">
        <f>'Données projet'!D284</f>
        <v>381</v>
      </c>
      <c r="C316" s="191">
        <v>38.599999999999994</v>
      </c>
      <c r="D316" s="182">
        <f t="shared" si="16"/>
        <v>14706.599999999999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ALVES PEREIRA Carolina</cp:lastModifiedBy>
  <dcterms:created xsi:type="dcterms:W3CDTF">2021-02-01T08:22:39Z</dcterms:created>
  <dcterms:modified xsi:type="dcterms:W3CDTF">2025-02-27T13:57:57Z</dcterms:modified>
</cp:coreProperties>
</file>