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3-DEPOSE/373-R-GEDEFOR55-GES(55)-TREMBLOT-GFleTremblot-Rémy-Dagonville-23,8ha/"/>
    </mc:Choice>
  </mc:AlternateContent>
  <xr:revisionPtr revIDLastSave="0" documentId="13_ncr:1_{94A7745C-5D38-8840-8335-C8E6934886E5}" xr6:coauthVersionLast="47" xr6:coauthVersionMax="47" xr10:uidLastSave="{00000000-0000-0000-0000-000000000000}"/>
  <bookViews>
    <workbookView xWindow="1260" yWindow="760" windowWidth="24180" windowHeight="1888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3" i="6" l="1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BQ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FR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HG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HG20" i="2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V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V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HI38" i="2"/>
  <c r="FS38" i="2"/>
  <c r="EA38" i="2"/>
  <c r="HH38" i="2"/>
  <c r="EX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G44" i="2"/>
  <c r="EC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HH57" i="2"/>
  <c r="EB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H75" i="2"/>
  <c r="HG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A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B112" i="2"/>
  <c r="FQ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HI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FS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FS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HH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FS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R140" i="2"/>
  <c r="FS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FR144" i="2"/>
  <c r="HH144" i="2"/>
  <c r="HG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I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G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HG154" i="2"/>
  <c r="HJ154" i="2" s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A155" i="2"/>
  <c r="EX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DH156" i="2"/>
  <c r="AB156" i="2"/>
  <c r="EB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A157" i="2"/>
  <c r="HH157" i="2"/>
  <c r="EC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W158" i="2"/>
  <c r="EC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HH161" i="2"/>
  <c r="FS161" i="2"/>
  <c r="EA161" i="2"/>
  <c r="HG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W162" i="2"/>
  <c r="HH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EB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X167" i="2"/>
  <c r="HI167" i="2"/>
  <c r="DG167" i="2"/>
  <c r="EB167" i="2"/>
  <c r="FR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EW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HH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W185" i="2"/>
  <c r="EV185" i="2"/>
  <c r="HI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EV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H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C192" i="2"/>
  <c r="EB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FQ193" i="2"/>
  <c r="EA193" i="2"/>
  <c r="HI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G197" i="2" l="1"/>
  <c r="AA197" i="2"/>
  <c r="EW197" i="2"/>
  <c r="EA197" i="2"/>
  <c r="HH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B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D200" i="2"/>
  <c r="DI200" i="2" l="1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X202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126" i="2" a="1"/>
  <c r="BC126" i="2" s="1"/>
  <c r="BC65" i="2" a="1"/>
  <c r="BC65" i="2" s="1"/>
  <c r="BC181" i="2" a="1"/>
  <c r="BC181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64" i="2" a="1"/>
  <c r="BC164" i="2" s="1"/>
  <c r="BC143" i="2" a="1"/>
  <c r="BC143" i="2" s="1"/>
  <c r="BC151" i="2" a="1"/>
  <c r="BC151" i="2" s="1"/>
  <c r="BC83" i="2" a="1"/>
  <c r="BC83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CS66" i="2" l="1" a="1"/>
  <c r="CS66" i="2" s="1"/>
  <c r="CS77" i="2" a="1"/>
  <c r="CS77" i="2" s="1"/>
  <c r="BX107" i="2" a="1"/>
  <c r="BX107" i="2" s="1"/>
  <c r="BC82" i="2" a="1"/>
  <c r="BC82" i="2" s="1"/>
  <c r="BC38" i="2" a="1"/>
  <c r="BC38" i="2" s="1"/>
  <c r="BC185" i="2" a="1"/>
  <c r="BC185" i="2" s="1"/>
  <c r="BC47" i="2" a="1"/>
  <c r="BC47" i="2" s="1"/>
  <c r="BC7" i="2" a="1"/>
  <c r="BC7" i="2" s="1"/>
  <c r="BD7" i="2" s="1"/>
  <c r="BC32" i="2" a="1"/>
  <c r="BC32" i="2" s="1"/>
  <c r="BC58" i="2" a="1"/>
  <c r="BC58" i="2" s="1"/>
  <c r="BC31" i="2" a="1"/>
  <c r="BC31" i="2" s="1"/>
  <c r="BC84" i="2" a="1"/>
  <c r="BC84" i="2" s="1"/>
  <c r="BC192" i="2" a="1"/>
  <c r="BC192" i="2" s="1"/>
  <c r="BC68" i="2" a="1"/>
  <c r="BC68" i="2" s="1"/>
  <c r="BC34" i="2" a="1"/>
  <c r="BC34" i="2" s="1"/>
  <c r="BC117" i="2" a="1"/>
  <c r="BC117" i="2" s="1"/>
  <c r="BC114" i="2" a="1"/>
  <c r="BC114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19" i="2" a="1"/>
  <c r="AH19" i="2" s="1"/>
  <c r="AH90" i="2" a="1"/>
  <c r="AH90" i="2" s="1"/>
  <c r="BP203" i="2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23" i="2" l="1"/>
  <c r="BI166" i="2"/>
  <c r="BI198" i="2"/>
  <c r="BI136" i="2"/>
  <c r="BI86" i="2"/>
  <c r="BI175" i="2"/>
  <c r="BI201" i="2"/>
  <c r="BI117" i="2"/>
  <c r="BI200" i="2"/>
  <c r="BI192" i="2"/>
  <c r="BI185" i="2"/>
  <c r="BI64" i="2"/>
  <c r="BI110" i="2"/>
  <c r="BI51" i="2"/>
  <c r="BI19" i="2"/>
  <c r="BI84" i="2"/>
  <c r="BI74" i="2"/>
  <c r="BI170" i="2"/>
  <c r="BI144" i="2"/>
  <c r="BI152" i="2"/>
  <c r="BI92" i="2"/>
  <c r="BI157" i="2"/>
  <c r="BI119" i="2"/>
  <c r="BI150" i="2"/>
  <c r="BI120" i="2"/>
  <c r="BI47" i="2"/>
  <c r="BI18" i="2"/>
  <c r="BI154" i="2"/>
  <c r="BI78" i="2"/>
  <c r="BI156" i="2"/>
  <c r="BI15" i="2"/>
  <c r="BI63" i="2"/>
  <c r="BI197" i="2"/>
  <c r="BI4" i="2"/>
  <c r="BI129" i="2"/>
  <c r="BI56" i="2"/>
  <c r="BI73" i="2"/>
  <c r="BI169" i="2"/>
  <c r="BI89" i="2"/>
  <c r="BI106" i="2"/>
  <c r="BI37" i="2"/>
  <c r="BI9" i="2"/>
  <c r="BI202" i="2"/>
  <c r="BI174" i="2"/>
  <c r="BI194" i="2"/>
  <c r="BI83" i="2"/>
  <c r="BI26" i="2"/>
  <c r="BI179" i="2"/>
  <c r="BI151" i="2"/>
  <c r="BI139" i="2"/>
  <c r="BI184" i="2"/>
  <c r="BI123" i="2"/>
  <c r="BI141" i="2"/>
  <c r="BI165" i="2"/>
  <c r="BI11" i="2"/>
  <c r="BI32" i="2"/>
  <c r="BI101" i="2"/>
  <c r="BI118" i="2"/>
  <c r="BI161" i="2"/>
  <c r="BI96" i="2"/>
  <c r="BI128" i="2"/>
  <c r="BI203" i="2"/>
  <c r="BI183" i="2"/>
  <c r="BI30" i="2"/>
  <c r="BI79" i="2"/>
  <c r="BI112" i="2"/>
  <c r="BI52" i="2"/>
  <c r="BI164" i="2"/>
  <c r="BI35" i="2"/>
  <c r="BI137" i="2"/>
  <c r="BI46" i="2"/>
  <c r="BI109" i="2"/>
  <c r="BI104" i="2"/>
  <c r="BI5" i="2"/>
  <c r="BI162" i="2"/>
  <c r="BI163" i="2"/>
  <c r="BI49" i="2"/>
  <c r="BI187" i="2"/>
  <c r="BI42" i="2"/>
  <c r="BI67" i="2"/>
  <c r="BI43" i="2"/>
  <c r="BI146" i="2"/>
  <c r="BI91" i="2"/>
  <c r="BI61" i="2"/>
  <c r="BI143" i="2"/>
  <c r="BI107" i="2"/>
  <c r="BI127" i="2"/>
  <c r="BI135" i="2"/>
  <c r="BI158" i="2"/>
  <c r="BI53" i="2"/>
  <c r="BI27" i="2"/>
  <c r="BI22" i="2"/>
  <c r="BI69" i="2"/>
  <c r="BI65" i="2"/>
  <c r="BI126" i="2"/>
  <c r="BI20" i="2"/>
  <c r="BI6" i="2"/>
  <c r="BI133" i="2"/>
  <c r="BI34" i="2"/>
  <c r="BI90" i="2"/>
  <c r="BI130" i="2"/>
  <c r="BI82" i="2"/>
  <c r="BI25" i="2"/>
  <c r="BI7" i="2"/>
  <c r="BI44" i="2"/>
  <c r="BI80" i="2"/>
  <c r="BI14" i="2"/>
  <c r="BI148" i="2"/>
  <c r="BI10" i="2"/>
  <c r="BI149" i="2"/>
  <c r="BI93" i="2"/>
  <c r="BI111" i="2"/>
  <c r="BI97" i="2"/>
  <c r="BI167" i="2"/>
  <c r="BI159" i="2"/>
  <c r="BI145" i="2"/>
  <c r="BI99" i="2"/>
  <c r="BI16" i="2"/>
  <c r="BI173" i="2"/>
  <c r="BI108" i="2"/>
  <c r="BI138" i="2"/>
  <c r="BI196" i="2"/>
  <c r="BI70" i="2"/>
  <c r="BI57" i="2"/>
  <c r="BI153" i="2"/>
  <c r="BI33" i="2"/>
  <c r="BI172" i="2"/>
  <c r="BI140" i="2"/>
  <c r="BI160" i="2"/>
  <c r="BI24" i="2"/>
  <c r="BI181" i="2"/>
  <c r="BI189" i="2"/>
  <c r="BI58" i="2"/>
  <c r="BI66" i="2"/>
  <c r="BI54" i="2"/>
  <c r="BI113" i="2"/>
  <c r="BI31" i="2"/>
  <c r="BI75" i="2"/>
  <c r="BI188" i="2"/>
  <c r="BI48" i="2"/>
  <c r="BI29" i="2"/>
  <c r="BI85" i="2"/>
  <c r="BI178" i="2"/>
  <c r="BI71" i="2"/>
  <c r="BI81" i="2"/>
  <c r="BI94" i="2"/>
  <c r="BI155" i="2"/>
  <c r="BI21" i="2"/>
  <c r="BI122" i="2"/>
  <c r="BI171" i="2"/>
  <c r="BI45" i="2"/>
  <c r="BI13" i="2"/>
  <c r="BI142" i="2"/>
  <c r="BI98" i="2"/>
  <c r="BI186" i="2"/>
  <c r="BI8" i="2"/>
  <c r="BI12" i="2"/>
  <c r="BI39" i="2"/>
  <c r="BI102" i="2"/>
  <c r="BI191" i="2"/>
  <c r="BI76" i="2"/>
  <c r="BI38" i="2"/>
  <c r="BI132" i="2"/>
  <c r="BI182" i="2"/>
  <c r="BI87" i="2"/>
  <c r="BI55" i="2"/>
  <c r="BI60" i="2"/>
  <c r="BI62" i="2"/>
  <c r="BI41" i="2"/>
  <c r="BI176" i="2"/>
  <c r="BI3" i="2"/>
  <c r="C8" i="4" s="1"/>
  <c r="E8" i="4" s="1"/>
  <c r="F8" i="4" s="1"/>
  <c r="G8" i="4" s="1"/>
  <c r="L8" i="4" s="1"/>
  <c r="BI124" i="2"/>
  <c r="BI100" i="2"/>
  <c r="BI147" i="2"/>
  <c r="BI72" i="2"/>
  <c r="BI115" i="2"/>
  <c r="BI95" i="2"/>
  <c r="BI193" i="2"/>
  <c r="BI40" i="2"/>
  <c r="BI103" i="2"/>
  <c r="BI114" i="2"/>
  <c r="BI17" i="2"/>
  <c r="BI134" i="2"/>
  <c r="BI180" i="2"/>
  <c r="BI125" i="2"/>
  <c r="BI116" i="2"/>
  <c r="BI28" i="2"/>
  <c r="BI177" i="2"/>
  <c r="BI190" i="2"/>
  <c r="BI168" i="2"/>
  <c r="BI105" i="2"/>
  <c r="BI77" i="2"/>
  <c r="BI50" i="2"/>
  <c r="BI36" i="2"/>
  <c r="BI68" i="2"/>
  <c r="BI88" i="2"/>
  <c r="BI59" i="2"/>
  <c r="BI199" i="2"/>
  <c r="BI131" i="2"/>
  <c r="BI195" i="2"/>
  <c r="BI121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<sst xmlns="http://schemas.openxmlformats.org/spreadsheetml/2006/main" count="1185" uniqueCount="330">
  <si>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</si>
  <si>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</si>
  <si>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</si>
  <si>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</si>
  <si>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</si>
  <si>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</si>
  <si>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</si>
  <si>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</si>
  <si>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</si>
  <si>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</si>
  <si>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</si>
  <si>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</si>
  <si>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</si>
  <si>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</si>
  <si>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</si>
  <si>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</si>
  <si>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</si>
  <si>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</si>
  <si>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</si>
  <si>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</si>
  <si>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</si>
  <si>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</si>
  <si>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</si>
  <si>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</si>
  <si>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</si>
  <si>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</si>
  <si>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</si>
  <si>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</si>
  <si>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</si>
  <si>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</si>
  <si>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</si>
  <si>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</si>
  <si>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</si>
  <si>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</si>
  <si>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</si>
  <si>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</si>
  <si>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</si>
  <si>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</si>
  <si>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</si>
  <si>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</si>
  <si>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</si>
  <si>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</si>
  <si>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</si>
  <si>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</si>
  <si>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</si>
  <si>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</si>
  <si>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</si>
  <si>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</si>
  <si>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</si>
  <si>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</si>
  <si>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</si>
  <si>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</si>
  <si>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</si>
  <si>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</si>
  <si>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</si>
  <si>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</si>
  <si>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</si>
  <si>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</si>
  <si>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</si>
  <si>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</si>
  <si>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</si>
  <si>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</si>
  <si>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</si>
  <si>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</si>
  <si>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</si>
  <si>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</si>
  <si>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</si>
  <si>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</si>
  <si>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</si>
  <si>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</si>
  <si>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</si>
  <si>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</si>
  <si>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</si>
  <si>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</si>
  <si>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</si>
  <si>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</si>
  <si>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</si>
  <si>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</si>
  <si>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</si>
  <si>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</si>
  <si>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</si>
  <si>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</si>
  <si>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</si>
  <si>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</si>
  <si>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</si>
  <si>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</si>
  <si>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</si>
  <si>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</si>
  <si>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</si>
  <si>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</si>
  <si>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</si>
  <si>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</si>
  <si>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</si>
  <si>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</si>
  <si>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</si>
  <si>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</si>
  <si>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</si>
  <si>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</si>
  <si>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</si>
  <si>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</si>
  <si>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</si>
  <si>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</si>
  <si>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</si>
  <si>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</si>
  <si>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</si>
  <si>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</si>
  <si>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</si>
  <si>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</si>
  <si>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</si>
  <si>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</si>
  <si>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</si>
  <si>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</si>
  <si>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</si>
  <si>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</si>
  <si>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</si>
  <si>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</si>
  <si>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</si>
  <si>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</si>
  <si>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</si>
  <si>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</si>
  <si>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</si>
  <si>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</si>
  <si>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</si>
  <si>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</si>
  <si>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</si>
  <si>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</si>
  <si>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</si>
  <si>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</si>
  <si>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</si>
  <si>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</si>
  <si>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</si>
  <si>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</si>
  <si>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</si>
  <si>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</si>
  <si>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</si>
  <si>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</si>
  <si>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</si>
  <si>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</si>
  <si>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</si>
  <si>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</si>
  <si>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</si>
  <si>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</si>
  <si>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</si>
  <si>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</si>
  <si>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</si>
  <si>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</si>
  <si>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</si>
  <si>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</si>
  <si>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</si>
  <si>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</si>
  <si>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</si>
  <si>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</si>
  <si>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</si>
  <si>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</si>
  <si>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</si>
  <si>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</si>
  <si>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</si>
  <si>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</si>
  <si>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</si>
  <si>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</si>
  <si>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</si>
  <si>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</si>
  <si>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</si>
  <si>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</si>
  <si>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</si>
  <si>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</si>
  <si>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</si>
  <si>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</si>
  <si>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</si>
  <si>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</si>
  <si>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</si>
  <si>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</si>
  <si>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</si>
  <si>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</si>
  <si>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</si>
  <si>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</si>
  <si>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</si>
  <si>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</si>
  <si>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</si>
  <si>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</si>
  <si>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</si>
  <si>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</si>
  <si>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</si>
  <si>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</si>
  <si>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</si>
  <si>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</si>
  <si>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</si>
  <si>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</si>
  <si>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</si>
  <si>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</si>
  <si>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</si>
  <si>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</si>
  <si>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</si>
  <si>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</si>
  <si>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</si>
  <si>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</si>
  <si>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</si>
  <si>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</si>
  <si>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</si>
  <si>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</si>
  <si>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</si>
  <si>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</si>
  <si>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</si>
  <si>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</si>
  <si>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</si>
  <si>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</si>
  <si>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</si>
  <si>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</si>
  <si>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</si>
  <si>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</si>
  <si>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</si>
  <si>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</si>
  <si>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</si>
  <si>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</si>
  <si>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</si>
  <si>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</si>
  <si>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</si>
  <si>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</si>
  <si>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</si>
  <si>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</si>
  <si>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</si>
  <si>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</si>
  <si>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</si>
  <si>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</si>
  <si>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</si>
  <si>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</si>
  <si>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</si>
  <si>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</si>
  <si>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</si>
  <si>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</si>
  <si>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</si>
  <si>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</si>
  <si>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</si>
  <si>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</si>
  <si>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</si>
  <si>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</si>
  <si>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</si>
  <si>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</si>
  <si>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</si>
  <si>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</si>
  <si>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</si>
  <si>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</si>
  <si>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</si>
  <si>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</si>
  <si>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</si>
  <si>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</si>
  <si>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</si>
  <si>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</si>
  <si>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</si>
  <si>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</si>
  <si>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</si>
  <si>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</si>
  <si>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</si>
  <si>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</si>
  <si>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</si>
  <si>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</si>
  <si>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</si>
  <si>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</si>
  <si>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</si>
  <si>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</si>
  <si>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</si>
  <si>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</si>
  <si>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</si>
  <si>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</si>
  <si>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</si>
  <si>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</si>
  <si>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</si>
  <si>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</si>
  <si>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</si>
  <si>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</si>
  <si>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</si>
  <si>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</si>
  <si>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</si>
  <si>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</si>
  <si>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</si>
  <si>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</si>
  <si>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</si>
  <si>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</si>
  <si>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</si>
  <si>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</si>
  <si>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</si>
  <si>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</si>
  <si>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</si>
  <si>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</si>
  <si>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</si>
  <si>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</si>
  <si>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</si>
  <si>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</si>
  <si>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</si>
  <si>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</si>
  <si>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</si>
  <si>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</si>
  <si>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</si>
  <si>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</si>
  <si>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</si>
  <si>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</si>
  <si>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</si>
  <si>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</si>
  <si>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</si>
  <si>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</si>
  <si>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</si>
  <si>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</si>
  <si>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</si>
  <si>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</si>
  <si>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</si>
  <si>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</si>
  <si>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</si>
  <si>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</si>
  <si>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</si>
  <si>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</si>
  <si>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</si>
  <si>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</si>
  <si>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</si>
  <si>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</si>
  <si>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</si>
  <si>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</si>
  <si>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</si>
  <si>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</si>
  <si>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</si>
  <si>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</si>
  <si>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</si>
  <si>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</si>
  <si>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</si>
  <si>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</si>
  <si>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SAPIN DE BORNMULLER / DE TURQUIE</t>
  </si>
  <si>
    <t>Douglas Belgique 2(1/2/3) -  Classe Moyenne</t>
  </si>
  <si>
    <t>Douglas Belgique 1(1/2/3) Classe forte</t>
  </si>
  <si>
    <t>Pin Laricio ONF 2(1/2/3) Moyenne</t>
  </si>
  <si>
    <t>Pin Laricio ONF 1(1/2/3) Classe Forte</t>
  </si>
  <si>
    <t>Bornmuller en équivalence ONF sapin pectiné 2(1/2)classe Faible (Jura)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</si>
</sst>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9" fillId="21" borderId="1" xfId="0" applyNumberFormat="1" applyFont="1" applyFill="1" applyBorder="1" applyAlignment="1" applyProtection="1">
      <alignment horizontal="center"/>
      <protection locked="0" hidden="1"/>
    </xf>
    <xf numFmtId="9" fontId="9" fillId="21" borderId="6" xfId="0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1.8769688757164482</c:v>
                </c:pt>
                <c:pt idx="2">
                  <c:v>2.4240033804873873</c:v>
                </c:pt>
                <c:pt idx="3">
                  <c:v>3.1311166024383943</c:v>
                </c:pt>
                <c:pt idx="4">
                  <c:v>4.045331344534973</c:v>
                </c:pt>
                <c:pt idx="5">
                  <c:v>5.2275325010187794</c:v>
                </c:pt>
                <c:pt idx="6">
                  <c:v>6.7565670283555059</c:v>
                </c:pt>
                <c:pt idx="7">
                  <c:v>8.7345602440988479</c:v>
                </c:pt>
                <c:pt idx="8">
                  <c:v>11.29381030172854</c:v>
                </c:pt>
                <c:pt idx="9">
                  <c:v>14.605730608726327</c:v>
                </c:pt>
                <c:pt idx="10">
                  <c:v>18.892450134346024</c:v>
                </c:pt>
                <c:pt idx="11">
                  <c:v>24.441863655987433</c:v>
                </c:pt>
                <c:pt idx="12">
                  <c:v>31.62716058200321</c:v>
                </c:pt>
                <c:pt idx="13">
                  <c:v>40.932168398987308</c:v>
                </c:pt>
                <c:pt idx="14">
                  <c:v>52.984246263699525</c:v>
                </c:pt>
                <c:pt idx="15">
                  <c:v>68.596983415736148</c:v>
                </c:pt>
                <c:pt idx="16">
                  <c:v>88.825631850331547</c:v>
                </c:pt>
                <c:pt idx="17">
                  <c:v>115.03907978489126</c:v>
                </c:pt>
                <c:pt idx="18">
                  <c:v>149.01331265352835</c:v>
                </c:pt>
                <c:pt idx="19">
                  <c:v>193.05279073041547</c:v>
                </c:pt>
                <c:pt idx="20">
                  <c:v>250.14809986670457</c:v>
                </c:pt>
                <c:pt idx="21">
                  <c:v>246.54106271806896</c:v>
                </c:pt>
                <c:pt idx="22">
                  <c:v>272.96604283793073</c:v>
                </c:pt>
                <c:pt idx="23">
                  <c:v>299.33351098507438</c:v>
                </c:pt>
                <c:pt idx="24">
                  <c:v>325.64924236885344</c:v>
                </c:pt>
                <c:pt idx="25">
                  <c:v>351.91800244848037</c:v>
                </c:pt>
                <c:pt idx="26">
                  <c:v>331.8623012832133</c:v>
                </c:pt>
                <c:pt idx="27">
                  <c:v>358.3590805705947</c:v>
                </c:pt>
                <c:pt idx="28">
                  <c:v>384.81299880518822</c:v>
                </c:pt>
                <c:pt idx="29">
                  <c:v>411.22741385826993</c:v>
                </c:pt>
                <c:pt idx="30">
                  <c:v>437.60521728369707</c:v>
                </c:pt>
                <c:pt idx="31">
                  <c:v>408.61144754602924</c:v>
                </c:pt>
                <c:pt idx="32">
                  <c:v>434.28021495599182</c:v>
                </c:pt>
                <c:pt idx="33">
                  <c:v>459.91642201435394</c:v>
                </c:pt>
                <c:pt idx="34">
                  <c:v>485.52213693897232</c:v>
                </c:pt>
                <c:pt idx="35">
                  <c:v>511.09919220055707</c:v>
                </c:pt>
                <c:pt idx="36">
                  <c:v>476.75312396624321</c:v>
                </c:pt>
                <c:pt idx="37">
                  <c:v>501.62944299248107</c:v>
                </c:pt>
                <c:pt idx="38">
                  <c:v>526.47966574618124</c:v>
                </c:pt>
                <c:pt idx="39">
                  <c:v>551.30519586187165</c:v>
                </c:pt>
                <c:pt idx="40">
                  <c:v>576.10730038492648</c:v>
                </c:pt>
                <c:pt idx="41">
                  <c:v>540.90503809854795</c:v>
                </c:pt>
                <c:pt idx="42">
                  <c:v>564.7720262698956</c:v>
                </c:pt>
                <c:pt idx="43">
                  <c:v>588.61793005591858</c:v>
                </c:pt>
                <c:pt idx="44">
                  <c:v>612.44372282033794</c:v>
                </c:pt>
                <c:pt idx="45">
                  <c:v>636.25029610351078</c:v>
                </c:pt>
                <c:pt idx="46">
                  <c:v>597.34847621013398</c:v>
                </c:pt>
                <c:pt idx="47">
                  <c:v>619.75269577860911</c:v>
                </c:pt>
                <c:pt idx="48">
                  <c:v>642.1401410729178</c:v>
                </c:pt>
                <c:pt idx="49">
                  <c:v>664.5114785564914</c:v>
                </c:pt>
                <c:pt idx="50">
                  <c:v>686.86732621081694</c:v>
                </c:pt>
                <c:pt idx="51">
                  <c:v>650.85506834469618</c:v>
                </c:pt>
                <c:pt idx="52">
                  <c:v>672.51426783672036</c:v>
                </c:pt>
                <c:pt idx="53">
                  <c:v>694.15913785580926</c:v>
                </c:pt>
                <c:pt idx="54">
                  <c:v>715.79018759841631</c:v>
                </c:pt>
                <c:pt idx="55">
                  <c:v>737.40789301225288</c:v>
                </c:pt>
                <c:pt idx="56">
                  <c:v>698.15720599872532</c:v>
                </c:pt>
                <c:pt idx="57">
                  <c:v>718.8456623473636</c:v>
                </c:pt>
                <c:pt idx="58">
                  <c:v>739.52196895800637</c:v>
                </c:pt>
                <c:pt idx="59">
                  <c:v>760.18651296112273</c:v>
                </c:pt>
                <c:pt idx="60">
                  <c:v>780.8396587489575</c:v>
                </c:pt>
                <c:pt idx="61">
                  <c:v>743.04515570112756</c:v>
                </c:pt>
                <c:pt idx="62">
                  <c:v>762.76877228584306</c:v>
                </c:pt>
                <c:pt idx="63">
                  <c:v>782.48204358004796</c:v>
                </c:pt>
                <c:pt idx="64">
                  <c:v>802.18526661645012</c:v>
                </c:pt>
                <c:pt idx="65">
                  <c:v>821.87872266404372</c:v>
                </c:pt>
                <c:pt idx="66">
                  <c:v>786.47040231283711</c:v>
                </c:pt>
                <c:pt idx="67">
                  <c:v>804.99920908631168</c:v>
                </c:pt>
                <c:pt idx="68">
                  <c:v>823.51941159029275</c:v>
                </c:pt>
                <c:pt idx="69">
                  <c:v>842.03123035994292</c:v>
                </c:pt>
                <c:pt idx="70">
                  <c:v>860.53487545441476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1.918435946590699</c:v>
                </c:pt>
                <c:pt idx="2">
                  <c:v>2.373117389980314</c:v>
                </c:pt>
                <c:pt idx="3">
                  <c:v>2.9359817415961924</c:v>
                </c:pt>
                <c:pt idx="4">
                  <c:v>3.6328636551360431</c:v>
                </c:pt>
                <c:pt idx="5">
                  <c:v>4.4957884181579182</c:v>
                </c:pt>
                <c:pt idx="6">
                  <c:v>5.5644601109295779</c:v>
                </c:pt>
                <c:pt idx="7">
                  <c:v>6.8881085532734367</c:v>
                </c:pt>
                <c:pt idx="8">
                  <c:v>8.5277817745591538</c:v>
                </c:pt>
                <c:pt idx="9">
                  <c:v>10.559191761295033</c:v>
                </c:pt>
                <c:pt idx="10">
                  <c:v>13.076247361220192</c:v>
                </c:pt>
                <c:pt idx="11">
                  <c:v>16.195440694835355</c:v>
                </c:pt>
                <c:pt idx="12">
                  <c:v>20.06129379028172</c:v>
                </c:pt>
                <c:pt idx="13">
                  <c:v>24.853122337627141</c:v>
                </c:pt>
                <c:pt idx="14">
                  <c:v>30.793435845145144</c:v>
                </c:pt>
                <c:pt idx="15">
                  <c:v>38.158371047819237</c:v>
                </c:pt>
                <c:pt idx="16">
                  <c:v>47.290651867981289</c:v>
                </c:pt>
                <c:pt idx="17">
                  <c:v>58.615689164308343</c:v>
                </c:pt>
                <c:pt idx="18">
                  <c:v>72.661582657654549</c:v>
                </c:pt>
                <c:pt idx="19">
                  <c:v>90.083972919469474</c:v>
                </c:pt>
                <c:pt idx="20">
                  <c:v>111.69692202220851</c:v>
                </c:pt>
                <c:pt idx="21">
                  <c:v>138.51128842117049</c:v>
                </c:pt>
                <c:pt idx="22">
                  <c:v>171.78241860309038</c:v>
                </c:pt>
                <c:pt idx="23">
                  <c:v>124.07225894849046</c:v>
                </c:pt>
                <c:pt idx="24">
                  <c:v>144.64512045327049</c:v>
                </c:pt>
                <c:pt idx="25">
                  <c:v>165.1478824141137</c:v>
                </c:pt>
                <c:pt idx="26">
                  <c:v>185.59048254953419</c:v>
                </c:pt>
                <c:pt idx="27">
                  <c:v>205.98048401362226</c:v>
                </c:pt>
                <c:pt idx="28">
                  <c:v>178.51850048567601</c:v>
                </c:pt>
                <c:pt idx="29">
                  <c:v>200.02348598066854</c:v>
                </c:pt>
                <c:pt idx="30">
                  <c:v>221.47486264149299</c:v>
                </c:pt>
                <c:pt idx="31">
                  <c:v>242.87855360298769</c:v>
                </c:pt>
                <c:pt idx="32">
                  <c:v>264.23935165042923</c:v>
                </c:pt>
                <c:pt idx="33">
                  <c:v>285.56121089534162</c:v>
                </c:pt>
                <c:pt idx="34">
                  <c:v>242.26244165420408</c:v>
                </c:pt>
                <c:pt idx="35">
                  <c:v>263.73520381427102</c:v>
                </c:pt>
                <c:pt idx="36">
                  <c:v>285.1685350174958</c:v>
                </c:pt>
                <c:pt idx="37">
                  <c:v>306.56581456468069</c:v>
                </c:pt>
                <c:pt idx="38">
                  <c:v>327.9299114637476</c:v>
                </c:pt>
                <c:pt idx="39">
                  <c:v>349.26329041321316</c:v>
                </c:pt>
                <c:pt idx="40">
                  <c:v>370.56809051054279</c:v>
                </c:pt>
                <c:pt idx="41">
                  <c:v>391.84618490100002</c:v>
                </c:pt>
                <c:pt idx="42">
                  <c:v>319.87385016852937</c:v>
                </c:pt>
                <c:pt idx="43">
                  <c:v>339.97241120235782</c:v>
                </c:pt>
                <c:pt idx="44">
                  <c:v>360.04484296464358</c:v>
                </c:pt>
                <c:pt idx="45">
                  <c:v>380.09280633515499</c:v>
                </c:pt>
                <c:pt idx="46">
                  <c:v>400.11777275179605</c:v>
                </c:pt>
                <c:pt idx="47">
                  <c:v>420.12105441362888</c:v>
                </c:pt>
                <c:pt idx="48">
                  <c:v>440.10382843073722</c:v>
                </c:pt>
                <c:pt idx="49">
                  <c:v>460.06715635927225</c:v>
                </c:pt>
                <c:pt idx="50">
                  <c:v>480.01200016945177</c:v>
                </c:pt>
                <c:pt idx="51">
                  <c:v>408.79839326527775</c:v>
                </c:pt>
                <c:pt idx="52">
                  <c:v>426.75219446239686</c:v>
                </c:pt>
                <c:pt idx="53">
                  <c:v>444.68975682178706</c:v>
                </c:pt>
                <c:pt idx="54">
                  <c:v>462.61182724795117</c:v>
                </c:pt>
                <c:pt idx="55">
                  <c:v>480.51909008117696</c:v>
                </c:pt>
                <c:pt idx="56">
                  <c:v>498.41217452232013</c:v>
                </c:pt>
                <c:pt idx="57">
                  <c:v>516.29166093616936</c:v>
                </c:pt>
                <c:pt idx="58">
                  <c:v>534.15808623651117</c:v>
                </c:pt>
                <c:pt idx="59">
                  <c:v>552.0119485135134</c:v>
                </c:pt>
                <c:pt idx="60">
                  <c:v>569.85371103158241</c:v>
                </c:pt>
                <c:pt idx="61">
                  <c:v>496.54621081777736</c:v>
                </c:pt>
                <c:pt idx="62">
                  <c:v>511.61287446770933</c:v>
                </c:pt>
                <c:pt idx="63">
                  <c:v>526.6701695557424</c:v>
                </c:pt>
                <c:pt idx="64">
                  <c:v>541.71840154308029</c:v>
                </c:pt>
                <c:pt idx="65">
                  <c:v>556.7578575437193</c:v>
                </c:pt>
                <c:pt idx="66">
                  <c:v>571.78880790256073</c:v>
                </c:pt>
                <c:pt idx="67">
                  <c:v>586.81150759902118</c:v>
                </c:pt>
                <c:pt idx="68">
                  <c:v>601.82619749950163</c:v>
                </c:pt>
                <c:pt idx="69">
                  <c:v>616.83310547843132</c:v>
                </c:pt>
                <c:pt idx="70">
                  <c:v>631.83244742460067</c:v>
                </c:pt>
                <c:pt idx="71">
                  <c:v>558.51065903898916</c:v>
                </c:pt>
                <c:pt idx="72">
                  <c:v>570.86927504318601</c:v>
                </c:pt>
                <c:pt idx="73">
                  <c:v>583.22230315943</c:v>
                </c:pt>
                <c:pt idx="74">
                  <c:v>595.5698783876577</c:v>
                </c:pt>
                <c:pt idx="75">
                  <c:v>607.91212967537479</c:v>
                </c:pt>
                <c:pt idx="76">
                  <c:v>620.24918030895208</c:v>
                </c:pt>
                <c:pt idx="77">
                  <c:v>632.58114827218651</c:v>
                </c:pt>
                <c:pt idx="78">
                  <c:v>644.90814657545729</c:v>
                </c:pt>
                <c:pt idx="79">
                  <c:v>657.23028355841973</c:v>
                </c:pt>
                <c:pt idx="80">
                  <c:v>669.54766316883126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7.4863648408458454</c:v>
                </c:pt>
                <c:pt idx="2">
                  <c:v>14.638427609726939</c:v>
                </c:pt>
                <c:pt idx="3">
                  <c:v>21.682527590277676</c:v>
                </c:pt>
                <c:pt idx="4">
                  <c:v>28.66007679608461</c:v>
                </c:pt>
                <c:pt idx="5">
                  <c:v>35.589844509280731</c:v>
                </c:pt>
                <c:pt idx="6">
                  <c:v>42.482537512034106</c:v>
                </c:pt>
                <c:pt idx="7">
                  <c:v>49.345058052824747</c:v>
                </c:pt>
                <c:pt idx="8">
                  <c:v>56.182213820219552</c:v>
                </c:pt>
                <c:pt idx="9">
                  <c:v>62.997538526473932</c:v>
                </c:pt>
                <c:pt idx="10">
                  <c:v>69.79373454652206</c:v>
                </c:pt>
                <c:pt idx="11">
                  <c:v>76.572932504468255</c:v>
                </c:pt>
                <c:pt idx="12">
                  <c:v>83.336853419018041</c:v>
                </c:pt>
                <c:pt idx="13">
                  <c:v>90.086915115801219</c:v>
                </c:pt>
                <c:pt idx="14">
                  <c:v>96.824304902409381</c:v>
                </c:pt>
                <c:pt idx="15">
                  <c:v>103.55003085985709</c:v>
                </c:pt>
                <c:pt idx="16">
                  <c:v>110.2649590541173</c:v>
                </c:pt>
                <c:pt idx="17">
                  <c:v>116.96984117414058</c:v>
                </c:pt>
                <c:pt idx="18">
                  <c:v>123.6653354791825</c:v>
                </c:pt>
                <c:pt idx="19">
                  <c:v>130.35202295771595</c:v>
                </c:pt>
                <c:pt idx="20">
                  <c:v>137.03041998741915</c:v>
                </c:pt>
                <c:pt idx="21">
                  <c:v>143.70098839121101</c:v>
                </c:pt>
                <c:pt idx="22">
                  <c:v>150.36414352358057</c:v>
                </c:pt>
                <c:pt idx="23">
                  <c:v>157.02026084511425</c:v>
                </c:pt>
                <c:pt idx="24">
                  <c:v>163.66968132136353</c:v>
                </c:pt>
                <c:pt idx="25">
                  <c:v>170.31271589654705</c:v>
                </c:pt>
                <c:pt idx="26">
                  <c:v>176.94964923131124</c:v>
                </c:pt>
                <c:pt idx="27">
                  <c:v>183.58074284927622</c:v>
                </c:pt>
                <c:pt idx="28">
                  <c:v>190.20623780432302</c:v>
                </c:pt>
                <c:pt idx="29">
                  <c:v>196.82635695613192</c:v>
                </c:pt>
                <c:pt idx="30">
                  <c:v>203.44130692303494</c:v>
                </c:pt>
                <c:pt idx="31">
                  <c:v>210.05127976717395</c:v>
                </c:pt>
                <c:pt idx="32">
                  <c:v>216.65645445611153</c:v>
                </c:pt>
                <c:pt idx="33">
                  <c:v>223.25699813660643</c:v>
                </c:pt>
                <c:pt idx="34">
                  <c:v>229.85306724965605</c:v>
                </c:pt>
                <c:pt idx="35">
                  <c:v>236.44480851066905</c:v>
                </c:pt>
                <c:pt idx="36">
                  <c:v>243.03235977447159</c:v>
                </c:pt>
                <c:pt idx="37">
                  <c:v>249.61585080149845</c:v>
                </c:pt>
                <c:pt idx="38">
                  <c:v>256.19540393882409</c:v>
                </c:pt>
                <c:pt idx="39">
                  <c:v>262.77113472748897</c:v>
                </c:pt>
                <c:pt idx="40">
                  <c:v>269.34315244578369</c:v>
                </c:pt>
                <c:pt idx="41">
                  <c:v>275.91156059667554</c:v>
                </c:pt>
                <c:pt idx="42">
                  <c:v>282.47645734634153</c:v>
                </c:pt>
                <c:pt idx="43">
                  <c:v>289.03793591976165</c:v>
                </c:pt>
                <c:pt idx="44">
                  <c:v>295.59608495847311</c:v>
                </c:pt>
                <c:pt idx="45">
                  <c:v>302.15098884488731</c:v>
                </c:pt>
                <c:pt idx="46">
                  <c:v>308.70272799696471</c:v>
                </c:pt>
                <c:pt idx="47">
                  <c:v>315.25137913654243</c:v>
                </c:pt>
                <c:pt idx="48">
                  <c:v>321.79701553418232</c:v>
                </c:pt>
                <c:pt idx="49">
                  <c:v>328.33970723303815</c:v>
                </c:pt>
                <c:pt idx="50">
                  <c:v>334.87952125393201</c:v>
                </c:pt>
                <c:pt idx="51">
                  <c:v>341.41652178356122</c:v>
                </c:pt>
                <c:pt idx="52">
                  <c:v>347.95077034752791</c:v>
                </c:pt>
                <c:pt idx="53">
                  <c:v>354.48232596967972</c:v>
                </c:pt>
                <c:pt idx="54">
                  <c:v>361.01124531908772</c:v>
                </c:pt>
                <c:pt idx="55">
                  <c:v>367.53758284582722</c:v>
                </c:pt>
                <c:pt idx="56">
                  <c:v>374.06139090660463</c:v>
                </c:pt>
                <c:pt idx="57">
                  <c:v>380.5827198811582</c:v>
                </c:pt>
                <c:pt idx="58">
                  <c:v>259.51572118732179</c:v>
                </c:pt>
                <c:pt idx="59">
                  <c:v>275.98792817809357</c:v>
                </c:pt>
                <c:pt idx="60">
                  <c:v>292.43806327569973</c:v>
                </c:pt>
                <c:pt idx="61">
                  <c:v>308.86754272829347</c:v>
                </c:pt>
                <c:pt idx="62">
                  <c:v>325.27761979877658</c:v>
                </c:pt>
                <c:pt idx="63">
                  <c:v>341.66941097064449</c:v>
                </c:pt>
                <c:pt idx="64">
                  <c:v>358.04391685929198</c:v>
                </c:pt>
                <c:pt idx="65">
                  <c:v>374.40203909656151</c:v>
                </c:pt>
                <c:pt idx="66">
                  <c:v>302.10321457309584</c:v>
                </c:pt>
                <c:pt idx="67">
                  <c:v>318.26136119581423</c:v>
                </c:pt>
                <c:pt idx="68">
                  <c:v>334.40134895011641</c:v>
                </c:pt>
                <c:pt idx="69">
                  <c:v>350.52417753905576</c:v>
                </c:pt>
                <c:pt idx="70">
                  <c:v>366.63074719922588</c:v>
                </c:pt>
                <c:pt idx="71">
                  <c:v>382.72187262346091</c:v>
                </c:pt>
                <c:pt idx="72">
                  <c:v>398.79829441931764</c:v>
                </c:pt>
                <c:pt idx="73">
                  <c:v>414.86068862323054</c:v>
                </c:pt>
                <c:pt idx="74">
                  <c:v>345.83041051839194</c:v>
                </c:pt>
                <c:pt idx="75">
                  <c:v>361.40557074998111</c:v>
                </c:pt>
                <c:pt idx="76">
                  <c:v>376.96605923827633</c:v>
                </c:pt>
                <c:pt idx="77">
                  <c:v>392.51256677885317</c:v>
                </c:pt>
                <c:pt idx="78">
                  <c:v>408.04572498842873</c:v>
                </c:pt>
                <c:pt idx="79">
                  <c:v>423.56611348130536</c:v>
                </c:pt>
                <c:pt idx="80">
                  <c:v>439.07426593910594</c:v>
                </c:pt>
                <c:pt idx="81">
                  <c:v>454.57067527831646</c:v>
                </c:pt>
                <c:pt idx="82">
                  <c:v>374.3245814955892</c:v>
                </c:pt>
                <c:pt idx="83">
                  <c:v>388.93177601265143</c:v>
                </c:pt>
                <c:pt idx="84">
                  <c:v>403.52706605962067</c:v>
                </c:pt>
                <c:pt idx="85">
                  <c:v>418.11094279971263</c:v>
                </c:pt>
                <c:pt idx="86">
                  <c:v>432.68386034126382</c:v>
                </c:pt>
                <c:pt idx="87">
                  <c:v>447.24623971320995</c:v>
                </c:pt>
                <c:pt idx="88">
                  <c:v>461.79847229584556</c:v>
                </c:pt>
                <c:pt idx="89">
                  <c:v>476.3409227966556</c:v>
                </c:pt>
                <c:pt idx="90">
                  <c:v>490.87393184387446</c:v>
                </c:pt>
                <c:pt idx="91">
                  <c:v>414.85159623489699</c:v>
                </c:pt>
                <c:pt idx="92">
                  <c:v>428.41158093158748</c:v>
                </c:pt>
                <c:pt idx="93">
                  <c:v>441.96234123150219</c:v>
                </c:pt>
                <c:pt idx="94">
                  <c:v>455.5041997726201</c:v>
                </c:pt>
                <c:pt idx="95">
                  <c:v>469.03745844682982</c:v>
                </c:pt>
                <c:pt idx="96">
                  <c:v>482.56240030658927</c:v>
                </c:pt>
                <c:pt idx="97">
                  <c:v>496.07929124672819</c:v>
                </c:pt>
                <c:pt idx="98">
                  <c:v>509.58838149343865</c:v>
                </c:pt>
                <c:pt idx="99">
                  <c:v>523.08990692718669</c:v>
                </c:pt>
                <c:pt idx="100">
                  <c:v>445.96964766484604</c:v>
                </c:pt>
                <c:pt idx="101">
                  <c:v>458.55516766326269</c:v>
                </c:pt>
                <c:pt idx="102">
                  <c:v>471.13331374228932</c:v>
                </c:pt>
                <c:pt idx="103">
                  <c:v>483.70431049410143</c:v>
                </c:pt>
                <c:pt idx="104">
                  <c:v>496.26836988599717</c:v>
                </c:pt>
                <c:pt idx="105">
                  <c:v>508.82569227846358</c:v>
                </c:pt>
                <c:pt idx="106">
                  <c:v>521.3764673375282</c:v>
                </c:pt>
                <c:pt idx="107">
                  <c:v>533.92087485470495</c:v>
                </c:pt>
                <c:pt idx="108">
                  <c:v>546.45908548588818</c:v>
                </c:pt>
                <c:pt idx="109">
                  <c:v>475.03896466983969</c:v>
                </c:pt>
                <c:pt idx="110">
                  <c:v>486.57038907814467</c:v>
                </c:pt>
                <c:pt idx="111">
                  <c:v>498.09601373328013</c:v>
                </c:pt>
                <c:pt idx="112">
                  <c:v>509.61599174824249</c:v>
                </c:pt>
                <c:pt idx="113">
                  <c:v>521.13046874953307</c:v>
                </c:pt>
                <c:pt idx="114">
                  <c:v>532.63958340404395</c:v>
                </c:pt>
                <c:pt idx="115">
                  <c:v>544.14346789803983</c:v>
                </c:pt>
                <c:pt idx="116">
                  <c:v>555.64224837353697</c:v>
                </c:pt>
                <c:pt idx="117">
                  <c:v>567.13604532668546</c:v>
                </c:pt>
                <c:pt idx="118">
                  <c:v>578.62497397218613</c:v>
                </c:pt>
                <c:pt idx="119">
                  <c:v>506.36602448953641</c:v>
                </c:pt>
                <c:pt idx="120">
                  <c:v>517.03295884801753</c:v>
                </c:pt>
                <c:pt idx="121">
                  <c:v>527.69525098862766</c:v>
                </c:pt>
                <c:pt idx="122">
                  <c:v>538.35300792978762</c:v>
                </c:pt>
                <c:pt idx="123">
                  <c:v>549.0063321072256</c:v>
                </c:pt>
                <c:pt idx="124">
                  <c:v>559.65532165722527</c:v>
                </c:pt>
                <c:pt idx="125">
                  <c:v>570.30007067719566</c:v>
                </c:pt>
                <c:pt idx="126">
                  <c:v>580.94066946578062</c:v>
                </c:pt>
                <c:pt idx="127">
                  <c:v>591.57720474446353</c:v>
                </c:pt>
                <c:pt idx="128">
                  <c:v>602.20975986240978</c:v>
                </c:pt>
                <c:pt idx="129">
                  <c:v>6.8396989905452503E-12</c:v>
                </c:pt>
                <c:pt idx="130">
                  <c:v>6.8396989905452503E-12</c:v>
                </c:pt>
                <c:pt idx="131">
                  <c:v>6.8396989905452503E-12</c:v>
                </c:pt>
                <c:pt idx="132">
                  <c:v>6.8396989905452503E-12</c:v>
                </c:pt>
                <c:pt idx="133">
                  <c:v>6.8396989905452503E-12</c:v>
                </c:pt>
                <c:pt idx="134">
                  <c:v>6.8396989905452503E-12</c:v>
                </c:pt>
                <c:pt idx="135">
                  <c:v>6.8396989905452503E-12</c:v>
                </c:pt>
                <c:pt idx="136">
                  <c:v>6.8396989905452503E-12</c:v>
                </c:pt>
                <c:pt idx="137">
                  <c:v>6.8396989905452503E-12</c:v>
                </c:pt>
                <c:pt idx="138">
                  <c:v>6.8396989905452503E-12</c:v>
                </c:pt>
                <c:pt idx="139">
                  <c:v>6.8396989905452503E-12</c:v>
                </c:pt>
                <c:pt idx="140">
                  <c:v>6.8396989905452503E-12</c:v>
                </c:pt>
                <c:pt idx="141">
                  <c:v>6.8396989905452503E-12</c:v>
                </c:pt>
                <c:pt idx="142">
                  <c:v>6.8396989905452503E-12</c:v>
                </c:pt>
                <c:pt idx="143">
                  <c:v>6.8396989905452503E-12</c:v>
                </c:pt>
                <c:pt idx="144">
                  <c:v>6.8396989905452503E-12</c:v>
                </c:pt>
                <c:pt idx="145">
                  <c:v>6.8396989905452503E-12</c:v>
                </c:pt>
                <c:pt idx="146">
                  <c:v>6.8396989905452503E-12</c:v>
                </c:pt>
                <c:pt idx="147">
                  <c:v>6.8396989905452503E-12</c:v>
                </c:pt>
                <c:pt idx="148">
                  <c:v>6.8396989905452503E-12</c:v>
                </c:pt>
                <c:pt idx="149">
                  <c:v>6.8396989905452503E-12</c:v>
                </c:pt>
                <c:pt idx="150">
                  <c:v>6.8396989905452503E-12</c:v>
                </c:pt>
                <c:pt idx="151">
                  <c:v>6.8396989905452503E-12</c:v>
                </c:pt>
                <c:pt idx="152">
                  <c:v>6.8396989905452503E-12</c:v>
                </c:pt>
                <c:pt idx="153">
                  <c:v>6.8396989905452503E-12</c:v>
                </c:pt>
                <c:pt idx="154">
                  <c:v>6.8396989905452503E-12</c:v>
                </c:pt>
                <c:pt idx="155">
                  <c:v>6.8396989905452503E-12</c:v>
                </c:pt>
                <c:pt idx="156">
                  <c:v>6.8396989905452503E-12</c:v>
                </c:pt>
                <c:pt idx="157">
                  <c:v>6.8396989905452503E-12</c:v>
                </c:pt>
                <c:pt idx="158">
                  <c:v>6.8396989905452503E-12</c:v>
                </c:pt>
                <c:pt idx="159">
                  <c:v>6.8396989905452503E-12</c:v>
                </c:pt>
                <c:pt idx="160">
                  <c:v>6.8396989905452503E-12</c:v>
                </c:pt>
                <c:pt idx="161">
                  <c:v>6.8396989905452503E-12</c:v>
                </c:pt>
                <c:pt idx="162">
                  <c:v>6.8396989905452503E-12</c:v>
                </c:pt>
                <c:pt idx="163">
                  <c:v>6.8396989905452503E-12</c:v>
                </c:pt>
                <c:pt idx="164">
                  <c:v>6.8396989905452503E-12</c:v>
                </c:pt>
                <c:pt idx="165">
                  <c:v>6.8396989905452503E-12</c:v>
                </c:pt>
                <c:pt idx="166">
                  <c:v>6.8396989905452503E-12</c:v>
                </c:pt>
                <c:pt idx="167">
                  <c:v>6.8396989905452503E-12</c:v>
                </c:pt>
                <c:pt idx="168">
                  <c:v>6.8396989905452503E-12</c:v>
                </c:pt>
                <c:pt idx="169">
                  <c:v>6.8396989905452503E-12</c:v>
                </c:pt>
                <c:pt idx="170">
                  <c:v>6.8396989905452503E-12</c:v>
                </c:pt>
                <c:pt idx="171">
                  <c:v>6.8396989905452503E-12</c:v>
                </c:pt>
                <c:pt idx="172">
                  <c:v>6.8396989905452503E-12</c:v>
                </c:pt>
                <c:pt idx="173">
                  <c:v>6.8396989905452503E-12</c:v>
                </c:pt>
                <c:pt idx="174">
                  <c:v>6.8396989905452503E-12</c:v>
                </c:pt>
                <c:pt idx="175">
                  <c:v>6.8396989905452503E-12</c:v>
                </c:pt>
                <c:pt idx="176">
                  <c:v>6.8396989905452503E-12</c:v>
                </c:pt>
                <c:pt idx="177">
                  <c:v>6.8396989905452503E-12</c:v>
                </c:pt>
                <c:pt idx="178">
                  <c:v>6.8396989905452503E-12</c:v>
                </c:pt>
                <c:pt idx="179">
                  <c:v>6.8396989905452503E-12</c:v>
                </c:pt>
                <c:pt idx="180">
                  <c:v>6.8396989905452503E-12</c:v>
                </c:pt>
                <c:pt idx="181">
                  <c:v>6.8396989905452503E-12</c:v>
                </c:pt>
                <c:pt idx="182">
                  <c:v>6.8396989905452503E-12</c:v>
                </c:pt>
                <c:pt idx="183">
                  <c:v>6.8396989905452503E-12</c:v>
                </c:pt>
                <c:pt idx="184">
                  <c:v>6.8396989905452503E-12</c:v>
                </c:pt>
                <c:pt idx="185">
                  <c:v>6.8396989905452503E-12</c:v>
                </c:pt>
                <c:pt idx="186">
                  <c:v>6.8396989905452503E-12</c:v>
                </c:pt>
                <c:pt idx="187">
                  <c:v>6.8396989905452503E-12</c:v>
                </c:pt>
                <c:pt idx="188">
                  <c:v>6.8396989905452503E-12</c:v>
                </c:pt>
                <c:pt idx="189">
                  <c:v>6.8396989905452503E-12</c:v>
                </c:pt>
                <c:pt idx="190">
                  <c:v>6.8396989905452503E-12</c:v>
                </c:pt>
                <c:pt idx="191">
                  <c:v>6.8396989905452503E-12</c:v>
                </c:pt>
                <c:pt idx="192">
                  <c:v>6.8396989905452503E-12</c:v>
                </c:pt>
                <c:pt idx="193">
                  <c:v>6.8396989905452503E-12</c:v>
                </c:pt>
                <c:pt idx="194">
                  <c:v>6.8396989905452503E-12</c:v>
                </c:pt>
                <c:pt idx="195">
                  <c:v>6.8396989905452503E-12</c:v>
                </c:pt>
                <c:pt idx="196">
                  <c:v>6.8396989905452503E-12</c:v>
                </c:pt>
                <c:pt idx="197">
                  <c:v>6.8396989905452503E-12</c:v>
                </c:pt>
                <c:pt idx="198">
                  <c:v>6.8396989905452503E-12</c:v>
                </c:pt>
                <c:pt idx="199">
                  <c:v>6.8396989905452503E-12</c:v>
                </c:pt>
                <c:pt idx="200">
                  <c:v>6.8396989905452503E-12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2.0304005289303682</c:v>
                </c:pt>
                <c:pt idx="2">
                  <c:v>2.8369156529056316</c:v>
                </c:pt>
                <c:pt idx="3">
                  <c:v>3.9651866962811888</c:v>
                </c:pt>
                <c:pt idx="4">
                  <c:v>5.5440995941261555</c:v>
                </c:pt>
                <c:pt idx="5">
                  <c:v>7.7543636012159496</c:v>
                </c:pt>
                <c:pt idx="6">
                  <c:v>10.849421516375481</c:v>
                </c:pt>
                <c:pt idx="7">
                  <c:v>15.184823973481235</c:v>
                </c:pt>
                <c:pt idx="8">
                  <c:v>21.259503869670677</c:v>
                </c:pt>
                <c:pt idx="9">
                  <c:v>29.773785583032616</c:v>
                </c:pt>
                <c:pt idx="10">
                  <c:v>41.710932827889991</c:v>
                </c:pt>
                <c:pt idx="11">
                  <c:v>58.451812108092277</c:v>
                </c:pt>
                <c:pt idx="12">
                  <c:v>81.936154629149854</c:v>
                </c:pt>
                <c:pt idx="13">
                  <c:v>114.88940187419416</c:v>
                </c:pt>
                <c:pt idx="14">
                  <c:v>161.14187260581406</c:v>
                </c:pt>
                <c:pt idx="15">
                  <c:v>226.07791378395936</c:v>
                </c:pt>
                <c:pt idx="16">
                  <c:v>223.66777003883416</c:v>
                </c:pt>
                <c:pt idx="17">
                  <c:v>254.95565122562834</c:v>
                </c:pt>
                <c:pt idx="18">
                  <c:v>286.15657784953424</c:v>
                </c:pt>
                <c:pt idx="19">
                  <c:v>317.28135996753446</c:v>
                </c:pt>
                <c:pt idx="20">
                  <c:v>348.33851163171676</c:v>
                </c:pt>
                <c:pt idx="21">
                  <c:v>325.41022659148729</c:v>
                </c:pt>
                <c:pt idx="22">
                  <c:v>356.21233858420231</c:v>
                </c:pt>
                <c:pt idx="23">
                  <c:v>386.95613821648527</c:v>
                </c:pt>
                <c:pt idx="24">
                  <c:v>417.64690431825039</c:v>
                </c:pt>
                <c:pt idx="25">
                  <c:v>448.28907700291916</c:v>
                </c:pt>
                <c:pt idx="26">
                  <c:v>415.74505644902729</c:v>
                </c:pt>
                <c:pt idx="27">
                  <c:v>444.96580033395315</c:v>
                </c:pt>
                <c:pt idx="28">
                  <c:v>474.14546138612178</c:v>
                </c:pt>
                <c:pt idx="29">
                  <c:v>503.28692006995601</c:v>
                </c:pt>
                <c:pt idx="30">
                  <c:v>532.39269641419367</c:v>
                </c:pt>
                <c:pt idx="31">
                  <c:v>494.52465130521909</c:v>
                </c:pt>
                <c:pt idx="32">
                  <c:v>521.74823465158681</c:v>
                </c:pt>
                <c:pt idx="33">
                  <c:v>548.94188791952308</c:v>
                </c:pt>
                <c:pt idx="34">
                  <c:v>576.10730038492648</c:v>
                </c:pt>
                <c:pt idx="35">
                  <c:v>603.24598921218421</c:v>
                </c:pt>
                <c:pt idx="36">
                  <c:v>564.06341469887707</c:v>
                </c:pt>
                <c:pt idx="37">
                  <c:v>589.79789025240336</c:v>
                </c:pt>
                <c:pt idx="38">
                  <c:v>615.5089949539182</c:v>
                </c:pt>
                <c:pt idx="39">
                  <c:v>641.19784112563684</c:v>
                </c:pt>
                <c:pt idx="40">
                  <c:v>666.86544480724035</c:v>
                </c:pt>
                <c:pt idx="41">
                  <c:v>626.11711964454878</c:v>
                </c:pt>
                <c:pt idx="42">
                  <c:v>650.14854272914738</c:v>
                </c:pt>
                <c:pt idx="43">
                  <c:v>674.16165715210161</c:v>
                </c:pt>
                <c:pt idx="44">
                  <c:v>698.15720599872554</c:v>
                </c:pt>
                <c:pt idx="45">
                  <c:v>722.1358771752989</c:v>
                </c:pt>
                <c:pt idx="46">
                  <c:v>682.63264361743393</c:v>
                </c:pt>
                <c:pt idx="47">
                  <c:v>705.44659634791788</c:v>
                </c:pt>
                <c:pt idx="48">
                  <c:v>728.24546587909117</c:v>
                </c:pt>
                <c:pt idx="49">
                  <c:v>751.02979028364689</c:v>
                </c:pt>
                <c:pt idx="50">
                  <c:v>773.80007236704989</c:v>
                </c:pt>
                <c:pt idx="51">
                  <c:v>735.0587749737989</c:v>
                </c:pt>
                <c:pt idx="52">
                  <c:v>756.19539804826275</c:v>
                </c:pt>
                <c:pt idx="53">
                  <c:v>777.32002696073334</c:v>
                </c:pt>
                <c:pt idx="54">
                  <c:v>798.4330331595902</c:v>
                </c:pt>
                <c:pt idx="55">
                  <c:v>819.534766871947</c:v>
                </c:pt>
                <c:pt idx="56">
                  <c:v>779.6664839173344</c:v>
                </c:pt>
                <c:pt idx="57">
                  <c:v>799.60564429058547</c:v>
                </c:pt>
                <c:pt idx="58">
                  <c:v>819.534766871947</c:v>
                </c:pt>
                <c:pt idx="59">
                  <c:v>839.45412983330732</c:v>
                </c:pt>
                <c:pt idx="60">
                  <c:v>859.3639970853128</c:v>
                </c:pt>
                <c:pt idx="61">
                  <c:v>825.8631387791097</c:v>
                </c:pt>
                <c:pt idx="62">
                  <c:v>845.0766903726344</c:v>
                </c:pt>
                <c:pt idx="63">
                  <c:v>864.28147186626654</c:v>
                </c:pt>
                <c:pt idx="64">
                  <c:v>883.47770534147287</c:v>
                </c:pt>
                <c:pt idx="65">
                  <c:v>902.66560245436619</c:v>
                </c:pt>
                <c:pt idx="66">
                  <c:v>866.62292927270744</c:v>
                </c:pt>
                <c:pt idx="67">
                  <c:v>884.41389205494636</c:v>
                </c:pt>
                <c:pt idx="68">
                  <c:v>902.19770254628736</c:v>
                </c:pt>
                <c:pt idx="69">
                  <c:v>919.97452141940721</c:v>
                </c:pt>
                <c:pt idx="70">
                  <c:v>937.74450263901326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1.9829605481590298</c:v>
                </c:pt>
                <c:pt idx="2">
                  <c:v>2.5355588777979912</c:v>
                </c:pt>
                <c:pt idx="3">
                  <c:v>3.2427700574650582</c:v>
                </c:pt>
                <c:pt idx="4">
                  <c:v>4.1480169179114386</c:v>
                </c:pt>
                <c:pt idx="5">
                  <c:v>5.3069604993060517</c:v>
                </c:pt>
                <c:pt idx="6">
                  <c:v>6.7909605032023883</c:v>
                </c:pt>
                <c:pt idx="7">
                  <c:v>8.6915171549065775</c:v>
                </c:pt>
                <c:pt idx="8">
                  <c:v>11.125973576865023</c:v>
                </c:pt>
                <c:pt idx="9">
                  <c:v>14.244837344922145</c:v>
                </c:pt>
                <c:pt idx="10">
                  <c:v>18.241182207576891</c:v>
                </c:pt>
                <c:pt idx="11">
                  <c:v>23.362722503944415</c:v>
                </c:pt>
                <c:pt idx="12">
                  <c:v>29.927321996743171</c:v>
                </c:pt>
                <c:pt idx="13">
                  <c:v>38.342916424072889</c:v>
                </c:pt>
                <c:pt idx="14">
                  <c:v>49.133108944839641</c:v>
                </c:pt>
                <c:pt idx="15">
                  <c:v>62.970057669105302</c:v>
                </c:pt>
                <c:pt idx="16">
                  <c:v>80.716737618977461</c:v>
                </c:pt>
                <c:pt idx="17">
                  <c:v>103.48125535748945</c:v>
                </c:pt>
                <c:pt idx="18">
                  <c:v>132.68666126010359</c:v>
                </c:pt>
                <c:pt idx="19">
                  <c:v>170.16069105127073</c:v>
                </c:pt>
                <c:pt idx="20">
                  <c:v>135.53069857495038</c:v>
                </c:pt>
                <c:pt idx="21">
                  <c:v>161.15012092979916</c:v>
                </c:pt>
                <c:pt idx="22">
                  <c:v>186.67293481199212</c:v>
                </c:pt>
                <c:pt idx="23">
                  <c:v>212.11422506599504</c:v>
                </c:pt>
                <c:pt idx="24">
                  <c:v>237.48514992227561</c:v>
                </c:pt>
                <c:pt idx="25">
                  <c:v>206.53161528161434</c:v>
                </c:pt>
                <c:pt idx="26">
                  <c:v>233.40713942060134</c:v>
                </c:pt>
                <c:pt idx="27">
                  <c:v>260.21198168451195</c:v>
                </c:pt>
                <c:pt idx="28">
                  <c:v>286.9544450254437</c:v>
                </c:pt>
                <c:pt idx="29">
                  <c:v>313.64115705254318</c:v>
                </c:pt>
                <c:pt idx="30">
                  <c:v>340.27752501668789</c:v>
                </c:pt>
                <c:pt idx="31">
                  <c:v>280.87120172097963</c:v>
                </c:pt>
                <c:pt idx="32">
                  <c:v>307.23239527284721</c:v>
                </c:pt>
                <c:pt idx="33">
                  <c:v>333.54333753060683</c:v>
                </c:pt>
                <c:pt idx="34">
                  <c:v>359.80854661791369</c:v>
                </c:pt>
                <c:pt idx="35">
                  <c:v>386.03182733513495</c:v>
                </c:pt>
                <c:pt idx="36">
                  <c:v>412.21642559656016</c:v>
                </c:pt>
                <c:pt idx="37">
                  <c:v>438.36514154393285</c:v>
                </c:pt>
                <c:pt idx="38">
                  <c:v>394.86218431460662</c:v>
                </c:pt>
                <c:pt idx="39">
                  <c:v>420.83865329101536</c:v>
                </c:pt>
                <c:pt idx="40">
                  <c:v>446.78060318925992</c:v>
                </c:pt>
                <c:pt idx="41">
                  <c:v>472.69031801972392</c:v>
                </c:pt>
                <c:pt idx="42">
                  <c:v>498.56981119605592</c:v>
                </c:pt>
                <c:pt idx="43">
                  <c:v>524.42087025895296</c:v>
                </c:pt>
                <c:pt idx="44">
                  <c:v>550.24509232420291</c:v>
                </c:pt>
                <c:pt idx="45">
                  <c:v>576.04391253225162</c:v>
                </c:pt>
                <c:pt idx="46">
                  <c:v>601.81862713859334</c:v>
                </c:pt>
                <c:pt idx="47">
                  <c:v>506.67866168846348</c:v>
                </c:pt>
                <c:pt idx="48">
                  <c:v>529.2802503871311</c:v>
                </c:pt>
                <c:pt idx="49">
                  <c:v>551.86153159582489</c:v>
                </c:pt>
                <c:pt idx="50">
                  <c:v>574.42345234122934</c:v>
                </c:pt>
                <c:pt idx="51">
                  <c:v>596.96687926354946</c:v>
                </c:pt>
                <c:pt idx="52">
                  <c:v>619.49260827885348</c:v>
                </c:pt>
                <c:pt idx="53">
                  <c:v>642.00137276399425</c:v>
                </c:pt>
                <c:pt idx="54">
                  <c:v>664.49385053489107</c:v>
                </c:pt>
                <c:pt idx="55">
                  <c:v>686.97066983166678</c:v>
                </c:pt>
                <c:pt idx="56">
                  <c:v>709.43241448048047</c:v>
                </c:pt>
                <c:pt idx="57">
                  <c:v>631.67236927414172</c:v>
                </c:pt>
                <c:pt idx="58">
                  <c:v>651.3330869379339</c:v>
                </c:pt>
                <c:pt idx="59">
                  <c:v>670.98157399988816</c:v>
                </c:pt>
                <c:pt idx="60">
                  <c:v>690.61823868278464</c:v>
                </c:pt>
                <c:pt idx="61">
                  <c:v>710.24346412590251</c:v>
                </c:pt>
                <c:pt idx="62">
                  <c:v>729.85761059078425</c:v>
                </c:pt>
                <c:pt idx="63">
                  <c:v>749.46101741779523</c:v>
                </c:pt>
                <c:pt idx="64">
                  <c:v>769.05400476753857</c:v>
                </c:pt>
                <c:pt idx="65">
                  <c:v>788.63687517576818</c:v>
                </c:pt>
                <c:pt idx="66">
                  <c:v>808.20991494600219</c:v>
                </c:pt>
                <c:pt idx="67">
                  <c:v>714.1161227767725</c:v>
                </c:pt>
                <c:pt idx="68">
                  <c:v>730.33767734111404</c:v>
                </c:pt>
                <c:pt idx="69">
                  <c:v>746.55189111234506</c:v>
                </c:pt>
                <c:pt idx="70">
                  <c:v>762.75894584283617</c:v>
                </c:pt>
                <c:pt idx="71">
                  <c:v>778.95901493852716</c:v>
                </c:pt>
                <c:pt idx="72">
                  <c:v>795.15226401136772</c:v>
                </c:pt>
                <c:pt idx="73">
                  <c:v>811.33885138445942</c:v>
                </c:pt>
                <c:pt idx="74">
                  <c:v>827.51892855483277</c:v>
                </c:pt>
                <c:pt idx="75">
                  <c:v>843.69264061818376</c:v>
                </c:pt>
                <c:pt idx="76">
                  <c:v>859.86012665938733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" zoomScale="80" zoomScaleNormal="80" workbookViewId="0">
      <selection activeCell="E12" sqref="E12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99" t="s">
        <v>192</v>
      </c>
      <c r="C3" s="300"/>
      <c r="D3" s="300"/>
      <c r="E3" s="300"/>
      <c r="F3" s="301"/>
      <c r="G3" s="95"/>
      <c r="I3" s="227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7"/>
      <c r="B4" s="97"/>
      <c r="C4" s="97"/>
      <c r="D4" s="97"/>
      <c r="E4" s="97"/>
      <c r="F4" s="97"/>
      <c r="G4" s="237"/>
      <c r="I4" s="227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05" t="s">
        <v>231</v>
      </c>
      <c r="B5" s="305"/>
      <c r="C5" s="26">
        <v>23.8</v>
      </c>
      <c r="D5" s="306" t="s">
        <v>229</v>
      </c>
      <c r="E5" s="307"/>
      <c r="F5" s="97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8"/>
      <c r="B6" s="98"/>
      <c r="C6" s="99"/>
      <c r="D6" s="92"/>
      <c r="E6" s="92"/>
      <c r="F6" s="29"/>
      <c r="G6" s="239"/>
      <c r="H6" s="240"/>
      <c r="I6" s="240"/>
      <c r="J6" s="247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2">
      <c r="A7" s="303" t="s">
        <v>226</v>
      </c>
      <c r="B7" s="303"/>
      <c r="C7" s="97"/>
      <c r="D7" s="97"/>
      <c r="E7" s="5"/>
      <c r="F7" s="97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18</v>
      </c>
      <c r="C9" s="35">
        <v>0.18907599999999999</v>
      </c>
      <c r="D9" s="36">
        <f t="shared" ref="D9:D18" si="0">C9*$C$5</f>
        <v>4.5000087999999998</v>
      </c>
      <c r="E9" s="37">
        <v>70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" t="s">
        <v>325</v>
      </c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 t="s">
        <v>35</v>
      </c>
      <c r="C10" s="35">
        <v>0.43277300000000002</v>
      </c>
      <c r="D10" s="36">
        <f t="shared" si="0"/>
        <v>10.299997400000001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" t="s">
        <v>327</v>
      </c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 t="s">
        <v>47</v>
      </c>
      <c r="C11" s="35">
        <v>3.3612999999999997E-2</v>
      </c>
      <c r="D11" s="36">
        <f t="shared" si="0"/>
        <v>0.79998939999999996</v>
      </c>
      <c r="E11" s="37">
        <v>128</v>
      </c>
      <c r="F11" s="38" t="str">
        <f t="array" ref="F11">IF(E11="","",IF(INDEX(A:A,MAX(IF(ISNUMBER($A$88:$A$107),ROW($A$88:$A$107),"")))&lt;&gt;E11,"Corrigez : révolution incorrecte","OK"))</f>
        <v>OK</v>
      </c>
      <c r="G11" s="25" t="s">
        <v>324</v>
      </c>
      <c r="H11" s="230"/>
      <c r="I11" s="25" t="s">
        <v>329</v>
      </c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 t="s">
        <v>18</v>
      </c>
      <c r="C12" s="35">
        <v>0.21008399999999999</v>
      </c>
      <c r="D12" s="36">
        <f t="shared" si="0"/>
        <v>4.9999992000000004</v>
      </c>
      <c r="E12" s="37">
        <v>70</v>
      </c>
      <c r="F12" s="38" t="str">
        <f t="array" ref="F12">IF(E12="","",IF(INDEX(A:A,MAX(IF(ISNUMBER($A$114:$A$133),ROW($A$114:$A$133),"")))&lt;&gt;E12,"Corrigez : révolution incorrecte","OK"))</f>
        <v>OK</v>
      </c>
      <c r="H12" s="230"/>
      <c r="I12" s="25" t="s">
        <v>326</v>
      </c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 t="s">
        <v>35</v>
      </c>
      <c r="C13" s="35">
        <v>0.13445399999999999</v>
      </c>
      <c r="D13" s="36">
        <f t="shared" si="0"/>
        <v>3.2000051999999997</v>
      </c>
      <c r="E13" s="37">
        <v>76</v>
      </c>
      <c r="F13" s="38" t="str">
        <f t="array" ref="F13">IF(E13="","",IF(INDEX(A:A,MAX(IF(ISNUMBER($A$140:$A$159),ROW($A$140:$A$159),"")))&lt;&gt;E13,"Corrigez : révolution incorrecte","OK"))</f>
        <v>OK</v>
      </c>
      <c r="H13" s="230"/>
      <c r="I13" s="25" t="s">
        <v>328</v>
      </c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0"/>
      <c r="B19" s="39" t="s">
        <v>175</v>
      </c>
      <c r="C19" s="40">
        <f>SUM(C9:C18)</f>
        <v>0.99999999999999989</v>
      </c>
      <c r="D19" s="41">
        <f>SUM(D9:D18)</f>
        <v>23.8</v>
      </c>
      <c r="E19" s="5"/>
      <c r="F19" s="101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0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302" t="s">
        <v>232</v>
      </c>
      <c r="B22" s="302"/>
      <c r="C22" s="99"/>
      <c r="H22" s="229"/>
      <c r="I22" s="247"/>
      <c r="J22" s="247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04" t="s">
        <v>227</v>
      </c>
      <c r="B30" s="304"/>
      <c r="D30" s="249"/>
      <c r="H30" s="247"/>
      <c r="I30" s="247"/>
      <c r="J30" s="247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Douglas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20</v>
      </c>
      <c r="B36" s="63">
        <v>203</v>
      </c>
      <c r="C36" s="63">
        <v>1</v>
      </c>
      <c r="D36" s="63">
        <v>25</v>
      </c>
      <c r="E36" s="54">
        <v>0.2</v>
      </c>
      <c r="F36" s="54">
        <v>0.45</v>
      </c>
      <c r="G36" s="54">
        <v>0.35</v>
      </c>
      <c r="H36" s="54"/>
      <c r="I36" s="52">
        <f>IFERROR(B36/A36,"")</f>
        <v>10.15</v>
      </c>
      <c r="J36" s="25" t="s">
        <v>325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25</v>
      </c>
      <c r="B37" s="63">
        <v>288</v>
      </c>
      <c r="C37" s="63">
        <v>2</v>
      </c>
      <c r="D37" s="63">
        <v>39</v>
      </c>
      <c r="E37" s="291">
        <v>0.4</v>
      </c>
      <c r="F37" s="292">
        <v>0.34</v>
      </c>
      <c r="G37" s="292">
        <v>0.26</v>
      </c>
      <c r="H37" s="54"/>
      <c r="I37" s="56">
        <f t="shared" ref="I37:I55" si="1">IF(A37&lt;&gt;0,(B37-(B36-D36))/(A37-A36),"")</f>
        <v>22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30</v>
      </c>
      <c r="B38" s="63">
        <v>360</v>
      </c>
      <c r="C38" s="63">
        <v>3</v>
      </c>
      <c r="D38" s="63">
        <v>46</v>
      </c>
      <c r="E38" s="291">
        <v>0.4</v>
      </c>
      <c r="F38" s="292">
        <v>0.34</v>
      </c>
      <c r="G38" s="292">
        <v>0.26</v>
      </c>
      <c r="H38" s="54"/>
      <c r="I38" s="56">
        <f t="shared" si="1"/>
        <v>22.2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53">
        <v>35</v>
      </c>
      <c r="B39" s="63">
        <v>422</v>
      </c>
      <c r="C39" s="63">
        <v>4</v>
      </c>
      <c r="D39" s="63">
        <v>50</v>
      </c>
      <c r="E39" s="291">
        <v>0.4</v>
      </c>
      <c r="F39" s="292">
        <v>0.34</v>
      </c>
      <c r="G39" s="292">
        <v>0.26</v>
      </c>
      <c r="H39" s="54"/>
      <c r="I39" s="52">
        <f t="shared" si="1"/>
        <v>21.6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>
        <v>40</v>
      </c>
      <c r="B40" s="63">
        <v>477</v>
      </c>
      <c r="C40" s="63">
        <v>5</v>
      </c>
      <c r="D40" s="63">
        <v>50</v>
      </c>
      <c r="E40" s="93">
        <v>0.5</v>
      </c>
      <c r="F40" s="93">
        <v>0.28000000000000003</v>
      </c>
      <c r="G40" s="93">
        <v>0.22</v>
      </c>
      <c r="H40" s="54"/>
      <c r="I40" s="52">
        <f t="shared" si="1"/>
        <v>21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>
        <v>45</v>
      </c>
      <c r="B41" s="63">
        <v>528</v>
      </c>
      <c r="C41" s="63">
        <v>6</v>
      </c>
      <c r="D41" s="63">
        <v>52</v>
      </c>
      <c r="E41" s="93">
        <v>0.5</v>
      </c>
      <c r="F41" s="93">
        <v>0.28000000000000003</v>
      </c>
      <c r="G41" s="93">
        <v>0.22</v>
      </c>
      <c r="H41" s="54"/>
      <c r="I41" s="56">
        <f t="shared" si="1"/>
        <v>20.2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>
        <v>50</v>
      </c>
      <c r="B42" s="63">
        <v>571</v>
      </c>
      <c r="C42" s="63">
        <v>7</v>
      </c>
      <c r="D42" s="63">
        <v>49</v>
      </c>
      <c r="E42" s="93">
        <v>0.5</v>
      </c>
      <c r="F42" s="93">
        <v>0.28000000000000003</v>
      </c>
      <c r="G42" s="93">
        <v>0.22</v>
      </c>
      <c r="H42" s="54"/>
      <c r="I42" s="56">
        <f t="shared" si="1"/>
        <v>19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82">
        <v>55</v>
      </c>
      <c r="B43" s="63">
        <v>614</v>
      </c>
      <c r="C43" s="63">
        <v>8</v>
      </c>
      <c r="D43" s="63">
        <v>51</v>
      </c>
      <c r="E43" s="93">
        <v>0.6</v>
      </c>
      <c r="F43" s="93">
        <v>0.22</v>
      </c>
      <c r="G43" s="93">
        <v>0.18</v>
      </c>
      <c r="H43" s="54"/>
      <c r="I43" s="52">
        <f t="shared" si="1"/>
        <v>18.399999999999999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82">
        <v>60</v>
      </c>
      <c r="B44" s="63">
        <v>651</v>
      </c>
      <c r="C44" s="63">
        <v>9</v>
      </c>
      <c r="D44" s="63">
        <v>49</v>
      </c>
      <c r="E44" s="93">
        <v>0.6</v>
      </c>
      <c r="F44" s="93">
        <v>0.22</v>
      </c>
      <c r="G44" s="93">
        <v>0.18</v>
      </c>
      <c r="H44" s="54"/>
      <c r="I44" s="52">
        <f t="shared" si="1"/>
        <v>17.600000000000001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82">
        <v>65</v>
      </c>
      <c r="B45" s="63">
        <v>686</v>
      </c>
      <c r="C45" s="63">
        <v>10</v>
      </c>
      <c r="D45" s="63">
        <v>46</v>
      </c>
      <c r="E45" s="93">
        <v>0.6</v>
      </c>
      <c r="F45" s="93">
        <v>0.22</v>
      </c>
      <c r="G45" s="93">
        <v>0.18</v>
      </c>
      <c r="H45" s="54"/>
      <c r="I45" s="52">
        <f t="shared" si="1"/>
        <v>16.8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82">
        <v>70</v>
      </c>
      <c r="B46" s="63">
        <v>719</v>
      </c>
      <c r="C46" s="63">
        <v>11</v>
      </c>
      <c r="D46" s="63">
        <v>719</v>
      </c>
      <c r="E46" s="93">
        <v>0.7</v>
      </c>
      <c r="F46" s="93">
        <v>0.17</v>
      </c>
      <c r="G46" s="93">
        <v>0.13</v>
      </c>
      <c r="H46" s="54"/>
      <c r="I46" s="52">
        <f t="shared" si="1"/>
        <v>15.8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82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2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2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2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2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2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2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2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2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>Pin laricio</v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53">
        <v>22</v>
      </c>
      <c r="B62" s="63">
        <v>129.07</v>
      </c>
      <c r="C62" s="63">
        <v>1</v>
      </c>
      <c r="D62" s="63">
        <v>52.41</v>
      </c>
      <c r="E62" s="54">
        <v>0.2</v>
      </c>
      <c r="F62" s="54">
        <v>0.45</v>
      </c>
      <c r="G62" s="54">
        <v>0.35</v>
      </c>
      <c r="H62" s="54"/>
      <c r="I62" s="56">
        <f>IFERROR(B62/A62,"")</f>
        <v>5.8668181818181813</v>
      </c>
      <c r="J62" s="25" t="s">
        <v>327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53">
        <v>27</v>
      </c>
      <c r="B63" s="63">
        <v>155.49</v>
      </c>
      <c r="C63" s="63">
        <v>2</v>
      </c>
      <c r="D63" s="63">
        <v>37.840000000000003</v>
      </c>
      <c r="E63" s="291">
        <v>0.4</v>
      </c>
      <c r="F63" s="292">
        <v>0.34</v>
      </c>
      <c r="G63" s="292">
        <v>0.26</v>
      </c>
      <c r="H63" s="54"/>
      <c r="I63" s="52">
        <f>IF(A63&lt;&gt;0,(B63-(B62-D62))/(A63-A62),"")</f>
        <v>15.766000000000002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53">
        <v>33</v>
      </c>
      <c r="B64" s="63">
        <v>217.34</v>
      </c>
      <c r="C64" s="63">
        <v>3</v>
      </c>
      <c r="D64" s="63">
        <v>50.41</v>
      </c>
      <c r="E64" s="291">
        <v>0.4</v>
      </c>
      <c r="F64" s="292">
        <v>0.34</v>
      </c>
      <c r="G64" s="292">
        <v>0.26</v>
      </c>
      <c r="H64" s="54"/>
      <c r="I64" s="52">
        <f>IF(A64&lt;&gt;0,(B64-(B63-D63))/(A64-A63),"")</f>
        <v>16.614999999999998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53">
        <v>41</v>
      </c>
      <c r="B65" s="63">
        <v>300.54000000000002</v>
      </c>
      <c r="C65" s="63">
        <v>4</v>
      </c>
      <c r="D65" s="63">
        <v>72.13</v>
      </c>
      <c r="E65" s="291">
        <v>0.4</v>
      </c>
      <c r="F65" s="292">
        <v>0.34</v>
      </c>
      <c r="G65" s="292">
        <v>0.26</v>
      </c>
      <c r="H65" s="54"/>
      <c r="I65" s="52">
        <f>IF(A65&lt;&gt;0,(B65-(B64-D64))/(A65-A64),"")</f>
        <v>16.701250000000002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53">
        <v>50</v>
      </c>
      <c r="B66" s="63">
        <v>369.94</v>
      </c>
      <c r="C66" s="63">
        <v>5</v>
      </c>
      <c r="D66" s="63">
        <v>70.2</v>
      </c>
      <c r="E66" s="93">
        <v>0.5</v>
      </c>
      <c r="F66" s="93">
        <v>0.28000000000000003</v>
      </c>
      <c r="G66" s="93">
        <v>0.22</v>
      </c>
      <c r="H66" s="54"/>
      <c r="I66" s="52">
        <f t="shared" ref="I66:I81" si="2">IF(A66&lt;&gt;0,(B66-(B65-D65))/(A66-A65),"")</f>
        <v>15.725555555555552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53">
        <v>60</v>
      </c>
      <c r="B67" s="63">
        <v>440.94</v>
      </c>
      <c r="C67" s="63">
        <v>6</v>
      </c>
      <c r="D67" s="63">
        <v>69.849999999999994</v>
      </c>
      <c r="E67" s="93">
        <v>0.5</v>
      </c>
      <c r="F67" s="93">
        <v>0.28000000000000003</v>
      </c>
      <c r="G67" s="93">
        <v>0.22</v>
      </c>
      <c r="H67" s="54"/>
      <c r="I67" s="52">
        <f t="shared" si="2"/>
        <v>14.12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53">
        <v>70</v>
      </c>
      <c r="B68" s="63">
        <v>490.06</v>
      </c>
      <c r="C68" s="63">
        <v>7</v>
      </c>
      <c r="D68" s="63">
        <v>67.88</v>
      </c>
      <c r="E68" s="93">
        <v>0.6</v>
      </c>
      <c r="F68" s="93">
        <v>0.22</v>
      </c>
      <c r="G68" s="93">
        <v>0.18</v>
      </c>
      <c r="H68" s="54"/>
      <c r="I68" s="52">
        <f t="shared" si="2"/>
        <v>11.896999999999997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53">
        <v>80</v>
      </c>
      <c r="B69" s="53">
        <v>520</v>
      </c>
      <c r="C69" s="53">
        <v>8</v>
      </c>
      <c r="D69" s="53">
        <v>520</v>
      </c>
      <c r="E69" s="93">
        <v>0.6</v>
      </c>
      <c r="F69" s="93">
        <v>0.22</v>
      </c>
      <c r="G69" s="93">
        <v>0.18</v>
      </c>
      <c r="H69" s="54"/>
      <c r="I69" s="52">
        <f t="shared" si="2"/>
        <v>9.782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>Sapin méditerranéen</v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53">
        <v>57</v>
      </c>
      <c r="B88" s="63">
        <v>362.65</v>
      </c>
      <c r="C88" s="63">
        <v>1</v>
      </c>
      <c r="D88" s="63">
        <v>133.62</v>
      </c>
      <c r="E88" s="54">
        <v>0.2</v>
      </c>
      <c r="F88" s="54">
        <v>0.45</v>
      </c>
      <c r="G88" s="54">
        <v>0.35</v>
      </c>
      <c r="H88" s="93"/>
      <c r="I88" s="56">
        <f>IFERROR(B88/A88,"")</f>
        <v>6.3622807017543854</v>
      </c>
      <c r="J88" s="25" t="s">
        <v>329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53">
        <v>65</v>
      </c>
      <c r="B89" s="63">
        <v>356.62</v>
      </c>
      <c r="C89" s="63">
        <v>2</v>
      </c>
      <c r="D89" s="63">
        <v>86.06</v>
      </c>
      <c r="E89" s="54">
        <v>0.4</v>
      </c>
      <c r="F89" s="54">
        <v>0.34</v>
      </c>
      <c r="G89" s="54">
        <v>0.26</v>
      </c>
      <c r="H89" s="93"/>
      <c r="I89" s="56">
        <f t="shared" ref="I89:I107" si="3">IF(A89&lt;&gt;0,(B89-(B88-D88))/(A89-A88),"")</f>
        <v>15.948750000000004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53">
        <v>73</v>
      </c>
      <c r="B90" s="63">
        <v>396.13</v>
      </c>
      <c r="C90" s="63">
        <v>3</v>
      </c>
      <c r="D90" s="63">
        <v>82.53</v>
      </c>
      <c r="E90" s="93">
        <v>0.5</v>
      </c>
      <c r="F90" s="93">
        <v>0.28000000000000003</v>
      </c>
      <c r="G90" s="93">
        <v>0.22</v>
      </c>
      <c r="H90" s="93"/>
      <c r="I90" s="56">
        <f t="shared" si="3"/>
        <v>15.696249999999999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53">
        <v>81</v>
      </c>
      <c r="B91" s="63">
        <v>434.99</v>
      </c>
      <c r="C91" s="63">
        <v>4</v>
      </c>
      <c r="D91" s="63">
        <v>92.7</v>
      </c>
      <c r="E91" s="93">
        <v>0.6</v>
      </c>
      <c r="F91" s="93">
        <v>0.22</v>
      </c>
      <c r="G91" s="93">
        <v>0.18</v>
      </c>
      <c r="H91" s="93"/>
      <c r="I91" s="56">
        <f t="shared" si="3"/>
        <v>15.173749999999998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53">
        <v>90</v>
      </c>
      <c r="B92" s="63">
        <v>470.58</v>
      </c>
      <c r="C92" s="63">
        <v>5</v>
      </c>
      <c r="D92" s="63">
        <v>87.72</v>
      </c>
      <c r="E92" s="93">
        <v>0.6</v>
      </c>
      <c r="F92" s="93">
        <v>0.22</v>
      </c>
      <c r="G92" s="93">
        <v>0.18</v>
      </c>
      <c r="H92" s="93"/>
      <c r="I92" s="56">
        <f t="shared" si="3"/>
        <v>14.25444444444444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>
        <v>99</v>
      </c>
      <c r="B93" s="63">
        <v>502.21</v>
      </c>
      <c r="C93" s="63">
        <v>6</v>
      </c>
      <c r="D93" s="63">
        <v>87.97</v>
      </c>
      <c r="E93" s="93">
        <v>0.7</v>
      </c>
      <c r="F93" s="93">
        <v>0.17</v>
      </c>
      <c r="G93" s="93">
        <v>0.13</v>
      </c>
      <c r="H93" s="93"/>
      <c r="I93" s="56">
        <f t="shared" si="3"/>
        <v>13.261111111111108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53">
        <v>108</v>
      </c>
      <c r="B94" s="63">
        <v>525.17999999999995</v>
      </c>
      <c r="C94" s="63">
        <v>7</v>
      </c>
      <c r="D94" s="63">
        <v>81.44</v>
      </c>
      <c r="E94" s="93">
        <v>0.7</v>
      </c>
      <c r="F94" s="93">
        <v>0.17</v>
      </c>
      <c r="G94" s="93">
        <v>0.13</v>
      </c>
      <c r="H94" s="93"/>
      <c r="I94" s="56">
        <f t="shared" si="3"/>
        <v>12.326666666666661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63">
        <v>118</v>
      </c>
      <c r="B95" s="63">
        <v>556.83000000000004</v>
      </c>
      <c r="C95" s="63">
        <v>8</v>
      </c>
      <c r="D95" s="63">
        <v>81.52</v>
      </c>
      <c r="E95" s="93">
        <v>0.8</v>
      </c>
      <c r="F95" s="93">
        <v>0.11</v>
      </c>
      <c r="G95" s="93">
        <v>0.09</v>
      </c>
      <c r="H95" s="93"/>
      <c r="I95" s="56">
        <f t="shared" si="3"/>
        <v>11.309000000000008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63">
        <v>128</v>
      </c>
      <c r="B96" s="63">
        <v>580.05999999999995</v>
      </c>
      <c r="C96" s="63">
        <v>9</v>
      </c>
      <c r="D96" s="63">
        <v>580.05999999999995</v>
      </c>
      <c r="E96" s="93">
        <v>0.8</v>
      </c>
      <c r="F96" s="93">
        <v>0.11</v>
      </c>
      <c r="G96" s="93">
        <v>0.09</v>
      </c>
      <c r="H96" s="93"/>
      <c r="I96" s="56">
        <f t="shared" si="3"/>
        <v>10.474999999999989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>Douglas</v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53">
        <v>15</v>
      </c>
      <c r="B114" s="63">
        <v>183</v>
      </c>
      <c r="C114" s="53">
        <v>1</v>
      </c>
      <c r="D114" s="63">
        <v>28</v>
      </c>
      <c r="E114" s="54">
        <v>0.2</v>
      </c>
      <c r="F114" s="54">
        <v>0.45</v>
      </c>
      <c r="G114" s="54">
        <v>0.35</v>
      </c>
      <c r="H114" s="54"/>
      <c r="I114" s="56">
        <f>IFERROR(B114/A114,"")</f>
        <v>12.2</v>
      </c>
      <c r="J114" s="25" t="s">
        <v>326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53">
        <v>20</v>
      </c>
      <c r="B115" s="63">
        <v>285</v>
      </c>
      <c r="C115" s="53">
        <v>2</v>
      </c>
      <c r="D115" s="63">
        <v>45</v>
      </c>
      <c r="E115" s="54">
        <v>0.2</v>
      </c>
      <c r="F115" s="54">
        <v>0.45</v>
      </c>
      <c r="G115" s="54">
        <v>0.35</v>
      </c>
      <c r="H115" s="54"/>
      <c r="I115" s="56">
        <f t="shared" ref="I115:I133" si="4">IF(A115&lt;&gt;0,(B115-(B114-D114))/(A115-A114),"")</f>
        <v>26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53">
        <v>25</v>
      </c>
      <c r="B116" s="63">
        <v>369</v>
      </c>
      <c r="C116" s="53">
        <v>3</v>
      </c>
      <c r="D116" s="63">
        <v>52</v>
      </c>
      <c r="E116" s="291">
        <v>0.4</v>
      </c>
      <c r="F116" s="292">
        <v>0.34</v>
      </c>
      <c r="G116" s="292">
        <v>0.26</v>
      </c>
      <c r="H116" s="54"/>
      <c r="I116" s="56">
        <f t="shared" si="4"/>
        <v>25.8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53">
        <v>30</v>
      </c>
      <c r="B117" s="63">
        <v>440</v>
      </c>
      <c r="C117" s="53">
        <v>4</v>
      </c>
      <c r="D117" s="63">
        <v>55</v>
      </c>
      <c r="E117" s="291">
        <v>0.4</v>
      </c>
      <c r="F117" s="292">
        <v>0.34</v>
      </c>
      <c r="G117" s="292">
        <v>0.26</v>
      </c>
      <c r="H117" s="54"/>
      <c r="I117" s="56">
        <f t="shared" si="4"/>
        <v>24.6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53">
        <v>35</v>
      </c>
      <c r="B118" s="63">
        <v>500</v>
      </c>
      <c r="C118" s="53">
        <v>5</v>
      </c>
      <c r="D118" s="63">
        <v>55</v>
      </c>
      <c r="E118" s="291">
        <v>0.4</v>
      </c>
      <c r="F118" s="292">
        <v>0.34</v>
      </c>
      <c r="G118" s="292">
        <v>0.26</v>
      </c>
      <c r="H118" s="54"/>
      <c r="I118" s="56">
        <f t="shared" si="4"/>
        <v>23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>
        <v>40</v>
      </c>
      <c r="B119" s="63">
        <v>554</v>
      </c>
      <c r="C119" s="53">
        <v>6</v>
      </c>
      <c r="D119" s="63">
        <v>55</v>
      </c>
      <c r="E119" s="93">
        <v>0.5</v>
      </c>
      <c r="F119" s="93">
        <v>0.28000000000000003</v>
      </c>
      <c r="G119" s="93">
        <v>0.22</v>
      </c>
      <c r="H119" s="54"/>
      <c r="I119" s="56">
        <f t="shared" si="4"/>
        <v>21.8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63">
        <v>45</v>
      </c>
      <c r="B120" s="63">
        <v>601</v>
      </c>
      <c r="C120" s="63">
        <v>7</v>
      </c>
      <c r="D120" s="63">
        <v>53</v>
      </c>
      <c r="E120" s="93">
        <v>0.5</v>
      </c>
      <c r="F120" s="93">
        <v>0.28000000000000003</v>
      </c>
      <c r="G120" s="93">
        <v>0.22</v>
      </c>
      <c r="H120" s="93"/>
      <c r="I120" s="56">
        <f t="shared" si="4"/>
        <v>20.399999999999999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63">
        <v>50</v>
      </c>
      <c r="B121" s="63">
        <v>645</v>
      </c>
      <c r="C121" s="63">
        <v>8</v>
      </c>
      <c r="D121" s="63">
        <v>51</v>
      </c>
      <c r="E121" s="93">
        <v>0.5</v>
      </c>
      <c r="F121" s="93">
        <v>0.28000000000000003</v>
      </c>
      <c r="G121" s="93">
        <v>0.22</v>
      </c>
      <c r="H121" s="93"/>
      <c r="I121" s="56">
        <f t="shared" si="4"/>
        <v>19.399999999999999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>
        <v>55</v>
      </c>
      <c r="B122" s="63">
        <v>684</v>
      </c>
      <c r="C122" s="63">
        <v>9</v>
      </c>
      <c r="D122" s="63">
        <v>51</v>
      </c>
      <c r="E122" s="93">
        <v>0.6</v>
      </c>
      <c r="F122" s="93">
        <v>0.22</v>
      </c>
      <c r="G122" s="93">
        <v>0.18</v>
      </c>
      <c r="H122" s="93"/>
      <c r="I122" s="56">
        <f t="shared" si="4"/>
        <v>18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>
        <v>60</v>
      </c>
      <c r="B123" s="63">
        <v>718</v>
      </c>
      <c r="C123" s="63">
        <v>10</v>
      </c>
      <c r="D123" s="63">
        <v>45</v>
      </c>
      <c r="E123" s="93">
        <v>0.6</v>
      </c>
      <c r="F123" s="93">
        <v>0.22</v>
      </c>
      <c r="G123" s="93">
        <v>0.18</v>
      </c>
      <c r="H123" s="93"/>
      <c r="I123" s="56">
        <f t="shared" si="4"/>
        <v>17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>
        <v>65</v>
      </c>
      <c r="B124" s="63">
        <v>755</v>
      </c>
      <c r="C124" s="63">
        <v>11</v>
      </c>
      <c r="D124" s="63">
        <v>46</v>
      </c>
      <c r="E124" s="93">
        <v>0.6</v>
      </c>
      <c r="F124" s="93">
        <v>0.22</v>
      </c>
      <c r="G124" s="93">
        <v>0.18</v>
      </c>
      <c r="H124" s="93"/>
      <c r="I124" s="56">
        <f t="shared" si="4"/>
        <v>16.399999999999999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>
        <v>70</v>
      </c>
      <c r="B125" s="63">
        <v>785</v>
      </c>
      <c r="C125" s="63">
        <v>12</v>
      </c>
      <c r="D125" s="63">
        <v>785</v>
      </c>
      <c r="E125" s="93">
        <v>0.7</v>
      </c>
      <c r="F125" s="93">
        <v>0.17</v>
      </c>
      <c r="G125" s="93">
        <v>0.13</v>
      </c>
      <c r="H125" s="93"/>
      <c r="I125" s="56">
        <f t="shared" si="4"/>
        <v>15.2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>Pin laricio</v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53">
        <v>19</v>
      </c>
      <c r="B140" s="63">
        <v>127.82</v>
      </c>
      <c r="C140" s="53">
        <v>1</v>
      </c>
      <c r="D140" s="63">
        <v>46.3</v>
      </c>
      <c r="E140" s="291">
        <v>0.4</v>
      </c>
      <c r="F140" s="292">
        <v>0.34</v>
      </c>
      <c r="G140" s="292">
        <v>0.26</v>
      </c>
      <c r="H140" s="54"/>
      <c r="I140" s="60">
        <f>IFERROR(B140/A140,"")</f>
        <v>6.7273684210526312</v>
      </c>
      <c r="J140" s="25" t="s">
        <v>328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53">
        <v>24</v>
      </c>
      <c r="B141" s="63">
        <v>179.92</v>
      </c>
      <c r="C141" s="53">
        <v>2</v>
      </c>
      <c r="D141" s="63">
        <v>44.84</v>
      </c>
      <c r="E141" s="291">
        <v>0.4</v>
      </c>
      <c r="F141" s="292">
        <v>0.34</v>
      </c>
      <c r="G141" s="292">
        <v>0.26</v>
      </c>
      <c r="H141" s="54"/>
      <c r="I141" s="60">
        <f t="shared" ref="I141:I159" si="5">IF(A141&lt;&gt;0,(B141-(B140-D140))/(A141-A140),"")</f>
        <v>19.68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53">
        <v>30</v>
      </c>
      <c r="B142" s="63">
        <v>260.10000000000002</v>
      </c>
      <c r="C142" s="53">
        <v>3</v>
      </c>
      <c r="D142" s="63">
        <v>66.989999999999995</v>
      </c>
      <c r="E142" s="291">
        <v>0.4</v>
      </c>
      <c r="F142" s="292">
        <v>0.34</v>
      </c>
      <c r="G142" s="292">
        <v>0.26</v>
      </c>
      <c r="H142" s="54"/>
      <c r="I142" s="60">
        <f t="shared" si="5"/>
        <v>20.836666666666673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53">
        <v>37</v>
      </c>
      <c r="B143" s="63">
        <v>337.12</v>
      </c>
      <c r="C143" s="53">
        <v>4</v>
      </c>
      <c r="D143" s="63">
        <v>54.63</v>
      </c>
      <c r="E143" s="93">
        <v>0.5</v>
      </c>
      <c r="F143" s="93">
        <v>0.28000000000000003</v>
      </c>
      <c r="G143" s="93">
        <v>0.22</v>
      </c>
      <c r="H143" s="54"/>
      <c r="I143" s="60">
        <f t="shared" si="5"/>
        <v>20.572857142857142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53">
        <v>46</v>
      </c>
      <c r="B144" s="63">
        <v>466.26</v>
      </c>
      <c r="C144" s="53">
        <v>5</v>
      </c>
      <c r="D144" s="63">
        <v>93.13</v>
      </c>
      <c r="E144" s="93">
        <v>0.5</v>
      </c>
      <c r="F144" s="93">
        <v>0.28000000000000003</v>
      </c>
      <c r="G144" s="93">
        <v>0.22</v>
      </c>
      <c r="H144" s="54"/>
      <c r="I144" s="60">
        <f t="shared" si="5"/>
        <v>20.418888888888887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53">
        <v>56</v>
      </c>
      <c r="B145" s="63">
        <v>551.70000000000005</v>
      </c>
      <c r="C145" s="53">
        <v>6</v>
      </c>
      <c r="D145" s="63">
        <v>77.37</v>
      </c>
      <c r="E145" s="93">
        <v>0.6</v>
      </c>
      <c r="F145" s="93">
        <v>0.22</v>
      </c>
      <c r="G145" s="93">
        <v>0.18</v>
      </c>
      <c r="H145" s="54"/>
      <c r="I145" s="60">
        <f t="shared" si="5"/>
        <v>17.857000000000006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53">
        <v>66</v>
      </c>
      <c r="B146" s="63">
        <v>630.36</v>
      </c>
      <c r="C146" s="53">
        <v>7</v>
      </c>
      <c r="D146" s="63">
        <v>87.84</v>
      </c>
      <c r="E146" s="93">
        <v>0.6</v>
      </c>
      <c r="F146" s="93">
        <v>0.22</v>
      </c>
      <c r="G146" s="93">
        <v>0.18</v>
      </c>
      <c r="H146" s="54"/>
      <c r="I146" s="60">
        <f t="shared" si="5"/>
        <v>15.602999999999998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53">
        <v>76</v>
      </c>
      <c r="B147" s="63">
        <v>671.57</v>
      </c>
      <c r="C147" s="53">
        <v>8</v>
      </c>
      <c r="D147" s="63">
        <v>671.57</v>
      </c>
      <c r="E147" s="93">
        <v>0.6</v>
      </c>
      <c r="F147" s="93">
        <v>0.22</v>
      </c>
      <c r="G147" s="93">
        <v>0.18</v>
      </c>
      <c r="H147" s="54"/>
      <c r="I147" s="60">
        <f>IF(A147&lt;&gt;0,(B147-(B146-D146))/(A147-A146),"")</f>
        <v>12.905000000000006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/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/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/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9" sqref="F9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8"/>
      <c r="B7" s="29" t="s">
        <v>295</v>
      </c>
      <c r="C7" s="109" t="s">
        <v>214</v>
      </c>
      <c r="D7" s="234"/>
      <c r="E7" s="110"/>
      <c r="F7" s="29" t="s">
        <v>295</v>
      </c>
      <c r="G7" s="109" t="s">
        <v>215</v>
      </c>
      <c r="H7" s="235"/>
      <c r="I7" s="235"/>
      <c r="J7" s="235"/>
      <c r="K7" s="235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5"/>
      <c r="B13" s="116"/>
      <c r="C13" s="107" t="s">
        <v>273</v>
      </c>
      <c r="D13" s="235"/>
      <c r="E13" s="108"/>
      <c r="F13" s="116"/>
      <c r="G13" s="107" t="s">
        <v>301</v>
      </c>
      <c r="H13" s="235"/>
      <c r="I13" s="235"/>
      <c r="J13" s="235"/>
      <c r="K13" s="235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">
      <c r="A14" s="235"/>
      <c r="B14" s="116"/>
      <c r="C14" s="107" t="s">
        <v>309</v>
      </c>
      <c r="D14" s="235"/>
      <c r="E14" s="108"/>
      <c r="F14" s="116"/>
      <c r="G14" s="107" t="s">
        <v>294</v>
      </c>
      <c r="H14" s="235"/>
      <c r="I14" s="235"/>
      <c r="J14" s="235"/>
      <c r="K14" s="235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Douglas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Pin laricio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Sapin méditerranéen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>Douglas</v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>Pin laricio</v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389.80719836281679</v>
      </c>
      <c r="T3" s="62">
        <f>IF('Données projet'!E9&gt;30,$R$33-$H$33,LOOKUP('Données projet'!$E$9,$A$3:$A$203,R3:R203)-LOOKUP('Données projet'!$E$9,$A$3:$A$203,$H$3:$H$203))</f>
        <v>399.58193819355591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269.90083987531233</v>
      </c>
      <c r="AO3" s="62">
        <f>IF('Données projet'!E10&gt;30,$AM$33-$H$33,LOOKUP('Données projet'!$E$10,$A$3:$A$203,AM3:AM203)-LOOKUP('Données projet'!$E$10,$A$3:$A$203,$H$3:$H$203))</f>
        <v>183.4515835513518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255.64417186544995</v>
      </c>
      <c r="BJ3" s="62">
        <f>IF('Données projet'!E11&gt;30,$BH$33-$H$33,LOOKUP('Données projet'!$E$11,$A$3:$A$203,BH3:BH203)-LOOKUP('Données projet'!$E$11,$A$3:$A$203,$H$3:$H$203))</f>
        <v>165.41802783289376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465.49436272491818</v>
      </c>
      <c r="CE3" s="62">
        <f>IF('Données projet'!E12&gt;30,$CC$33-$H$33,LOOKUP('Données projet'!$E$12,$A$3:$A$203,CC3:CC203)-LOOKUP('Données projet'!$E$12,$A$3:$A$203,$H$3:$H$203))</f>
        <v>494.36941732405256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293.33333333333331</v>
      </c>
      <c r="CY3" s="62">
        <f ca="1">AVERAGE(OFFSET($CX$3,0,0,'Données projet'!$E$13+1,1))-AVERAGE(OFFSET($H$3,0,0,'Données projet'!$E$13+1,1))</f>
        <v>361.46923697840384</v>
      </c>
      <c r="CZ3" s="62">
        <f>IF('Données projet'!E13&gt;30,$CX$33-$H$33,LOOKUP('Données projet'!$E$13,$A$3:$A$203,CX3:CX203)-LOOKUP('Données projet'!$E$13,$A$3:$A$203,$H$3:$H$203))</f>
        <v>302.25424592654673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10.15</v>
      </c>
      <c r="N4" s="14">
        <f>IF('Données projet'!$A$36&gt;35,N3+M4-V3,IF(A4&lt;'Données projet'!$A$36,$K$205^A4,IF(A4='Données projet'!$A$36,'Données projet'!$B$36,N3+M4-V3)))</f>
        <v>1.3042919140928491</v>
      </c>
      <c r="O4" s="14">
        <f>N4*VLOOKUP('Données projet'!$B$9,Paramètres!$A$1:$I$89,3,0)*VLOOKUP('Données projet'!$B$9,Paramètres!$A$1:$I$89,5,0)</f>
        <v>0.72909917997790263</v>
      </c>
      <c r="P4" s="14">
        <f>EXP(-1.0587+0.8836*LN(O4)+0.284)</f>
        <v>0.34858629890235465</v>
      </c>
      <c r="Q4" s="22">
        <f t="shared" ref="Q4:Q34" si="2">(O4+P4)*0.475*44/12</f>
        <v>1.8769688757164482</v>
      </c>
      <c r="R4" s="62">
        <f t="shared" si="0"/>
        <v>295.21030220904976</v>
      </c>
      <c r="S4" s="62">
        <f ca="1">AVERAGE(OFFSET($R$3,0,0,'Données projet'!$E$9+1,1))-AVERAGE(OFFSET($H$3,0,0,'Données projet'!$E$9+1,1))</f>
        <v>389.80719836281679</v>
      </c>
      <c r="T4" s="62">
        <f>$T$3</f>
        <v>399.58193819355591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5.8668181818181813</v>
      </c>
      <c r="AI4" s="14">
        <f>IF('Données projet'!$A$62&gt;35,AI3+AH4-AQ3,IF(A4&lt;'Données projet'!$A$62,$AF$205^A4,IF(A4='Données projet'!$A$62,'Données projet'!$B$62,AI3+AH4-AQ3)))</f>
        <v>1.2472301622014093</v>
      </c>
      <c r="AJ4" s="14">
        <f>AI4*VLOOKUP('Données projet'!$B$10,Paramètres!$A$1:$I$89,3,0)*VLOOKUP('Données projet'!$B$10,Paramètres!$A$1:$I$89,5,0)</f>
        <v>0.74584363699644274</v>
      </c>
      <c r="AK4" s="14">
        <f>EXP(-1.0587+0.8836*LN(AJ4)+0.284)</f>
        <v>0.35565068640491565</v>
      </c>
      <c r="AL4" s="22">
        <f t="shared" ref="AL4:AL67" si="4">(AJ4+AK4)*0.475*44/12</f>
        <v>1.918435946590699</v>
      </c>
      <c r="AM4" s="62">
        <f t="shared" ref="AM4:AM67" si="5">AL4+(AD4+AE4)*44/12</f>
        <v>295.25176927992402</v>
      </c>
      <c r="AN4" s="62">
        <f ca="1">AVERAGE(OFFSET($AM$3,0,0,'Données projet'!$E$10+1,1))-AVERAGE(OFFSET($H$3,0,0,'Données projet'!$E$10+1,1))</f>
        <v>269.90083987531233</v>
      </c>
      <c r="AO4" s="62">
        <f>$AO$3</f>
        <v>183.4515835513518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6.3622807017543854</v>
      </c>
      <c r="BD4" s="13">
        <f>IF('Données projet'!$A$88&gt;35,BD3+BC4-BL3,IF(A4&lt;'Données projet'!$A$88,$BA$205^A4,IF(A4='Données projet'!$A$88,'Données projet'!$B$88,BD3+BC4-BL3)))</f>
        <v>6.3622807017543854</v>
      </c>
      <c r="BE4" s="14">
        <f>BD4*VLOOKUP('Données projet'!$B$11,Paramètres!$A$1:$I$89,3,0)*VLOOKUP('Données projet'!$B$11,Paramètres!$A$1:$I$89,5,0)</f>
        <v>3.0602570175438593</v>
      </c>
      <c r="BF4" s="14">
        <f>EXP(-1.0587+0.8836*LN(BE4)+0.284)</f>
        <v>1.2381342786355747</v>
      </c>
      <c r="BG4" s="22">
        <f t="shared" ref="BG4:BG67" si="7">(BE4+BF4)*0.475*44/12</f>
        <v>7.4863648408458454</v>
      </c>
      <c r="BH4" s="62">
        <f t="shared" ref="BH4:BH67" si="8">BG4+(AY4+AZ4)*44/12</f>
        <v>300.81969817417917</v>
      </c>
      <c r="BI4" s="62">
        <f ca="1">AVERAGE(OFFSET($BH$3,0,0,'Données projet'!$E$11+1,1))-AVERAGE(OFFSET($H$3,0,0,'Données projet'!$E$11+1,1))</f>
        <v>255.64417186544995</v>
      </c>
      <c r="BJ4" s="62">
        <f>$BJ$3</f>
        <v>165.41802783289376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12.2</v>
      </c>
      <c r="BY4" s="13">
        <f>IF('Données projet'!$A$114&gt;35,BY3+BX4-CG3,IF(A4&lt;'Données projet'!$A$114,$BV$205^A4,IF(A4='Données projet'!$A$114,'Données projet'!$B$114,BY3+BX4-CG3)))</f>
        <v>1.4152399275904428</v>
      </c>
      <c r="BZ4" s="14">
        <f>BY4*VLOOKUP('Données projet'!$B$12,Paramètres!$A$1:$I$89,3,0)*VLOOKUP('Données projet'!$B$12,Paramètres!$A$1:$I$89,5,0)</f>
        <v>0.79111911952305758</v>
      </c>
      <c r="CA4" s="14">
        <f>EXP(-1.0587+0.8836*LN(BZ4)+0.284)</f>
        <v>0.37466108847523988</v>
      </c>
      <c r="CB4" s="22">
        <f t="shared" ref="CB4:CB67" si="10">(BZ4+CA4)*0.475*44/12</f>
        <v>2.0304005289303682</v>
      </c>
      <c r="CC4" s="62">
        <f t="shared" ref="CC4:CC67" si="11">CB4+(BT4+BU4)*44/12</f>
        <v>295.3637338622637</v>
      </c>
      <c r="CD4" s="62">
        <f ca="1">AVERAGE(OFFSET($CC$3,0,0,'Données projet'!$E$12+1,1))-AVERAGE(OFFSET($H$3,0,0,'Données projet'!$E$12+1,1))</f>
        <v>465.49436272491818</v>
      </c>
      <c r="CE4" s="62">
        <f>$CE$3</f>
        <v>494.36941732405256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6.7273684210526312</v>
      </c>
      <c r="CT4" s="13">
        <f>IF('Données projet'!$A$140&gt;35,CT3+CS4-DB3,IF(A4&lt;'Données projet'!$A$140,$CQ$205^A4,IF(A4='Données projet'!$A$140,'Données projet'!$B$140,CT3+CS4-DB3)))</f>
        <v>1.2908435877572824</v>
      </c>
      <c r="CU4" s="18">
        <f>CT4*VLOOKUP('Données projet'!$B$13,Paramètres!$A$1:$I$89,3,0)*VLOOKUP('Données projet'!$B$13,Paramètres!$A$1:$I$89,5,0)</f>
        <v>0.77192446547885496</v>
      </c>
      <c r="CV4" s="14">
        <f>EXP(-1.0587+0.8836*LN(CU4)+0.284)</f>
        <v>0.36661747604786077</v>
      </c>
      <c r="CW4" s="22">
        <f t="shared" ref="CW4:CW67" si="13">(CU4+CV4)*0.475*44/12</f>
        <v>1.9829605481590298</v>
      </c>
      <c r="CX4" s="62">
        <f t="shared" ref="CX4:CX67" si="14">CW4+(CO4+CP4)*44/12</f>
        <v>295.31629388149236</v>
      </c>
      <c r="CY4" s="62">
        <f ca="1">AVERAGE(OFFSET($CX$3,0,0,'Données projet'!$E$13+1,1))-AVERAGE(OFFSET($H$3,0,0,'Données projet'!$E$13+1,1))</f>
        <v>361.46923697840384</v>
      </c>
      <c r="CZ4" s="62">
        <f>$CZ$3</f>
        <v>302.25424592654673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10.15</v>
      </c>
      <c r="N5" s="14">
        <f>IF('Données projet'!$A$36&gt;35,N4+M5-V4,IF(A5&lt;'Données projet'!$A$36,$K$205^A5,IF(A5='Données projet'!$A$36,'Données projet'!$B$36,N4+M5-V4)))</f>
        <v>1.701177397167988</v>
      </c>
      <c r="O5" s="14">
        <f>N5*VLOOKUP('Données projet'!$B$9,Paramètres!$A$1:$I$89,3,0)*VLOOKUP('Données projet'!$B$9,Paramètres!$A$1:$I$89,5,0)</f>
        <v>0.95095816501690522</v>
      </c>
      <c r="P5" s="14">
        <f t="shared" ref="P5:P68" si="33">EXP(-1.0587+0.8836*LN(O5)+0.284)</f>
        <v>0.44081411086102068</v>
      </c>
      <c r="Q5" s="22">
        <f t="shared" si="2"/>
        <v>2.4240033804873873</v>
      </c>
      <c r="R5" s="62">
        <f t="shared" si="0"/>
        <v>295.75733671382068</v>
      </c>
      <c r="S5" s="62">
        <f ca="1">AVERAGE(OFFSET($R$3,0,0,'Données projet'!$E$9+1,1))-AVERAGE(OFFSET($H$3,0,0,'Données projet'!$E$9+1,1))</f>
        <v>389.80719836281679</v>
      </c>
      <c r="T5" s="62">
        <f t="shared" ref="T5:T68" si="34">$T$3</f>
        <v>399.58193819355591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5.8668181818181813</v>
      </c>
      <c r="AI5" s="14">
        <f>IF('Données projet'!$A$62&gt;35,AI4+AH5-AQ4,IF(A5&lt;'Données projet'!$A$62,$AF$205^A5,IF(A5='Données projet'!$A$62,'Données projet'!$B$62,AI4+AH5-AQ4)))</f>
        <v>1.5555830775049537</v>
      </c>
      <c r="AJ5" s="14">
        <f>AI5*VLOOKUP('Données projet'!$B$10,Paramètres!$A$1:$I$89,3,0)*VLOOKUP('Données projet'!$B$10,Paramètres!$A$1:$I$89,5,0)</f>
        <v>0.93023868034796242</v>
      </c>
      <c r="AK5" s="14">
        <f t="shared" ref="AK5:AK68" si="35">EXP(-1.0587+0.8836*LN(AJ5)+0.284)</f>
        <v>0.43231675887518456</v>
      </c>
      <c r="AL5" s="22">
        <f t="shared" si="4"/>
        <v>2.373117389980314</v>
      </c>
      <c r="AM5" s="62">
        <f t="shared" si="5"/>
        <v>295.70645072331365</v>
      </c>
      <c r="AN5" s="62">
        <f ca="1">AVERAGE(OFFSET($AM$3,0,0,'Données projet'!$E$10+1,1))-AVERAGE(OFFSET($H$3,0,0,'Données projet'!$E$10+1,1))</f>
        <v>269.90083987531233</v>
      </c>
      <c r="AO5" s="62">
        <f t="shared" ref="AO5:AO68" si="36">$AO$3</f>
        <v>183.4515835513518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6.3622807017543854</v>
      </c>
      <c r="BD5" s="13">
        <f>IF('Données projet'!$A$88&gt;35,BD4+BC5-BL4,IF(A5&lt;'Données projet'!$A$88,$BA$205^A5,IF(A5='Données projet'!$A$88,'Données projet'!$B$88,BD4+BC5-BL4)))</f>
        <v>12.724561403508771</v>
      </c>
      <c r="BE5" s="14">
        <f>BD5*VLOOKUP('Données projet'!$B$11,Paramètres!$A$1:$I$89,3,0)*VLOOKUP('Données projet'!$B$11,Paramètres!$A$1:$I$89,5,0)</f>
        <v>6.1205140350877185</v>
      </c>
      <c r="BF5" s="14">
        <f t="shared" ref="BF5:BF68" si="37">EXP(-1.0587+0.8836*LN(BE5)+0.284)</f>
        <v>2.2843247838942564</v>
      </c>
      <c r="BG5" s="22">
        <f t="shared" si="7"/>
        <v>14.638427609726939</v>
      </c>
      <c r="BH5" s="62">
        <f t="shared" si="8"/>
        <v>307.97176094306025</v>
      </c>
      <c r="BI5" s="62">
        <f ca="1">AVERAGE(OFFSET($BH$3,0,0,'Données projet'!$E$11+1,1))-AVERAGE(OFFSET($H$3,0,0,'Données projet'!$E$11+1,1))</f>
        <v>255.64417186544995</v>
      </c>
      <c r="BJ5" s="62">
        <f t="shared" ref="BJ5:BJ68" si="38">$BJ$3</f>
        <v>165.41802783289376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12.2</v>
      </c>
      <c r="BY5" s="13">
        <f>IF('Données projet'!$A$114&gt;35,BY4+BX5-CG4,IF(A5&lt;'Données projet'!$A$114,$BV$205^A5,IF(A5='Données projet'!$A$114,'Données projet'!$B$114,BY4+BX5-CG4)))</f>
        <v>2.0029040526462016</v>
      </c>
      <c r="BZ5" s="14">
        <f>BY5*VLOOKUP('Données projet'!$B$12,Paramètres!$A$1:$I$89,3,0)*VLOOKUP('Données projet'!$B$12,Paramètres!$A$1:$I$89,5,0)</f>
        <v>1.1196233654292267</v>
      </c>
      <c r="CA5" s="14">
        <f t="shared" ref="CA5:CA68" si="39">EXP(-1.0587+0.8836*LN(BZ5)+0.284)</f>
        <v>0.50922772714816966</v>
      </c>
      <c r="CB5" s="22">
        <f t="shared" si="10"/>
        <v>2.8369156529056316</v>
      </c>
      <c r="CC5" s="62">
        <f t="shared" si="11"/>
        <v>296.17024898623896</v>
      </c>
      <c r="CD5" s="62">
        <f ca="1">AVERAGE(OFFSET($CC$3,0,0,'Données projet'!$E$12+1,1))-AVERAGE(OFFSET($H$3,0,0,'Données projet'!$E$12+1,1))</f>
        <v>465.49436272491818</v>
      </c>
      <c r="CE5" s="62">
        <f t="shared" ref="CE5:CE68" si="40">$CE$3</f>
        <v>494.36941732405256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6.7273684210526312</v>
      </c>
      <c r="CT5" s="13">
        <f>IF('Données projet'!$A$140&gt;35,CT4+CS5-DB4,IF(A5&lt;'Données projet'!$A$140,$CQ$205^A5,IF(A5='Données projet'!$A$140,'Données projet'!$B$140,CT4+CS5-DB4)))</f>
        <v>1.6662771680540926</v>
      </c>
      <c r="CU5" s="18">
        <f>CT5*VLOOKUP('Données projet'!$B$13,Paramètres!$A$1:$I$89,3,0)*VLOOKUP('Données projet'!$B$13,Paramètres!$A$1:$I$89,5,0)</f>
        <v>0.99643374649634742</v>
      </c>
      <c r="CV5" s="14">
        <f t="shared" ref="CV5:CV68" si="41">EXP(-1.0587+0.8836*LN(CU5)+0.284)</f>
        <v>0.45938953262211651</v>
      </c>
      <c r="CW5" s="22">
        <f t="shared" si="13"/>
        <v>2.5355588777979912</v>
      </c>
      <c r="CX5" s="62">
        <f t="shared" si="14"/>
        <v>295.86889221113131</v>
      </c>
      <c r="CY5" s="62">
        <f ca="1">AVERAGE(OFFSET($CX$3,0,0,'Données projet'!$E$13+1,1))-AVERAGE(OFFSET($H$3,0,0,'Données projet'!$E$13+1,1))</f>
        <v>361.46923697840384</v>
      </c>
      <c r="CZ5" s="62">
        <f t="shared" ref="CZ5:CZ68" si="42">$CZ$3</f>
        <v>302.25424592654673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10.15</v>
      </c>
      <c r="N6" s="14">
        <f>IF('Données projet'!$A$36&gt;35,N5+M6-V5,IF(A6&lt;'Données projet'!$A$36,$K$205^A6,IF(A6='Données projet'!$A$36,'Données projet'!$B$36,N5+M6-V5)))</f>
        <v>2.2188319235637262</v>
      </c>
      <c r="O6" s="14">
        <f>N6*VLOOKUP('Données projet'!$B$9,Paramètres!$A$1:$I$89,3,0)*VLOOKUP('Données projet'!$B$9,Paramètres!$A$1:$I$89,5,0)</f>
        <v>1.2403270452721229</v>
      </c>
      <c r="P6" s="14">
        <f t="shared" si="33"/>
        <v>0.55744325277862972</v>
      </c>
      <c r="Q6" s="22">
        <f t="shared" si="2"/>
        <v>3.1311166024383943</v>
      </c>
      <c r="R6" s="62">
        <f t="shared" si="0"/>
        <v>296.46444993577171</v>
      </c>
      <c r="S6" s="62">
        <f ca="1">AVERAGE(OFFSET($R$3,0,0,'Données projet'!$E$9+1,1))-AVERAGE(OFFSET($H$3,0,0,'Données projet'!$E$9+1,1))</f>
        <v>389.80719836281679</v>
      </c>
      <c r="T6" s="62">
        <f t="shared" si="34"/>
        <v>399.58193819355591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5.8668181818181813</v>
      </c>
      <c r="AI6" s="14">
        <f>IF('Données projet'!$A$62&gt;35,AI5+AH6-AQ5,IF(A6&lt;'Données projet'!$A$62,$AF$205^A6,IF(A6='Données projet'!$A$62,'Données projet'!$B$62,AI5+AH6-AQ5)))</f>
        <v>1.9401701340742707</v>
      </c>
      <c r="AJ6" s="14">
        <f>AI6*VLOOKUP('Données projet'!$B$10,Paramètres!$A$1:$I$89,3,0)*VLOOKUP('Données projet'!$B$10,Paramètres!$A$1:$I$89,5,0)</f>
        <v>1.1602217401764139</v>
      </c>
      <c r="AK6" s="14">
        <f t="shared" si="35"/>
        <v>0.52550940332379237</v>
      </c>
      <c r="AL6" s="22">
        <f t="shared" si="4"/>
        <v>2.9359817415961924</v>
      </c>
      <c r="AM6" s="62">
        <f t="shared" si="5"/>
        <v>296.26931507492952</v>
      </c>
      <c r="AN6" s="62">
        <f ca="1">AVERAGE(OFFSET($AM$3,0,0,'Données projet'!$E$10+1,1))-AVERAGE(OFFSET($H$3,0,0,'Données projet'!$E$10+1,1))</f>
        <v>269.90083987531233</v>
      </c>
      <c r="AO6" s="62">
        <f t="shared" si="36"/>
        <v>183.4515835513518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6.3622807017543854</v>
      </c>
      <c r="BD6" s="13">
        <f>IF('Données projet'!$A$88&gt;35,BD5+BC6-BL5,IF(A6&lt;'Données projet'!$A$88,$BA$205^A6,IF(A6='Données projet'!$A$88,'Données projet'!$B$88,BD5+BC6-BL5)))</f>
        <v>19.086842105263155</v>
      </c>
      <c r="BE6" s="14">
        <f>BD6*VLOOKUP('Données projet'!$B$11,Paramètres!$A$1:$I$89,3,0)*VLOOKUP('Données projet'!$B$11,Paramètres!$A$1:$I$89,5,0)</f>
        <v>9.1807710526315773</v>
      </c>
      <c r="BF6" s="14">
        <f t="shared" si="37"/>
        <v>3.2685270853268991</v>
      </c>
      <c r="BG6" s="22">
        <f t="shared" si="7"/>
        <v>21.682527590277676</v>
      </c>
      <c r="BH6" s="62">
        <f t="shared" si="8"/>
        <v>315.015860923611</v>
      </c>
      <c r="BI6" s="62">
        <f ca="1">AVERAGE(OFFSET($BH$3,0,0,'Données projet'!$E$11+1,1))-AVERAGE(OFFSET($H$3,0,0,'Données projet'!$E$11+1,1))</f>
        <v>255.64417186544995</v>
      </c>
      <c r="BJ6" s="62">
        <f t="shared" si="38"/>
        <v>165.41802783289376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12.2</v>
      </c>
      <c r="BY6" s="13">
        <f>IF('Données projet'!$A$114&gt;35,BY5+BX6-CG5,IF(A6&lt;'Données projet'!$A$114,$BV$205^A6,IF(A6='Données projet'!$A$114,'Données projet'!$B$114,BY5+BX6-CG5)))</f>
        <v>2.8345897864376148</v>
      </c>
      <c r="BZ6" s="14">
        <f>BY6*VLOOKUP('Données projet'!$B$12,Paramètres!$A$1:$I$89,3,0)*VLOOKUP('Données projet'!$B$12,Paramètres!$A$1:$I$89,5,0)</f>
        <v>1.5845356906186268</v>
      </c>
      <c r="CA6" s="14">
        <f t="shared" si="39"/>
        <v>0.69212652734186442</v>
      </c>
      <c r="CB6" s="22">
        <f t="shared" si="10"/>
        <v>3.9651866962811888</v>
      </c>
      <c r="CC6" s="62">
        <f t="shared" si="11"/>
        <v>297.29852002961451</v>
      </c>
      <c r="CD6" s="62">
        <f ca="1">AVERAGE(OFFSET($CC$3,0,0,'Données projet'!$E$12+1,1))-AVERAGE(OFFSET($H$3,0,0,'Données projet'!$E$12+1,1))</f>
        <v>465.49436272491818</v>
      </c>
      <c r="CE6" s="62">
        <f t="shared" si="40"/>
        <v>494.36941732405256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6.7273684210526312</v>
      </c>
      <c r="CT6" s="13">
        <f>IF('Données projet'!$A$140&gt;35,CT5+CS6-DB5,IF(A6&lt;'Données projet'!$A$140,$CQ$205^A6,IF(A6='Données projet'!$A$140,'Données projet'!$B$140,CT5+CS6-DB5)))</f>
        <v>2.1509031978089892</v>
      </c>
      <c r="CU6" s="18">
        <f>CT6*VLOOKUP('Données projet'!$B$13,Paramètres!$A$1:$I$89,3,0)*VLOOKUP('Données projet'!$B$13,Paramètres!$A$1:$I$89,5,0)</f>
        <v>1.2862401122897757</v>
      </c>
      <c r="CV6" s="14">
        <f t="shared" si="41"/>
        <v>0.57563743266623835</v>
      </c>
      <c r="CW6" s="22">
        <f t="shared" si="13"/>
        <v>3.2427700574650582</v>
      </c>
      <c r="CX6" s="62">
        <f t="shared" si="14"/>
        <v>296.57610339079838</v>
      </c>
      <c r="CY6" s="62">
        <f ca="1">AVERAGE(OFFSET($CX$3,0,0,'Données projet'!$E$13+1,1))-AVERAGE(OFFSET($H$3,0,0,'Données projet'!$E$13+1,1))</f>
        <v>361.46923697840384</v>
      </c>
      <c r="CZ6" s="62">
        <f t="shared" si="42"/>
        <v>302.25424592654673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10.15</v>
      </c>
      <c r="N7" s="14">
        <f>IF('Données projet'!$A$36&gt;35,N6+M7-V6,IF(A7&lt;'Données projet'!$A$36,$K$205^A7,IF(A7='Données projet'!$A$36,'Données projet'!$B$36,N6+M7-V6)))</f>
        <v>2.8940045366352503</v>
      </c>
      <c r="O7" s="14">
        <f>N7*VLOOKUP('Données projet'!$B$9,Paramètres!$A$1:$I$89,3,0)*VLOOKUP('Données projet'!$B$9,Paramètres!$A$1:$I$89,5,0)</f>
        <v>1.6177485359791048</v>
      </c>
      <c r="P7" s="14">
        <f t="shared" si="33"/>
        <v>0.70492974796442009</v>
      </c>
      <c r="Q7" s="22">
        <f t="shared" si="2"/>
        <v>4.045331344534973</v>
      </c>
      <c r="R7" s="62">
        <f t="shared" si="0"/>
        <v>297.3786646778683</v>
      </c>
      <c r="S7" s="62">
        <f ca="1">AVERAGE(OFFSET($R$3,0,0,'Données projet'!$E$9+1,1))-AVERAGE(OFFSET($H$3,0,0,'Données projet'!$E$9+1,1))</f>
        <v>389.80719836281679</v>
      </c>
      <c r="T7" s="62">
        <f t="shared" si="34"/>
        <v>399.58193819355591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5.8668181818181813</v>
      </c>
      <c r="AI7" s="14">
        <f>IF('Données projet'!$A$62&gt;35,AI6+AH7-AQ6,IF(A7&lt;'Données projet'!$A$62,$AF$205^A7,IF(A7='Données projet'!$A$62,'Données projet'!$B$62,AI6+AH7-AQ6)))</f>
        <v>2.419838711019783</v>
      </c>
      <c r="AJ7" s="14">
        <f>AI7*VLOOKUP('Données projet'!$B$10,Paramètres!$A$1:$I$89,3,0)*VLOOKUP('Données projet'!$B$10,Paramètres!$A$1:$I$89,5,0)</f>
        <v>1.4470635491898303</v>
      </c>
      <c r="AK7" s="14">
        <f t="shared" si="35"/>
        <v>0.63879118103182142</v>
      </c>
      <c r="AL7" s="22">
        <f t="shared" si="4"/>
        <v>3.6328636551360431</v>
      </c>
      <c r="AM7" s="62">
        <f t="shared" si="5"/>
        <v>296.96619698846933</v>
      </c>
      <c r="AN7" s="62">
        <f ca="1">AVERAGE(OFFSET($AM$3,0,0,'Données projet'!$E$10+1,1))-AVERAGE(OFFSET($H$3,0,0,'Données projet'!$E$10+1,1))</f>
        <v>269.90083987531233</v>
      </c>
      <c r="AO7" s="62">
        <f t="shared" si="36"/>
        <v>183.4515835513518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6.3622807017543854</v>
      </c>
      <c r="BD7" s="13">
        <f>IF('Données projet'!$A$88&gt;35,BD6+BC7-BL6,IF(A7&lt;'Données projet'!$A$88,$BA$205^A7,IF(A7='Données projet'!$A$88,'Données projet'!$B$88,BD6+BC7-BL6)))</f>
        <v>25.449122807017542</v>
      </c>
      <c r="BE7" s="14">
        <f>BD7*VLOOKUP('Données projet'!$B$11,Paramètres!$A$1:$I$89,3,0)*VLOOKUP('Données projet'!$B$11,Paramètres!$A$1:$I$89,5,0)</f>
        <v>12.241028070175437</v>
      </c>
      <c r="BF7" s="14">
        <f t="shared" si="37"/>
        <v>4.2145184156147728</v>
      </c>
      <c r="BG7" s="22">
        <f t="shared" si="7"/>
        <v>28.66007679608461</v>
      </c>
      <c r="BH7" s="62">
        <f t="shared" si="8"/>
        <v>321.99341012941795</v>
      </c>
      <c r="BI7" s="62">
        <f ca="1">AVERAGE(OFFSET($BH$3,0,0,'Données projet'!$E$11+1,1))-AVERAGE(OFFSET($H$3,0,0,'Données projet'!$E$11+1,1))</f>
        <v>255.64417186544995</v>
      </c>
      <c r="BJ7" s="62">
        <f t="shared" si="38"/>
        <v>165.41802783289376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12.2</v>
      </c>
      <c r="BY7" s="13">
        <f>IF('Données projet'!$A$114&gt;35,BY6+BX7-CG6,IF(A7&lt;'Données projet'!$A$114,$BV$205^A7,IF(A7='Données projet'!$A$114,'Données projet'!$B$114,BY6+BX7-CG6)))</f>
        <v>4.0116246441065782</v>
      </c>
      <c r="BZ7" s="14">
        <f>BY7*VLOOKUP('Données projet'!$B$12,Paramètres!$A$1:$I$89,3,0)*VLOOKUP('Données projet'!$B$12,Paramètres!$A$1:$I$89,5,0)</f>
        <v>2.2424981760555771</v>
      </c>
      <c r="CA7" s="14">
        <f t="shared" si="39"/>
        <v>0.94071690191159363</v>
      </c>
      <c r="CB7" s="22">
        <f t="shared" si="10"/>
        <v>5.5440995941261555</v>
      </c>
      <c r="CC7" s="62">
        <f t="shared" si="11"/>
        <v>298.87743292745949</v>
      </c>
      <c r="CD7" s="62">
        <f ca="1">AVERAGE(OFFSET($CC$3,0,0,'Données projet'!$E$12+1,1))-AVERAGE(OFFSET($H$3,0,0,'Données projet'!$E$12+1,1))</f>
        <v>465.49436272491818</v>
      </c>
      <c r="CE7" s="62">
        <f t="shared" si="40"/>
        <v>494.36941732405256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6.7273684210526312</v>
      </c>
      <c r="CT7" s="13">
        <f>IF('Données projet'!$A$140&gt;35,CT6+CS7-DB6,IF(A7&lt;'Données projet'!$A$140,$CQ$205^A7,IF(A7='Données projet'!$A$140,'Données projet'!$B$140,CT6+CS7-DB6)))</f>
        <v>2.7764796007783668</v>
      </c>
      <c r="CU7" s="18">
        <f>CT7*VLOOKUP('Données projet'!$B$13,Paramètres!$A$1:$I$89,3,0)*VLOOKUP('Données projet'!$B$13,Paramètres!$A$1:$I$89,5,0)</f>
        <v>1.6603348012654635</v>
      </c>
      <c r="CV7" s="14">
        <f t="shared" si="41"/>
        <v>0.7213017066262718</v>
      </c>
      <c r="CW7" s="22">
        <f t="shared" si="13"/>
        <v>4.1480169179114386</v>
      </c>
      <c r="CX7" s="62">
        <f t="shared" si="14"/>
        <v>297.48135025124475</v>
      </c>
      <c r="CY7" s="62">
        <f ca="1">AVERAGE(OFFSET($CX$3,0,0,'Données projet'!$E$13+1,1))-AVERAGE(OFFSET($H$3,0,0,'Données projet'!$E$13+1,1))</f>
        <v>361.46923697840384</v>
      </c>
      <c r="CZ7" s="62">
        <f t="shared" si="42"/>
        <v>302.25424592654673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10.15</v>
      </c>
      <c r="N8" s="14">
        <f>IF('Données projet'!$A$36&gt;35,N7+M8-V7,IF(A8&lt;'Données projet'!$A$36,$K$205^A8,IF(A8='Données projet'!$A$36,'Données projet'!$B$36,N7+M8-V7)))</f>
        <v>3.7746267164813792</v>
      </c>
      <c r="O8" s="14">
        <f>N8*VLOOKUP('Données projet'!$B$9,Paramètres!$A$1:$I$89,3,0)*VLOOKUP('Données projet'!$B$9,Paramètres!$A$1:$I$89,5,0)</f>
        <v>2.1100163345130909</v>
      </c>
      <c r="P8" s="14">
        <f t="shared" si="33"/>
        <v>0.89143773305750029</v>
      </c>
      <c r="Q8" s="22">
        <f t="shared" si="2"/>
        <v>5.2275325010187794</v>
      </c>
      <c r="R8" s="62">
        <f t="shared" si="0"/>
        <v>298.56086583435211</v>
      </c>
      <c r="S8" s="62">
        <f ca="1">AVERAGE(OFFSET($R$3,0,0,'Données projet'!$E$9+1,1))-AVERAGE(OFFSET($H$3,0,0,'Données projet'!$E$9+1,1))</f>
        <v>389.80719836281679</v>
      </c>
      <c r="T8" s="62">
        <f t="shared" si="34"/>
        <v>399.58193819355591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5.8668181818181813</v>
      </c>
      <c r="AI8" s="14">
        <f>IF('Données projet'!$A$62&gt;35,AI7+AH8-AQ7,IF(A8&lt;'Données projet'!$A$62,$AF$205^A8,IF(A8='Données projet'!$A$62,'Données projet'!$B$62,AI7+AH8-AQ7)))</f>
        <v>3.0180958280464529</v>
      </c>
      <c r="AJ8" s="14">
        <f>AI8*VLOOKUP('Données projet'!$B$10,Paramètres!$A$1:$I$89,3,0)*VLOOKUP('Données projet'!$B$10,Paramètres!$A$1:$I$89,5,0)</f>
        <v>1.804821305171779</v>
      </c>
      <c r="AK8" s="14">
        <f t="shared" si="35"/>
        <v>0.77649261912941803</v>
      </c>
      <c r="AL8" s="22">
        <f t="shared" si="4"/>
        <v>4.4957884181579182</v>
      </c>
      <c r="AM8" s="62">
        <f t="shared" si="5"/>
        <v>297.82912175149124</v>
      </c>
      <c r="AN8" s="62">
        <f ca="1">AVERAGE(OFFSET($AM$3,0,0,'Données projet'!$E$10+1,1))-AVERAGE(OFFSET($H$3,0,0,'Données projet'!$E$10+1,1))</f>
        <v>269.90083987531233</v>
      </c>
      <c r="AO8" s="62">
        <f t="shared" si="36"/>
        <v>183.4515835513518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6.3622807017543854</v>
      </c>
      <c r="BD8" s="13">
        <f>IF('Données projet'!$A$88&gt;35,BD7+BC8-BL7,IF(A8&lt;'Données projet'!$A$88,$BA$205^A8,IF(A8='Données projet'!$A$88,'Données projet'!$B$88,BD7+BC8-BL7)))</f>
        <v>31.811403508771928</v>
      </c>
      <c r="BE8" s="14">
        <f>BD8*VLOOKUP('Données projet'!$B$11,Paramètres!$A$1:$I$89,3,0)*VLOOKUP('Données projet'!$B$11,Paramètres!$A$1:$I$89,5,0)</f>
        <v>15.301285087719299</v>
      </c>
      <c r="BF8" s="14">
        <f t="shared" si="37"/>
        <v>5.1330753960782527</v>
      </c>
      <c r="BG8" s="22">
        <f t="shared" si="7"/>
        <v>35.589844509280731</v>
      </c>
      <c r="BH8" s="62">
        <f t="shared" si="8"/>
        <v>328.92317784261405</v>
      </c>
      <c r="BI8" s="62">
        <f ca="1">AVERAGE(OFFSET($BH$3,0,0,'Données projet'!$E$11+1,1))-AVERAGE(OFFSET($H$3,0,0,'Données projet'!$E$11+1,1))</f>
        <v>255.64417186544995</v>
      </c>
      <c r="BJ8" s="62">
        <f t="shared" si="38"/>
        <v>165.41802783289376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12.2</v>
      </c>
      <c r="BY8" s="13">
        <f>IF('Données projet'!$A$114&gt;35,BY7+BX8-CG7,IF(A8&lt;'Données projet'!$A$114,$BV$205^A8,IF(A8='Données projet'!$A$114,'Données projet'!$B$114,BY7+BX8-CG7)))</f>
        <v>5.6774113708454292</v>
      </c>
      <c r="BZ8" s="14">
        <f>BY8*VLOOKUP('Données projet'!$B$12,Paramètres!$A$1:$I$89,3,0)*VLOOKUP('Données projet'!$B$12,Paramètres!$A$1:$I$89,5,0)</f>
        <v>3.1736729563025952</v>
      </c>
      <c r="CA8" s="14">
        <f t="shared" si="39"/>
        <v>1.2785932262137403</v>
      </c>
      <c r="CB8" s="22">
        <f t="shared" si="10"/>
        <v>7.7543636012159496</v>
      </c>
      <c r="CC8" s="62">
        <f t="shared" si="11"/>
        <v>301.08769693454929</v>
      </c>
      <c r="CD8" s="62">
        <f ca="1">AVERAGE(OFFSET($CC$3,0,0,'Données projet'!$E$12+1,1))-AVERAGE(OFFSET($H$3,0,0,'Données projet'!$E$12+1,1))</f>
        <v>465.49436272491818</v>
      </c>
      <c r="CE8" s="62">
        <f t="shared" si="40"/>
        <v>494.36941732405256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6.7273684210526312</v>
      </c>
      <c r="CT8" s="13">
        <f>IF('Données projet'!$A$140&gt;35,CT7+CS8-DB7,IF(A8&lt;'Données projet'!$A$140,$CQ$205^A8,IF(A8='Données projet'!$A$140,'Données projet'!$B$140,CT7+CS8-DB7)))</f>
        <v>3.5840008892036539</v>
      </c>
      <c r="CU8" s="18">
        <f>CT8*VLOOKUP('Données projet'!$B$13,Paramètres!$A$1:$I$89,3,0)*VLOOKUP('Données projet'!$B$13,Paramètres!$A$1:$I$89,5,0)</f>
        <v>2.1432325317437853</v>
      </c>
      <c r="CV8" s="14">
        <f t="shared" si="41"/>
        <v>0.90382612814485752</v>
      </c>
      <c r="CW8" s="22">
        <f t="shared" si="13"/>
        <v>5.3069604993060517</v>
      </c>
      <c r="CX8" s="62">
        <f t="shared" si="14"/>
        <v>298.64029383263937</v>
      </c>
      <c r="CY8" s="62">
        <f ca="1">AVERAGE(OFFSET($CX$3,0,0,'Données projet'!$E$13+1,1))-AVERAGE(OFFSET($H$3,0,0,'Données projet'!$E$13+1,1))</f>
        <v>361.46923697840384</v>
      </c>
      <c r="CZ8" s="62">
        <f t="shared" si="42"/>
        <v>302.25424592654673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10.15</v>
      </c>
      <c r="N9" s="14">
        <f>IF('Données projet'!$A$36&gt;35,N8+M9-V8,IF(A9&lt;'Données projet'!$A$36,$K$205^A9,IF(A9='Données projet'!$A$36,'Données projet'!$B$36,N8+M9-V8)))</f>
        <v>4.9232151050255037</v>
      </c>
      <c r="O9" s="14">
        <f>N9*VLOOKUP('Données projet'!$B$9,Paramètres!$A$1:$I$89,3,0)*VLOOKUP('Données projet'!$B$9,Paramètres!$A$1:$I$89,5,0)</f>
        <v>2.7520772437092567</v>
      </c>
      <c r="P9" s="14">
        <f t="shared" si="33"/>
        <v>1.1272913850116086</v>
      </c>
      <c r="Q9" s="22">
        <f t="shared" si="2"/>
        <v>6.7565670283555059</v>
      </c>
      <c r="R9" s="62">
        <f t="shared" si="0"/>
        <v>300.08990036168882</v>
      </c>
      <c r="S9" s="62">
        <f ca="1">AVERAGE(OFFSET($R$3,0,0,'Données projet'!$E$9+1,1))-AVERAGE(OFFSET($H$3,0,0,'Données projet'!$E$9+1,1))</f>
        <v>389.80719836281679</v>
      </c>
      <c r="T9" s="62">
        <f t="shared" si="34"/>
        <v>399.58193819355591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5.8668181818181813</v>
      </c>
      <c r="AI9" s="14">
        <f>IF('Données projet'!$A$62&gt;35,AI8+AH9-AQ8,IF(A9&lt;'Données projet'!$A$62,$AF$205^A9,IF(A9='Données projet'!$A$62,'Données projet'!$B$62,AI8+AH9-AQ8)))</f>
        <v>3.7642601491537744</v>
      </c>
      <c r="AJ9" s="14">
        <f>AI9*VLOOKUP('Données projet'!$B$10,Paramètres!$A$1:$I$89,3,0)*VLOOKUP('Données projet'!$B$10,Paramètres!$A$1:$I$89,5,0)</f>
        <v>2.251027569193957</v>
      </c>
      <c r="AK9" s="14">
        <f t="shared" si="35"/>
        <v>0.94387775765556148</v>
      </c>
      <c r="AL9" s="22">
        <f t="shared" si="4"/>
        <v>5.5644601109295779</v>
      </c>
      <c r="AM9" s="62">
        <f t="shared" si="5"/>
        <v>298.8977934442629</v>
      </c>
      <c r="AN9" s="62">
        <f ca="1">AVERAGE(OFFSET($AM$3,0,0,'Données projet'!$E$10+1,1))-AVERAGE(OFFSET($H$3,0,0,'Données projet'!$E$10+1,1))</f>
        <v>269.90083987531233</v>
      </c>
      <c r="AO9" s="62">
        <f t="shared" si="36"/>
        <v>183.4515835513518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6.3622807017543854</v>
      </c>
      <c r="BD9" s="13">
        <f>IF('Données projet'!$A$88&gt;35,BD8+BC9-BL8,IF(A9&lt;'Données projet'!$A$88,$BA$205^A9,IF(A9='Données projet'!$A$88,'Données projet'!$B$88,BD8+BC9-BL8)))</f>
        <v>38.173684210526311</v>
      </c>
      <c r="BE9" s="14">
        <f>BD9*VLOOKUP('Données projet'!$B$11,Paramètres!$A$1:$I$89,3,0)*VLOOKUP('Données projet'!$B$11,Paramètres!$A$1:$I$89,5,0)</f>
        <v>18.361542105263155</v>
      </c>
      <c r="BF9" s="14">
        <f t="shared" si="37"/>
        <v>6.030345461454993</v>
      </c>
      <c r="BG9" s="22">
        <f t="shared" si="7"/>
        <v>42.482537512034106</v>
      </c>
      <c r="BH9" s="62">
        <f t="shared" si="8"/>
        <v>335.81587084536744</v>
      </c>
      <c r="BI9" s="62">
        <f ca="1">AVERAGE(OFFSET($BH$3,0,0,'Données projet'!$E$11+1,1))-AVERAGE(OFFSET($H$3,0,0,'Données projet'!$E$11+1,1))</f>
        <v>255.64417186544995</v>
      </c>
      <c r="BJ9" s="62">
        <f t="shared" si="38"/>
        <v>165.41802783289376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12.2</v>
      </c>
      <c r="BY9" s="13">
        <f>IF('Données projet'!$A$114&gt;35,BY8+BX9-CG8,IF(A9&lt;'Données projet'!$A$114,$BV$205^A9,IF(A9='Données projet'!$A$114,'Données projet'!$B$114,BY8+BX9-CG8)))</f>
        <v>8.0348992573764413</v>
      </c>
      <c r="BZ9" s="14">
        <f>BY9*VLOOKUP('Données projet'!$B$12,Paramètres!$A$1:$I$89,3,0)*VLOOKUP('Données projet'!$B$12,Paramètres!$A$1:$I$89,5,0)</f>
        <v>4.4915086848734305</v>
      </c>
      <c r="CA9" s="14">
        <f t="shared" si="39"/>
        <v>1.7378242431890476</v>
      </c>
      <c r="CB9" s="22">
        <f t="shared" si="10"/>
        <v>10.849421516375481</v>
      </c>
      <c r="CC9" s="62">
        <f t="shared" si="11"/>
        <v>304.18275484970877</v>
      </c>
      <c r="CD9" s="62">
        <f ca="1">AVERAGE(OFFSET($CC$3,0,0,'Données projet'!$E$12+1,1))-AVERAGE(OFFSET($H$3,0,0,'Données projet'!$E$12+1,1))</f>
        <v>465.49436272491818</v>
      </c>
      <c r="CE9" s="62">
        <f t="shared" si="40"/>
        <v>494.36941732405256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6.7273684210526312</v>
      </c>
      <c r="CT9" s="13">
        <f>IF('Données projet'!$A$140&gt;35,CT8+CS9-DB8,IF(A9&lt;'Données projet'!$A$140,$CQ$205^A9,IF(A9='Données projet'!$A$140,'Données projet'!$B$140,CT8+CS9-DB8)))</f>
        <v>4.6263845663449343</v>
      </c>
      <c r="CU9" s="18">
        <f>CT9*VLOOKUP('Données projet'!$B$13,Paramètres!$A$1:$I$89,3,0)*VLOOKUP('Données projet'!$B$13,Paramètres!$A$1:$I$89,5,0)</f>
        <v>2.766577970674271</v>
      </c>
      <c r="CV9" s="14">
        <f t="shared" si="41"/>
        <v>1.1325381077194452</v>
      </c>
      <c r="CW9" s="22">
        <f t="shared" si="13"/>
        <v>6.7909605032023883</v>
      </c>
      <c r="CX9" s="62">
        <f t="shared" si="14"/>
        <v>300.12429383653568</v>
      </c>
      <c r="CY9" s="62">
        <f ca="1">AVERAGE(OFFSET($CX$3,0,0,'Données projet'!$E$13+1,1))-AVERAGE(OFFSET($H$3,0,0,'Données projet'!$E$13+1,1))</f>
        <v>361.46923697840384</v>
      </c>
      <c r="CZ9" s="62">
        <f t="shared" si="42"/>
        <v>302.25424592654673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10.15</v>
      </c>
      <c r="N10" s="14">
        <f>IF('Données projet'!$A$36&gt;35,N9+M10-V9,IF(A10&lt;'Données projet'!$A$36,$K$205^A10,IF(A10='Données projet'!$A$36,'Données projet'!$B$36,N9+M10-V9)))</f>
        <v>6.4213096528245419</v>
      </c>
      <c r="O10" s="14">
        <f>N10*VLOOKUP('Données projet'!$B$9,Paramètres!$A$1:$I$89,3,0)*VLOOKUP('Données projet'!$B$9,Paramètres!$A$1:$I$89,5,0)</f>
        <v>3.5895120959289191</v>
      </c>
      <c r="P10" s="14">
        <f t="shared" si="33"/>
        <v>1.4255464174292714</v>
      </c>
      <c r="Q10" s="22">
        <f t="shared" si="2"/>
        <v>8.7345602440988479</v>
      </c>
      <c r="R10" s="62">
        <f t="shared" si="0"/>
        <v>302.06789357743219</v>
      </c>
      <c r="S10" s="62">
        <f ca="1">AVERAGE(OFFSET($R$3,0,0,'Données projet'!$E$9+1,1))-AVERAGE(OFFSET($H$3,0,0,'Données projet'!$E$9+1,1))</f>
        <v>389.80719836281679</v>
      </c>
      <c r="T10" s="62">
        <f t="shared" si="34"/>
        <v>399.58193819355591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5.8668181818181813</v>
      </c>
      <c r="AI10" s="14">
        <f>IF('Données projet'!$A$62&gt;35,AI9+AH10-AQ9,IF(A10&lt;'Données projet'!$A$62,$AF$205^A10,IF(A10='Données projet'!$A$62,'Données projet'!$B$62,AI9+AH10-AQ9)))</f>
        <v>4.6948987963973625</v>
      </c>
      <c r="AJ10" s="14">
        <f>AI10*VLOOKUP('Données projet'!$B$10,Paramètres!$A$1:$I$89,3,0)*VLOOKUP('Données projet'!$B$10,Paramètres!$A$1:$I$89,5,0)</f>
        <v>2.8075494802456231</v>
      </c>
      <c r="AK10" s="14">
        <f t="shared" si="35"/>
        <v>1.1473453828778812</v>
      </c>
      <c r="AL10" s="22">
        <f t="shared" si="4"/>
        <v>6.8881085532734367</v>
      </c>
      <c r="AM10" s="62">
        <f t="shared" si="5"/>
        <v>300.22144188660673</v>
      </c>
      <c r="AN10" s="62">
        <f ca="1">AVERAGE(OFFSET($AM$3,0,0,'Données projet'!$E$10+1,1))-AVERAGE(OFFSET($H$3,0,0,'Données projet'!$E$10+1,1))</f>
        <v>269.90083987531233</v>
      </c>
      <c r="AO10" s="62">
        <f t="shared" si="36"/>
        <v>183.4515835513518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6.3622807017543854</v>
      </c>
      <c r="BD10" s="13">
        <f>IF('Données projet'!$A$88&gt;35,BD9+BC10-BL9,IF(A10&lt;'Données projet'!$A$88,$BA$205^A10,IF(A10='Données projet'!$A$88,'Données projet'!$B$88,BD9+BC10-BL9)))</f>
        <v>44.535964912280697</v>
      </c>
      <c r="BE10" s="14">
        <f>BD10*VLOOKUP('Données projet'!$B$11,Paramètres!$A$1:$I$89,3,0)*VLOOKUP('Données projet'!$B$11,Paramètres!$A$1:$I$89,5,0)</f>
        <v>21.421799122807016</v>
      </c>
      <c r="BF10" s="14">
        <f t="shared" si="37"/>
        <v>6.9102916252263329</v>
      </c>
      <c r="BG10" s="22">
        <f t="shared" si="7"/>
        <v>49.345058052824747</v>
      </c>
      <c r="BH10" s="62">
        <f t="shared" si="8"/>
        <v>342.67839138615807</v>
      </c>
      <c r="BI10" s="62">
        <f ca="1">AVERAGE(OFFSET($BH$3,0,0,'Données projet'!$E$11+1,1))-AVERAGE(OFFSET($H$3,0,0,'Données projet'!$E$11+1,1))</f>
        <v>255.64417186544995</v>
      </c>
      <c r="BJ10" s="62">
        <f t="shared" si="38"/>
        <v>165.41802783289376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12.2</v>
      </c>
      <c r="BY10" s="13">
        <f>IF('Données projet'!$A$114&gt;35,BY9+BX10-CG9,IF(A10&lt;'Données projet'!$A$114,$BV$205^A10,IF(A10='Données projet'!$A$114,'Données projet'!$B$114,BY9+BX10-CG9)))</f>
        <v>11.371310243205938</v>
      </c>
      <c r="BZ10" s="14">
        <f>BY10*VLOOKUP('Données projet'!$B$12,Paramètres!$A$1:$I$89,3,0)*VLOOKUP('Données projet'!$B$12,Paramètres!$A$1:$I$89,5,0)</f>
        <v>6.3565624259521201</v>
      </c>
      <c r="CA10" s="14">
        <f t="shared" si="39"/>
        <v>2.3619967932715555</v>
      </c>
      <c r="CB10" s="22">
        <f t="shared" si="10"/>
        <v>15.184823973481235</v>
      </c>
      <c r="CC10" s="62">
        <f t="shared" si="11"/>
        <v>308.51815730681454</v>
      </c>
      <c r="CD10" s="62">
        <f ca="1">AVERAGE(OFFSET($CC$3,0,0,'Données projet'!$E$12+1,1))-AVERAGE(OFFSET($H$3,0,0,'Données projet'!$E$12+1,1))</f>
        <v>465.49436272491818</v>
      </c>
      <c r="CE10" s="62">
        <f t="shared" si="40"/>
        <v>494.36941732405256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6.7273684210526312</v>
      </c>
      <c r="CT10" s="13">
        <f>IF('Données projet'!$A$140&gt;35,CT9+CS10-DB9,IF(A10&lt;'Données projet'!$A$140,$CQ$205^A10,IF(A10='Données projet'!$A$140,'Données projet'!$B$140,CT9+CS10-DB9)))</f>
        <v>5.9719388519656151</v>
      </c>
      <c r="CU10" s="18">
        <f>CT10*VLOOKUP('Données projet'!$B$13,Paramètres!$A$1:$I$89,3,0)*VLOOKUP('Données projet'!$B$13,Paramètres!$A$1:$I$89,5,0)</f>
        <v>3.5712194334754384</v>
      </c>
      <c r="CV10" s="14">
        <f t="shared" si="41"/>
        <v>1.4191253444613534</v>
      </c>
      <c r="CW10" s="22">
        <f t="shared" si="13"/>
        <v>8.6915171549065775</v>
      </c>
      <c r="CX10" s="62">
        <f t="shared" si="14"/>
        <v>302.02485048823991</v>
      </c>
      <c r="CY10" s="62">
        <f ca="1">AVERAGE(OFFSET($CX$3,0,0,'Données projet'!$E$13+1,1))-AVERAGE(OFFSET($H$3,0,0,'Données projet'!$E$13+1,1))</f>
        <v>361.46923697840384</v>
      </c>
      <c r="CZ10" s="62">
        <f t="shared" si="42"/>
        <v>302.25424592654673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10.15</v>
      </c>
      <c r="N11" s="14">
        <f>IF('Données projet'!$A$36&gt;35,N10+M11-V10,IF(A11&lt;'Données projet'!$A$36,$K$205^A11,IF(A11='Données projet'!$A$36,'Données projet'!$B$36,N10+M11-V10)))</f>
        <v>8.3752622580654101</v>
      </c>
      <c r="O11" s="14">
        <f>N11*VLOOKUP('Données projet'!$B$9,Paramètres!$A$1:$I$89,3,0)*VLOOKUP('Données projet'!$B$9,Paramètres!$A$1:$I$89,5,0)</f>
        <v>4.6817716022585643</v>
      </c>
      <c r="P11" s="14">
        <f t="shared" si="33"/>
        <v>1.802712781509018</v>
      </c>
      <c r="Q11" s="22">
        <f t="shared" si="2"/>
        <v>11.29381030172854</v>
      </c>
      <c r="R11" s="62">
        <f t="shared" si="0"/>
        <v>304.62714363506183</v>
      </c>
      <c r="S11" s="62">
        <f ca="1">AVERAGE(OFFSET($R$3,0,0,'Données projet'!$E$9+1,1))-AVERAGE(OFFSET($H$3,0,0,'Données projet'!$E$9+1,1))</f>
        <v>389.80719836281679</v>
      </c>
      <c r="T11" s="62">
        <f t="shared" si="34"/>
        <v>399.58193819355591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5.8668181818181813</v>
      </c>
      <c r="AI11" s="14">
        <f>IF('Données projet'!$A$62&gt;35,AI10+AH11-AQ10,IF(A11&lt;'Données projet'!$A$62,$AF$205^A11,IF(A11='Données projet'!$A$62,'Données projet'!$B$62,AI10+AH11-AQ10)))</f>
        <v>5.8556193873498845</v>
      </c>
      <c r="AJ11" s="14">
        <f>AI11*VLOOKUP('Données projet'!$B$10,Paramètres!$A$1:$I$89,3,0)*VLOOKUP('Données projet'!$B$10,Paramètres!$A$1:$I$89,5,0)</f>
        <v>3.5016603936352309</v>
      </c>
      <c r="AK11" s="14">
        <f t="shared" si="35"/>
        <v>1.3946736396044743</v>
      </c>
      <c r="AL11" s="22">
        <f t="shared" si="4"/>
        <v>8.5277817745591538</v>
      </c>
      <c r="AM11" s="62">
        <f t="shared" si="5"/>
        <v>301.86111510789249</v>
      </c>
      <c r="AN11" s="62">
        <f ca="1">AVERAGE(OFFSET($AM$3,0,0,'Données projet'!$E$10+1,1))-AVERAGE(OFFSET($H$3,0,0,'Données projet'!$E$10+1,1))</f>
        <v>269.90083987531233</v>
      </c>
      <c r="AO11" s="62">
        <f t="shared" si="36"/>
        <v>183.4515835513518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6.3622807017543854</v>
      </c>
      <c r="BD11" s="13">
        <f>IF('Données projet'!$A$88&gt;35,BD10+BC11-BL10,IF(A11&lt;'Données projet'!$A$88,$BA$205^A11,IF(A11='Données projet'!$A$88,'Données projet'!$B$88,BD10+BC11-BL10)))</f>
        <v>50.898245614035083</v>
      </c>
      <c r="BE11" s="14">
        <f>BD11*VLOOKUP('Données projet'!$B$11,Paramètres!$A$1:$I$89,3,0)*VLOOKUP('Données projet'!$B$11,Paramètres!$A$1:$I$89,5,0)</f>
        <v>24.482056140350874</v>
      </c>
      <c r="BF11" s="14">
        <f t="shared" si="37"/>
        <v>7.7756742827416945</v>
      </c>
      <c r="BG11" s="22">
        <f t="shared" si="7"/>
        <v>56.182213820219552</v>
      </c>
      <c r="BH11" s="62">
        <f t="shared" si="8"/>
        <v>349.51554715355286</v>
      </c>
      <c r="BI11" s="62">
        <f ca="1">AVERAGE(OFFSET($BH$3,0,0,'Données projet'!$E$11+1,1))-AVERAGE(OFFSET($H$3,0,0,'Données projet'!$E$11+1,1))</f>
        <v>255.64417186544995</v>
      </c>
      <c r="BJ11" s="62">
        <f t="shared" si="38"/>
        <v>165.41802783289376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12.2</v>
      </c>
      <c r="BY11" s="13">
        <f>IF('Données projet'!$A$114&gt;35,BY10+BX11-CG10,IF(A11&lt;'Données projet'!$A$114,$BV$205^A11,IF(A11='Données projet'!$A$114,'Données projet'!$B$114,BY10+BX11-CG10)))</f>
        <v>16.093132285203229</v>
      </c>
      <c r="BZ11" s="14">
        <f>BY11*VLOOKUP('Données projet'!$B$12,Paramètres!$A$1:$I$89,3,0)*VLOOKUP('Données projet'!$B$12,Paramètres!$A$1:$I$89,5,0)</f>
        <v>8.9960609474286048</v>
      </c>
      <c r="CA11" s="14">
        <f t="shared" si="39"/>
        <v>3.2103527576454689</v>
      </c>
      <c r="CB11" s="22">
        <f t="shared" si="10"/>
        <v>21.259503869670677</v>
      </c>
      <c r="CC11" s="62">
        <f t="shared" si="11"/>
        <v>314.59283720300397</v>
      </c>
      <c r="CD11" s="62">
        <f ca="1">AVERAGE(OFFSET($CC$3,0,0,'Données projet'!$E$12+1,1))-AVERAGE(OFFSET($H$3,0,0,'Données projet'!$E$12+1,1))</f>
        <v>465.49436272491818</v>
      </c>
      <c r="CE11" s="62">
        <f t="shared" si="40"/>
        <v>494.36941732405256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6.7273684210526312</v>
      </c>
      <c r="CT11" s="13">
        <f>IF('Données projet'!$A$140&gt;35,CT10+CS11-DB10,IF(A11&lt;'Données projet'!$A$140,$CQ$205^A11,IF(A11='Données projet'!$A$140,'Données projet'!$B$140,CT10+CS11-DB10)))</f>
        <v>7.7088389735383984</v>
      </c>
      <c r="CU11" s="18">
        <f>CT11*VLOOKUP('Données projet'!$B$13,Paramètres!$A$1:$I$89,3,0)*VLOOKUP('Données projet'!$B$13,Paramètres!$A$1:$I$89,5,0)</f>
        <v>4.6098857061759633</v>
      </c>
      <c r="CV11" s="14">
        <f t="shared" si="41"/>
        <v>1.7782330939379272</v>
      </c>
      <c r="CW11" s="22">
        <f t="shared" si="13"/>
        <v>11.125973576865023</v>
      </c>
      <c r="CX11" s="62">
        <f t="shared" si="14"/>
        <v>304.45930691019834</v>
      </c>
      <c r="CY11" s="62">
        <f ca="1">AVERAGE(OFFSET($CX$3,0,0,'Données projet'!$E$13+1,1))-AVERAGE(OFFSET($H$3,0,0,'Données projet'!$E$13+1,1))</f>
        <v>361.46923697840384</v>
      </c>
      <c r="CZ11" s="62">
        <f t="shared" si="42"/>
        <v>302.25424592654673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10.15</v>
      </c>
      <c r="N12" s="14">
        <f>IF('Données projet'!$A$36&gt;35,N11+M12-V11,IF(A12&lt;'Données projet'!$A$36,$K$205^A12,IF(A12='Données projet'!$A$36,'Données projet'!$B$36,N11+M12-V11)))</f>
        <v>10.92378684160173</v>
      </c>
      <c r="O12" s="14">
        <f>N12*VLOOKUP('Données projet'!$B$9,Paramètres!$A$1:$I$89,3,0)*VLOOKUP('Données projet'!$B$9,Paramètres!$A$1:$I$89,5,0)</f>
        <v>6.1063968444553671</v>
      </c>
      <c r="P12" s="14">
        <f t="shared" si="33"/>
        <v>2.2796685768229072</v>
      </c>
      <c r="Q12" s="22">
        <f t="shared" si="2"/>
        <v>14.605730608726327</v>
      </c>
      <c r="R12" s="62">
        <f t="shared" si="0"/>
        <v>307.93906394205965</v>
      </c>
      <c r="S12" s="62">
        <f ca="1">AVERAGE(OFFSET($R$3,0,0,'Données projet'!$E$9+1,1))-AVERAGE(OFFSET($H$3,0,0,'Données projet'!$E$9+1,1))</f>
        <v>389.80719836281679</v>
      </c>
      <c r="T12" s="62">
        <f t="shared" si="34"/>
        <v>399.58193819355591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5.8668181818181813</v>
      </c>
      <c r="AI12" s="14">
        <f>IF('Données projet'!$A$62&gt;35,AI11+AH12-AQ11,IF(A12&lt;'Données projet'!$A$62,$AF$205^A12,IF(A12='Données projet'!$A$62,'Données projet'!$B$62,AI11+AH12-AQ11)))</f>
        <v>7.3033051182741131</v>
      </c>
      <c r="AJ12" s="14">
        <f>AI12*VLOOKUP('Données projet'!$B$10,Paramètres!$A$1:$I$89,3,0)*VLOOKUP('Données projet'!$B$10,Paramètres!$A$1:$I$89,5,0)</f>
        <v>4.36737646072792</v>
      </c>
      <c r="AK12" s="14">
        <f t="shared" si="35"/>
        <v>1.6953173735084623</v>
      </c>
      <c r="AL12" s="22">
        <f t="shared" si="4"/>
        <v>10.559191761295033</v>
      </c>
      <c r="AM12" s="62">
        <f t="shared" si="5"/>
        <v>303.89252509462835</v>
      </c>
      <c r="AN12" s="62">
        <f ca="1">AVERAGE(OFFSET($AM$3,0,0,'Données projet'!$E$10+1,1))-AVERAGE(OFFSET($H$3,0,0,'Données projet'!$E$10+1,1))</f>
        <v>269.90083987531233</v>
      </c>
      <c r="AO12" s="62">
        <f t="shared" si="36"/>
        <v>183.4515835513518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6.3622807017543854</v>
      </c>
      <c r="BD12" s="13">
        <f>IF('Données projet'!$A$88&gt;35,BD11+BC12-BL11,IF(A12&lt;'Données projet'!$A$88,$BA$205^A12,IF(A12='Données projet'!$A$88,'Données projet'!$B$88,BD11+BC12-BL11)))</f>
        <v>57.26052631578947</v>
      </c>
      <c r="BE12" s="14">
        <f>BD12*VLOOKUP('Données projet'!$B$11,Paramètres!$A$1:$I$89,3,0)*VLOOKUP('Données projet'!$B$11,Paramètres!$A$1:$I$89,5,0)</f>
        <v>27.542313157894736</v>
      </c>
      <c r="BF12" s="14">
        <f t="shared" si="37"/>
        <v>8.6285223596979534</v>
      </c>
      <c r="BG12" s="22">
        <f t="shared" si="7"/>
        <v>62.997538526473932</v>
      </c>
      <c r="BH12" s="62">
        <f t="shared" si="8"/>
        <v>356.33087185980725</v>
      </c>
      <c r="BI12" s="62">
        <f ca="1">AVERAGE(OFFSET($BH$3,0,0,'Données projet'!$E$11+1,1))-AVERAGE(OFFSET($H$3,0,0,'Données projet'!$E$11+1,1))</f>
        <v>255.64417186544995</v>
      </c>
      <c r="BJ12" s="62">
        <f t="shared" si="38"/>
        <v>165.41802783289376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12.2</v>
      </c>
      <c r="BY12" s="13">
        <f>IF('Données projet'!$A$114&gt;35,BY11+BX12-CG11,IF(A12&lt;'Données projet'!$A$114,$BV$205^A12,IF(A12='Données projet'!$A$114,'Données projet'!$B$114,BY11+BX12-CG11)))</f>
        <v>22.775643370014436</v>
      </c>
      <c r="BZ12" s="14">
        <f>BY12*VLOOKUP('Données projet'!$B$12,Paramètres!$A$1:$I$89,3,0)*VLOOKUP('Données projet'!$B$12,Paramètres!$A$1:$I$89,5,0)</f>
        <v>12.731584643838069</v>
      </c>
      <c r="CA12" s="14">
        <f t="shared" si="39"/>
        <v>4.363411863166303</v>
      </c>
      <c r="CB12" s="22">
        <f t="shared" si="10"/>
        <v>29.773785583032616</v>
      </c>
      <c r="CC12" s="62">
        <f t="shared" si="11"/>
        <v>323.10711891636595</v>
      </c>
      <c r="CD12" s="62">
        <f ca="1">AVERAGE(OFFSET($CC$3,0,0,'Données projet'!$E$12+1,1))-AVERAGE(OFFSET($H$3,0,0,'Données projet'!$E$12+1,1))</f>
        <v>465.49436272491818</v>
      </c>
      <c r="CE12" s="62">
        <f t="shared" si="40"/>
        <v>494.36941732405256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6.7273684210526312</v>
      </c>
      <c r="CT12" s="13">
        <f>IF('Données projet'!$A$140&gt;35,CT11+CS12-DB11,IF(A12&lt;'Données projet'!$A$140,$CQ$205^A12,IF(A12='Données projet'!$A$140,'Données projet'!$B$140,CT11+CS12-DB11)))</f>
        <v>9.9509053580454729</v>
      </c>
      <c r="CU12" s="18">
        <f>CT12*VLOOKUP('Données projet'!$B$13,Paramètres!$A$1:$I$89,3,0)*VLOOKUP('Données projet'!$B$13,Paramètres!$A$1:$I$89,5,0)</f>
        <v>5.9506414041111935</v>
      </c>
      <c r="CV12" s="14">
        <f t="shared" si="41"/>
        <v>2.2282125738345351</v>
      </c>
      <c r="CW12" s="22">
        <f t="shared" si="13"/>
        <v>14.244837344922145</v>
      </c>
      <c r="CX12" s="62">
        <f t="shared" si="14"/>
        <v>307.57817067825545</v>
      </c>
      <c r="CY12" s="62">
        <f ca="1">AVERAGE(OFFSET($CX$3,0,0,'Données projet'!$E$13+1,1))-AVERAGE(OFFSET($H$3,0,0,'Données projet'!$E$13+1,1))</f>
        <v>361.46923697840384</v>
      </c>
      <c r="CZ12" s="62">
        <f t="shared" si="42"/>
        <v>302.25424592654673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10.15</v>
      </c>
      <c r="N13" s="14">
        <f>IF('Données projet'!$A$36&gt;35,N12+M13-V12,IF(A13&lt;'Données projet'!$A$36,$K$205^A13,IF(A13='Données projet'!$A$36,'Données projet'!$B$36,N12+M13-V12)))</f>
        <v>14.247806848774999</v>
      </c>
      <c r="O13" s="14">
        <f>N13*VLOOKUP('Données projet'!$B$9,Paramètres!$A$1:$I$89,3,0)*VLOOKUP('Données projet'!$B$9,Paramètres!$A$1:$I$89,5,0)</f>
        <v>7.9645240284652248</v>
      </c>
      <c r="P13" s="14">
        <f t="shared" si="33"/>
        <v>2.882815761589907</v>
      </c>
      <c r="Q13" s="22">
        <f t="shared" si="2"/>
        <v>18.892450134346024</v>
      </c>
      <c r="R13" s="62">
        <f t="shared" si="0"/>
        <v>312.22578346767932</v>
      </c>
      <c r="S13" s="62">
        <f ca="1">AVERAGE(OFFSET($R$3,0,0,'Données projet'!$E$9+1,1))-AVERAGE(OFFSET($H$3,0,0,'Données projet'!$E$9+1,1))</f>
        <v>389.80719836281679</v>
      </c>
      <c r="T13" s="62">
        <f t="shared" si="34"/>
        <v>399.58193819355591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5.8668181818181813</v>
      </c>
      <c r="AI13" s="14">
        <f>IF('Données projet'!$A$62&gt;35,AI12+AH13-AQ12,IF(A13&lt;'Données projet'!$A$62,$AF$205^A13,IF(A13='Données projet'!$A$62,'Données projet'!$B$62,AI12+AH13-AQ12)))</f>
        <v>9.1089024272714045</v>
      </c>
      <c r="AJ13" s="14">
        <f>AI13*VLOOKUP('Données projet'!$B$10,Paramètres!$A$1:$I$89,3,0)*VLOOKUP('Données projet'!$B$10,Paramètres!$A$1:$I$89,5,0)</f>
        <v>5.4471236515083001</v>
      </c>
      <c r="AK13" s="14">
        <f t="shared" si="35"/>
        <v>2.0607695702449207</v>
      </c>
      <c r="AL13" s="22">
        <f t="shared" si="4"/>
        <v>13.076247361220192</v>
      </c>
      <c r="AM13" s="62">
        <f t="shared" si="5"/>
        <v>306.40958069455348</v>
      </c>
      <c r="AN13" s="62">
        <f ca="1">AVERAGE(OFFSET($AM$3,0,0,'Données projet'!$E$10+1,1))-AVERAGE(OFFSET($H$3,0,0,'Données projet'!$E$10+1,1))</f>
        <v>269.90083987531233</v>
      </c>
      <c r="AO13" s="62">
        <f t="shared" si="36"/>
        <v>183.4515835513518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6.3622807017543854</v>
      </c>
      <c r="BD13" s="13">
        <f>IF('Données projet'!$A$88&gt;35,BD12+BC13-BL12,IF(A13&lt;'Données projet'!$A$88,$BA$205^A13,IF(A13='Données projet'!$A$88,'Données projet'!$B$88,BD12+BC13-BL12)))</f>
        <v>63.622807017543856</v>
      </c>
      <c r="BE13" s="14">
        <f>BD13*VLOOKUP('Données projet'!$B$11,Paramètres!$A$1:$I$89,3,0)*VLOOKUP('Données projet'!$B$11,Paramètres!$A$1:$I$89,5,0)</f>
        <v>30.602570175438597</v>
      </c>
      <c r="BF13" s="14">
        <f t="shared" si="37"/>
        <v>9.4703874589281334</v>
      </c>
      <c r="BG13" s="22">
        <f t="shared" si="7"/>
        <v>69.79373454652206</v>
      </c>
      <c r="BH13" s="62">
        <f t="shared" si="8"/>
        <v>363.12706787985536</v>
      </c>
      <c r="BI13" s="62">
        <f ca="1">AVERAGE(OFFSET($BH$3,0,0,'Données projet'!$E$11+1,1))-AVERAGE(OFFSET($H$3,0,0,'Données projet'!$E$11+1,1))</f>
        <v>255.64417186544995</v>
      </c>
      <c r="BJ13" s="62">
        <f t="shared" si="38"/>
        <v>165.41802783289376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12.2</v>
      </c>
      <c r="BY13" s="13">
        <f>IF('Données projet'!$A$114&gt;35,BY12+BX13-CG12,IF(A13&lt;'Données projet'!$A$114,$BV$205^A13,IF(A13='Données projet'!$A$114,'Données projet'!$B$114,BY12+BX13-CG12)))</f>
        <v>32.232999873804978</v>
      </c>
      <c r="BZ13" s="14">
        <f>BY13*VLOOKUP('Données projet'!$B$12,Paramètres!$A$1:$I$89,3,0)*VLOOKUP('Données projet'!$B$12,Paramètres!$A$1:$I$89,5,0)</f>
        <v>18.018246929456982</v>
      </c>
      <c r="CA13" s="14">
        <f t="shared" si="39"/>
        <v>5.9306140243554522</v>
      </c>
      <c r="CB13" s="22">
        <f t="shared" si="10"/>
        <v>41.710932827889991</v>
      </c>
      <c r="CC13" s="62">
        <f t="shared" si="11"/>
        <v>335.04426616122328</v>
      </c>
      <c r="CD13" s="62">
        <f ca="1">AVERAGE(OFFSET($CC$3,0,0,'Données projet'!$E$12+1,1))-AVERAGE(OFFSET($H$3,0,0,'Données projet'!$E$12+1,1))</f>
        <v>465.49436272491818</v>
      </c>
      <c r="CE13" s="62">
        <f t="shared" si="40"/>
        <v>494.36941732405256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6.7273684210526312</v>
      </c>
      <c r="CT13" s="13">
        <f>IF('Données projet'!$A$140&gt;35,CT12+CS13-DB12,IF(A13&lt;'Données projet'!$A$140,$CQ$205^A13,IF(A13='Données projet'!$A$140,'Données projet'!$B$140,CT12+CS13-DB12)))</f>
        <v>12.845062373812581</v>
      </c>
      <c r="CU13" s="18">
        <f>CT13*VLOOKUP('Données projet'!$B$13,Paramètres!$A$1:$I$89,3,0)*VLOOKUP('Données projet'!$B$13,Paramètres!$A$1:$I$89,5,0)</f>
        <v>7.6813472995399241</v>
      </c>
      <c r="CV13" s="14">
        <f t="shared" si="41"/>
        <v>2.7920587526573346</v>
      </c>
      <c r="CW13" s="22">
        <f t="shared" si="13"/>
        <v>18.241182207576891</v>
      </c>
      <c r="CX13" s="62">
        <f t="shared" si="14"/>
        <v>311.57451554091023</v>
      </c>
      <c r="CY13" s="62">
        <f ca="1">AVERAGE(OFFSET($CX$3,0,0,'Données projet'!$E$13+1,1))-AVERAGE(OFFSET($H$3,0,0,'Données projet'!$E$13+1,1))</f>
        <v>361.46923697840384</v>
      </c>
      <c r="CZ13" s="62">
        <f t="shared" si="42"/>
        <v>302.25424592654673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10.15</v>
      </c>
      <c r="N14" s="14">
        <f>IF('Données projet'!$A$36&gt;35,N13+M14-V13,IF(A14&lt;'Données projet'!$A$36,$K$205^A14,IF(A14='Données projet'!$A$36,'Données projet'!$B$36,N13+M14-V13)))</f>
        <v>18.583299266413949</v>
      </c>
      <c r="O14" s="14">
        <f>N14*VLOOKUP('Données projet'!$B$9,Paramètres!$A$1:$I$89,3,0)*VLOOKUP('Données projet'!$B$9,Paramètres!$A$1:$I$89,5,0)</f>
        <v>10.388064289925397</v>
      </c>
      <c r="P14" s="14">
        <f t="shared" si="33"/>
        <v>3.6455416369573412</v>
      </c>
      <c r="Q14" s="22">
        <f t="shared" si="2"/>
        <v>24.441863655987433</v>
      </c>
      <c r="R14" s="62">
        <f t="shared" si="0"/>
        <v>317.77519698932076</v>
      </c>
      <c r="S14" s="62">
        <f ca="1">AVERAGE(OFFSET($R$3,0,0,'Données projet'!$E$9+1,1))-AVERAGE(OFFSET($H$3,0,0,'Données projet'!$E$9+1,1))</f>
        <v>389.80719836281679</v>
      </c>
      <c r="T14" s="62">
        <f t="shared" si="34"/>
        <v>399.58193819355591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5.8668181818181813</v>
      </c>
      <c r="AI14" s="14">
        <f>IF('Données projet'!$A$62&gt;35,AI13+AH14-AQ13,IF(A14&lt;'Données projet'!$A$62,$AF$205^A14,IF(A14='Données projet'!$A$62,'Données projet'!$B$62,AI13+AH14-AQ13)))</f>
        <v>11.360897851842525</v>
      </c>
      <c r="AJ14" s="14">
        <f>AI14*VLOOKUP('Données projet'!$B$10,Paramètres!$A$1:$I$89,3,0)*VLOOKUP('Données projet'!$B$10,Paramètres!$A$1:$I$89,5,0)</f>
        <v>6.7938169154018313</v>
      </c>
      <c r="AK14" s="14">
        <f t="shared" si="35"/>
        <v>2.50500070842708</v>
      </c>
      <c r="AL14" s="22">
        <f t="shared" si="4"/>
        <v>16.195440694835355</v>
      </c>
      <c r="AM14" s="62">
        <f t="shared" si="5"/>
        <v>309.52877402816864</v>
      </c>
      <c r="AN14" s="62">
        <f ca="1">AVERAGE(OFFSET($AM$3,0,0,'Données projet'!$E$10+1,1))-AVERAGE(OFFSET($H$3,0,0,'Données projet'!$E$10+1,1))</f>
        <v>269.90083987531233</v>
      </c>
      <c r="AO14" s="62">
        <f t="shared" si="36"/>
        <v>183.4515835513518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6.3622807017543854</v>
      </c>
      <c r="BD14" s="13">
        <f>IF('Données projet'!$A$88&gt;35,BD13+BC14-BL13,IF(A14&lt;'Données projet'!$A$88,$BA$205^A14,IF(A14='Données projet'!$A$88,'Données projet'!$B$88,BD13+BC14-BL13)))</f>
        <v>69.985087719298235</v>
      </c>
      <c r="BE14" s="14">
        <f>BD14*VLOOKUP('Données projet'!$B$11,Paramètres!$A$1:$I$89,3,0)*VLOOKUP('Données projet'!$B$11,Paramètres!$A$1:$I$89,5,0)</f>
        <v>33.662827192982448</v>
      </c>
      <c r="BF14" s="14">
        <f t="shared" si="37"/>
        <v>10.302492905276841</v>
      </c>
      <c r="BG14" s="22">
        <f t="shared" si="7"/>
        <v>76.572932504468255</v>
      </c>
      <c r="BH14" s="62">
        <f t="shared" si="8"/>
        <v>369.90626583780158</v>
      </c>
      <c r="BI14" s="62">
        <f ca="1">AVERAGE(OFFSET($BH$3,0,0,'Données projet'!$E$11+1,1))-AVERAGE(OFFSET($H$3,0,0,'Données projet'!$E$11+1,1))</f>
        <v>255.64417186544995</v>
      </c>
      <c r="BJ14" s="62">
        <f t="shared" si="38"/>
        <v>165.41802783289376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12.2</v>
      </c>
      <c r="BY14" s="13">
        <f>IF('Données projet'!$A$114&gt;35,BY13+BX14-CG13,IF(A14&lt;'Données projet'!$A$114,$BV$205^A14,IF(A14='Données projet'!$A$114,'Données projet'!$B$114,BY13+BX14-CG13)))</f>
        <v>45.617428407426502</v>
      </c>
      <c r="BZ14" s="14">
        <f>BY14*VLOOKUP('Données projet'!$B$12,Paramètres!$A$1:$I$89,3,0)*VLOOKUP('Données projet'!$B$12,Paramètres!$A$1:$I$89,5,0)</f>
        <v>25.500142479751414</v>
      </c>
      <c r="CA14" s="14">
        <f t="shared" si="39"/>
        <v>8.0607065775264513</v>
      </c>
      <c r="CB14" s="22">
        <f t="shared" si="10"/>
        <v>58.451812108092277</v>
      </c>
      <c r="CC14" s="62">
        <f t="shared" si="11"/>
        <v>351.78514544142558</v>
      </c>
      <c r="CD14" s="62">
        <f ca="1">AVERAGE(OFFSET($CC$3,0,0,'Données projet'!$E$12+1,1))-AVERAGE(OFFSET($H$3,0,0,'Données projet'!$E$12+1,1))</f>
        <v>465.49436272491818</v>
      </c>
      <c r="CE14" s="62">
        <f t="shared" si="40"/>
        <v>494.36941732405256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6.7273684210526312</v>
      </c>
      <c r="CT14" s="13">
        <f>IF('Données projet'!$A$140&gt;35,CT13+CS14-DB13,IF(A14&lt;'Données projet'!$A$140,$CQ$205^A14,IF(A14='Données projet'!$A$140,'Données projet'!$B$140,CT13+CS14-DB13)))</f>
        <v>16.580966399578308</v>
      </c>
      <c r="CU14" s="18">
        <f>CT14*VLOOKUP('Données projet'!$B$13,Paramètres!$A$1:$I$89,3,0)*VLOOKUP('Données projet'!$B$13,Paramètres!$A$1:$I$89,5,0)</f>
        <v>9.9154179069478303</v>
      </c>
      <c r="CV14" s="14">
        <f t="shared" si="41"/>
        <v>3.4985854445992031</v>
      </c>
      <c r="CW14" s="22">
        <f t="shared" si="13"/>
        <v>23.362722503944415</v>
      </c>
      <c r="CX14" s="62">
        <f t="shared" si="14"/>
        <v>316.69605583727775</v>
      </c>
      <c r="CY14" s="62">
        <f ca="1">AVERAGE(OFFSET($CX$3,0,0,'Données projet'!$E$13+1,1))-AVERAGE(OFFSET($H$3,0,0,'Données projet'!$E$13+1,1))</f>
        <v>361.46923697840384</v>
      </c>
      <c r="CZ14" s="62">
        <f t="shared" si="42"/>
        <v>302.25424592654673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10.15</v>
      </c>
      <c r="N15" s="14">
        <f>IF('Données projet'!$A$36&gt;35,N14+M15-V14,IF(A15&lt;'Données projet'!$A$36,$K$205^A15,IF(A15='Données projet'!$A$36,'Données projet'!$B$36,N14+M15-V14)))</f>
        <v>24.238046970351288</v>
      </c>
      <c r="O15" s="14">
        <f>N15*VLOOKUP('Données projet'!$B$9,Paramètres!$A$1:$I$89,3,0)*VLOOKUP('Données projet'!$B$9,Paramètres!$A$1:$I$89,5,0)</f>
        <v>13.54906825642637</v>
      </c>
      <c r="P15" s="14">
        <f t="shared" si="33"/>
        <v>4.6100670059678155</v>
      </c>
      <c r="Q15" s="22">
        <f t="shared" si="2"/>
        <v>31.62716058200321</v>
      </c>
      <c r="R15" s="62">
        <f t="shared" si="0"/>
        <v>324.96049391533654</v>
      </c>
      <c r="S15" s="62">
        <f ca="1">AVERAGE(OFFSET($R$3,0,0,'Données projet'!$E$9+1,1))-AVERAGE(OFFSET($H$3,0,0,'Données projet'!$E$9+1,1))</f>
        <v>389.80719836281679</v>
      </c>
      <c r="T15" s="62">
        <f t="shared" si="34"/>
        <v>399.58193819355591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5.8668181818181813</v>
      </c>
      <c r="AI15" s="14">
        <f>IF('Données projet'!$A$62&gt;35,AI14+AH15-AQ14,IF(A15&lt;'Données projet'!$A$62,$AF$205^A15,IF(A15='Données projet'!$A$62,'Données projet'!$B$62,AI14+AH15-AQ14)))</f>
        <v>14.169654470507195</v>
      </c>
      <c r="AJ15" s="14">
        <f>AI15*VLOOKUP('Données projet'!$B$10,Paramètres!$A$1:$I$89,3,0)*VLOOKUP('Données projet'!$B$10,Paramètres!$A$1:$I$89,5,0)</f>
        <v>8.4734533733633022</v>
      </c>
      <c r="AK15" s="14">
        <f t="shared" si="35"/>
        <v>3.044992822013763</v>
      </c>
      <c r="AL15" s="22">
        <f t="shared" si="4"/>
        <v>20.06129379028172</v>
      </c>
      <c r="AM15" s="62">
        <f t="shared" si="5"/>
        <v>313.39462712361501</v>
      </c>
      <c r="AN15" s="62">
        <f ca="1">AVERAGE(OFFSET($AM$3,0,0,'Données projet'!$E$10+1,1))-AVERAGE(OFFSET($H$3,0,0,'Données projet'!$E$10+1,1))</f>
        <v>269.90083987531233</v>
      </c>
      <c r="AO15" s="62">
        <f t="shared" si="36"/>
        <v>183.4515835513518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6.3622807017543854</v>
      </c>
      <c r="BD15" s="13">
        <f>IF('Données projet'!$A$88&gt;35,BD14+BC15-BL14,IF(A15&lt;'Données projet'!$A$88,$BA$205^A15,IF(A15='Données projet'!$A$88,'Données projet'!$B$88,BD14+BC15-BL14)))</f>
        <v>76.347368421052622</v>
      </c>
      <c r="BE15" s="14">
        <f>BD15*VLOOKUP('Données projet'!$B$11,Paramètres!$A$1:$I$89,3,0)*VLOOKUP('Données projet'!$B$11,Paramètres!$A$1:$I$89,5,0)</f>
        <v>36.723084210526309</v>
      </c>
      <c r="BF15" s="14">
        <f t="shared" si="37"/>
        <v>11.125826843455339</v>
      </c>
      <c r="BG15" s="22">
        <f t="shared" si="7"/>
        <v>83.336853419018041</v>
      </c>
      <c r="BH15" s="62">
        <f t="shared" si="8"/>
        <v>376.67018675235136</v>
      </c>
      <c r="BI15" s="62">
        <f ca="1">AVERAGE(OFFSET($BH$3,0,0,'Données projet'!$E$11+1,1))-AVERAGE(OFFSET($H$3,0,0,'Données projet'!$E$11+1,1))</f>
        <v>255.64417186544995</v>
      </c>
      <c r="BJ15" s="62">
        <f t="shared" si="38"/>
        <v>165.41802783289376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12.2</v>
      </c>
      <c r="BY15" s="13">
        <f>IF('Données projet'!$A$114&gt;35,BY14+BX15-CG14,IF(A15&lt;'Données projet'!$A$114,$BV$205^A15,IF(A15='Données projet'!$A$114,'Données projet'!$B$114,BY14+BX15-CG14)))</f>
        <v>64.559606076188487</v>
      </c>
      <c r="BZ15" s="14">
        <f>BY15*VLOOKUP('Données projet'!$B$12,Paramètres!$A$1:$I$89,3,0)*VLOOKUP('Données projet'!$B$12,Paramètres!$A$1:$I$89,5,0)</f>
        <v>36.088819796589362</v>
      </c>
      <c r="CA15" s="14">
        <f t="shared" si="39"/>
        <v>10.955862287133046</v>
      </c>
      <c r="CB15" s="22">
        <f t="shared" si="10"/>
        <v>81.936154629149854</v>
      </c>
      <c r="CC15" s="62">
        <f t="shared" si="11"/>
        <v>375.26948796248314</v>
      </c>
      <c r="CD15" s="62">
        <f ca="1">AVERAGE(OFFSET($CC$3,0,0,'Données projet'!$E$12+1,1))-AVERAGE(OFFSET($H$3,0,0,'Données projet'!$E$12+1,1))</f>
        <v>465.49436272491818</v>
      </c>
      <c r="CE15" s="62">
        <f t="shared" si="40"/>
        <v>494.36941732405256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6.7273684210526312</v>
      </c>
      <c r="CT15" s="13">
        <f>IF('Données projet'!$A$140&gt;35,CT14+CS15-DB14,IF(A15&lt;'Données projet'!$A$140,$CQ$205^A15,IF(A15='Données projet'!$A$140,'Données projet'!$B$140,CT14+CS15-DB14)))</f>
        <v>21.403434155714606</v>
      </c>
      <c r="CU15" s="18">
        <f>CT15*VLOOKUP('Données projet'!$B$13,Paramètres!$A$1:$I$89,3,0)*VLOOKUP('Données projet'!$B$13,Paramètres!$A$1:$I$89,5,0)</f>
        <v>12.799253625117336</v>
      </c>
      <c r="CV15" s="14">
        <f t="shared" si="41"/>
        <v>4.3838977605725233</v>
      </c>
      <c r="CW15" s="22">
        <f t="shared" si="13"/>
        <v>29.927321996743171</v>
      </c>
      <c r="CX15" s="62">
        <f t="shared" si="14"/>
        <v>323.26065533007647</v>
      </c>
      <c r="CY15" s="62">
        <f ca="1">AVERAGE(OFFSET($CX$3,0,0,'Données projet'!$E$13+1,1))-AVERAGE(OFFSET($H$3,0,0,'Données projet'!$E$13+1,1))</f>
        <v>361.46923697840384</v>
      </c>
      <c r="CZ15" s="62">
        <f t="shared" si="42"/>
        <v>302.25424592654673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10.15</v>
      </c>
      <c r="N16" s="14">
        <f>IF('Données projet'!$A$36&gt;35,N15+M16-V15,IF(A16&lt;'Données projet'!$A$36,$K$205^A16,IF(A16='Données projet'!$A$36,'Données projet'!$B$36,N15+M16-V15)))</f>
        <v>31.61348867683186</v>
      </c>
      <c r="O16" s="14">
        <f>N16*VLOOKUP('Données projet'!$B$9,Paramètres!$A$1:$I$89,3,0)*VLOOKUP('Données projet'!$B$9,Paramètres!$A$1:$I$89,5,0)</f>
        <v>17.671940170349011</v>
      </c>
      <c r="P16" s="14">
        <f t="shared" si="33"/>
        <v>5.8297833123231317</v>
      </c>
      <c r="Q16" s="22">
        <f t="shared" si="2"/>
        <v>40.932168398987308</v>
      </c>
      <c r="R16" s="62">
        <f t="shared" si="0"/>
        <v>334.26550173232062</v>
      </c>
      <c r="S16" s="62">
        <f ca="1">AVERAGE(OFFSET($R$3,0,0,'Données projet'!$E$9+1,1))-AVERAGE(OFFSET($H$3,0,0,'Données projet'!$E$9+1,1))</f>
        <v>389.80719836281679</v>
      </c>
      <c r="T16" s="62">
        <f t="shared" si="34"/>
        <v>399.58193819355591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5.8668181818181813</v>
      </c>
      <c r="AI16" s="14">
        <f>IF('Données projet'!$A$62&gt;35,AI15+AH16-AQ15,IF(A16&lt;'Données projet'!$A$62,$AF$205^A16,IF(A16='Données projet'!$A$62,'Données projet'!$B$62,AI15+AH16-AQ15)))</f>
        <v>17.672820443588613</v>
      </c>
      <c r="AJ16" s="14">
        <f>AI16*VLOOKUP('Données projet'!$B$10,Paramètres!$A$1:$I$89,3,0)*VLOOKUP('Données projet'!$B$10,Paramètres!$A$1:$I$89,5,0)</f>
        <v>10.56834662526599</v>
      </c>
      <c r="AK16" s="14">
        <f t="shared" si="35"/>
        <v>3.7013886882041378</v>
      </c>
      <c r="AL16" s="22">
        <f t="shared" si="4"/>
        <v>24.853122337627141</v>
      </c>
      <c r="AM16" s="62">
        <f t="shared" si="5"/>
        <v>318.18645567096047</v>
      </c>
      <c r="AN16" s="62">
        <f ca="1">AVERAGE(OFFSET($AM$3,0,0,'Données projet'!$E$10+1,1))-AVERAGE(OFFSET($H$3,0,0,'Données projet'!$E$10+1,1))</f>
        <v>269.90083987531233</v>
      </c>
      <c r="AO16" s="62">
        <f t="shared" si="36"/>
        <v>183.4515835513518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6.3622807017543854</v>
      </c>
      <c r="BD16" s="13">
        <f>IF('Données projet'!$A$88&gt;35,BD15+BC16-BL15,IF(A16&lt;'Données projet'!$A$88,$BA$205^A16,IF(A16='Données projet'!$A$88,'Données projet'!$B$88,BD15+BC16-BL15)))</f>
        <v>82.709649122807008</v>
      </c>
      <c r="BE16" s="14">
        <f>BD16*VLOOKUP('Données projet'!$B$11,Paramètres!$A$1:$I$89,3,0)*VLOOKUP('Données projet'!$B$11,Paramètres!$A$1:$I$89,5,0)</f>
        <v>39.783341228070171</v>
      </c>
      <c r="BF16" s="14">
        <f t="shared" si="37"/>
        <v>11.941203336026222</v>
      </c>
      <c r="BG16" s="22">
        <f t="shared" si="7"/>
        <v>90.086915115801219</v>
      </c>
      <c r="BH16" s="62">
        <f t="shared" si="8"/>
        <v>383.42024844913453</v>
      </c>
      <c r="BI16" s="62">
        <f ca="1">AVERAGE(OFFSET($BH$3,0,0,'Données projet'!$E$11+1,1))-AVERAGE(OFFSET($H$3,0,0,'Données projet'!$E$11+1,1))</f>
        <v>255.64417186544995</v>
      </c>
      <c r="BJ16" s="62">
        <f t="shared" si="38"/>
        <v>165.41802783289376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12.2</v>
      </c>
      <c r="BY16" s="13">
        <f>IF('Données projet'!$A$114&gt;35,BY15+BX16-CG15,IF(A16&lt;'Données projet'!$A$114,$BV$205^A16,IF(A16='Données projet'!$A$114,'Données projet'!$B$114,BY15+BX16-CG15)))</f>
        <v>91.367332228532504</v>
      </c>
      <c r="BZ16" s="14">
        <f>BY16*VLOOKUP('Données projet'!$B$12,Paramètres!$A$1:$I$89,3,0)*VLOOKUP('Données projet'!$B$12,Paramètres!$A$1:$I$89,5,0)</f>
        <v>51.074338715749668</v>
      </c>
      <c r="CA16" s="14">
        <f t="shared" si="39"/>
        <v>14.890868101969463</v>
      </c>
      <c r="CB16" s="22">
        <f t="shared" si="10"/>
        <v>114.88940187419416</v>
      </c>
      <c r="CC16" s="62">
        <f t="shared" si="11"/>
        <v>408.22273520752748</v>
      </c>
      <c r="CD16" s="62">
        <f ca="1">AVERAGE(OFFSET($CC$3,0,0,'Données projet'!$E$12+1,1))-AVERAGE(OFFSET($H$3,0,0,'Données projet'!$E$12+1,1))</f>
        <v>465.49436272491818</v>
      </c>
      <c r="CE16" s="62">
        <f t="shared" si="40"/>
        <v>494.36941732405256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6.7273684210526312</v>
      </c>
      <c r="CT16" s="13">
        <f>IF('Données projet'!$A$140&gt;35,CT15+CS16-DB15,IF(A16&lt;'Données projet'!$A$140,$CQ$205^A16,IF(A16='Données projet'!$A$140,'Données projet'!$B$140,CT15+CS16-DB15)))</f>
        <v>27.628485735889402</v>
      </c>
      <c r="CU16" s="18">
        <f>CT16*VLOOKUP('Données projet'!$B$13,Paramètres!$A$1:$I$89,3,0)*VLOOKUP('Données projet'!$B$13,Paramètres!$A$1:$I$89,5,0)</f>
        <v>16.521834470061862</v>
      </c>
      <c r="CV16" s="14">
        <f t="shared" si="41"/>
        <v>5.4932371609847763</v>
      </c>
      <c r="CW16" s="22">
        <f t="shared" si="13"/>
        <v>38.342916424072889</v>
      </c>
      <c r="CX16" s="62">
        <f t="shared" si="14"/>
        <v>331.6762497574062</v>
      </c>
      <c r="CY16" s="62">
        <f ca="1">AVERAGE(OFFSET($CX$3,0,0,'Données projet'!$E$13+1,1))-AVERAGE(OFFSET($H$3,0,0,'Données projet'!$E$13+1,1))</f>
        <v>361.46923697840384</v>
      </c>
      <c r="CZ16" s="62">
        <f t="shared" si="42"/>
        <v>302.25424592654673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10.15</v>
      </c>
      <c r="N17" s="14">
        <f>IF('Données projet'!$A$36&gt;35,N16+M17-V16,IF(A17&lt;'Données projet'!$A$36,$K$205^A17,IF(A17='Données projet'!$A$36,'Données projet'!$B$36,N16+M17-V16)))</f>
        <v>41.233217657457637</v>
      </c>
      <c r="O17" s="14">
        <f>N17*VLOOKUP('Données projet'!$B$9,Paramètres!$A$1:$I$89,3,0)*VLOOKUP('Données projet'!$B$9,Paramètres!$A$1:$I$89,5,0)</f>
        <v>23.04936867051882</v>
      </c>
      <c r="P17" s="14">
        <f t="shared" si="33"/>
        <v>7.3722081316053112</v>
      </c>
      <c r="Q17" s="22">
        <f t="shared" si="2"/>
        <v>52.984246263699525</v>
      </c>
      <c r="R17" s="62">
        <f t="shared" si="0"/>
        <v>346.31757959703282</v>
      </c>
      <c r="S17" s="62">
        <f ca="1">AVERAGE(OFFSET($R$3,0,0,'Données projet'!$E$9+1,1))-AVERAGE(OFFSET($H$3,0,0,'Données projet'!$E$9+1,1))</f>
        <v>389.80719836281679</v>
      </c>
      <c r="T17" s="62">
        <f t="shared" si="34"/>
        <v>399.58193819355591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5.8668181818181813</v>
      </c>
      <c r="AI17" s="14">
        <f>IF('Données projet'!$A$62&gt;35,AI16+AH17-AQ16,IF(A17&lt;'Données projet'!$A$62,$AF$205^A17,IF(A17='Données projet'!$A$62,'Données projet'!$B$62,AI16+AH17-AQ16)))</f>
        <v>22.042074708413409</v>
      </c>
      <c r="AJ17" s="14">
        <f>AI17*VLOOKUP('Données projet'!$B$10,Paramètres!$A$1:$I$89,3,0)*VLOOKUP('Données projet'!$B$10,Paramètres!$A$1:$I$89,5,0)</f>
        <v>13.181160675631221</v>
      </c>
      <c r="AK17" s="14">
        <f t="shared" si="35"/>
        <v>4.4992809579449391</v>
      </c>
      <c r="AL17" s="22">
        <f t="shared" si="4"/>
        <v>30.793435845145144</v>
      </c>
      <c r="AM17" s="62">
        <f t="shared" si="5"/>
        <v>324.12676917847847</v>
      </c>
      <c r="AN17" s="62">
        <f ca="1">AVERAGE(OFFSET($AM$3,0,0,'Données projet'!$E$10+1,1))-AVERAGE(OFFSET($H$3,0,0,'Données projet'!$E$10+1,1))</f>
        <v>269.90083987531233</v>
      </c>
      <c r="AO17" s="62">
        <f t="shared" si="36"/>
        <v>183.4515835513518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6.3622807017543854</v>
      </c>
      <c r="BD17" s="13">
        <f>IF('Données projet'!$A$88&gt;35,BD16+BC17-BL16,IF(A17&lt;'Données projet'!$A$88,$BA$205^A17,IF(A17='Données projet'!$A$88,'Données projet'!$B$88,BD16+BC17-BL16)))</f>
        <v>89.071929824561394</v>
      </c>
      <c r="BE17" s="14">
        <f>BD17*VLOOKUP('Données projet'!$B$11,Paramètres!$A$1:$I$89,3,0)*VLOOKUP('Données projet'!$B$11,Paramètres!$A$1:$I$89,5,0)</f>
        <v>42.843598245614032</v>
      </c>
      <c r="BF17" s="14">
        <f t="shared" si="37"/>
        <v>12.74930409069758</v>
      </c>
      <c r="BG17" s="22">
        <f t="shared" si="7"/>
        <v>96.824304902409381</v>
      </c>
      <c r="BH17" s="62">
        <f t="shared" si="8"/>
        <v>390.1576382357427</v>
      </c>
      <c r="BI17" s="62">
        <f ca="1">AVERAGE(OFFSET($BH$3,0,0,'Données projet'!$E$11+1,1))-AVERAGE(OFFSET($H$3,0,0,'Données projet'!$E$11+1,1))</f>
        <v>255.64417186544995</v>
      </c>
      <c r="BJ17" s="62">
        <f t="shared" si="38"/>
        <v>165.41802783289376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12.2</v>
      </c>
      <c r="BY17" s="13">
        <f>IF('Données projet'!$A$114&gt;35,BY16+BX17-CG16,IF(A17&lt;'Données projet'!$A$114,$BV$205^A17,IF(A17='Données projet'!$A$114,'Données projet'!$B$114,BY16+BX17-CG16)))</f>
        <v>129.30669664724024</v>
      </c>
      <c r="BZ17" s="14">
        <f>BY17*VLOOKUP('Données projet'!$B$12,Paramètres!$A$1:$I$89,3,0)*VLOOKUP('Données projet'!$B$12,Paramètres!$A$1:$I$89,5,0)</f>
        <v>72.282443425807301</v>
      </c>
      <c r="CA17" s="14">
        <f t="shared" si="39"/>
        <v>20.23920591724384</v>
      </c>
      <c r="CB17" s="22">
        <f t="shared" si="10"/>
        <v>161.14187260581406</v>
      </c>
      <c r="CC17" s="62">
        <f t="shared" si="11"/>
        <v>454.47520593914737</v>
      </c>
      <c r="CD17" s="62">
        <f ca="1">AVERAGE(OFFSET($CC$3,0,0,'Données projet'!$E$12+1,1))-AVERAGE(OFFSET($H$3,0,0,'Données projet'!$E$12+1,1))</f>
        <v>465.49436272491818</v>
      </c>
      <c r="CE17" s="62">
        <f t="shared" si="40"/>
        <v>494.36941732405256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6.7273684210526312</v>
      </c>
      <c r="CT17" s="13">
        <f>IF('Données projet'!$A$140&gt;35,CT16+CS17-DB16,IF(A17&lt;'Données projet'!$A$140,$CQ$205^A17,IF(A17='Données projet'!$A$140,'Données projet'!$B$140,CT16+CS17-DB16)))</f>
        <v>35.664053651616371</v>
      </c>
      <c r="CU17" s="18">
        <f>CT17*VLOOKUP('Données projet'!$B$13,Paramètres!$A$1:$I$89,3,0)*VLOOKUP('Données projet'!$B$13,Paramètres!$A$1:$I$89,5,0)</f>
        <v>21.32710408366659</v>
      </c>
      <c r="CV17" s="14">
        <f t="shared" si="41"/>
        <v>6.8832933966241132</v>
      </c>
      <c r="CW17" s="22">
        <f t="shared" si="13"/>
        <v>49.133108944839641</v>
      </c>
      <c r="CX17" s="62">
        <f t="shared" si="14"/>
        <v>342.46644227817296</v>
      </c>
      <c r="CY17" s="62">
        <f ca="1">AVERAGE(OFFSET($CX$3,0,0,'Données projet'!$E$13+1,1))-AVERAGE(OFFSET($H$3,0,0,'Données projet'!$E$13+1,1))</f>
        <v>361.46923697840384</v>
      </c>
      <c r="CZ17" s="62">
        <f t="shared" si="42"/>
        <v>302.25424592654673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10.15</v>
      </c>
      <c r="N18" s="14">
        <f>IF('Données projet'!$A$36&gt;35,N17+M18-V17,IF(A18&lt;'Données projet'!$A$36,$K$205^A18,IF(A18='Données projet'!$A$36,'Données projet'!$B$36,N17+M18-V17)))</f>
        <v>53.780152382652489</v>
      </c>
      <c r="O18" s="14">
        <f>N18*VLOOKUP('Données projet'!$B$9,Paramètres!$A$1:$I$89,3,0)*VLOOKUP('Données projet'!$B$9,Paramètres!$A$1:$I$89,5,0)</f>
        <v>30.063105181902742</v>
      </c>
      <c r="P18" s="14">
        <f t="shared" si="33"/>
        <v>9.3227226166060575</v>
      </c>
      <c r="Q18" s="22">
        <f t="shared" si="2"/>
        <v>68.596983415736148</v>
      </c>
      <c r="R18" s="62">
        <f t="shared" si="0"/>
        <v>361.93031674906945</v>
      </c>
      <c r="S18" s="62">
        <f ca="1">AVERAGE(OFFSET($R$3,0,0,'Données projet'!$E$9+1,1))-AVERAGE(OFFSET($H$3,0,0,'Données projet'!$E$9+1,1))</f>
        <v>389.80719836281679</v>
      </c>
      <c r="T18" s="62">
        <f t="shared" si="34"/>
        <v>399.58193819355591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5.8668181818181813</v>
      </c>
      <c r="AI18" s="14">
        <f>IF('Données projet'!$A$62&gt;35,AI17+AH18-AQ17,IF(A18&lt;'Données projet'!$A$62,$AF$205^A18,IF(A18='Données projet'!$A$62,'Données projet'!$B$62,AI17+AH18-AQ17)))</f>
        <v>27.491540413830034</v>
      </c>
      <c r="AJ18" s="14">
        <f>AI18*VLOOKUP('Données projet'!$B$10,Paramètres!$A$1:$I$89,3,0)*VLOOKUP('Données projet'!$B$10,Paramètres!$A$1:$I$89,5,0)</f>
        <v>16.439941167470362</v>
      </c>
      <c r="AK18" s="14">
        <f t="shared" si="35"/>
        <v>5.4691713958708279</v>
      </c>
      <c r="AL18" s="22">
        <f t="shared" si="4"/>
        <v>38.158371047819237</v>
      </c>
      <c r="AM18" s="62">
        <f t="shared" si="5"/>
        <v>331.49170438115254</v>
      </c>
      <c r="AN18" s="62">
        <f ca="1">AVERAGE(OFFSET($AM$3,0,0,'Données projet'!$E$10+1,1))-AVERAGE(OFFSET($H$3,0,0,'Données projet'!$E$10+1,1))</f>
        <v>269.90083987531233</v>
      </c>
      <c r="AO18" s="62">
        <f t="shared" si="36"/>
        <v>183.4515835513518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6.3622807017543854</v>
      </c>
      <c r="BD18" s="13">
        <f>IF('Données projet'!$A$88&gt;35,BD17+BC18-BL17,IF(A18&lt;'Données projet'!$A$88,$BA$205^A18,IF(A18='Données projet'!$A$88,'Données projet'!$B$88,BD17+BC18-BL17)))</f>
        <v>95.43421052631578</v>
      </c>
      <c r="BE18" s="14">
        <f>BD18*VLOOKUP('Données projet'!$B$11,Paramètres!$A$1:$I$89,3,0)*VLOOKUP('Données projet'!$B$11,Paramètres!$A$1:$I$89,5,0)</f>
        <v>45.903855263157894</v>
      </c>
      <c r="BF18" s="14">
        <f t="shared" si="37"/>
        <v>13.550707909965793</v>
      </c>
      <c r="BG18" s="22">
        <f t="shared" si="7"/>
        <v>103.55003085985709</v>
      </c>
      <c r="BH18" s="62">
        <f t="shared" si="8"/>
        <v>396.8833641931904</v>
      </c>
      <c r="BI18" s="62">
        <f ca="1">AVERAGE(OFFSET($BH$3,0,0,'Données projet'!$E$11+1,1))-AVERAGE(OFFSET($H$3,0,0,'Données projet'!$E$11+1,1))</f>
        <v>255.64417186544995</v>
      </c>
      <c r="BJ18" s="62">
        <f t="shared" si="38"/>
        <v>165.41802783289376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>
        <f>VLOOKUP(A18,'Données projet'!$A$113:$I$133,2,0)</f>
        <v>183</v>
      </c>
      <c r="BW18" s="13">
        <f>VLOOKUP(A18,'Données projet'!$A$113:$I$133,9,0)</f>
        <v>12.2</v>
      </c>
      <c r="BX18" s="13">
        <f t="array" ref="BX18">INDEX(BW:BW,MIN(IF(ISNUMBER(BW18:BW214),ROW(BW18:BW214),"")))</f>
        <v>12.2</v>
      </c>
      <c r="BY18" s="13">
        <f>IF('Données projet'!$A$114&gt;35,BY17+BX18-CG17,IF(A18&lt;'Données projet'!$A$114,$BV$205^A18,IF(A18='Données projet'!$A$114,'Données projet'!$B$114,BY17+BX18-CG17)))</f>
        <v>183</v>
      </c>
      <c r="BZ18" s="14">
        <f>BY18*VLOOKUP('Données projet'!$B$12,Paramètres!$A$1:$I$89,3,0)*VLOOKUP('Données projet'!$B$12,Paramètres!$A$1:$I$89,5,0)</f>
        <v>102.297</v>
      </c>
      <c r="CA18" s="14">
        <f t="shared" si="39"/>
        <v>27.508500737201572</v>
      </c>
      <c r="CB18" s="22">
        <f t="shared" si="10"/>
        <v>226.07791378395936</v>
      </c>
      <c r="CC18" s="62">
        <f t="shared" si="11"/>
        <v>519.41124711729265</v>
      </c>
      <c r="CD18" s="62">
        <f ca="1">AVERAGE(OFFSET($CC$3,0,0,'Données projet'!$E$12+1,1))-AVERAGE(OFFSET($H$3,0,0,'Données projet'!$E$12+1,1))</f>
        <v>465.49436272491818</v>
      </c>
      <c r="CE18" s="62">
        <f t="shared" si="40"/>
        <v>494.36941732405256</v>
      </c>
      <c r="CF18" s="16">
        <f>IF(ISNA(VLOOKUP(A18,'Données projet'!$A$113:$I$133,3,0)),0,VLOOKUP(A18,'Données projet'!$A$113:$I$133,3,0))</f>
        <v>1</v>
      </c>
      <c r="CG18" s="16">
        <f>IF(ISNA(VLOOKUP(A18,'Données projet'!$A$113:$I$133,4,0)),0,VLOOKUP(A18,'Données projet'!$A$113:$I$133,4,0))</f>
        <v>28</v>
      </c>
      <c r="CH18" s="17">
        <f>IF(ISNA(VLOOKUP(A18,'Données projet'!$A$113:$I$133,5,0)),0%,VLOOKUP(A18,'Données projet'!$A$113:$I$133,5,0)*VLOOKUP('Données projet'!$B$12,Paramètres!$A$1:$I$89,7,0))</f>
        <v>0.11000000000000001</v>
      </c>
      <c r="CI18" s="17">
        <f>IF(ISNA(VLOOKUP(A18,'Données projet'!$A$113:$I$133,6,0)),0%,VLOOKUP(A18,'Données projet'!$A$113:$I$133,6,0)*VLOOKUP('Données projet'!$B$12,Paramètres!$A$1:$I$89,7,0))</f>
        <v>0.24750000000000003</v>
      </c>
      <c r="CJ18" s="17">
        <f>IF(ISNA(VLOOKUP(A18,'Données projet'!$A$113:$I$133,7,0)),0%,VLOOKUP(A18,'Données projet'!$A$113:$I$133,7,0))</f>
        <v>0.35</v>
      </c>
      <c r="CK18" s="23">
        <f>EXP(-LN(2)/35)*CK17+(1-EXP(-LN(2)/35))/(LN(2)/35)*CG18*CH18*VLOOKUP('Données projet'!$B$12,Paramètres!$A$1:$I$89,3,0)*0.475*44/12</f>
        <v>2.2839725542193654</v>
      </c>
      <c r="CL18" s="23">
        <f>EXP(-LN(2)/25)*CL17+(1-EXP(-LN(2)/25))/(LN(2)/25)*Calculateur!CG18*Calculateur!CI18*VLOOKUP('Données projet'!$B$12,Paramètres!$A$1:$I$89,3,0)*0.475*44/12</f>
        <v>5.1187042890261756</v>
      </c>
      <c r="CM18" s="23">
        <f>EXP(-LN(2)/2)*CM17+(1-EXP(-LN(2)/2))/(LN(2)/2)*CG18*CJ18*VLOOKUP('Données projet'!$B$12,Paramètres!$A$1:$I$89,3,0)*0.475*44/12</f>
        <v>6.2025949723094849</v>
      </c>
      <c r="CN18" s="24">
        <f t="shared" si="12"/>
        <v>13.605271815555025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6.7273684210526312</v>
      </c>
      <c r="CT18" s="13">
        <f>IF('Données projet'!$A$140&gt;35,CT17+CS18-DB17,IF(A18&lt;'Données projet'!$A$140,$CQ$205^A18,IF(A18='Données projet'!$A$140,'Données projet'!$B$140,CT17+CS18-DB17)))</f>
        <v>46.036714969620697</v>
      </c>
      <c r="CU18" s="18">
        <f>CT18*VLOOKUP('Données projet'!$B$13,Paramètres!$A$1:$I$89,3,0)*VLOOKUP('Données projet'!$B$13,Paramètres!$A$1:$I$89,5,0)</f>
        <v>27.529955551833176</v>
      </c>
      <c r="CV18" s="14">
        <f t="shared" si="41"/>
        <v>8.6251014830598223</v>
      </c>
      <c r="CW18" s="22">
        <f t="shared" si="13"/>
        <v>62.970057669105302</v>
      </c>
      <c r="CX18" s="62">
        <f t="shared" si="14"/>
        <v>356.30339100243862</v>
      </c>
      <c r="CY18" s="62">
        <f ca="1">AVERAGE(OFFSET($CX$3,0,0,'Données projet'!$E$13+1,1))-AVERAGE(OFFSET($H$3,0,0,'Données projet'!$E$13+1,1))</f>
        <v>361.46923697840384</v>
      </c>
      <c r="CZ18" s="62">
        <f t="shared" si="42"/>
        <v>302.25424592654673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10.15</v>
      </c>
      <c r="N19" s="14">
        <f>IF('Données projet'!$A$36&gt;35,N18+M19-V18,IF(A19&lt;'Données projet'!$A$36,$K$205^A19,IF(A19='Données projet'!$A$36,'Données projet'!$B$36,N18+M19-V18)))</f>
        <v>70.145017891374906</v>
      </c>
      <c r="O19" s="14">
        <f>N19*VLOOKUP('Données projet'!$B$9,Paramètres!$A$1:$I$89,3,0)*VLOOKUP('Données projet'!$B$9,Paramètres!$A$1:$I$89,5,0)</f>
        <v>39.211065001278577</v>
      </c>
      <c r="P19" s="14">
        <f t="shared" si="33"/>
        <v>11.789297783600777</v>
      </c>
      <c r="Q19" s="22">
        <f t="shared" si="2"/>
        <v>88.825631850331547</v>
      </c>
      <c r="R19" s="62">
        <f t="shared" si="0"/>
        <v>382.15896518366486</v>
      </c>
      <c r="S19" s="62">
        <f ca="1">AVERAGE(OFFSET($R$3,0,0,'Données projet'!$E$9+1,1))-AVERAGE(OFFSET($H$3,0,0,'Données projet'!$E$9+1,1))</f>
        <v>389.80719836281679</v>
      </c>
      <c r="T19" s="62">
        <f t="shared" si="34"/>
        <v>399.58193819355591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5.8668181818181813</v>
      </c>
      <c r="AI19" s="14">
        <f>IF('Données projet'!$A$62&gt;35,AI18+AH19-AQ18,IF(A19&lt;'Données projet'!$A$62,$AF$205^A19,IF(A19='Données projet'!$A$62,'Données projet'!$B$62,AI18+AH19-AQ18)))</f>
        <v>34.288278409507839</v>
      </c>
      <c r="AJ19" s="14">
        <f>AI19*VLOOKUP('Données projet'!$B$10,Paramètres!$A$1:$I$89,3,0)*VLOOKUP('Données projet'!$B$10,Paramètres!$A$1:$I$89,5,0)</f>
        <v>20.50439048888569</v>
      </c>
      <c r="AK19" s="14">
        <f t="shared" si="35"/>
        <v>6.6481368994289252</v>
      </c>
      <c r="AL19" s="22">
        <f t="shared" si="4"/>
        <v>47.290651867981289</v>
      </c>
      <c r="AM19" s="62">
        <f t="shared" si="5"/>
        <v>340.62398520131461</v>
      </c>
      <c r="AN19" s="62">
        <f ca="1">AVERAGE(OFFSET($AM$3,0,0,'Données projet'!$E$10+1,1))-AVERAGE(OFFSET($H$3,0,0,'Données projet'!$E$10+1,1))</f>
        <v>269.90083987531233</v>
      </c>
      <c r="AO19" s="62">
        <f t="shared" si="36"/>
        <v>183.4515835513518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6.3622807017543854</v>
      </c>
      <c r="BD19" s="13">
        <f>IF('Données projet'!$A$88&gt;35,BD18+BC19-BL18,IF(A19&lt;'Données projet'!$A$88,$BA$205^A19,IF(A19='Données projet'!$A$88,'Données projet'!$B$88,BD18+BC19-BL18)))</f>
        <v>101.79649122807017</v>
      </c>
      <c r="BE19" s="14">
        <f>BD19*VLOOKUP('Données projet'!$B$11,Paramètres!$A$1:$I$89,3,0)*VLOOKUP('Données projet'!$B$11,Paramètres!$A$1:$I$89,5,0)</f>
        <v>48.964112280701748</v>
      </c>
      <c r="BF19" s="14">
        <f t="shared" si="37"/>
        <v>14.34591205659048</v>
      </c>
      <c r="BG19" s="22">
        <f t="shared" si="7"/>
        <v>110.2649590541173</v>
      </c>
      <c r="BH19" s="62">
        <f t="shared" si="8"/>
        <v>403.59829238745061</v>
      </c>
      <c r="BI19" s="62">
        <f ca="1">AVERAGE(OFFSET($BH$3,0,0,'Données projet'!$E$11+1,1))-AVERAGE(OFFSET($H$3,0,0,'Données projet'!$E$11+1,1))</f>
        <v>255.64417186544995</v>
      </c>
      <c r="BJ19" s="62">
        <f t="shared" si="38"/>
        <v>165.41802783289376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26</v>
      </c>
      <c r="BY19" s="13">
        <f>IF('Données projet'!$A$114&gt;35,BY18+BX19-CG18,IF(A19&lt;'Données projet'!$A$114,$BV$205^A19,IF(A19='Données projet'!$A$114,'Données projet'!$B$114,BY18+BX19-CG18)))</f>
        <v>181</v>
      </c>
      <c r="BZ19" s="14">
        <f>BY19*VLOOKUP('Données projet'!$B$12,Paramètres!$A$1:$I$89,3,0)*VLOOKUP('Données projet'!$B$12,Paramètres!$A$1:$I$89,5,0)</f>
        <v>101.179</v>
      </c>
      <c r="CA19" s="14">
        <f t="shared" si="39"/>
        <v>27.242686146699036</v>
      </c>
      <c r="CB19" s="22">
        <f t="shared" si="10"/>
        <v>223.66777003883416</v>
      </c>
      <c r="CC19" s="62">
        <f t="shared" si="11"/>
        <v>517.00110337216745</v>
      </c>
      <c r="CD19" s="62">
        <f ca="1">AVERAGE(OFFSET($CC$3,0,0,'Données projet'!$E$12+1,1))-AVERAGE(OFFSET($H$3,0,0,'Données projet'!$E$12+1,1))</f>
        <v>465.49436272491818</v>
      </c>
      <c r="CE19" s="62">
        <f t="shared" si="40"/>
        <v>494.36941732405256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2.239185245516826</v>
      </c>
      <c r="CL19" s="23">
        <f>EXP(-LN(2)/25)*CL18+(1-EXP(-LN(2)/25))/(LN(2)/25)*Calculateur!CG19*Calculateur!CI19*VLOOKUP('Données projet'!$B$12,Paramètres!$A$1:$I$89,3,0)*0.475*44/12</f>
        <v>4.9787330510617949</v>
      </c>
      <c r="CM19" s="23">
        <f>EXP(-LN(2)/2)*CM18+(1-EXP(-LN(2)/2))/(LN(2)/2)*CG19*CJ19*VLOOKUP('Données projet'!$B$12,Paramètres!$A$1:$I$89,3,0)*0.475*44/12</f>
        <v>4.3858969658736227</v>
      </c>
      <c r="CN19" s="24">
        <f t="shared" si="12"/>
        <v>11.603815262452244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6.7273684210526312</v>
      </c>
      <c r="CT19" s="13">
        <f>IF('Données projet'!$A$140&gt;35,CT18+CS19-DB18,IF(A19&lt;'Données projet'!$A$140,$CQ$205^A19,IF(A19='Données projet'!$A$140,'Données projet'!$B$140,CT18+CS19-DB18)))</f>
        <v>59.426198319944547</v>
      </c>
      <c r="CU19" s="18">
        <f>CT19*VLOOKUP('Données projet'!$B$13,Paramètres!$A$1:$I$89,3,0)*VLOOKUP('Données projet'!$B$13,Paramètres!$A$1:$I$89,5,0)</f>
        <v>35.536866595326842</v>
      </c>
      <c r="CV19" s="14">
        <f t="shared" si="41"/>
        <v>10.807671750497542</v>
      </c>
      <c r="CW19" s="22">
        <f t="shared" si="13"/>
        <v>80.716737618977461</v>
      </c>
      <c r="CX19" s="62">
        <f t="shared" si="14"/>
        <v>374.05007095231076</v>
      </c>
      <c r="CY19" s="62">
        <f ca="1">AVERAGE(OFFSET($CX$3,0,0,'Données projet'!$E$13+1,1))-AVERAGE(OFFSET($H$3,0,0,'Données projet'!$E$13+1,1))</f>
        <v>361.46923697840384</v>
      </c>
      <c r="CZ19" s="62">
        <f t="shared" si="42"/>
        <v>302.25424592654673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10.15</v>
      </c>
      <c r="N20" s="14">
        <f>IF('Données projet'!$A$36&gt;35,N19+M20-V19,IF(A20&lt;'Données projet'!$A$36,$K$205^A20,IF(A20='Données projet'!$A$36,'Données projet'!$B$36,N19+M20-V19)))</f>
        <v>91.48957964961852</v>
      </c>
      <c r="O20" s="14">
        <f>N20*VLOOKUP('Données projet'!$B$9,Paramètres!$A$1:$I$89,3,0)*VLOOKUP('Données projet'!$B$9,Paramètres!$A$1:$I$89,5,0)</f>
        <v>51.14267502413675</v>
      </c>
      <c r="P20" s="14">
        <f t="shared" si="33"/>
        <v>14.908471263839084</v>
      </c>
      <c r="Q20" s="22">
        <f t="shared" si="2"/>
        <v>115.03907978489126</v>
      </c>
      <c r="R20" s="62">
        <f t="shared" si="0"/>
        <v>408.37241311822459</v>
      </c>
      <c r="S20" s="62">
        <f ca="1">AVERAGE(OFFSET($R$3,0,0,'Données projet'!$E$9+1,1))-AVERAGE(OFFSET($H$3,0,0,'Données projet'!$E$9+1,1))</f>
        <v>389.80719836281679</v>
      </c>
      <c r="T20" s="62">
        <f t="shared" si="34"/>
        <v>399.58193819355591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5.8668181818181813</v>
      </c>
      <c r="AI20" s="14">
        <f>IF('Données projet'!$A$62&gt;35,AI19+AH20-AQ19,IF(A20&lt;'Données projet'!$A$62,$AF$205^A20,IF(A20='Données projet'!$A$62,'Données projet'!$B$62,AI19+AH20-AQ19)))</f>
        <v>42.765375042297542</v>
      </c>
      <c r="AJ20" s="14">
        <f>AI20*VLOOKUP('Données projet'!$B$10,Paramètres!$A$1:$I$89,3,0)*VLOOKUP('Données projet'!$B$10,Paramètres!$A$1:$I$89,5,0)</f>
        <v>25.573694275293931</v>
      </c>
      <c r="AK20" s="14">
        <f t="shared" si="35"/>
        <v>8.0812468716773616</v>
      </c>
      <c r="AL20" s="22">
        <f t="shared" si="4"/>
        <v>58.615689164308343</v>
      </c>
      <c r="AM20" s="62">
        <f t="shared" si="5"/>
        <v>351.94902249764164</v>
      </c>
      <c r="AN20" s="62">
        <f ca="1">AVERAGE(OFFSET($AM$3,0,0,'Données projet'!$E$10+1,1))-AVERAGE(OFFSET($H$3,0,0,'Données projet'!$E$10+1,1))</f>
        <v>269.90083987531233</v>
      </c>
      <c r="AO20" s="62">
        <f t="shared" si="36"/>
        <v>183.4515835513518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6.3622807017543854</v>
      </c>
      <c r="BD20" s="13">
        <f>IF('Données projet'!$A$88&gt;35,BD19+BC20-BL19,IF(A20&lt;'Données projet'!$A$88,$BA$205^A20,IF(A20='Données projet'!$A$88,'Données projet'!$B$88,BD19+BC20-BL19)))</f>
        <v>108.15877192982455</v>
      </c>
      <c r="BE20" s="14">
        <f>BD20*VLOOKUP('Données projet'!$B$11,Paramètres!$A$1:$I$89,3,0)*VLOOKUP('Données projet'!$B$11,Paramètres!$A$1:$I$89,5,0)</f>
        <v>52.02436929824561</v>
      </c>
      <c r="BF20" s="14">
        <f t="shared" si="37"/>
        <v>15.13534812231358</v>
      </c>
      <c r="BG20" s="22">
        <f t="shared" si="7"/>
        <v>116.96984117414058</v>
      </c>
      <c r="BH20" s="62">
        <f t="shared" si="8"/>
        <v>410.3031745074739</v>
      </c>
      <c r="BI20" s="62">
        <f ca="1">AVERAGE(OFFSET($BH$3,0,0,'Données projet'!$E$11+1,1))-AVERAGE(OFFSET($H$3,0,0,'Données projet'!$E$11+1,1))</f>
        <v>255.64417186544995</v>
      </c>
      <c r="BJ20" s="62">
        <f t="shared" si="38"/>
        <v>165.41802783289376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26</v>
      </c>
      <c r="BY20" s="13">
        <f>IF('Données projet'!$A$114&gt;35,BY19+BX20-CG19,IF(A20&lt;'Données projet'!$A$114,$BV$205^A20,IF(A20='Données projet'!$A$114,'Données projet'!$B$114,BY19+BX20-CG19)))</f>
        <v>207</v>
      </c>
      <c r="BZ20" s="14">
        <f>BY20*VLOOKUP('Données projet'!$B$12,Paramètres!$A$1:$I$89,3,0)*VLOOKUP('Données projet'!$B$12,Paramètres!$A$1:$I$89,5,0)</f>
        <v>115.71300000000001</v>
      </c>
      <c r="CA20" s="14">
        <f t="shared" si="39"/>
        <v>30.673019842466044</v>
      </c>
      <c r="CB20" s="22">
        <f t="shared" si="10"/>
        <v>254.95565122562834</v>
      </c>
      <c r="CC20" s="62">
        <f t="shared" si="11"/>
        <v>548.2889845589616</v>
      </c>
      <c r="CD20" s="62">
        <f ca="1">AVERAGE(OFFSET($CC$3,0,0,'Données projet'!$E$12+1,1))-AVERAGE(OFFSET($H$3,0,0,'Données projet'!$E$12+1,1))</f>
        <v>465.49436272491818</v>
      </c>
      <c r="CE20" s="62">
        <f t="shared" si="40"/>
        <v>494.36941732405256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2.1952761886203822</v>
      </c>
      <c r="CL20" s="23">
        <f>EXP(-LN(2)/25)*CL19+(1-EXP(-LN(2)/25))/(LN(2)/25)*Calculateur!CG20*Calculateur!CI20*VLOOKUP('Données projet'!$B$12,Paramètres!$A$1:$I$89,3,0)*0.475*44/12</f>
        <v>4.8425893339603183</v>
      </c>
      <c r="CM20" s="23">
        <f>EXP(-LN(2)/2)*CM19+(1-EXP(-LN(2)/2))/(LN(2)/2)*CG20*CJ20*VLOOKUP('Données projet'!$B$12,Paramètres!$A$1:$I$89,3,0)*0.475*44/12</f>
        <v>3.1012974861547424</v>
      </c>
      <c r="CN20" s="24">
        <f t="shared" si="12"/>
        <v>10.139163008735443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6.7273684210526312</v>
      </c>
      <c r="CT20" s="13">
        <f>IF('Données projet'!$A$140&gt;35,CT19+CS20-DB19,IF(A20&lt;'Données projet'!$A$140,$CQ$205^A20,IF(A20='Données projet'!$A$140,'Données projet'!$B$140,CT19+CS20-DB19)))</f>
        <v>76.709927046093</v>
      </c>
      <c r="CU20" s="18">
        <f>CT20*VLOOKUP('Données projet'!$B$13,Paramètres!$A$1:$I$89,3,0)*VLOOKUP('Données projet'!$B$13,Paramètres!$A$1:$I$89,5,0)</f>
        <v>45.872536373563612</v>
      </c>
      <c r="CV20" s="14">
        <f t="shared" si="41"/>
        <v>13.542538472841819</v>
      </c>
      <c r="CW20" s="22">
        <f t="shared" si="13"/>
        <v>103.48125535748945</v>
      </c>
      <c r="CX20" s="62">
        <f t="shared" si="14"/>
        <v>396.81458869082275</v>
      </c>
      <c r="CY20" s="62">
        <f ca="1">AVERAGE(OFFSET($CX$3,0,0,'Données projet'!$E$13+1,1))-AVERAGE(OFFSET($H$3,0,0,'Données projet'!$E$13+1,1))</f>
        <v>361.46923697840384</v>
      </c>
      <c r="CZ20" s="62">
        <f t="shared" si="42"/>
        <v>302.25424592654673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10.15</v>
      </c>
      <c r="N21" s="14">
        <f>IF('Données projet'!$A$36&gt;35,N20+M21-V20,IF(A21&lt;'Données projet'!$A$36,$K$205^A21,IF(A21='Données projet'!$A$36,'Données projet'!$B$36,N20+M21-V20)))</f>
        <v>119.32911896075112</v>
      </c>
      <c r="O21" s="14">
        <f>N21*VLOOKUP('Données projet'!$B$9,Paramètres!$A$1:$I$89,3,0)*VLOOKUP('Données projet'!$B$9,Paramètres!$A$1:$I$89,5,0)</f>
        <v>66.704977499059879</v>
      </c>
      <c r="P21" s="14">
        <f t="shared" si="33"/>
        <v>18.852905364209981</v>
      </c>
      <c r="Q21" s="22">
        <f t="shared" si="2"/>
        <v>149.01331265352835</v>
      </c>
      <c r="R21" s="62">
        <f t="shared" si="0"/>
        <v>442.34664598686163</v>
      </c>
      <c r="S21" s="62">
        <f ca="1">AVERAGE(OFFSET($R$3,0,0,'Données projet'!$E$9+1,1))-AVERAGE(OFFSET($H$3,0,0,'Données projet'!$E$9+1,1))</f>
        <v>389.80719836281679</v>
      </c>
      <c r="T21" s="62">
        <f t="shared" si="34"/>
        <v>399.58193819355591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5.8668181818181813</v>
      </c>
      <c r="AI21" s="14">
        <f>IF('Données projet'!$A$62&gt;35,AI20+AH21-AQ20,IF(A21&lt;'Données projet'!$A$62,$AF$205^A21,IF(A21='Données projet'!$A$62,'Données projet'!$B$62,AI20+AH21-AQ20)))</f>
        <v>53.338265650608868</v>
      </c>
      <c r="AJ21" s="14">
        <f>AI21*VLOOKUP('Données projet'!$B$10,Paramètres!$A$1:$I$89,3,0)*VLOOKUP('Données projet'!$B$10,Paramètres!$A$1:$I$89,5,0)</f>
        <v>31.896282859064108</v>
      </c>
      <c r="AK21" s="14">
        <f t="shared" si="35"/>
        <v>9.8232861309767845</v>
      </c>
      <c r="AL21" s="22">
        <f t="shared" si="4"/>
        <v>72.661582657654549</v>
      </c>
      <c r="AM21" s="62">
        <f t="shared" si="5"/>
        <v>365.99491599098786</v>
      </c>
      <c r="AN21" s="62">
        <f ca="1">AVERAGE(OFFSET($AM$3,0,0,'Données projet'!$E$10+1,1))-AVERAGE(OFFSET($H$3,0,0,'Données projet'!$E$10+1,1))</f>
        <v>269.90083987531233</v>
      </c>
      <c r="AO21" s="62">
        <f t="shared" si="36"/>
        <v>183.4515835513518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6.3622807017543854</v>
      </c>
      <c r="BD21" s="13">
        <f>IF('Données projet'!$A$88&gt;35,BD20+BC21-BL20,IF(A21&lt;'Données projet'!$A$88,$BA$205^A21,IF(A21='Données projet'!$A$88,'Données projet'!$B$88,BD20+BC21-BL20)))</f>
        <v>114.52105263157894</v>
      </c>
      <c r="BE21" s="14">
        <f>BD21*VLOOKUP('Données projet'!$B$11,Paramètres!$A$1:$I$89,3,0)*VLOOKUP('Données projet'!$B$11,Paramètres!$A$1:$I$89,5,0)</f>
        <v>55.084626315789471</v>
      </c>
      <c r="BF21" s="14">
        <f t="shared" si="37"/>
        <v>15.919394055033036</v>
      </c>
      <c r="BG21" s="22">
        <f t="shared" si="7"/>
        <v>123.6653354791825</v>
      </c>
      <c r="BH21" s="62">
        <f t="shared" si="8"/>
        <v>416.9986688125158</v>
      </c>
      <c r="BI21" s="62">
        <f ca="1">AVERAGE(OFFSET($BH$3,0,0,'Données projet'!$E$11+1,1))-AVERAGE(OFFSET($H$3,0,0,'Données projet'!$E$11+1,1))</f>
        <v>255.64417186544995</v>
      </c>
      <c r="BJ21" s="62">
        <f t="shared" si="38"/>
        <v>165.41802783289376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26</v>
      </c>
      <c r="BY21" s="13">
        <f>IF('Données projet'!$A$114&gt;35,BY20+BX21-CG20,IF(A21&lt;'Données projet'!$A$114,$BV$205^A21,IF(A21='Données projet'!$A$114,'Données projet'!$B$114,BY20+BX21-CG20)))</f>
        <v>233</v>
      </c>
      <c r="BZ21" s="14">
        <f>BY21*VLOOKUP('Données projet'!$B$12,Paramètres!$A$1:$I$89,3,0)*VLOOKUP('Données projet'!$B$12,Paramètres!$A$1:$I$89,5,0)</f>
        <v>130.24700000000001</v>
      </c>
      <c r="CA21" s="14">
        <f t="shared" si="39"/>
        <v>34.053427473416782</v>
      </c>
      <c r="CB21" s="22">
        <f t="shared" si="10"/>
        <v>286.15657784953424</v>
      </c>
      <c r="CC21" s="62">
        <f t="shared" si="11"/>
        <v>579.48991118286756</v>
      </c>
      <c r="CD21" s="62">
        <f ca="1">AVERAGE(OFFSET($CC$3,0,0,'Données projet'!$E$12+1,1))-AVERAGE(OFFSET($H$3,0,0,'Données projet'!$E$12+1,1))</f>
        <v>465.49436272491818</v>
      </c>
      <c r="CE21" s="62">
        <f t="shared" si="40"/>
        <v>494.36941732405256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2.1522281615477978</v>
      </c>
      <c r="CL21" s="23">
        <f>EXP(-LN(2)/25)*CL20+(1-EXP(-LN(2)/25))/(LN(2)/25)*Calculateur!CG21*Calculateur!CI21*VLOOKUP('Données projet'!$B$12,Paramètres!$A$1:$I$89,3,0)*0.475*44/12</f>
        <v>4.7101684739624678</v>
      </c>
      <c r="CM21" s="23">
        <f>EXP(-LN(2)/2)*CM20+(1-EXP(-LN(2)/2))/(LN(2)/2)*CG21*CJ21*VLOOKUP('Données projet'!$B$12,Paramètres!$A$1:$I$89,3,0)*0.475*44/12</f>
        <v>2.1929484829368113</v>
      </c>
      <c r="CN21" s="24">
        <f t="shared" si="12"/>
        <v>9.055345118447077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6.7273684210526312</v>
      </c>
      <c r="CT21" s="13">
        <f>IF('Données projet'!$A$140&gt;35,CT20+CS21-DB20,IF(A21&lt;'Données projet'!$A$140,$CQ$205^A21,IF(A21='Données projet'!$A$140,'Données projet'!$B$140,CT20+CS21-DB20)))</f>
        <v>99.020517444778079</v>
      </c>
      <c r="CU21" s="18">
        <f>CT21*VLOOKUP('Données projet'!$B$13,Paramètres!$A$1:$I$89,3,0)*VLOOKUP('Données projet'!$B$13,Paramètres!$A$1:$I$89,5,0)</f>
        <v>59.214269431977293</v>
      </c>
      <c r="CV21" s="14">
        <f t="shared" si="41"/>
        <v>16.969459521192238</v>
      </c>
      <c r="CW21" s="22">
        <f t="shared" si="13"/>
        <v>132.68666126010359</v>
      </c>
      <c r="CX21" s="62">
        <f t="shared" si="14"/>
        <v>426.01999459343688</v>
      </c>
      <c r="CY21" s="62">
        <f ca="1">AVERAGE(OFFSET($CX$3,0,0,'Données projet'!$E$13+1,1))-AVERAGE(OFFSET($H$3,0,0,'Données projet'!$E$13+1,1))</f>
        <v>361.46923697840384</v>
      </c>
      <c r="CZ21" s="62">
        <f t="shared" si="42"/>
        <v>302.25424592654673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10.15</v>
      </c>
      <c r="N22" s="14">
        <f>IF('Données projet'!$A$36&gt;35,N21+M22-V21,IF(A22&lt;'Données projet'!$A$36,$K$205^A22,IF(A22='Données projet'!$A$36,'Données projet'!$B$36,N21+M22-V21)))</f>
        <v>155.64000497633137</v>
      </c>
      <c r="O22" s="14">
        <f>N22*VLOOKUP('Données projet'!$B$9,Paramètres!$A$1:$I$89,3,0)*VLOOKUP('Données projet'!$B$9,Paramètres!$A$1:$I$89,5,0)</f>
        <v>87.002762781769235</v>
      </c>
      <c r="P22" s="14">
        <f t="shared" si="33"/>
        <v>23.840944814641574</v>
      </c>
      <c r="Q22" s="22">
        <f t="shared" si="2"/>
        <v>193.05279073041547</v>
      </c>
      <c r="R22" s="62">
        <f t="shared" si="0"/>
        <v>486.38612406374875</v>
      </c>
      <c r="S22" s="62">
        <f ca="1">AVERAGE(OFFSET($R$3,0,0,'Données projet'!$E$9+1,1))-AVERAGE(OFFSET($H$3,0,0,'Données projet'!$E$9+1,1))</f>
        <v>389.80719836281679</v>
      </c>
      <c r="T22" s="62">
        <f t="shared" si="34"/>
        <v>399.58193819355591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5.8668181818181813</v>
      </c>
      <c r="AI22" s="14">
        <f>IF('Données projet'!$A$62&gt;35,AI21+AH22-AQ21,IF(A22&lt;'Données projet'!$A$62,$AF$205^A22,IF(A22='Données projet'!$A$62,'Données projet'!$B$62,AI21+AH22-AQ21)))</f>
        <v>66.525093718950743</v>
      </c>
      <c r="AJ22" s="14">
        <f>AI22*VLOOKUP('Données projet'!$B$10,Paramètres!$A$1:$I$89,3,0)*VLOOKUP('Données projet'!$B$10,Paramètres!$A$1:$I$89,5,0)</f>
        <v>39.782006043932547</v>
      </c>
      <c r="AK22" s="14">
        <f t="shared" si="35"/>
        <v>11.940849220834615</v>
      </c>
      <c r="AL22" s="22">
        <f t="shared" si="4"/>
        <v>90.083972919469474</v>
      </c>
      <c r="AM22" s="62">
        <f t="shared" si="5"/>
        <v>383.4173062528028</v>
      </c>
      <c r="AN22" s="62">
        <f ca="1">AVERAGE(OFFSET($AM$3,0,0,'Données projet'!$E$10+1,1))-AVERAGE(OFFSET($H$3,0,0,'Données projet'!$E$10+1,1))</f>
        <v>269.90083987531233</v>
      </c>
      <c r="AO22" s="62">
        <f t="shared" si="36"/>
        <v>183.4515835513518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6.3622807017543854</v>
      </c>
      <c r="BD22" s="13">
        <f>IF('Données projet'!$A$88&gt;35,BD21+BC22-BL21,IF(A22&lt;'Données projet'!$A$88,$BA$205^A22,IF(A22='Données projet'!$A$88,'Données projet'!$B$88,BD21+BC22-BL21)))</f>
        <v>120.88333333333333</v>
      </c>
      <c r="BE22" s="14">
        <f>BD22*VLOOKUP('Données projet'!$B$11,Paramètres!$A$1:$I$89,3,0)*VLOOKUP('Données projet'!$B$11,Paramètres!$A$1:$I$89,5,0)</f>
        <v>58.144883333333333</v>
      </c>
      <c r="BF22" s="14">
        <f t="shared" si="37"/>
        <v>16.698383436647131</v>
      </c>
      <c r="BG22" s="22">
        <f t="shared" si="7"/>
        <v>130.35202295771595</v>
      </c>
      <c r="BH22" s="62">
        <f t="shared" si="8"/>
        <v>423.68535629104929</v>
      </c>
      <c r="BI22" s="62">
        <f ca="1">AVERAGE(OFFSET($BH$3,0,0,'Données projet'!$E$11+1,1))-AVERAGE(OFFSET($H$3,0,0,'Données projet'!$E$11+1,1))</f>
        <v>255.64417186544995</v>
      </c>
      <c r="BJ22" s="62">
        <f t="shared" si="38"/>
        <v>165.41802783289376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26</v>
      </c>
      <c r="BY22" s="13">
        <f>IF('Données projet'!$A$114&gt;35,BY21+BX22-CG21,IF(A22&lt;'Données projet'!$A$114,$BV$205^A22,IF(A22='Données projet'!$A$114,'Données projet'!$B$114,BY21+BX22-CG21)))</f>
        <v>259</v>
      </c>
      <c r="BZ22" s="14">
        <f>BY22*VLOOKUP('Données projet'!$B$12,Paramètres!$A$1:$I$89,3,0)*VLOOKUP('Données projet'!$B$12,Paramètres!$A$1:$I$89,5,0)</f>
        <v>144.78100000000001</v>
      </c>
      <c r="CA22" s="14">
        <f t="shared" si="39"/>
        <v>37.390115770833177</v>
      </c>
      <c r="CB22" s="22">
        <f t="shared" si="10"/>
        <v>317.28135996753446</v>
      </c>
      <c r="CC22" s="62">
        <f t="shared" si="11"/>
        <v>610.61469330086777</v>
      </c>
      <c r="CD22" s="62">
        <f ca="1">AVERAGE(OFFSET($CC$3,0,0,'Données projet'!$E$12+1,1))-AVERAGE(OFFSET($H$3,0,0,'Données projet'!$E$12+1,1))</f>
        <v>465.49436272491818</v>
      </c>
      <c r="CE22" s="62">
        <f t="shared" si="40"/>
        <v>494.36941732405256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2.1100242800294029</v>
      </c>
      <c r="CL22" s="23">
        <f>EXP(-LN(2)/25)*CL21+(1-EXP(-LN(2)/25))/(LN(2)/25)*Calculateur!CG22*Calculateur!CI22*VLOOKUP('Données projet'!$B$12,Paramètres!$A$1:$I$89,3,0)*0.475*44/12</f>
        <v>4.5813686693449691</v>
      </c>
      <c r="CM22" s="23">
        <f>EXP(-LN(2)/2)*CM21+(1-EXP(-LN(2)/2))/(LN(2)/2)*CG22*CJ22*VLOOKUP('Données projet'!$B$12,Paramètres!$A$1:$I$89,3,0)*0.475*44/12</f>
        <v>1.5506487430773712</v>
      </c>
      <c r="CN22" s="24">
        <f t="shared" si="12"/>
        <v>8.2420416924517426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>
        <f>VLOOKUP(A22,'Données projet'!$A$139:$I$159,2,0)</f>
        <v>127.82</v>
      </c>
      <c r="CR22" s="13">
        <f>VLOOKUP(A22,'Données projet'!$A$139:$I$159,9,0)</f>
        <v>6.7273684210526312</v>
      </c>
      <c r="CS22" s="13">
        <f t="array" ref="CS22">INDEX(CR:CR,MIN(IF(ISNUMBER(CR22:CR218),ROW(CR22:CR218),"")))</f>
        <v>6.7273684210526312</v>
      </c>
      <c r="CT22" s="13">
        <f>IF('Données projet'!$A$140&gt;35,CT21+CS22-DB21,IF(A22&lt;'Données projet'!$A$140,$CQ$205^A22,IF(A22='Données projet'!$A$140,'Données projet'!$B$140,CT21+CS22-DB21)))</f>
        <v>127.82</v>
      </c>
      <c r="CU22" s="18">
        <f>CT22*VLOOKUP('Données projet'!$B$13,Paramètres!$A$1:$I$89,3,0)*VLOOKUP('Données projet'!$B$13,Paramètres!$A$1:$I$89,5,0)</f>
        <v>76.436359999999993</v>
      </c>
      <c r="CV22" s="14">
        <f t="shared" si="41"/>
        <v>21.263558306949722</v>
      </c>
      <c r="CW22" s="22">
        <f t="shared" si="13"/>
        <v>170.16069105127073</v>
      </c>
      <c r="CX22" s="62">
        <f t="shared" si="14"/>
        <v>463.49402438460402</v>
      </c>
      <c r="CY22" s="62">
        <f ca="1">AVERAGE(OFFSET($CX$3,0,0,'Données projet'!$E$13+1,1))-AVERAGE(OFFSET($H$3,0,0,'Données projet'!$E$13+1,1))</f>
        <v>361.46923697840384</v>
      </c>
      <c r="CZ22" s="62">
        <f t="shared" si="42"/>
        <v>302.25424592654673</v>
      </c>
      <c r="DA22" s="16">
        <f>IF(ISNA(VLOOKUP(A22,'Données projet'!$A$139:$I$159,3,0)),0,VLOOKUP(A22,'Données projet'!$A$139:$I$159,3,0))</f>
        <v>1</v>
      </c>
      <c r="DB22" s="16">
        <f>IF(ISNA(VLOOKUP(A22,'Données projet'!$A$139:$I$159,4,0)),0,VLOOKUP(A22,'Données projet'!$A$139:$I$159,4,0))</f>
        <v>46.3</v>
      </c>
      <c r="DC22" s="17">
        <f>IF(ISNA(VLOOKUP(A22,'Données projet'!$A$139:$I$159,5,0)),0%,VLOOKUP(A22,'Données projet'!$A$139:$I$159,5,0)*VLOOKUP('Données projet'!$B$13,Paramètres!$A$1:$I$89,7,0))</f>
        <v>0.18000000000000002</v>
      </c>
      <c r="DD22" s="17">
        <f>IF(ISNA(VLOOKUP(A22,'Données projet'!$A$139:$I$159,6,0)),0%,VLOOKUP(A22,'Données projet'!$A$139:$I$159,6,0)*VLOOKUP('Données projet'!$B$13,Paramètres!$A$1:$I$89,7,0))</f>
        <v>0.15300000000000002</v>
      </c>
      <c r="DE22" s="17">
        <f>IF(ISNA(VLOOKUP(A22,'Données projet'!$A$139:$I$159,7,0)),0%,VLOOKUP(A22,'Données projet'!$A$139:$I$159,7,0))</f>
        <v>0.26</v>
      </c>
      <c r="DF22" s="23">
        <f>EXP(-LN(2)/35)*DF21+(1-EXP(-LN(2)/35))/(LN(2)/35)*DB22*DC22*VLOOKUP('Données projet'!$B$13,Paramètres!$A$1:$I$89,3,0)*0.475*44/12</f>
        <v>6.611241726636611</v>
      </c>
      <c r="DG22" s="23">
        <f>EXP(-LN(2)/25)*DG21+(1-EXP(-LN(2)/25))/(LN(2)/25)*Calculateur!DB22*Calculateur!DD22*VLOOKUP('Données projet'!$B$13,Paramètres!$A$1:$I$89,3,0)*0.475*44/12</f>
        <v>5.5974291365465154</v>
      </c>
      <c r="DH22" s="23">
        <f>EXP(-LN(2)/2)*DH21+(1-EXP(-LN(2)/2))/(LN(2)/2)*DB22*DE22*VLOOKUP('Données projet'!$B$13,Paramètres!$A$1:$I$89,3,0)*0.475*44/12</f>
        <v>8.150627813778911</v>
      </c>
      <c r="DI22" s="24">
        <f t="shared" si="15"/>
        <v>20.359298676962037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203</v>
      </c>
      <c r="L23" s="13">
        <f>VLOOKUP(A23,'Données projet'!$A$35:$I$55,9,0)</f>
        <v>10.15</v>
      </c>
      <c r="M23" s="13">
        <f t="array" ref="M23">INDEX(L:L,MIN(IF(ISNUMBER(L23:L219),ROW(L23:L219),"")))</f>
        <v>10.15</v>
      </c>
      <c r="N23" s="14">
        <f>IF('Données projet'!$A$36&gt;35,N22+M23-V22,IF(A23&lt;'Données projet'!$A$36,$K$205^A23,IF(A23='Données projet'!$A$36,'Données projet'!$B$36,N22+M23-V22)))</f>
        <v>203</v>
      </c>
      <c r="O23" s="14">
        <f>N23*VLOOKUP('Données projet'!$B$9,Paramètres!$A$1:$I$89,3,0)*VLOOKUP('Données projet'!$B$9,Paramètres!$A$1:$I$89,5,0)</f>
        <v>113.47699999999999</v>
      </c>
      <c r="P23" s="14">
        <f t="shared" si="33"/>
        <v>30.148703272749046</v>
      </c>
      <c r="Q23" s="22">
        <f t="shared" si="2"/>
        <v>250.14809986670457</v>
      </c>
      <c r="R23" s="62">
        <f t="shared" si="0"/>
        <v>543.48143320003783</v>
      </c>
      <c r="S23" s="62">
        <f ca="1">AVERAGE(OFFSET($R$3,0,0,'Données projet'!$E$9+1,1))-AVERAGE(OFFSET($H$3,0,0,'Données projet'!$E$9+1,1))</f>
        <v>389.80719836281679</v>
      </c>
      <c r="T23" s="62">
        <f t="shared" si="34"/>
        <v>399.58193819355591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25</v>
      </c>
      <c r="W23" s="17">
        <f>IF(ISNA(VLOOKUP(A23,'Données projet'!$A$35:$I$55,5,0)),0%,VLOOKUP(A23,'Données projet'!$A$35:$I$55,5,0)*VLOOKUP('Données projet'!$B$9,Paramètres!$A$1:$I$89,7,0))</f>
        <v>0.11000000000000001</v>
      </c>
      <c r="X23" s="78">
        <f>IF(ISNA(VLOOKUP(A23,'Données projet'!$A$35:$I$55,6,0)),0%,VLOOKUP(A23,'Données projet'!$A$35:$I$55,6,0)*VLOOKUP('Données projet'!$B$9,Paramètres!$A$1:$I$89,7,0))</f>
        <v>0.24750000000000003</v>
      </c>
      <c r="Y23" s="17">
        <f>IF(ISNA(VLOOKUP(A23,'Données projet'!$A$35:$I$55,7,0)),0%,VLOOKUP(A23,'Données projet'!$A$35:$I$55,7,0))</f>
        <v>0.35</v>
      </c>
      <c r="Z23" s="23">
        <f>EXP(-LN(2)/35)*Z22+(1-EXP(-LN(2)/35))/(LN(2)/35)*V23*W23*VLOOKUP('Données projet'!$B$9,Paramètres!$A$1:$I$89,3,0)*0.475*44/12</f>
        <v>2.0392612091244335</v>
      </c>
      <c r="AA23" s="23">
        <f>EXP(-LN(2)/25)*AA22+(1-EXP(-LN(2)/25))/(LN(2)/25)*Calculateur!V23*Calculateur!X23*VLOOKUP('Données projet'!$B$9,Paramètres!$A$1:$I$89,3,0)*0.475*44/12</f>
        <v>4.5702716866305133</v>
      </c>
      <c r="AB23" s="23">
        <f>EXP(-LN(2)/2)*AB22+(1-EXP(-LN(2)/2))/(LN(2)/2)*V23*Y23*VLOOKUP('Données projet'!$B$9,Paramètres!$A$1:$I$89,3,0)*0.475*44/12</f>
        <v>5.5380312252763249</v>
      </c>
      <c r="AC23" s="24">
        <f t="shared" si="3"/>
        <v>12.147564121031273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5.8668181818181813</v>
      </c>
      <c r="AI23" s="14">
        <f>IF('Données projet'!$A$62&gt;35,AI22+AH23-AQ22,IF(A23&lt;'Données projet'!$A$62,$AF$205^A23,IF(A23='Données projet'!$A$62,'Données projet'!$B$62,AI22+AH23-AQ22)))</f>
        <v>82.972103429550899</v>
      </c>
      <c r="AJ23" s="14">
        <f>AI23*VLOOKUP('Données projet'!$B$10,Paramètres!$A$1:$I$89,3,0)*VLOOKUP('Données projet'!$B$10,Paramètres!$A$1:$I$89,5,0)</f>
        <v>49.617317850871444</v>
      </c>
      <c r="AK23" s="14">
        <f t="shared" si="35"/>
        <v>14.514886181018609</v>
      </c>
      <c r="AL23" s="22">
        <f t="shared" si="4"/>
        <v>111.69692202220851</v>
      </c>
      <c r="AM23" s="62">
        <f t="shared" si="5"/>
        <v>405.03025535554184</v>
      </c>
      <c r="AN23" s="62">
        <f ca="1">AVERAGE(OFFSET($AM$3,0,0,'Données projet'!$E$10+1,1))-AVERAGE(OFFSET($H$3,0,0,'Données projet'!$E$10+1,1))</f>
        <v>269.90083987531233</v>
      </c>
      <c r="AO23" s="62">
        <f t="shared" si="36"/>
        <v>183.4515835513518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6.3622807017543854</v>
      </c>
      <c r="BD23" s="13">
        <f>IF('Données projet'!$A$88&gt;35,BD22+BC23-BL22,IF(A23&lt;'Données projet'!$A$88,$BA$205^A23,IF(A23='Données projet'!$A$88,'Données projet'!$B$88,BD22+BC23-BL22)))</f>
        <v>127.24561403508771</v>
      </c>
      <c r="BE23" s="14">
        <f>BD23*VLOOKUP('Données projet'!$B$11,Paramètres!$A$1:$I$89,3,0)*VLOOKUP('Données projet'!$B$11,Paramètres!$A$1:$I$89,5,0)</f>
        <v>61.205140350877194</v>
      </c>
      <c r="BF23" s="14">
        <f t="shared" si="37"/>
        <v>17.472612751947203</v>
      </c>
      <c r="BG23" s="22">
        <f t="shared" si="7"/>
        <v>137.03041998741915</v>
      </c>
      <c r="BH23" s="62">
        <f t="shared" si="8"/>
        <v>430.36375332075249</v>
      </c>
      <c r="BI23" s="62">
        <f ca="1">AVERAGE(OFFSET($BH$3,0,0,'Données projet'!$E$11+1,1))-AVERAGE(OFFSET($H$3,0,0,'Données projet'!$E$11+1,1))</f>
        <v>255.64417186544995</v>
      </c>
      <c r="BJ23" s="62">
        <f t="shared" si="38"/>
        <v>165.41802783289376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>
        <f>VLOOKUP(A23,'Données projet'!$A$113:$I$133,2,0)</f>
        <v>285</v>
      </c>
      <c r="BW23" s="13">
        <f>VLOOKUP(A23,'Données projet'!$A$113:$I$133,9,0)</f>
        <v>26</v>
      </c>
      <c r="BX23" s="13">
        <f t="array" ref="BX23">INDEX(BW:BW,MIN(IF(ISNUMBER(BW23:BW219),ROW(BW23:BW219),"")))</f>
        <v>26</v>
      </c>
      <c r="BY23" s="13">
        <f>IF('Données projet'!$A$114&gt;35,BY22+BX23-CG22,IF(A23&lt;'Données projet'!$A$114,$BV$205^A23,IF(A23='Données projet'!$A$114,'Données projet'!$B$114,BY22+BX23-CG22)))</f>
        <v>285</v>
      </c>
      <c r="BZ23" s="14">
        <f>BY23*VLOOKUP('Données projet'!$B$12,Paramètres!$A$1:$I$89,3,0)*VLOOKUP('Données projet'!$B$12,Paramètres!$A$1:$I$89,5,0)</f>
        <v>159.315</v>
      </c>
      <c r="CA23" s="14">
        <f t="shared" si="39"/>
        <v>40.687973185674707</v>
      </c>
      <c r="CB23" s="22">
        <f t="shared" si="10"/>
        <v>348.33851163171676</v>
      </c>
      <c r="CC23" s="62">
        <f t="shared" si="11"/>
        <v>641.67184496505001</v>
      </c>
      <c r="CD23" s="62">
        <f ca="1">AVERAGE(OFFSET($CC$3,0,0,'Données projet'!$E$12+1,1))-AVERAGE(OFFSET($H$3,0,0,'Données projet'!$E$12+1,1))</f>
        <v>465.49436272491818</v>
      </c>
      <c r="CE23" s="62">
        <f t="shared" si="40"/>
        <v>494.36941732405256</v>
      </c>
      <c r="CF23" s="16">
        <f>IF(ISNA(VLOOKUP(A23,'Données projet'!$A$113:$I$133,3,0)),0,VLOOKUP(A23,'Données projet'!$A$113:$I$133,3,0))</f>
        <v>2</v>
      </c>
      <c r="CG23" s="16">
        <f>IF(ISNA(VLOOKUP(A23,'Données projet'!$A$113:$I$133,4,0)),0,VLOOKUP(A23,'Données projet'!$A$113:$I$133,4,0))</f>
        <v>45</v>
      </c>
      <c r="CH23" s="17">
        <f>IF(ISNA(VLOOKUP(A23,'Données projet'!$A$113:$I$133,5,0)),0%,VLOOKUP(A23,'Données projet'!$A$113:$I$133,5,0)*VLOOKUP('Données projet'!$B$12,Paramètres!$A$1:$I$89,7,0))</f>
        <v>0.11000000000000001</v>
      </c>
      <c r="CI23" s="17">
        <f>IF(ISNA(VLOOKUP(A23,'Données projet'!$A$113:$I$133,6,0)),0%,VLOOKUP(A23,'Données projet'!$A$113:$I$133,6,0)*VLOOKUP('Données projet'!$B$12,Paramètres!$A$1:$I$89,7,0))</f>
        <v>0.24750000000000003</v>
      </c>
      <c r="CJ23" s="17">
        <f>IF(ISNA(VLOOKUP(A23,'Données projet'!$A$113:$I$133,7,0)),0%,VLOOKUP(A23,'Données projet'!$A$113:$I$133,7,0))</f>
        <v>0.35</v>
      </c>
      <c r="CK23" s="23">
        <f>EXP(-LN(2)/35)*CK22+(1-EXP(-LN(2)/35))/(LN(2)/35)*CG23*CH23*VLOOKUP('Données projet'!$B$12,Paramètres!$A$1:$I$89,3,0)*0.475*44/12</f>
        <v>5.7393181673097384</v>
      </c>
      <c r="CL23" s="23">
        <f>EXP(-LN(2)/25)*CL22+(1-EXP(-LN(2)/25))/(LN(2)/25)*Calculateur!CG23*Calculateur!CI23*VLOOKUP('Données projet'!$B$12,Paramètres!$A$1:$I$89,3,0)*0.475*44/12</f>
        <v>12.682579938092946</v>
      </c>
      <c r="CM23" s="23">
        <f>EXP(-LN(2)/2)*CM22+(1-EXP(-LN(2)/2))/(LN(2)/2)*CG23*CJ23*VLOOKUP('Données projet'!$B$12,Paramètres!$A$1:$I$89,3,0)*0.475*44/12</f>
        <v>11.064930446965791</v>
      </c>
      <c r="CN23" s="24">
        <f t="shared" si="12"/>
        <v>29.486828552368472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19.68</v>
      </c>
      <c r="CT23" s="13">
        <f>IF('Données projet'!$A$140&gt;35,CT22+CS23-DB22,IF(A23&lt;'Données projet'!$A$140,$CQ$205^A23,IF(A23='Données projet'!$A$140,'Données projet'!$B$140,CT22+CS23-DB22)))</f>
        <v>101.2</v>
      </c>
      <c r="CU23" s="18">
        <f>CT23*VLOOKUP('Données projet'!$B$13,Paramètres!$A$1:$I$89,3,0)*VLOOKUP('Données projet'!$B$13,Paramètres!$A$1:$I$89,5,0)</f>
        <v>60.517600000000009</v>
      </c>
      <c r="CV23" s="14">
        <f t="shared" si="41"/>
        <v>17.299069038249009</v>
      </c>
      <c r="CW23" s="22">
        <f t="shared" si="13"/>
        <v>135.53069857495038</v>
      </c>
      <c r="CX23" s="62">
        <f t="shared" si="14"/>
        <v>428.86403190828366</v>
      </c>
      <c r="CY23" s="62">
        <f ca="1">AVERAGE(OFFSET($CX$3,0,0,'Données projet'!$E$13+1,1))-AVERAGE(OFFSET($H$3,0,0,'Données projet'!$E$13+1,1))</f>
        <v>361.46923697840384</v>
      </c>
      <c r="CZ23" s="62">
        <f t="shared" si="42"/>
        <v>302.25424592654673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6.4815993088365484</v>
      </c>
      <c r="DG23" s="23">
        <f>EXP(-LN(2)/25)*DG22+(1-EXP(-LN(2)/25))/(LN(2)/25)*Calculateur!DB23*Calculateur!DD23*VLOOKUP('Données projet'!$B$13,Paramètres!$A$1:$I$89,3,0)*0.475*44/12</f>
        <v>5.4443671424516458</v>
      </c>
      <c r="DH23" s="23">
        <f>EXP(-LN(2)/2)*DH22+(1-EXP(-LN(2)/2))/(LN(2)/2)*DB23*DE23*VLOOKUP('Données projet'!$B$13,Paramètres!$A$1:$I$89,3,0)*0.475*44/12</f>
        <v>5.7633641980507528</v>
      </c>
      <c r="DI23" s="24">
        <f t="shared" si="15"/>
        <v>17.689330649338945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22</v>
      </c>
      <c r="N24" s="14">
        <f>IF('Données projet'!$A$36&gt;35,N23+M24-V23,IF(A24&lt;'Données projet'!$A$36,$K$205^A24,IF(A24='Données projet'!$A$36,'Données projet'!$B$36,N23+M24-V23)))</f>
        <v>200</v>
      </c>
      <c r="O24" s="14">
        <f>N24*VLOOKUP('Données projet'!$B$9,Paramètres!$A$1:$I$89,3,0)*VLOOKUP('Données projet'!$B$9,Paramètres!$A$1:$I$89,5,0)</f>
        <v>111.8</v>
      </c>
      <c r="P24" s="14">
        <f t="shared" si="33"/>
        <v>29.75467715869992</v>
      </c>
      <c r="Q24" s="22">
        <f t="shared" si="2"/>
        <v>246.54106271806896</v>
      </c>
      <c r="R24" s="62">
        <f t="shared" si="0"/>
        <v>539.8743960514023</v>
      </c>
      <c r="S24" s="62">
        <f ca="1">AVERAGE(OFFSET($R$3,0,0,'Données projet'!$E$9+1,1))-AVERAGE(OFFSET($H$3,0,0,'Données projet'!$E$9+1,1))</f>
        <v>389.80719836281679</v>
      </c>
      <c r="T24" s="62">
        <f t="shared" si="34"/>
        <v>399.58193819355591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1.9992725406400234</v>
      </c>
      <c r="AA24" s="23">
        <f>EXP(-LN(2)/25)*AA23+(1-EXP(-LN(2)/25))/(LN(2)/25)*Calculateur!V24*Calculateur!X24*VLOOKUP('Données projet'!$B$9,Paramètres!$A$1:$I$89,3,0)*0.475*44/12</f>
        <v>4.4452973670194593</v>
      </c>
      <c r="AB24" s="23">
        <f>EXP(-LN(2)/2)*AB23+(1-EXP(-LN(2)/2))/(LN(2)/2)*V24*Y24*VLOOKUP('Données projet'!$B$9,Paramètres!$A$1:$I$89,3,0)*0.475*44/12</f>
        <v>3.9159794338157341</v>
      </c>
      <c r="AC24" s="24">
        <f t="shared" si="3"/>
        <v>10.360549341475217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5.8668181818181813</v>
      </c>
      <c r="AI24" s="14">
        <f>IF('Données projet'!$A$62&gt;35,AI23+AH24-AQ23,IF(A24&lt;'Données projet'!$A$62,$AF$205^A24,IF(A24='Données projet'!$A$62,'Données projet'!$B$62,AI23+AH24-AQ23)))</f>
        <v>103.48531001863087</v>
      </c>
      <c r="AJ24" s="14">
        <f>AI24*VLOOKUP('Données projet'!$B$10,Paramètres!$A$1:$I$89,3,0)*VLOOKUP('Données projet'!$B$10,Paramètres!$A$1:$I$89,5,0)</f>
        <v>61.884215391141261</v>
      </c>
      <c r="AK24" s="14">
        <f t="shared" si="35"/>
        <v>17.643797099482939</v>
      </c>
      <c r="AL24" s="22">
        <f t="shared" si="4"/>
        <v>138.51128842117049</v>
      </c>
      <c r="AM24" s="62">
        <f t="shared" si="5"/>
        <v>431.84462175450381</v>
      </c>
      <c r="AN24" s="62">
        <f ca="1">AVERAGE(OFFSET($AM$3,0,0,'Données projet'!$E$10+1,1))-AVERAGE(OFFSET($H$3,0,0,'Données projet'!$E$10+1,1))</f>
        <v>269.90083987531233</v>
      </c>
      <c r="AO24" s="62">
        <f t="shared" si="36"/>
        <v>183.4515835513518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6.3622807017543854</v>
      </c>
      <c r="BD24" s="13">
        <f>IF('Données projet'!$A$88&gt;35,BD23+BC24-BL23,IF(A24&lt;'Données projet'!$A$88,$BA$205^A24,IF(A24='Données projet'!$A$88,'Données projet'!$B$88,BD23+BC24-BL23)))</f>
        <v>133.6078947368421</v>
      </c>
      <c r="BE24" s="14">
        <f>BD24*VLOOKUP('Données projet'!$B$11,Paramètres!$A$1:$I$89,3,0)*VLOOKUP('Données projet'!$B$11,Paramètres!$A$1:$I$89,5,0)</f>
        <v>64.265397368421048</v>
      </c>
      <c r="BF24" s="14">
        <f t="shared" si="37"/>
        <v>18.242347162417811</v>
      </c>
      <c r="BG24" s="22">
        <f t="shared" si="7"/>
        <v>143.70098839121101</v>
      </c>
      <c r="BH24" s="62">
        <f t="shared" si="8"/>
        <v>437.03432172454433</v>
      </c>
      <c r="BI24" s="62">
        <f ca="1">AVERAGE(OFFSET($BH$3,0,0,'Données projet'!$E$11+1,1))-AVERAGE(OFFSET($H$3,0,0,'Données projet'!$E$11+1,1))</f>
        <v>255.64417186544995</v>
      </c>
      <c r="BJ24" s="62">
        <f t="shared" si="38"/>
        <v>165.41802783289376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25.8</v>
      </c>
      <c r="BY24" s="13">
        <f>IF('Données projet'!$A$114&gt;35,BY23+BX24-CG23,IF(A24&lt;'Données projet'!$A$114,$BV$205^A24,IF(A24='Données projet'!$A$114,'Données projet'!$B$114,BY23+BX24-CG23)))</f>
        <v>265.8</v>
      </c>
      <c r="BZ24" s="14">
        <f>BY24*VLOOKUP('Données projet'!$B$12,Paramètres!$A$1:$I$89,3,0)*VLOOKUP('Données projet'!$B$12,Paramètres!$A$1:$I$89,5,0)</f>
        <v>148.5822</v>
      </c>
      <c r="CA24" s="14">
        <f t="shared" si="39"/>
        <v>38.256207612337192</v>
      </c>
      <c r="CB24" s="22">
        <f t="shared" si="10"/>
        <v>325.41022659148729</v>
      </c>
      <c r="CC24" s="62">
        <f t="shared" si="11"/>
        <v>618.7435599248206</v>
      </c>
      <c r="CD24" s="62">
        <f ca="1">AVERAGE(OFFSET($CC$3,0,0,'Données projet'!$E$12+1,1))-AVERAGE(OFFSET($H$3,0,0,'Données projet'!$E$12+1,1))</f>
        <v>465.49436272491818</v>
      </c>
      <c r="CE24" s="62">
        <f t="shared" si="40"/>
        <v>494.36941732405256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5.6267736386872169</v>
      </c>
      <c r="CL24" s="23">
        <f>EXP(-LN(2)/25)*CL23+(1-EXP(-LN(2)/25))/(LN(2)/25)*Calculateur!CG24*Calculateur!CI24*VLOOKUP('Données projet'!$B$12,Paramètres!$A$1:$I$89,3,0)*0.475*44/12</f>
        <v>12.335774122737902</v>
      </c>
      <c r="CM24" s="23">
        <f>EXP(-LN(2)/2)*CM23+(1-EXP(-LN(2)/2))/(LN(2)/2)*CG24*CJ24*VLOOKUP('Données projet'!$B$12,Paramètres!$A$1:$I$89,3,0)*0.475*44/12</f>
        <v>7.824087352407008</v>
      </c>
      <c r="CN24" s="24">
        <f t="shared" si="12"/>
        <v>25.78663511383213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19.68</v>
      </c>
      <c r="CT24" s="13">
        <f>IF('Données projet'!$A$140&gt;35,CT23+CS24-DB23,IF(A24&lt;'Données projet'!$A$140,$CQ$205^A24,IF(A24='Données projet'!$A$140,'Données projet'!$B$140,CT23+CS24-DB23)))</f>
        <v>120.88</v>
      </c>
      <c r="CU24" s="18">
        <f>CT24*VLOOKUP('Données projet'!$B$13,Paramètres!$A$1:$I$89,3,0)*VLOOKUP('Données projet'!$B$13,Paramètres!$A$1:$I$89,5,0)</f>
        <v>72.286239999999992</v>
      </c>
      <c r="CV24" s="14">
        <f t="shared" si="41"/>
        <v>20.240145222851208</v>
      </c>
      <c r="CW24" s="22">
        <f t="shared" si="13"/>
        <v>161.15012092979916</v>
      </c>
      <c r="CX24" s="62">
        <f t="shared" si="14"/>
        <v>454.48345426313244</v>
      </c>
      <c r="CY24" s="62">
        <f ca="1">AVERAGE(OFFSET($CX$3,0,0,'Données projet'!$E$13+1,1))-AVERAGE(OFFSET($H$3,0,0,'Données projet'!$E$13+1,1))</f>
        <v>361.46923697840384</v>
      </c>
      <c r="CZ24" s="62">
        <f t="shared" si="42"/>
        <v>302.25424592654673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6.3544990997754773</v>
      </c>
      <c r="DG24" s="23">
        <f>EXP(-LN(2)/25)*DG23+(1-EXP(-LN(2)/25))/(LN(2)/25)*Calculateur!DB24*Calculateur!DD24*VLOOKUP('Données projet'!$B$13,Paramètres!$A$1:$I$89,3,0)*0.475*44/12</f>
        <v>5.2954906366344812</v>
      </c>
      <c r="DH24" s="23">
        <f>EXP(-LN(2)/2)*DH23+(1-EXP(-LN(2)/2))/(LN(2)/2)*DB24*DE24*VLOOKUP('Données projet'!$B$13,Paramètres!$A$1:$I$89,3,0)*0.475*44/12</f>
        <v>4.0753139068894555</v>
      </c>
      <c r="DI24" s="24">
        <f t="shared" si="15"/>
        <v>15.725303643299414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22</v>
      </c>
      <c r="N25" s="14">
        <f>IF('Données projet'!$A$36&gt;35,N24+M25-V24,IF(A25&lt;'Données projet'!$A$36,$K$205^A25,IF(A25='Données projet'!$A$36,'Données projet'!$B$36,N24+M25-V24)))</f>
        <v>222</v>
      </c>
      <c r="O25" s="14">
        <f>N25*VLOOKUP('Données projet'!$B$9,Paramètres!$A$1:$I$89,3,0)*VLOOKUP('Données projet'!$B$9,Paramètres!$A$1:$I$89,5,0)</f>
        <v>124.098</v>
      </c>
      <c r="P25" s="14">
        <f t="shared" si="33"/>
        <v>32.62891454809418</v>
      </c>
      <c r="Q25" s="22">
        <f t="shared" si="2"/>
        <v>272.96604283793073</v>
      </c>
      <c r="R25" s="62">
        <f t="shared" si="0"/>
        <v>566.29937617126404</v>
      </c>
      <c r="S25" s="62">
        <f ca="1">AVERAGE(OFFSET($R$3,0,0,'Données projet'!$E$9+1,1))-AVERAGE(OFFSET($H$3,0,0,'Données projet'!$E$9+1,1))</f>
        <v>389.80719836281679</v>
      </c>
      <c r="T25" s="62">
        <f t="shared" si="34"/>
        <v>399.58193819355591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1.9600680255539129</v>
      </c>
      <c r="AA25" s="23">
        <f>EXP(-LN(2)/25)*AA24+(1-EXP(-LN(2)/25))/(LN(2)/25)*Calculateur!V25*Calculateur!X25*VLOOKUP('Données projet'!$B$9,Paramètres!$A$1:$I$89,3,0)*0.475*44/12</f>
        <v>4.3237404767502836</v>
      </c>
      <c r="AB25" s="23">
        <f>EXP(-LN(2)/2)*AB24+(1-EXP(-LN(2)/2))/(LN(2)/2)*V25*Y25*VLOOKUP('Données projet'!$B$9,Paramètres!$A$1:$I$89,3,0)*0.475*44/12</f>
        <v>2.7690156126381629</v>
      </c>
      <c r="AC25" s="24">
        <f t="shared" si="3"/>
        <v>9.0528241149423607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>
        <f>VLOOKUP(A25,'Données projet'!$A$61:$I$81,2,0)</f>
        <v>129.07</v>
      </c>
      <c r="AG25" s="13">
        <f>VLOOKUP(A25,'Données projet'!$A$61:$I$81,9,0)</f>
        <v>5.8668181818181813</v>
      </c>
      <c r="AH25" s="13">
        <f t="array" ref="AH25">INDEX(AG:AG,MIN(IF(ISNUMBER(AG25:AG221),ROW(AG25:AG221),"")))</f>
        <v>5.8668181818181813</v>
      </c>
      <c r="AI25" s="14">
        <f>IF('Données projet'!$A$62&gt;35,AI24+AH25-AQ24,IF(A25&lt;'Données projet'!$A$62,$AF$205^A25,IF(A25='Données projet'!$A$62,'Données projet'!$B$62,AI24+AH25-AQ24)))</f>
        <v>129.07</v>
      </c>
      <c r="AJ25" s="14">
        <f>AI25*VLOOKUP('Données projet'!$B$10,Paramètres!$A$1:$I$89,3,0)*VLOOKUP('Données projet'!$B$10,Paramètres!$A$1:$I$89,5,0)</f>
        <v>77.183859999999996</v>
      </c>
      <c r="AK25" s="14">
        <f t="shared" si="35"/>
        <v>21.447193743401183</v>
      </c>
      <c r="AL25" s="22">
        <f t="shared" si="4"/>
        <v>171.78241860309038</v>
      </c>
      <c r="AM25" s="62">
        <f t="shared" si="5"/>
        <v>465.11575193642369</v>
      </c>
      <c r="AN25" s="62">
        <f ca="1">AVERAGE(OFFSET($AM$3,0,0,'Données projet'!$E$10+1,1))-AVERAGE(OFFSET($H$3,0,0,'Données projet'!$E$10+1,1))</f>
        <v>269.90083987531233</v>
      </c>
      <c r="AO25" s="62">
        <f t="shared" si="36"/>
        <v>183.4515835513518</v>
      </c>
      <c r="AP25" s="16">
        <f>IF(ISNA(VLOOKUP(A25,'Données projet'!$A$61:$I$81,3,0)),0,VLOOKUP(A25,'Données projet'!$A$61:$I$81,3,0))</f>
        <v>1</v>
      </c>
      <c r="AQ25" s="16">
        <f>IF(ISNA(VLOOKUP(A25,'Données projet'!$A$61:$I$81,4,0)),0,VLOOKUP(A25,'Données projet'!$A$61:$I$81,4,0))</f>
        <v>52.41</v>
      </c>
      <c r="AR25" s="17">
        <f>IF(ISNA(VLOOKUP(A25,'Données projet'!$A$61:$I$81,5,0)),0%,VLOOKUP(A25,'Données projet'!$A$61:$I$81,5,0)*VLOOKUP('Données projet'!$B$10,Paramètres!$A$1:$I$89,7,0))</f>
        <v>9.0000000000000011E-2</v>
      </c>
      <c r="AS25" s="17">
        <f>IF(ISNA(VLOOKUP(A25,'Données projet'!$A$61:$I$81,6,0)),0%,VLOOKUP(A25,'Données projet'!$A$61:$I$81,6,0)*VLOOKUP('Données projet'!$B$10,Paramètres!$A$1:$I$89,7,0))</f>
        <v>0.20250000000000001</v>
      </c>
      <c r="AT25" s="17">
        <f>IF(ISNA(VLOOKUP(A25,'Données projet'!$A$61:$I$81,7,0)),0%,VLOOKUP(A25,'Données projet'!$A$61:$I$81,7,0))</f>
        <v>0.35</v>
      </c>
      <c r="AU25" s="23">
        <f>EXP(-LN(2)/35)*AU24+(1-EXP(-LN(2)/35))/(LN(2)/35)*AQ25*AR25*VLOOKUP('Données projet'!$B$10,Paramètres!$A$1:$I$89,3,0)*0.475*44/12</f>
        <v>3.741848584157935</v>
      </c>
      <c r="AV25" s="23">
        <f>EXP(-LN(2)/25)*AV24+(1-EXP(-LN(2)/25))/(LN(2)/25)*Calculateur!AQ25*Calculateur!AS25*VLOOKUP('Données projet'!$B$10,Paramètres!$A$1:$I$89,3,0)*0.475*44/12</f>
        <v>8.3860098761835395</v>
      </c>
      <c r="AW25" s="23">
        <f>EXP(-LN(2)/2)*AW24+(1-EXP(-LN(2)/2))/(LN(2)/2)*AQ25*AT25*VLOOKUP('Données projet'!$B$10,Paramètres!$A$1:$I$89,3,0)*0.475*44/12</f>
        <v>12.419923683506681</v>
      </c>
      <c r="AX25" s="23">
        <f t="shared" si="6"/>
        <v>24.547782143848156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6.3622807017543854</v>
      </c>
      <c r="BD25" s="13">
        <f>IF('Données projet'!$A$88&gt;35,BD24+BC25-BL24,IF(A25&lt;'Données projet'!$A$88,$BA$205^A25,IF(A25='Données projet'!$A$88,'Données projet'!$B$88,BD24+BC25-BL24)))</f>
        <v>139.97017543859647</v>
      </c>
      <c r="BE25" s="14">
        <f>BD25*VLOOKUP('Données projet'!$B$11,Paramètres!$A$1:$I$89,3,0)*VLOOKUP('Données projet'!$B$11,Paramètres!$A$1:$I$89,5,0)</f>
        <v>67.325654385964896</v>
      </c>
      <c r="BF25" s="14">
        <f t="shared" si="37"/>
        <v>19.007825149105301</v>
      </c>
      <c r="BG25" s="22">
        <f t="shared" si="7"/>
        <v>150.36414352358057</v>
      </c>
      <c r="BH25" s="62">
        <f t="shared" si="8"/>
        <v>443.69747685691391</v>
      </c>
      <c r="BI25" s="62">
        <f ca="1">AVERAGE(OFFSET($BH$3,0,0,'Données projet'!$E$11+1,1))-AVERAGE(OFFSET($H$3,0,0,'Données projet'!$E$11+1,1))</f>
        <v>255.64417186544995</v>
      </c>
      <c r="BJ25" s="62">
        <f t="shared" si="38"/>
        <v>165.41802783289376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25.8</v>
      </c>
      <c r="BY25" s="13">
        <f>IF('Données projet'!$A$114&gt;35,BY24+BX25-CG24,IF(A25&lt;'Données projet'!$A$114,$BV$205^A25,IF(A25='Données projet'!$A$114,'Données projet'!$B$114,BY24+BX25-CG24)))</f>
        <v>291.60000000000002</v>
      </c>
      <c r="BZ25" s="14">
        <f>BY25*VLOOKUP('Données projet'!$B$12,Paramètres!$A$1:$I$89,3,0)*VLOOKUP('Données projet'!$B$12,Paramètres!$A$1:$I$89,5,0)</f>
        <v>163.0044</v>
      </c>
      <c r="CA25" s="14">
        <f t="shared" si="39"/>
        <v>41.519430766049162</v>
      </c>
      <c r="CB25" s="22">
        <f t="shared" si="10"/>
        <v>356.21233858420231</v>
      </c>
      <c r="CC25" s="62">
        <f t="shared" si="11"/>
        <v>649.54567191753563</v>
      </c>
      <c r="CD25" s="62">
        <f ca="1">AVERAGE(OFFSET($CC$3,0,0,'Données projet'!$E$12+1,1))-AVERAGE(OFFSET($H$3,0,0,'Données projet'!$E$12+1,1))</f>
        <v>465.49436272491818</v>
      </c>
      <c r="CE25" s="62">
        <f t="shared" si="40"/>
        <v>494.36941732405256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5.5164360396255994</v>
      </c>
      <c r="CL25" s="23">
        <f>EXP(-LN(2)/25)*CL24+(1-EXP(-LN(2)/25))/(LN(2)/25)*Calculateur!CG25*Calculateur!CI25*VLOOKUP('Données projet'!$B$12,Paramètres!$A$1:$I$89,3,0)*0.475*44/12</f>
        <v>11.998451730641467</v>
      </c>
      <c r="CM25" s="23">
        <f>EXP(-LN(2)/2)*CM24+(1-EXP(-LN(2)/2))/(LN(2)/2)*CG25*CJ25*VLOOKUP('Données projet'!$B$12,Paramètres!$A$1:$I$89,3,0)*0.475*44/12</f>
        <v>5.5324652234828964</v>
      </c>
      <c r="CN25" s="24">
        <f t="shared" si="12"/>
        <v>23.047352993749961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19.68</v>
      </c>
      <c r="CT25" s="13">
        <f>IF('Données projet'!$A$140&gt;35,CT24+CS25-DB24,IF(A25&lt;'Données projet'!$A$140,$CQ$205^A25,IF(A25='Données projet'!$A$140,'Données projet'!$B$140,CT24+CS25-DB24)))</f>
        <v>140.56</v>
      </c>
      <c r="CU25" s="18">
        <f>CT25*VLOOKUP('Données projet'!$B$13,Paramètres!$A$1:$I$89,3,0)*VLOOKUP('Données projet'!$B$13,Paramètres!$A$1:$I$89,5,0)</f>
        <v>84.054880000000011</v>
      </c>
      <c r="CV25" s="14">
        <f t="shared" si="41"/>
        <v>23.12575242793806</v>
      </c>
      <c r="CW25" s="22">
        <f t="shared" si="13"/>
        <v>186.67293481199212</v>
      </c>
      <c r="CX25" s="62">
        <f t="shared" si="14"/>
        <v>480.00626814532541</v>
      </c>
      <c r="CY25" s="62">
        <f ca="1">AVERAGE(OFFSET($CX$3,0,0,'Données projet'!$E$13+1,1))-AVERAGE(OFFSET($H$3,0,0,'Données projet'!$E$13+1,1))</f>
        <v>361.46923697840384</v>
      </c>
      <c r="CZ25" s="62">
        <f t="shared" si="42"/>
        <v>302.25424592654673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6.2298912482906212</v>
      </c>
      <c r="DG25" s="23">
        <f>EXP(-LN(2)/25)*DG24+(1-EXP(-LN(2)/25))/(LN(2)/25)*Calculateur!DB25*Calculateur!DD25*VLOOKUP('Données projet'!$B$13,Paramètres!$A$1:$I$89,3,0)*0.475*44/12</f>
        <v>5.1506851666979614</v>
      </c>
      <c r="DH25" s="23">
        <f>EXP(-LN(2)/2)*DH24+(1-EXP(-LN(2)/2))/(LN(2)/2)*DB25*DE25*VLOOKUP('Données projet'!$B$13,Paramètres!$A$1:$I$89,3,0)*0.475*44/12</f>
        <v>2.8816820990253764</v>
      </c>
      <c r="DI25" s="24">
        <f t="shared" si="15"/>
        <v>14.262258514013958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22</v>
      </c>
      <c r="N26" s="14">
        <f>IF('Données projet'!$A$36&gt;35,N25+M26-V25,IF(A26&lt;'Données projet'!$A$36,$K$205^A26,IF(A26='Données projet'!$A$36,'Données projet'!$B$36,N25+M26-V25)))</f>
        <v>244</v>
      </c>
      <c r="O26" s="14">
        <f>N26*VLOOKUP('Données projet'!$B$9,Paramètres!$A$1:$I$89,3,0)*VLOOKUP('Données projet'!$B$9,Paramètres!$A$1:$I$89,5,0)</f>
        <v>136.39600000000002</v>
      </c>
      <c r="P26" s="14">
        <f t="shared" si="33"/>
        <v>35.470130709133613</v>
      </c>
      <c r="Q26" s="22">
        <f t="shared" si="2"/>
        <v>299.33351098507438</v>
      </c>
      <c r="R26" s="62">
        <f t="shared" si="0"/>
        <v>592.6668443184077</v>
      </c>
      <c r="S26" s="62">
        <f ca="1">AVERAGE(OFFSET($R$3,0,0,'Données projet'!$E$9+1,1))-AVERAGE(OFFSET($H$3,0,0,'Données projet'!$E$9+1,1))</f>
        <v>389.80719836281679</v>
      </c>
      <c r="T26" s="62">
        <f t="shared" si="34"/>
        <v>399.58193819355591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1.9216322870962481</v>
      </c>
      <c r="AA26" s="23">
        <f>EXP(-LN(2)/25)*AA25+(1-EXP(-LN(2)/25))/(LN(2)/25)*Calculateur!V26*Calculateur!X26*VLOOKUP('Données projet'!$B$9,Paramètres!$A$1:$I$89,3,0)*0.475*44/12</f>
        <v>4.2055075660379178</v>
      </c>
      <c r="AB26" s="23">
        <f>EXP(-LN(2)/2)*AB25+(1-EXP(-LN(2)/2))/(LN(2)/2)*V26*Y26*VLOOKUP('Données projet'!$B$9,Paramètres!$A$1:$I$89,3,0)*0.475*44/12</f>
        <v>1.9579897169078675</v>
      </c>
      <c r="AC26" s="24">
        <f t="shared" si="3"/>
        <v>8.0851295700420334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15.766000000000002</v>
      </c>
      <c r="AI26" s="14">
        <f>IF('Données projet'!$A$62&gt;35,AI25+AH26-AQ25,IF(A26&lt;'Données projet'!$A$62,$AF$205^A26,IF(A26='Données projet'!$A$62,'Données projet'!$B$62,AI25+AH26-AQ25)))</f>
        <v>92.425999999999988</v>
      </c>
      <c r="AJ26" s="14">
        <f>AI26*VLOOKUP('Données projet'!$B$10,Paramètres!$A$1:$I$89,3,0)*VLOOKUP('Données projet'!$B$10,Paramètres!$A$1:$I$89,5,0)</f>
        <v>55.27074799999999</v>
      </c>
      <c r="AK26" s="14">
        <f t="shared" si="35"/>
        <v>15.966912640281619</v>
      </c>
      <c r="AL26" s="22">
        <f t="shared" si="4"/>
        <v>124.07225894849046</v>
      </c>
      <c r="AM26" s="62">
        <f t="shared" si="5"/>
        <v>417.40559228182377</v>
      </c>
      <c r="AN26" s="62">
        <f ca="1">AVERAGE(OFFSET($AM$3,0,0,'Données projet'!$E$10+1,1))-AVERAGE(OFFSET($H$3,0,0,'Données projet'!$E$10+1,1))</f>
        <v>269.90083987531233</v>
      </c>
      <c r="AO26" s="62">
        <f t="shared" si="36"/>
        <v>183.4515835513518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3.6684732157248754</v>
      </c>
      <c r="AV26" s="23">
        <f>EXP(-LN(2)/25)*AV25+(1-EXP(-LN(2)/25))/(LN(2)/25)*Calculateur!AQ26*Calculateur!AS26*VLOOKUP('Données projet'!$B$10,Paramètres!$A$1:$I$89,3,0)*0.475*44/12</f>
        <v>8.1566939951182071</v>
      </c>
      <c r="AW26" s="23">
        <f>EXP(-LN(2)/2)*AW25+(1-EXP(-LN(2)/2))/(LN(2)/2)*AQ26*AT26*VLOOKUP('Données projet'!$B$10,Paramètres!$A$1:$I$89,3,0)*0.475*44/12</f>
        <v>8.7822122584269788</v>
      </c>
      <c r="AX26" s="23">
        <f t="shared" si="6"/>
        <v>20.607379469270061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6.3622807017543854</v>
      </c>
      <c r="BD26" s="13">
        <f>IF('Données projet'!$A$88&gt;35,BD25+BC26-BL25,IF(A26&lt;'Données projet'!$A$88,$BA$205^A26,IF(A26='Données projet'!$A$88,'Données projet'!$B$88,BD25+BC26-BL25)))</f>
        <v>146.33245614035084</v>
      </c>
      <c r="BE26" s="14">
        <f>BD26*VLOOKUP('Données projet'!$B$11,Paramètres!$A$1:$I$89,3,0)*VLOOKUP('Données projet'!$B$11,Paramètres!$A$1:$I$89,5,0)</f>
        <v>70.385911403508757</v>
      </c>
      <c r="BF26" s="14">
        <f t="shared" si="37"/>
        <v>19.769262287465928</v>
      </c>
      <c r="BG26" s="22">
        <f t="shared" si="7"/>
        <v>157.02026084511425</v>
      </c>
      <c r="BH26" s="62">
        <f t="shared" si="8"/>
        <v>450.35359417844757</v>
      </c>
      <c r="BI26" s="62">
        <f ca="1">AVERAGE(OFFSET($BH$3,0,0,'Données projet'!$E$11+1,1))-AVERAGE(OFFSET($H$3,0,0,'Données projet'!$E$11+1,1))</f>
        <v>255.64417186544995</v>
      </c>
      <c r="BJ26" s="62">
        <f t="shared" si="38"/>
        <v>165.41802783289376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25.8</v>
      </c>
      <c r="BY26" s="13">
        <f>IF('Données projet'!$A$114&gt;35,BY25+BX26-CG25,IF(A26&lt;'Données projet'!$A$114,$BV$205^A26,IF(A26='Données projet'!$A$114,'Données projet'!$B$114,BY25+BX26-CG25)))</f>
        <v>317.40000000000003</v>
      </c>
      <c r="BZ26" s="14">
        <f>BY26*VLOOKUP('Données projet'!$B$12,Paramètres!$A$1:$I$89,3,0)*VLOOKUP('Données projet'!$B$12,Paramètres!$A$1:$I$89,5,0)</f>
        <v>177.42660000000001</v>
      </c>
      <c r="CA26" s="14">
        <f t="shared" si="39"/>
        <v>44.749173138651841</v>
      </c>
      <c r="CB26" s="22">
        <f t="shared" si="10"/>
        <v>386.95613821648527</v>
      </c>
      <c r="CC26" s="62">
        <f t="shared" si="11"/>
        <v>680.28947154981859</v>
      </c>
      <c r="CD26" s="62">
        <f ca="1">AVERAGE(OFFSET($CC$3,0,0,'Données projet'!$E$12+1,1))-AVERAGE(OFFSET($H$3,0,0,'Données projet'!$E$12+1,1))</f>
        <v>465.49436272491818</v>
      </c>
      <c r="CE26" s="62">
        <f t="shared" si="40"/>
        <v>494.36941732405256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5.40826209358229</v>
      </c>
      <c r="CL26" s="23">
        <f>EXP(-LN(2)/25)*CL25+(1-EXP(-LN(2)/25))/(LN(2)/25)*Calculateur!CG26*Calculateur!CI26*VLOOKUP('Données projet'!$B$12,Paramètres!$A$1:$I$89,3,0)*0.475*44/12</f>
        <v>11.670353437095923</v>
      </c>
      <c r="CM26" s="23">
        <f>EXP(-LN(2)/2)*CM25+(1-EXP(-LN(2)/2))/(LN(2)/2)*CG26*CJ26*VLOOKUP('Données projet'!$B$12,Paramètres!$A$1:$I$89,3,0)*0.475*44/12</f>
        <v>3.9120436762035045</v>
      </c>
      <c r="CN26" s="24">
        <f t="shared" si="12"/>
        <v>20.990659206881716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19.68</v>
      </c>
      <c r="CT26" s="13">
        <f>IF('Données projet'!$A$140&gt;35,CT25+CS26-DB25,IF(A26&lt;'Données projet'!$A$140,$CQ$205^A26,IF(A26='Données projet'!$A$140,'Données projet'!$B$140,CT25+CS26-DB25)))</f>
        <v>160.24</v>
      </c>
      <c r="CU26" s="18">
        <f>CT26*VLOOKUP('Données projet'!$B$13,Paramètres!$A$1:$I$89,3,0)*VLOOKUP('Données projet'!$B$13,Paramètres!$A$1:$I$89,5,0)</f>
        <v>95.823520000000016</v>
      </c>
      <c r="CV26" s="14">
        <f t="shared" si="41"/>
        <v>25.964551808226819</v>
      </c>
      <c r="CW26" s="22">
        <f t="shared" si="13"/>
        <v>212.11422506599504</v>
      </c>
      <c r="CX26" s="62">
        <f t="shared" si="14"/>
        <v>505.44755839932839</v>
      </c>
      <c r="CY26" s="62">
        <f ca="1">AVERAGE(OFFSET($CX$3,0,0,'Données projet'!$E$13+1,1))-AVERAGE(OFFSET($H$3,0,0,'Données projet'!$E$13+1,1))</f>
        <v>361.46923697840384</v>
      </c>
      <c r="CZ26" s="62">
        <f t="shared" si="42"/>
        <v>302.25424592654673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6.1077268807700991</v>
      </c>
      <c r="DG26" s="23">
        <f>EXP(-LN(2)/25)*DG25+(1-EXP(-LN(2)/25))/(LN(2)/25)*Calculateur!DB26*Calculateur!DD26*VLOOKUP('Données projet'!$B$13,Paramètres!$A$1:$I$89,3,0)*0.475*44/12</f>
        <v>5.0098394099518444</v>
      </c>
      <c r="DH26" s="23">
        <f>EXP(-LN(2)/2)*DH25+(1-EXP(-LN(2)/2))/(LN(2)/2)*DB26*DE26*VLOOKUP('Données projet'!$B$13,Paramètres!$A$1:$I$89,3,0)*0.475*44/12</f>
        <v>2.0376569534447277</v>
      </c>
      <c r="DI26" s="24">
        <f t="shared" si="15"/>
        <v>13.15522324416667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22</v>
      </c>
      <c r="N27" s="14">
        <f>IF('Données projet'!$A$36&gt;35,N26+M27-V26,IF(A27&lt;'Données projet'!$A$36,$K$205^A27,IF(A27='Données projet'!$A$36,'Données projet'!$B$36,N26+M27-V26)))</f>
        <v>266</v>
      </c>
      <c r="O27" s="14">
        <f>N27*VLOOKUP('Données projet'!$B$9,Paramètres!$A$1:$I$89,3,0)*VLOOKUP('Données projet'!$B$9,Paramètres!$A$1:$I$89,5,0)</f>
        <v>148.69399999999999</v>
      </c>
      <c r="P27" s="14">
        <f t="shared" si="33"/>
        <v>38.281641551494822</v>
      </c>
      <c r="Q27" s="22">
        <f t="shared" si="2"/>
        <v>325.64924236885344</v>
      </c>
      <c r="R27" s="62">
        <f t="shared" si="0"/>
        <v>618.98257570218675</v>
      </c>
      <c r="S27" s="62">
        <f ca="1">AVERAGE(OFFSET($R$3,0,0,'Données projet'!$E$9+1,1))-AVERAGE(OFFSET($H$3,0,0,'Données projet'!$E$9+1,1))</f>
        <v>389.80719836281679</v>
      </c>
      <c r="T27" s="62">
        <f t="shared" si="34"/>
        <v>399.58193819355591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1.8839502500262526</v>
      </c>
      <c r="AA27" s="23">
        <f>EXP(-LN(2)/25)*AA26+(1-EXP(-LN(2)/25))/(LN(2)/25)*Calculateur!V27*Calculateur!X27*VLOOKUP('Données projet'!$B$9,Paramètres!$A$1:$I$89,3,0)*0.475*44/12</f>
        <v>4.0905077404865802</v>
      </c>
      <c r="AB27" s="23">
        <f>EXP(-LN(2)/2)*AB26+(1-EXP(-LN(2)/2))/(LN(2)/2)*V27*Y27*VLOOKUP('Données projet'!$B$9,Paramètres!$A$1:$I$89,3,0)*0.475*44/12</f>
        <v>1.3845078063190817</v>
      </c>
      <c r="AC27" s="24">
        <f t="shared" si="3"/>
        <v>7.3589657968319147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15.766000000000002</v>
      </c>
      <c r="AI27" s="14">
        <f>IF('Données projet'!$A$62&gt;35,AI26+AH27-AQ26,IF(A27&lt;'Données projet'!$A$62,$AF$205^A27,IF(A27='Données projet'!$A$62,'Données projet'!$B$62,AI26+AH27-AQ26)))</f>
        <v>108.19199999999999</v>
      </c>
      <c r="AJ27" s="14">
        <f>AI27*VLOOKUP('Données projet'!$B$10,Paramètres!$A$1:$I$89,3,0)*VLOOKUP('Données projet'!$B$10,Paramètres!$A$1:$I$89,5,0)</f>
        <v>64.698815999999994</v>
      </c>
      <c r="AK27" s="14">
        <f t="shared" si="35"/>
        <v>18.351013925322782</v>
      </c>
      <c r="AL27" s="22">
        <f t="shared" si="4"/>
        <v>144.64512045327049</v>
      </c>
      <c r="AM27" s="62">
        <f t="shared" si="5"/>
        <v>437.97845378660384</v>
      </c>
      <c r="AN27" s="62">
        <f ca="1">AVERAGE(OFFSET($AM$3,0,0,'Données projet'!$E$10+1,1))-AVERAGE(OFFSET($H$3,0,0,'Données projet'!$E$10+1,1))</f>
        <v>269.90083987531233</v>
      </c>
      <c r="AO27" s="62">
        <f t="shared" si="36"/>
        <v>183.4515835513518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3.5965366935122325</v>
      </c>
      <c r="AV27" s="23">
        <f>EXP(-LN(2)/25)*AV26+(1-EXP(-LN(2)/25))/(LN(2)/25)*Calculateur!AQ27*Calculateur!AS27*VLOOKUP('Données projet'!$B$10,Paramètres!$A$1:$I$89,3,0)*0.475*44/12</f>
        <v>7.933648768879805</v>
      </c>
      <c r="AW27" s="23">
        <f>EXP(-LN(2)/2)*AW26+(1-EXP(-LN(2)/2))/(LN(2)/2)*AQ27*AT27*VLOOKUP('Données projet'!$B$10,Paramètres!$A$1:$I$89,3,0)*0.475*44/12</f>
        <v>6.2099618417533415</v>
      </c>
      <c r="AX27" s="23">
        <f t="shared" si="6"/>
        <v>17.740147304145378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6.3622807017543854</v>
      </c>
      <c r="BD27" s="13">
        <f>IF('Données projet'!$A$88&gt;35,BD26+BC27-BL26,IF(A27&lt;'Données projet'!$A$88,$BA$205^A27,IF(A27='Données projet'!$A$88,'Données projet'!$B$88,BD26+BC27-BL26)))</f>
        <v>152.69473684210521</v>
      </c>
      <c r="BE27" s="14">
        <f>BD27*VLOOKUP('Données projet'!$B$11,Paramètres!$A$1:$I$89,3,0)*VLOOKUP('Données projet'!$B$11,Paramètres!$A$1:$I$89,5,0)</f>
        <v>73.446168421052619</v>
      </c>
      <c r="BF27" s="14">
        <f t="shared" si="37"/>
        <v>20.526854347194387</v>
      </c>
      <c r="BG27" s="22">
        <f t="shared" si="7"/>
        <v>163.66968132136353</v>
      </c>
      <c r="BH27" s="62">
        <f t="shared" si="8"/>
        <v>457.00301465469681</v>
      </c>
      <c r="BI27" s="62">
        <f ca="1">AVERAGE(OFFSET($BH$3,0,0,'Données projet'!$E$11+1,1))-AVERAGE(OFFSET($H$3,0,0,'Données projet'!$E$11+1,1))</f>
        <v>255.64417186544995</v>
      </c>
      <c r="BJ27" s="62">
        <f t="shared" si="38"/>
        <v>165.41802783289376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25.8</v>
      </c>
      <c r="BY27" s="13">
        <f>IF('Données projet'!$A$114&gt;35,BY26+BX27-CG26,IF(A27&lt;'Données projet'!$A$114,$BV$205^A27,IF(A27='Données projet'!$A$114,'Données projet'!$B$114,BY26+BX27-CG26)))</f>
        <v>343.20000000000005</v>
      </c>
      <c r="BZ27" s="14">
        <f>BY27*VLOOKUP('Données projet'!$B$12,Paramètres!$A$1:$I$89,3,0)*VLOOKUP('Données projet'!$B$12,Paramètres!$A$1:$I$89,5,0)</f>
        <v>191.84880000000004</v>
      </c>
      <c r="CA27" s="14">
        <f t="shared" si="39"/>
        <v>47.948465637272896</v>
      </c>
      <c r="CB27" s="22">
        <f t="shared" si="10"/>
        <v>417.64690431825039</v>
      </c>
      <c r="CC27" s="62">
        <f t="shared" si="11"/>
        <v>710.98023765158371</v>
      </c>
      <c r="CD27" s="62">
        <f ca="1">AVERAGE(OFFSET($CC$3,0,0,'Données projet'!$E$12+1,1))-AVERAGE(OFFSET($H$3,0,0,'Données projet'!$E$12+1,1))</f>
        <v>465.49436272491818</v>
      </c>
      <c r="CE27" s="62">
        <f t="shared" si="40"/>
        <v>494.36941732405256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5.3022093726412978</v>
      </c>
      <c r="CL27" s="23">
        <f>EXP(-LN(2)/25)*CL26+(1-EXP(-LN(2)/25))/(LN(2)/25)*Calculateur!CG27*Calculateur!CI27*VLOOKUP('Données projet'!$B$12,Paramètres!$A$1:$I$89,3,0)*0.475*44/12</f>
        <v>11.35122700864132</v>
      </c>
      <c r="CM27" s="23">
        <f>EXP(-LN(2)/2)*CM26+(1-EXP(-LN(2)/2))/(LN(2)/2)*CG27*CJ27*VLOOKUP('Données projet'!$B$12,Paramètres!$A$1:$I$89,3,0)*0.475*44/12</f>
        <v>2.7662326117414486</v>
      </c>
      <c r="CN27" s="24">
        <f t="shared" si="12"/>
        <v>19.419668993024064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>
        <f>VLOOKUP(A27,'Données projet'!$A$139:$I$159,2,0)</f>
        <v>179.92</v>
      </c>
      <c r="CR27" s="13">
        <f>VLOOKUP(A27,'Données projet'!$A$139:$I$159,9,0)</f>
        <v>19.68</v>
      </c>
      <c r="CS27" s="13">
        <f t="array" ref="CS27">INDEX(CR:CR,MIN(IF(ISNUMBER(CR27:CR223),ROW(CR27:CR223),"")))</f>
        <v>19.68</v>
      </c>
      <c r="CT27" s="13">
        <f>IF('Données projet'!$A$140&gt;35,CT26+CS27-DB26,IF(A27&lt;'Données projet'!$A$140,$CQ$205^A27,IF(A27='Données projet'!$A$140,'Données projet'!$B$140,CT26+CS27-DB26)))</f>
        <v>179.92000000000002</v>
      </c>
      <c r="CU27" s="18">
        <f>CT27*VLOOKUP('Données projet'!$B$13,Paramètres!$A$1:$I$89,3,0)*VLOOKUP('Données projet'!$B$13,Paramètres!$A$1:$I$89,5,0)</f>
        <v>107.59216000000002</v>
      </c>
      <c r="CV27" s="14">
        <f t="shared" si="41"/>
        <v>28.762950003220435</v>
      </c>
      <c r="CW27" s="22">
        <f t="shared" si="13"/>
        <v>237.48514992227561</v>
      </c>
      <c r="CX27" s="62">
        <f t="shared" si="14"/>
        <v>530.81848325560895</v>
      </c>
      <c r="CY27" s="62">
        <f ca="1">AVERAGE(OFFSET($CX$3,0,0,'Données projet'!$E$13+1,1))-AVERAGE(OFFSET($H$3,0,0,'Données projet'!$E$13+1,1))</f>
        <v>361.46923697840384</v>
      </c>
      <c r="CZ27" s="62">
        <f t="shared" si="42"/>
        <v>302.25424592654673</v>
      </c>
      <c r="DA27" s="16">
        <f>IF(ISNA(VLOOKUP(A27,'Données projet'!$A$139:$I$159,3,0)),0,VLOOKUP(A27,'Données projet'!$A$139:$I$159,3,0))</f>
        <v>2</v>
      </c>
      <c r="DB27" s="16">
        <f>IF(ISNA(VLOOKUP(A27,'Données projet'!$A$139:$I$159,4,0)),0,VLOOKUP(A27,'Données projet'!$A$139:$I$159,4,0))</f>
        <v>44.84</v>
      </c>
      <c r="DC27" s="17">
        <f>IF(ISNA(VLOOKUP(A27,'Données projet'!$A$139:$I$159,5,0)),0%,VLOOKUP(A27,'Données projet'!$A$139:$I$159,5,0)*VLOOKUP('Données projet'!$B$13,Paramètres!$A$1:$I$89,7,0))</f>
        <v>0.18000000000000002</v>
      </c>
      <c r="DD27" s="17">
        <f>IF(ISNA(VLOOKUP(A27,'Données projet'!$A$139:$I$159,6,0)),0%,VLOOKUP(A27,'Données projet'!$A$139:$I$159,6,0)*VLOOKUP('Données projet'!$B$13,Paramètres!$A$1:$I$89,7,0))</f>
        <v>0.15300000000000002</v>
      </c>
      <c r="DE27" s="17">
        <f>IF(ISNA(VLOOKUP(A27,'Données projet'!$A$139:$I$159,7,0)),0%,VLOOKUP(A27,'Données projet'!$A$139:$I$159,7,0))</f>
        <v>0.26</v>
      </c>
      <c r="DF27" s="23">
        <f>EXP(-LN(2)/35)*DF26+(1-EXP(-LN(2)/35))/(LN(2)/35)*DB27*DC27*VLOOKUP('Données projet'!$B$13,Paramètres!$A$1:$I$89,3,0)*0.475*44/12</f>
        <v>12.390724367564433</v>
      </c>
      <c r="DG27" s="23">
        <f>EXP(-LN(2)/25)*DG26+(1-EXP(-LN(2)/25))/(LN(2)/25)*Calculateur!DB27*Calculateur!DD27*VLOOKUP('Données projet'!$B$13,Paramètres!$A$1:$I$89,3,0)*0.475*44/12</f>
        <v>10.29376781963947</v>
      </c>
      <c r="DH27" s="23">
        <f>EXP(-LN(2)/2)*DH26+(1-EXP(-LN(2)/2))/(LN(2)/2)*DB27*DE27*VLOOKUP('Données projet'!$B$13,Paramètres!$A$1:$I$89,3,0)*0.475*44/12</f>
        <v>9.3344512259672552</v>
      </c>
      <c r="DI27" s="24">
        <f t="shared" si="15"/>
        <v>32.018943413171158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288</v>
      </c>
      <c r="L28" s="13">
        <f>VLOOKUP(A28,'Données projet'!$A$35:$I$55,9,0)</f>
        <v>22</v>
      </c>
      <c r="M28" s="13">
        <f t="array" ref="M28">INDEX(L:L,MIN(IF(ISNUMBER(L28:L224),ROW(L28:L224),"")))</f>
        <v>22</v>
      </c>
      <c r="N28" s="14">
        <f>IF('Données projet'!$A$36&gt;35,N27+M28-V27,IF(A28&lt;'Données projet'!$A$36,$K$205^A28,IF(A28='Données projet'!$A$36,'Données projet'!$B$36,N27+M28-V27)))</f>
        <v>288</v>
      </c>
      <c r="O28" s="14">
        <f>N28*VLOOKUP('Données projet'!$B$9,Paramètres!$A$1:$I$89,3,0)*VLOOKUP('Données projet'!$B$9,Paramètres!$A$1:$I$89,5,0)</f>
        <v>160.99200000000002</v>
      </c>
      <c r="P28" s="14">
        <f t="shared" si="33"/>
        <v>41.066183224007858</v>
      </c>
      <c r="Q28" s="22">
        <f t="shared" si="2"/>
        <v>351.91800244848037</v>
      </c>
      <c r="R28" s="62">
        <f t="shared" si="0"/>
        <v>645.25133578181362</v>
      </c>
      <c r="S28" s="62">
        <f ca="1">AVERAGE(OFFSET($R$3,0,0,'Données projet'!$E$9+1,1))-AVERAGE(OFFSET($H$3,0,0,'Données projet'!$E$9+1,1))</f>
        <v>389.80719836281679</v>
      </c>
      <c r="T28" s="62">
        <f t="shared" si="34"/>
        <v>399.58193819355591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39</v>
      </c>
      <c r="W28" s="17">
        <f>IF(ISNA(VLOOKUP(A28,'Données projet'!$A$35:$I$55,5,0)),0%,VLOOKUP(A28,'Données projet'!$A$35:$I$55,5,0)*VLOOKUP('Données projet'!$B$9,Paramètres!$A$1:$I$89,7,0))</f>
        <v>0.22000000000000003</v>
      </c>
      <c r="X28" s="17">
        <f>IF(ISNA(VLOOKUP(A28,'Données projet'!$A$35:$I$55,6,0)),0%,VLOOKUP(A28,'Données projet'!$A$35:$I$55,6,0)*VLOOKUP('Données projet'!$B$9,Paramètres!$A$1:$I$89,7,0))</f>
        <v>0.18700000000000003</v>
      </c>
      <c r="Y28" s="17">
        <f>IF(ISNA(VLOOKUP(A28,'Données projet'!$A$35:$I$55,7,0)),0%,VLOOKUP(A28,'Données projet'!$A$35:$I$55,7,0))</f>
        <v>0.26</v>
      </c>
      <c r="Z28" s="23">
        <f>EXP(-LN(2)/35)*Z27+(1-EXP(-LN(2)/35))/(LN(2)/35)*V28*W28*VLOOKUP('Données projet'!$B$9,Paramètres!$A$1:$I$89,3,0)*0.475*44/12</f>
        <v>8.2095021071876602</v>
      </c>
      <c r="AA28" s="23">
        <f>EXP(-LN(2)/25)*AA27+(1-EXP(-LN(2)/25))/(LN(2)/25)*Calculateur!V28*Calculateur!X28*VLOOKUP('Données projet'!$B$9,Paramètres!$A$1:$I$89,3,0)*0.475*44/12</f>
        <v>9.3654794858543529</v>
      </c>
      <c r="AB28" s="23">
        <f>EXP(-LN(2)/2)*AB27+(1-EXP(-LN(2)/2))/(LN(2)/2)*V28*Y28*VLOOKUP('Données projet'!$B$9,Paramètres!$A$1:$I$89,3,0)*0.475*44/12</f>
        <v>7.3967819012313001</v>
      </c>
      <c r="AC28" s="24">
        <f t="shared" si="3"/>
        <v>24.971763494273311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15.766000000000002</v>
      </c>
      <c r="AI28" s="14">
        <f>IF('Données projet'!$A$62&gt;35,AI27+AH28-AQ27,IF(A28&lt;'Données projet'!$A$62,$AF$205^A28,IF(A28='Données projet'!$A$62,'Données projet'!$B$62,AI27+AH28-AQ27)))</f>
        <v>123.958</v>
      </c>
      <c r="AJ28" s="14">
        <f>AI28*VLOOKUP('Données projet'!$B$10,Paramètres!$A$1:$I$89,3,0)*VLOOKUP('Données projet'!$B$10,Paramètres!$A$1:$I$89,5,0)</f>
        <v>74.126884000000004</v>
      </c>
      <c r="AK28" s="14">
        <f t="shared" si="35"/>
        <v>20.694866668390631</v>
      </c>
      <c r="AL28" s="22">
        <f t="shared" si="4"/>
        <v>165.1478824141137</v>
      </c>
      <c r="AM28" s="62">
        <f t="shared" si="5"/>
        <v>458.48121574744698</v>
      </c>
      <c r="AN28" s="62">
        <f ca="1">AVERAGE(OFFSET($AM$3,0,0,'Données projet'!$E$10+1,1))-AVERAGE(OFFSET($H$3,0,0,'Données projet'!$E$10+1,1))</f>
        <v>269.90083987531233</v>
      </c>
      <c r="AO28" s="62">
        <f t="shared" si="36"/>
        <v>183.4515835513518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3.5260108026232335</v>
      </c>
      <c r="AV28" s="23">
        <f>EXP(-LN(2)/25)*AV27+(1-EXP(-LN(2)/25))/(LN(2)/25)*Calculateur!AQ28*Calculateur!AS28*VLOOKUP('Données projet'!$B$10,Paramètres!$A$1:$I$89,3,0)*0.475*44/12</f>
        <v>7.7167027260823309</v>
      </c>
      <c r="AW28" s="23">
        <f>EXP(-LN(2)/2)*AW27+(1-EXP(-LN(2)/2))/(LN(2)/2)*AQ28*AT28*VLOOKUP('Données projet'!$B$10,Paramètres!$A$1:$I$89,3,0)*0.475*44/12</f>
        <v>4.3911061292134903</v>
      </c>
      <c r="AX28" s="23">
        <f t="shared" si="6"/>
        <v>15.633819657919055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6.3622807017543854</v>
      </c>
      <c r="BD28" s="13">
        <f>IF('Données projet'!$A$88&gt;35,BD27+BC28-BL27,IF(A28&lt;'Données projet'!$A$88,$BA$205^A28,IF(A28='Données projet'!$A$88,'Données projet'!$B$88,BD27+BC28-BL27)))</f>
        <v>159.05701754385959</v>
      </c>
      <c r="BE28" s="14">
        <f>BD28*VLOOKUP('Données projet'!$B$11,Paramètres!$A$1:$I$89,3,0)*VLOOKUP('Données projet'!$B$11,Paramètres!$A$1:$I$89,5,0)</f>
        <v>76.506425438596466</v>
      </c>
      <c r="BF28" s="14">
        <f t="shared" si="37"/>
        <v>21.280779860856402</v>
      </c>
      <c r="BG28" s="22">
        <f t="shared" si="7"/>
        <v>170.31271589654705</v>
      </c>
      <c r="BH28" s="62">
        <f t="shared" si="8"/>
        <v>463.64604922988036</v>
      </c>
      <c r="BI28" s="62">
        <f ca="1">AVERAGE(OFFSET($BH$3,0,0,'Données projet'!$E$11+1,1))-AVERAGE(OFFSET($H$3,0,0,'Données projet'!$E$11+1,1))</f>
        <v>255.64417186544995</v>
      </c>
      <c r="BJ28" s="62">
        <f t="shared" si="38"/>
        <v>165.41802783289376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369</v>
      </c>
      <c r="BW28" s="13">
        <f>VLOOKUP(A28,'Données projet'!$A$113:$I$133,9,0)</f>
        <v>25.8</v>
      </c>
      <c r="BX28" s="13">
        <f t="array" ref="BX28">INDEX(BW:BW,MIN(IF(ISNUMBER(BW28:BW224),ROW(BW28:BW224),"")))</f>
        <v>25.8</v>
      </c>
      <c r="BY28" s="13">
        <f>IF('Données projet'!$A$114&gt;35,BY27+BX28-CG27,IF(A28&lt;'Données projet'!$A$114,$BV$205^A28,IF(A28='Données projet'!$A$114,'Données projet'!$B$114,BY27+BX28-CG27)))</f>
        <v>369.00000000000006</v>
      </c>
      <c r="BZ28" s="14">
        <f>BY28*VLOOKUP('Données projet'!$B$12,Paramètres!$A$1:$I$89,3,0)*VLOOKUP('Données projet'!$B$12,Paramètres!$A$1:$I$89,5,0)</f>
        <v>206.27100000000002</v>
      </c>
      <c r="CA28" s="14">
        <f t="shared" si="39"/>
        <v>51.119857609331589</v>
      </c>
      <c r="CB28" s="22">
        <f t="shared" si="10"/>
        <v>448.28907700291916</v>
      </c>
      <c r="CC28" s="62">
        <f t="shared" si="11"/>
        <v>741.62241033625241</v>
      </c>
      <c r="CD28" s="62">
        <f ca="1">AVERAGE(OFFSET($CC$3,0,0,'Données projet'!$E$12+1,1))-AVERAGE(OFFSET($H$3,0,0,'Données projet'!$E$12+1,1))</f>
        <v>465.49436272491818</v>
      </c>
      <c r="CE28" s="62">
        <f t="shared" si="40"/>
        <v>494.36941732405256</v>
      </c>
      <c r="CF28" s="16">
        <f>IF(ISNA(VLOOKUP(A28,'Données projet'!$A$113:$I$133,3,0)),0,VLOOKUP(A28,'Données projet'!$A$113:$I$133,3,0))</f>
        <v>3</v>
      </c>
      <c r="CG28" s="16">
        <f>IF(ISNA(VLOOKUP(A28,'Données projet'!$A$113:$I$133,4,0)),0,VLOOKUP(A28,'Données projet'!$A$113:$I$133,4,0))</f>
        <v>52</v>
      </c>
      <c r="CH28" s="17">
        <f>IF(ISNA(VLOOKUP(A28,'Données projet'!$A$113:$I$133,5,0)),0%,VLOOKUP(A28,'Données projet'!$A$113:$I$133,5,0)*VLOOKUP('Données projet'!$B$12,Paramètres!$A$1:$I$89,7,0))</f>
        <v>0.22000000000000003</v>
      </c>
      <c r="CI28" s="17">
        <f>IF(ISNA(VLOOKUP(A28,'Données projet'!$A$113:$I$133,6,0)),0%,VLOOKUP(A28,'Données projet'!$A$113:$I$133,6,0)*VLOOKUP('Données projet'!$B$12,Paramètres!$A$1:$I$89,7,0))</f>
        <v>0.18700000000000003</v>
      </c>
      <c r="CJ28" s="17">
        <f>IF(ISNA(VLOOKUP(A28,'Données projet'!$A$113:$I$133,7,0)),0%,VLOOKUP(A28,'Données projet'!$A$113:$I$133,7,0))</f>
        <v>0.26</v>
      </c>
      <c r="CK28" s="23">
        <f>EXP(-LN(2)/35)*CK27+(1-EXP(-LN(2)/35))/(LN(2)/35)*CG28*CH28*VLOOKUP('Données projet'!$B$12,Paramètres!$A$1:$I$89,3,0)*0.475*44/12</f>
        <v>13.681562910829829</v>
      </c>
      <c r="CL28" s="23">
        <f>EXP(-LN(2)/25)*CL27+(1-EXP(-LN(2)/25))/(LN(2)/25)*Calculateur!CG28*Calculateur!CI28*VLOOKUP('Données projet'!$B$12,Paramètres!$A$1:$I$89,3,0)*0.475*44/12</f>
        <v>18.223262968677382</v>
      </c>
      <c r="CM28" s="23">
        <f>EXP(-LN(2)/2)*CM27+(1-EXP(-LN(2)/2))/(LN(2)/2)*CG28*CJ28*VLOOKUP('Données projet'!$B$12,Paramètres!$A$1:$I$89,3,0)*0.475*44/12</f>
        <v>10.513071228471572</v>
      </c>
      <c r="CN28" s="24">
        <f t="shared" si="12"/>
        <v>42.417897107978781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20.836666666666673</v>
      </c>
      <c r="CT28" s="13">
        <f>IF('Données projet'!$A$140&gt;35,CT27+CS28-DB27,IF(A28&lt;'Données projet'!$A$140,$CQ$205^A28,IF(A28='Données projet'!$A$140,'Données projet'!$B$140,CT27+CS28-DB27)))</f>
        <v>155.91666666666669</v>
      </c>
      <c r="CU28" s="18">
        <f>CT28*VLOOKUP('Données projet'!$B$13,Paramètres!$A$1:$I$89,3,0)*VLOOKUP('Données projet'!$B$13,Paramètres!$A$1:$I$89,5,0)</f>
        <v>93.238166666666686</v>
      </c>
      <c r="CV28" s="14">
        <f t="shared" si="41"/>
        <v>25.344578949571218</v>
      </c>
      <c r="CW28" s="22">
        <f t="shared" si="13"/>
        <v>206.53161528161434</v>
      </c>
      <c r="CX28" s="62">
        <f t="shared" si="14"/>
        <v>499.86494861494765</v>
      </c>
      <c r="CY28" s="62">
        <f ca="1">AVERAGE(OFFSET($CX$3,0,0,'Données projet'!$E$13+1,1))-AVERAGE(OFFSET($H$3,0,0,'Données projet'!$E$13+1,1))</f>
        <v>361.46923697840384</v>
      </c>
      <c r="CZ28" s="62">
        <f t="shared" si="42"/>
        <v>302.25424592654673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12.147749820312107</v>
      </c>
      <c r="DG28" s="23">
        <f>EXP(-LN(2)/25)*DG27+(1-EXP(-LN(2)/25))/(LN(2)/25)*Calculateur!DB28*Calculateur!DD28*VLOOKUP('Données projet'!$B$13,Paramètres!$A$1:$I$89,3,0)*0.475*44/12</f>
        <v>10.012284197285705</v>
      </c>
      <c r="DH28" s="23">
        <f>EXP(-LN(2)/2)*DH27+(1-EXP(-LN(2)/2))/(LN(2)/2)*DB28*DE28*VLOOKUP('Données projet'!$B$13,Paramètres!$A$1:$I$89,3,0)*0.475*44/12</f>
        <v>6.6004537605365288</v>
      </c>
      <c r="DI28" s="24">
        <f t="shared" si="15"/>
        <v>28.76048777813434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22.2</v>
      </c>
      <c r="N29" s="14">
        <f>IF('Données projet'!$A$36&gt;35,N28+M29-V28,IF(A29&lt;'Données projet'!$A$36,$K$205^A29,IF(A29='Données projet'!$A$36,'Données projet'!$B$36,N28+M29-V28)))</f>
        <v>271.2</v>
      </c>
      <c r="O29" s="14">
        <f>N29*VLOOKUP('Données projet'!$B$9,Paramètres!$A$1:$I$89,3,0)*VLOOKUP('Données projet'!$B$9,Paramètres!$A$1:$I$89,5,0)</f>
        <v>151.60079999999999</v>
      </c>
      <c r="P29" s="14">
        <f t="shared" si="33"/>
        <v>38.942148105194256</v>
      </c>
      <c r="Q29" s="22">
        <f t="shared" si="2"/>
        <v>331.8623012832133</v>
      </c>
      <c r="R29" s="62">
        <f t="shared" si="0"/>
        <v>625.19563461654661</v>
      </c>
      <c r="S29" s="62">
        <f ca="1">AVERAGE(OFFSET($R$3,0,0,'Données projet'!$E$9+1,1))-AVERAGE(OFFSET($H$3,0,0,'Données projet'!$E$9+1,1))</f>
        <v>389.80719836281679</v>
      </c>
      <c r="T29" s="62">
        <f t="shared" si="34"/>
        <v>399.58193819355591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8.0485187781675656</v>
      </c>
      <c r="AA29" s="23">
        <f>EXP(-LN(2)/25)*AA28+(1-EXP(-LN(2)/25))/(LN(2)/25)*Calculateur!V29*Calculateur!X29*VLOOKUP('Données projet'!$B$9,Paramètres!$A$1:$I$89,3,0)*0.475*44/12</f>
        <v>9.1093799568045046</v>
      </c>
      <c r="AB29" s="23">
        <f>EXP(-LN(2)/2)*AB28+(1-EXP(-LN(2)/2))/(LN(2)/2)*V29*Y29*VLOOKUP('Données projet'!$B$9,Paramètres!$A$1:$I$89,3,0)*0.475*44/12</f>
        <v>5.2303146413185759</v>
      </c>
      <c r="AC29" s="24">
        <f t="shared" si="3"/>
        <v>22.388213376290647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15.766000000000002</v>
      </c>
      <c r="AI29" s="14">
        <f>IF('Données projet'!$A$62&gt;35,AI28+AH29-AQ28,IF(A29&lt;'Données projet'!$A$62,$AF$205^A29,IF(A29='Données projet'!$A$62,'Données projet'!$B$62,AI28+AH29-AQ28)))</f>
        <v>139.72399999999999</v>
      </c>
      <c r="AJ29" s="14">
        <f>AI29*VLOOKUP('Données projet'!$B$10,Paramètres!$A$1:$I$89,3,0)*VLOOKUP('Données projet'!$B$10,Paramètres!$A$1:$I$89,5,0)</f>
        <v>83.554952</v>
      </c>
      <c r="AK29" s="14">
        <f t="shared" si="35"/>
        <v>23.004176736574664</v>
      </c>
      <c r="AL29" s="22">
        <f t="shared" si="4"/>
        <v>185.59048254953419</v>
      </c>
      <c r="AM29" s="62">
        <f t="shared" si="5"/>
        <v>478.92381588286753</v>
      </c>
      <c r="AN29" s="62">
        <f ca="1">AVERAGE(OFFSET($AM$3,0,0,'Données projet'!$E$10+1,1))-AVERAGE(OFFSET($H$3,0,0,'Données projet'!$E$10+1,1))</f>
        <v>269.90083987531233</v>
      </c>
      <c r="AO29" s="62">
        <f t="shared" si="36"/>
        <v>183.4515835513518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3.456867881438022</v>
      </c>
      <c r="AV29" s="23">
        <f>EXP(-LN(2)/25)*AV28+(1-EXP(-LN(2)/25))/(LN(2)/25)*Calculateur!AQ29*Calculateur!AS29*VLOOKUP('Données projet'!$B$10,Paramètres!$A$1:$I$89,3,0)*0.475*44/12</f>
        <v>7.5056890842338495</v>
      </c>
      <c r="AW29" s="23">
        <f>EXP(-LN(2)/2)*AW28+(1-EXP(-LN(2)/2))/(LN(2)/2)*AQ29*AT29*VLOOKUP('Données projet'!$B$10,Paramètres!$A$1:$I$89,3,0)*0.475*44/12</f>
        <v>3.1049809208766712</v>
      </c>
      <c r="AX29" s="23">
        <f t="shared" si="6"/>
        <v>14.067537886548543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6.3622807017543854</v>
      </c>
      <c r="BD29" s="13">
        <f>IF('Données projet'!$A$88&gt;35,BD28+BC29-BL28,IF(A29&lt;'Données projet'!$A$88,$BA$205^A29,IF(A29='Données projet'!$A$88,'Données projet'!$B$88,BD28+BC29-BL28)))</f>
        <v>165.41929824561396</v>
      </c>
      <c r="BE29" s="14">
        <f>BD29*VLOOKUP('Données projet'!$B$11,Paramètres!$A$1:$I$89,3,0)*VLOOKUP('Données projet'!$B$11,Paramètres!$A$1:$I$89,5,0)</f>
        <v>79.566682456140313</v>
      </c>
      <c r="BF29" s="14">
        <f t="shared" si="37"/>
        <v>22.031202269971399</v>
      </c>
      <c r="BG29" s="22">
        <f t="shared" si="7"/>
        <v>176.94964923131124</v>
      </c>
      <c r="BH29" s="62">
        <f t="shared" si="8"/>
        <v>470.28298256464456</v>
      </c>
      <c r="BI29" s="62">
        <f ca="1">AVERAGE(OFFSET($BH$3,0,0,'Données projet'!$E$11+1,1))-AVERAGE(OFFSET($H$3,0,0,'Données projet'!$E$11+1,1))</f>
        <v>255.64417186544995</v>
      </c>
      <c r="BJ29" s="62">
        <f t="shared" si="38"/>
        <v>165.41802783289376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24.6</v>
      </c>
      <c r="BY29" s="13">
        <f>IF('Données projet'!$A$114&gt;35,BY28+BX29-CG28,IF(A29&lt;'Données projet'!$A$114,$BV$205^A29,IF(A29='Données projet'!$A$114,'Données projet'!$B$114,BY28+BX29-CG28)))</f>
        <v>341.60000000000008</v>
      </c>
      <c r="BZ29" s="14">
        <f>BY29*VLOOKUP('Données projet'!$B$12,Paramètres!$A$1:$I$89,3,0)*VLOOKUP('Données projet'!$B$12,Paramètres!$A$1:$I$89,5,0)</f>
        <v>190.95440000000005</v>
      </c>
      <c r="CA29" s="14">
        <f t="shared" si="39"/>
        <v>47.750895568819487</v>
      </c>
      <c r="CB29" s="22">
        <f t="shared" si="10"/>
        <v>415.74505644902729</v>
      </c>
      <c r="CC29" s="62">
        <f t="shared" si="11"/>
        <v>709.07838978236055</v>
      </c>
      <c r="CD29" s="62">
        <f ca="1">AVERAGE(OFFSET($CC$3,0,0,'Données projet'!$E$12+1,1))-AVERAGE(OFFSET($H$3,0,0,'Données projet'!$E$12+1,1))</f>
        <v>465.49436272491818</v>
      </c>
      <c r="CE29" s="62">
        <f t="shared" si="40"/>
        <v>494.36941732405256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13.413275807077838</v>
      </c>
      <c r="CL29" s="23">
        <f>EXP(-LN(2)/25)*CL28+(1-EXP(-LN(2)/25))/(LN(2)/25)*Calculateur!CG29*Calculateur!CI29*VLOOKUP('Données projet'!$B$12,Paramètres!$A$1:$I$89,3,0)*0.475*44/12</f>
        <v>17.724946884479149</v>
      </c>
      <c r="CM29" s="23">
        <f>EXP(-LN(2)/2)*CM28+(1-EXP(-LN(2)/2))/(LN(2)/2)*CG29*CJ29*VLOOKUP('Données projet'!$B$12,Paramètres!$A$1:$I$89,3,0)*0.475*44/12</f>
        <v>7.4338639567494367</v>
      </c>
      <c r="CN29" s="24">
        <f t="shared" si="12"/>
        <v>38.572086648306424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20.836666666666673</v>
      </c>
      <c r="CT29" s="13">
        <f>IF('Données projet'!$A$140&gt;35,CT28+CS29-DB28,IF(A29&lt;'Données projet'!$A$140,$CQ$205^A29,IF(A29='Données projet'!$A$140,'Données projet'!$B$140,CT28+CS29-DB28)))</f>
        <v>176.75333333333336</v>
      </c>
      <c r="CU29" s="18">
        <f>CT29*VLOOKUP('Données projet'!$B$13,Paramètres!$A$1:$I$89,3,0)*VLOOKUP('Données projet'!$B$13,Paramètres!$A$1:$I$89,5,0)</f>
        <v>105.69849333333336</v>
      </c>
      <c r="CV29" s="14">
        <f t="shared" si="41"/>
        <v>28.315175233519099</v>
      </c>
      <c r="CW29" s="22">
        <f t="shared" si="13"/>
        <v>233.40713942060134</v>
      </c>
      <c r="CX29" s="62">
        <f t="shared" si="14"/>
        <v>526.74047275393468</v>
      </c>
      <c r="CY29" s="62">
        <f ca="1">AVERAGE(OFFSET($CX$3,0,0,'Données projet'!$E$13+1,1))-AVERAGE(OFFSET($H$3,0,0,'Données projet'!$E$13+1,1))</f>
        <v>361.46923697840384</v>
      </c>
      <c r="CZ29" s="62">
        <f t="shared" si="42"/>
        <v>302.25424592654673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11.909539855731561</v>
      </c>
      <c r="DG29" s="23">
        <f>EXP(-LN(2)/25)*DG28+(1-EXP(-LN(2)/25))/(LN(2)/25)*Calculateur!DB29*Calculateur!DD29*VLOOKUP('Données projet'!$B$13,Paramètres!$A$1:$I$89,3,0)*0.475*44/12</f>
        <v>9.7384977593877853</v>
      </c>
      <c r="DH29" s="23">
        <f>EXP(-LN(2)/2)*DH28+(1-EXP(-LN(2)/2))/(LN(2)/2)*DB29*DE29*VLOOKUP('Données projet'!$B$13,Paramètres!$A$1:$I$89,3,0)*0.475*44/12</f>
        <v>4.6672256129836285</v>
      </c>
      <c r="DI29" s="24">
        <f t="shared" si="15"/>
        <v>26.315263228102975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22.2</v>
      </c>
      <c r="N30" s="14">
        <f>IF('Données projet'!$A$36&gt;35,N29+M30-V29,IF(A30&lt;'Données projet'!$A$36,$K$205^A30,IF(A30='Données projet'!$A$36,'Données projet'!$B$36,N29+M30-V29)))</f>
        <v>293.39999999999998</v>
      </c>
      <c r="O30" s="14">
        <f>N30*VLOOKUP('Données projet'!$B$9,Paramètres!$A$1:$I$89,3,0)*VLOOKUP('Données projet'!$B$9,Paramètres!$A$1:$I$89,5,0)</f>
        <v>164.01059999999998</v>
      </c>
      <c r="P30" s="14">
        <f t="shared" si="33"/>
        <v>41.745809896992185</v>
      </c>
      <c r="Q30" s="22">
        <f t="shared" si="2"/>
        <v>358.3590805705947</v>
      </c>
      <c r="R30" s="62">
        <f t="shared" si="0"/>
        <v>651.69241390392801</v>
      </c>
      <c r="S30" s="62">
        <f ca="1">AVERAGE(OFFSET($R$3,0,0,'Données projet'!$E$9+1,1))-AVERAGE(OFFSET($H$3,0,0,'Données projet'!$E$9+1,1))</f>
        <v>389.80719836281679</v>
      </c>
      <c r="T30" s="62">
        <f t="shared" si="34"/>
        <v>399.58193819355591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7.8906922340394194</v>
      </c>
      <c r="AA30" s="23">
        <f>EXP(-LN(2)/25)*AA29+(1-EXP(-LN(2)/25))/(LN(2)/25)*Calculateur!V30*Calculateur!X30*VLOOKUP('Données projet'!$B$9,Paramètres!$A$1:$I$89,3,0)*0.475*44/12</f>
        <v>8.8602834828442134</v>
      </c>
      <c r="AB30" s="23">
        <f>EXP(-LN(2)/2)*AB29+(1-EXP(-LN(2)/2))/(LN(2)/2)*V30*Y30*VLOOKUP('Données projet'!$B$9,Paramètres!$A$1:$I$89,3,0)*0.475*44/12</f>
        <v>3.6983909506156505</v>
      </c>
      <c r="AC30" s="24">
        <f t="shared" si="3"/>
        <v>20.449366667499284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>
        <f>VLOOKUP(A30,'Données projet'!$A$61:$I$81,2,0)</f>
        <v>155.49</v>
      </c>
      <c r="AG30" s="13">
        <f>VLOOKUP(A30,'Données projet'!$A$61:$I$81,9,0)</f>
        <v>15.766000000000002</v>
      </c>
      <c r="AH30" s="13">
        <f t="array" ref="AH30">INDEX(AG:AG,MIN(IF(ISNUMBER(AG30:AG226),ROW(AG30:AG226),"")))</f>
        <v>15.766000000000002</v>
      </c>
      <c r="AI30" s="14">
        <f>IF('Données projet'!$A$62&gt;35,AI29+AH30-AQ29,IF(A30&lt;'Données projet'!$A$62,$AF$205^A30,IF(A30='Données projet'!$A$62,'Données projet'!$B$62,AI29+AH30-AQ29)))</f>
        <v>155.48999999999998</v>
      </c>
      <c r="AJ30" s="14">
        <f>AI30*VLOOKUP('Données projet'!$B$10,Paramètres!$A$1:$I$89,3,0)*VLOOKUP('Données projet'!$B$10,Paramètres!$A$1:$I$89,5,0)</f>
        <v>92.983019999999996</v>
      </c>
      <c r="AK30" s="14">
        <f t="shared" si="35"/>
        <v>25.283286610692237</v>
      </c>
      <c r="AL30" s="22">
        <f t="shared" si="4"/>
        <v>205.98048401362226</v>
      </c>
      <c r="AM30" s="62">
        <f t="shared" si="5"/>
        <v>499.3138173469556</v>
      </c>
      <c r="AN30" s="62">
        <f ca="1">AVERAGE(OFFSET($AM$3,0,0,'Données projet'!$E$10+1,1))-AVERAGE(OFFSET($H$3,0,0,'Données projet'!$E$10+1,1))</f>
        <v>269.90083987531233</v>
      </c>
      <c r="AO30" s="62">
        <f t="shared" si="36"/>
        <v>183.4515835513518</v>
      </c>
      <c r="AP30" s="16">
        <f>IF(ISNA(VLOOKUP(A30,'Données projet'!$A$61:$I$81,3,0)),0,VLOOKUP(A30,'Données projet'!$A$61:$I$81,3,0))</f>
        <v>2</v>
      </c>
      <c r="AQ30" s="16">
        <f>IF(ISNA(VLOOKUP(A30,'Données projet'!$A$61:$I$81,4,0)),0,VLOOKUP(A30,'Données projet'!$A$61:$I$81,4,0))</f>
        <v>37.840000000000003</v>
      </c>
      <c r="AR30" s="17">
        <f>IF(ISNA(VLOOKUP(A30,'Données projet'!$A$61:$I$81,5,0)),0%,VLOOKUP(A30,'Données projet'!$A$61:$I$81,5,0)*VLOOKUP('Données projet'!$B$10,Paramètres!$A$1:$I$89,7,0))</f>
        <v>0.18000000000000002</v>
      </c>
      <c r="AS30" s="17">
        <f>IF(ISNA(VLOOKUP(A30,'Données projet'!$A$61:$I$81,6,0)),0%,VLOOKUP(A30,'Données projet'!$A$61:$I$81,6,0)*VLOOKUP('Données projet'!$B$10,Paramètres!$A$1:$I$89,7,0))</f>
        <v>0.15300000000000002</v>
      </c>
      <c r="AT30" s="17">
        <f>IF(ISNA(VLOOKUP(A30,'Données projet'!$A$61:$I$81,7,0)),0%,VLOOKUP(A30,'Données projet'!$A$61:$I$81,7,0))</f>
        <v>0.26</v>
      </c>
      <c r="AU30" s="23">
        <f>EXP(-LN(2)/35)*AU29+(1-EXP(-LN(2)/35))/(LN(2)/35)*AQ30*AR30*VLOOKUP('Données projet'!$B$10,Paramètres!$A$1:$I$89,3,0)*0.475*44/12</f>
        <v>8.792307310460334</v>
      </c>
      <c r="AV30" s="23">
        <f>EXP(-LN(2)/25)*AV29+(1-EXP(-LN(2)/25))/(LN(2)/25)*Calculateur!AQ30*Calculateur!AS30*VLOOKUP('Données projet'!$B$10,Paramètres!$A$1:$I$89,3,0)*0.475*44/12</f>
        <v>11.875104768968118</v>
      </c>
      <c r="AW30" s="23">
        <f>EXP(-LN(2)/2)*AW29+(1-EXP(-LN(2)/2))/(LN(2)/2)*AQ30*AT30*VLOOKUP('Données projet'!$B$10,Paramètres!$A$1:$I$89,3,0)*0.475*44/12</f>
        <v>8.8568868977254063</v>
      </c>
      <c r="AX30" s="23">
        <f t="shared" si="6"/>
        <v>29.524298977153858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6.3622807017543854</v>
      </c>
      <c r="BD30" s="13">
        <f>IF('Données projet'!$A$88&gt;35,BD29+BC30-BL29,IF(A30&lt;'Données projet'!$A$88,$BA$205^A30,IF(A30='Données projet'!$A$88,'Données projet'!$B$88,BD29+BC30-BL29)))</f>
        <v>171.78157894736833</v>
      </c>
      <c r="BE30" s="14">
        <f>BD30*VLOOKUP('Données projet'!$B$11,Paramètres!$A$1:$I$89,3,0)*VLOOKUP('Données projet'!$B$11,Paramètres!$A$1:$I$89,5,0)</f>
        <v>82.626939473684175</v>
      </c>
      <c r="BF30" s="14">
        <f t="shared" si="37"/>
        <v>22.778271731641873</v>
      </c>
      <c r="BG30" s="22">
        <f t="shared" si="7"/>
        <v>183.58074284927622</v>
      </c>
      <c r="BH30" s="62">
        <f t="shared" si="8"/>
        <v>476.91407618260951</v>
      </c>
      <c r="BI30" s="62">
        <f ca="1">AVERAGE(OFFSET($BH$3,0,0,'Données projet'!$E$11+1,1))-AVERAGE(OFFSET($H$3,0,0,'Données projet'!$E$11+1,1))</f>
        <v>255.64417186544995</v>
      </c>
      <c r="BJ30" s="62">
        <f t="shared" si="38"/>
        <v>165.41802783289376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24.6</v>
      </c>
      <c r="BY30" s="13">
        <f>IF('Données projet'!$A$114&gt;35,BY29+BX30-CG29,IF(A30&lt;'Données projet'!$A$114,$BV$205^A30,IF(A30='Données projet'!$A$114,'Données projet'!$B$114,BY29+BX30-CG29)))</f>
        <v>366.2000000000001</v>
      </c>
      <c r="BZ30" s="14">
        <f>BY30*VLOOKUP('Données projet'!$B$12,Paramètres!$A$1:$I$89,3,0)*VLOOKUP('Données projet'!$B$12,Paramètres!$A$1:$I$89,5,0)</f>
        <v>204.70580000000007</v>
      </c>
      <c r="CA30" s="14">
        <f t="shared" si="39"/>
        <v>50.776956172604621</v>
      </c>
      <c r="CB30" s="22">
        <f t="shared" si="10"/>
        <v>444.96580033395315</v>
      </c>
      <c r="CC30" s="62">
        <f t="shared" si="11"/>
        <v>738.29913366728647</v>
      </c>
      <c r="CD30" s="62">
        <f ca="1">AVERAGE(OFFSET($CC$3,0,0,'Données projet'!$E$12+1,1))-AVERAGE(OFFSET($H$3,0,0,'Données projet'!$E$12+1,1))</f>
        <v>465.49436272491818</v>
      </c>
      <c r="CE30" s="62">
        <f t="shared" si="40"/>
        <v>494.36941732405256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13.150249649791448</v>
      </c>
      <c r="CL30" s="23">
        <f>EXP(-LN(2)/25)*CL29+(1-EXP(-LN(2)/25))/(LN(2)/25)*Calculateur!CG30*Calculateur!CI30*VLOOKUP('Données projet'!$B$12,Paramètres!$A$1:$I$89,3,0)*0.475*44/12</f>
        <v>17.24025727980862</v>
      </c>
      <c r="CM30" s="23">
        <f>EXP(-LN(2)/2)*CM29+(1-EXP(-LN(2)/2))/(LN(2)/2)*CG30*CJ30*VLOOKUP('Données projet'!$B$12,Paramètres!$A$1:$I$89,3,0)*0.475*44/12</f>
        <v>5.2565356142357871</v>
      </c>
      <c r="CN30" s="24">
        <f t="shared" si="12"/>
        <v>35.647042543835852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20.836666666666673</v>
      </c>
      <c r="CT30" s="13">
        <f>IF('Données projet'!$A$140&gt;35,CT29+CS30-DB29,IF(A30&lt;'Données projet'!$A$140,$CQ$205^A30,IF(A30='Données projet'!$A$140,'Données projet'!$B$140,CT29+CS30-DB29)))</f>
        <v>197.59000000000003</v>
      </c>
      <c r="CU30" s="18">
        <f>CT30*VLOOKUP('Données projet'!$B$13,Paramètres!$A$1:$I$89,3,0)*VLOOKUP('Données projet'!$B$13,Paramètres!$A$1:$I$89,5,0)</f>
        <v>118.15882000000003</v>
      </c>
      <c r="CV30" s="14">
        <f t="shared" si="41"/>
        <v>31.245188622686264</v>
      </c>
      <c r="CW30" s="22">
        <f t="shared" si="13"/>
        <v>260.21198168451195</v>
      </c>
      <c r="CX30" s="62">
        <f t="shared" si="14"/>
        <v>553.54531501784527</v>
      </c>
      <c r="CY30" s="62">
        <f ca="1">AVERAGE(OFFSET($CX$3,0,0,'Données projet'!$E$13+1,1))-AVERAGE(OFFSET($H$3,0,0,'Données projet'!$E$13+1,1))</f>
        <v>361.46923697840384</v>
      </c>
      <c r="CZ30" s="62">
        <f t="shared" si="42"/>
        <v>302.25424592654673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11.676001043262707</v>
      </c>
      <c r="DG30" s="23">
        <f>EXP(-LN(2)/25)*DG29+(1-EXP(-LN(2)/25))/(LN(2)/25)*Calculateur!DB30*Calculateur!DD30*VLOOKUP('Données projet'!$B$13,Paramètres!$A$1:$I$89,3,0)*0.475*44/12</f>
        <v>9.472198026031986</v>
      </c>
      <c r="DH30" s="23">
        <f>EXP(-LN(2)/2)*DH29+(1-EXP(-LN(2)/2))/(LN(2)/2)*DB30*DE30*VLOOKUP('Données projet'!$B$13,Paramètres!$A$1:$I$89,3,0)*0.475*44/12</f>
        <v>3.3002268802682648</v>
      </c>
      <c r="DI30" s="24">
        <f t="shared" si="15"/>
        <v>24.448425949562957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22.2</v>
      </c>
      <c r="N31" s="14">
        <f>IF('Données projet'!$A$36&gt;35,N30+M31-V30,IF(A31&lt;'Données projet'!$A$36,$K$205^A31,IF(A31='Données projet'!$A$36,'Données projet'!$B$36,N30+M31-V30)))</f>
        <v>315.59999999999997</v>
      </c>
      <c r="O31" s="14">
        <f>N31*VLOOKUP('Données projet'!$B$9,Paramètres!$A$1:$I$89,3,0)*VLOOKUP('Données projet'!$B$9,Paramètres!$A$1:$I$89,5,0)</f>
        <v>176.42039999999997</v>
      </c>
      <c r="P31" s="14">
        <f t="shared" si="33"/>
        <v>44.5248624718784</v>
      </c>
      <c r="Q31" s="22">
        <f t="shared" si="2"/>
        <v>384.81299880518822</v>
      </c>
      <c r="R31" s="62">
        <f t="shared" si="0"/>
        <v>678.14633213852153</v>
      </c>
      <c r="S31" s="62">
        <f ca="1">AVERAGE(OFFSET($R$3,0,0,'Données projet'!$E$9+1,1))-AVERAGE(OFFSET($H$3,0,0,'Données projet'!$E$9+1,1))</f>
        <v>389.80719836281679</v>
      </c>
      <c r="T31" s="62">
        <f t="shared" si="34"/>
        <v>399.58193819355591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7.73596057217694</v>
      </c>
      <c r="AA31" s="23">
        <f>EXP(-LN(2)/25)*AA30+(1-EXP(-LN(2)/25))/(LN(2)/25)*Calculateur!V31*Calculateur!X31*VLOOKUP('Données projet'!$B$9,Paramètres!$A$1:$I$89,3,0)*0.475*44/12</f>
        <v>8.6179985650637807</v>
      </c>
      <c r="AB31" s="23">
        <f>EXP(-LN(2)/2)*AB30+(1-EXP(-LN(2)/2))/(LN(2)/2)*V31*Y31*VLOOKUP('Données projet'!$B$9,Paramètres!$A$1:$I$89,3,0)*0.475*44/12</f>
        <v>2.6151573206592884</v>
      </c>
      <c r="AC31" s="24">
        <f t="shared" si="3"/>
        <v>18.969116457900011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16.614999999999998</v>
      </c>
      <c r="AI31" s="14">
        <f>IF('Données projet'!$A$62&gt;35,AI30+AH31-AQ30,IF(A31&lt;'Données projet'!$A$62,$AF$205^A31,IF(A31='Données projet'!$A$62,'Données projet'!$B$62,AI30+AH31-AQ30)))</f>
        <v>134.26499999999999</v>
      </c>
      <c r="AJ31" s="14">
        <f>AI31*VLOOKUP('Données projet'!$B$10,Paramètres!$A$1:$I$89,3,0)*VLOOKUP('Données projet'!$B$10,Paramètres!$A$1:$I$89,5,0)</f>
        <v>80.290469999999999</v>
      </c>
      <c r="AK31" s="14">
        <f t="shared" si="35"/>
        <v>22.208190565938402</v>
      </c>
      <c r="AL31" s="22">
        <f t="shared" si="4"/>
        <v>178.51850048567601</v>
      </c>
      <c r="AM31" s="62">
        <f t="shared" si="5"/>
        <v>471.85183381900936</v>
      </c>
      <c r="AN31" s="62">
        <f ca="1">AVERAGE(OFFSET($AM$3,0,0,'Données projet'!$E$10+1,1))-AVERAGE(OFFSET($H$3,0,0,'Données projet'!$E$10+1,1))</f>
        <v>269.90083987531233</v>
      </c>
      <c r="AO31" s="62">
        <f t="shared" si="36"/>
        <v>183.4515835513518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8.6198955268801356</v>
      </c>
      <c r="AV31" s="23">
        <f>EXP(-LN(2)/25)*AV30+(1-EXP(-LN(2)/25))/(LN(2)/25)*Calculateur!AQ31*Calculateur!AS31*VLOOKUP('Données projet'!$B$10,Paramètres!$A$1:$I$89,3,0)*0.475*44/12</f>
        <v>11.550379404576066</v>
      </c>
      <c r="AW31" s="23">
        <f>EXP(-LN(2)/2)*AW30+(1-EXP(-LN(2)/2))/(LN(2)/2)*AQ31*AT31*VLOOKUP('Données projet'!$B$10,Paramètres!$A$1:$I$89,3,0)*0.475*44/12</f>
        <v>6.2627647855839186</v>
      </c>
      <c r="AX31" s="23">
        <f t="shared" si="6"/>
        <v>26.433039717040121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6.3622807017543854</v>
      </c>
      <c r="BD31" s="13">
        <f>IF('Données projet'!$A$88&gt;35,BD30+BC31-BL30,IF(A31&lt;'Données projet'!$A$88,$BA$205^A31,IF(A31='Données projet'!$A$88,'Données projet'!$B$88,BD30+BC31-BL30)))</f>
        <v>178.1438596491227</v>
      </c>
      <c r="BE31" s="14">
        <f>BD31*VLOOKUP('Données projet'!$B$11,Paramètres!$A$1:$I$89,3,0)*VLOOKUP('Données projet'!$B$11,Paramètres!$A$1:$I$89,5,0)</f>
        <v>85.687196491228008</v>
      </c>
      <c r="BF31" s="14">
        <f t="shared" si="37"/>
        <v>23.522126650010112</v>
      </c>
      <c r="BG31" s="22">
        <f t="shared" si="7"/>
        <v>190.20623780432302</v>
      </c>
      <c r="BH31" s="62">
        <f t="shared" si="8"/>
        <v>483.53957113765637</v>
      </c>
      <c r="BI31" s="62">
        <f ca="1">AVERAGE(OFFSET($BH$3,0,0,'Données projet'!$E$11+1,1))-AVERAGE(OFFSET($H$3,0,0,'Données projet'!$E$11+1,1))</f>
        <v>255.64417186544995</v>
      </c>
      <c r="BJ31" s="62">
        <f t="shared" si="38"/>
        <v>165.41802783289376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24.6</v>
      </c>
      <c r="BY31" s="13">
        <f>IF('Données projet'!$A$114&gt;35,BY30+BX31-CG30,IF(A31&lt;'Données projet'!$A$114,$BV$205^A31,IF(A31='Données projet'!$A$114,'Données projet'!$B$114,BY30+BX31-CG30)))</f>
        <v>390.80000000000013</v>
      </c>
      <c r="BZ31" s="14">
        <f>BY31*VLOOKUP('Données projet'!$B$12,Paramètres!$A$1:$I$89,3,0)*VLOOKUP('Données projet'!$B$12,Paramètres!$A$1:$I$89,5,0)</f>
        <v>218.45720000000006</v>
      </c>
      <c r="CA31" s="14">
        <f t="shared" si="39"/>
        <v>53.779428547055552</v>
      </c>
      <c r="CB31" s="22">
        <f t="shared" si="10"/>
        <v>474.14546138612178</v>
      </c>
      <c r="CC31" s="62">
        <f t="shared" si="11"/>
        <v>767.4787947194551</v>
      </c>
      <c r="CD31" s="62">
        <f ca="1">AVERAGE(OFFSET($CC$3,0,0,'Données projet'!$E$12+1,1))-AVERAGE(OFFSET($H$3,0,0,'Données projet'!$E$12+1,1))</f>
        <v>465.49436272491818</v>
      </c>
      <c r="CE31" s="62">
        <f t="shared" si="40"/>
        <v>494.36941732405256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12.89238127501933</v>
      </c>
      <c r="CL31" s="23">
        <f>EXP(-LN(2)/25)*CL30+(1-EXP(-LN(2)/25))/(LN(2)/25)*Calculateur!CG31*Calculateur!CI31*VLOOKUP('Données projet'!$B$12,Paramètres!$A$1:$I$89,3,0)*0.475*44/12</f>
        <v>16.768821537866526</v>
      </c>
      <c r="CM31" s="23">
        <f>EXP(-LN(2)/2)*CM30+(1-EXP(-LN(2)/2))/(LN(2)/2)*CG31*CJ31*VLOOKUP('Données projet'!$B$12,Paramètres!$A$1:$I$89,3,0)*0.475*44/12</f>
        <v>3.7169319783747192</v>
      </c>
      <c r="CN31" s="24">
        <f t="shared" si="12"/>
        <v>33.378134791260571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20.836666666666673</v>
      </c>
      <c r="CT31" s="13">
        <f>IF('Données projet'!$A$140&gt;35,CT30+CS31-DB30,IF(A31&lt;'Données projet'!$A$140,$CQ$205^A31,IF(A31='Données projet'!$A$140,'Données projet'!$B$140,CT30+CS31-DB30)))</f>
        <v>218.4266666666667</v>
      </c>
      <c r="CU31" s="18">
        <f>CT31*VLOOKUP('Données projet'!$B$13,Paramètres!$A$1:$I$89,3,0)*VLOOKUP('Données projet'!$B$13,Paramètres!$A$1:$I$89,5,0)</f>
        <v>130.61914666666669</v>
      </c>
      <c r="CV31" s="14">
        <f t="shared" si="41"/>
        <v>34.139386362296221</v>
      </c>
      <c r="CW31" s="22">
        <f t="shared" si="13"/>
        <v>286.9544450254437</v>
      </c>
      <c r="CX31" s="62">
        <f t="shared" si="14"/>
        <v>580.28777835877702</v>
      </c>
      <c r="CY31" s="62">
        <f ca="1">AVERAGE(OFFSET($CX$3,0,0,'Données projet'!$E$13+1,1))-AVERAGE(OFFSET($H$3,0,0,'Données projet'!$E$13+1,1))</f>
        <v>361.46923697840384</v>
      </c>
      <c r="CZ31" s="62">
        <f t="shared" si="42"/>
        <v>302.25424592654673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11.447041784461756</v>
      </c>
      <c r="DG31" s="23">
        <f>EXP(-LN(2)/25)*DG30+(1-EXP(-LN(2)/25))/(LN(2)/25)*Calculateur!DB31*Calculateur!DD31*VLOOKUP('Données projet'!$B$13,Paramètres!$A$1:$I$89,3,0)*0.475*44/12</f>
        <v>9.2131802728888967</v>
      </c>
      <c r="DH31" s="23">
        <f>EXP(-LN(2)/2)*DH30+(1-EXP(-LN(2)/2))/(LN(2)/2)*DB31*DE31*VLOOKUP('Données projet'!$B$13,Paramètres!$A$1:$I$89,3,0)*0.475*44/12</f>
        <v>2.3336128064918147</v>
      </c>
      <c r="DI31" s="24">
        <f t="shared" si="15"/>
        <v>22.993834863842466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22.2</v>
      </c>
      <c r="N32" s="14">
        <f>IF('Données projet'!$A$36&gt;35,N31+M32-V31,IF(A32&lt;'Données projet'!$A$36,$K$205^A32,IF(A32='Données projet'!$A$36,'Données projet'!$B$36,N31+M32-V31)))</f>
        <v>337.79999999999995</v>
      </c>
      <c r="O32" s="14">
        <f>N32*VLOOKUP('Données projet'!$B$9,Paramètres!$A$1:$I$89,3,0)*VLOOKUP('Données projet'!$B$9,Paramètres!$A$1:$I$89,5,0)</f>
        <v>188.83019999999999</v>
      </c>
      <c r="P32" s="14">
        <f t="shared" si="33"/>
        <v>47.28123379422199</v>
      </c>
      <c r="Q32" s="22">
        <f t="shared" si="2"/>
        <v>411.22741385826993</v>
      </c>
      <c r="R32" s="62">
        <f t="shared" si="0"/>
        <v>704.56074719160324</v>
      </c>
      <c r="S32" s="62">
        <f ca="1">AVERAGE(OFFSET($R$3,0,0,'Données projet'!$E$9+1,1))-AVERAGE(OFFSET($H$3,0,0,'Données projet'!$E$9+1,1))</f>
        <v>389.80719836281679</v>
      </c>
      <c r="T32" s="62">
        <f t="shared" si="34"/>
        <v>399.58193819355591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7.5842631038265891</v>
      </c>
      <c r="AA32" s="23">
        <f>EXP(-LN(2)/25)*AA31+(1-EXP(-LN(2)/25))/(LN(2)/25)*Calculateur!V32*Calculateur!X32*VLOOKUP('Données projet'!$B$9,Paramètres!$A$1:$I$89,3,0)*0.475*44/12</f>
        <v>8.3823389411012634</v>
      </c>
      <c r="AB32" s="23">
        <f>EXP(-LN(2)/2)*AB31+(1-EXP(-LN(2)/2))/(LN(2)/2)*V32*Y32*VLOOKUP('Données projet'!$B$9,Paramètres!$A$1:$I$89,3,0)*0.475*44/12</f>
        <v>1.8491954753078255</v>
      </c>
      <c r="AC32" s="24">
        <f t="shared" si="3"/>
        <v>17.81579752023568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16.614999999999998</v>
      </c>
      <c r="AI32" s="14">
        <f>IF('Données projet'!$A$62&gt;35,AI31+AH32-AQ31,IF(A32&lt;'Données projet'!$A$62,$AF$205^A32,IF(A32='Données projet'!$A$62,'Données projet'!$B$62,AI31+AH32-AQ31)))</f>
        <v>150.88</v>
      </c>
      <c r="AJ32" s="14">
        <f>AI32*VLOOKUP('Données projet'!$B$10,Paramètres!$A$1:$I$89,3,0)*VLOOKUP('Données projet'!$B$10,Paramètres!$A$1:$I$89,5,0)</f>
        <v>90.22623999999999</v>
      </c>
      <c r="AK32" s="14">
        <f t="shared" si="35"/>
        <v>24.619780658757083</v>
      </c>
      <c r="AL32" s="22">
        <f t="shared" si="4"/>
        <v>200.02348598066854</v>
      </c>
      <c r="AM32" s="62">
        <f t="shared" si="5"/>
        <v>493.35681931400188</v>
      </c>
      <c r="AN32" s="62">
        <f ca="1">AVERAGE(OFFSET($AM$3,0,0,'Données projet'!$E$10+1,1))-AVERAGE(OFFSET($H$3,0,0,'Données projet'!$E$10+1,1))</f>
        <v>269.90083987531233</v>
      </c>
      <c r="AO32" s="62">
        <f t="shared" si="36"/>
        <v>183.4515835513518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8.4508646332151418</v>
      </c>
      <c r="AV32" s="23">
        <f>EXP(-LN(2)/25)*AV31+(1-EXP(-LN(2)/25))/(LN(2)/25)*Calculateur!AQ32*Calculateur!AS32*VLOOKUP('Données projet'!$B$10,Paramètres!$A$1:$I$89,3,0)*0.475*44/12</f>
        <v>11.23453367234988</v>
      </c>
      <c r="AW32" s="23">
        <f>EXP(-LN(2)/2)*AW31+(1-EXP(-LN(2)/2))/(LN(2)/2)*AQ32*AT32*VLOOKUP('Données projet'!$B$10,Paramètres!$A$1:$I$89,3,0)*0.475*44/12</f>
        <v>4.4284434488627031</v>
      </c>
      <c r="AX32" s="23">
        <f t="shared" si="6"/>
        <v>24.113841754427725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6.3622807017543854</v>
      </c>
      <c r="BD32" s="13">
        <f>IF('Données projet'!$A$88&gt;35,BD31+BC32-BL31,IF(A32&lt;'Données projet'!$A$88,$BA$205^A32,IF(A32='Données projet'!$A$88,'Données projet'!$B$88,BD31+BC32-BL31)))</f>
        <v>184.50614035087708</v>
      </c>
      <c r="BE32" s="14">
        <f>BD32*VLOOKUP('Données projet'!$B$11,Paramètres!$A$1:$I$89,3,0)*VLOOKUP('Données projet'!$B$11,Paramètres!$A$1:$I$89,5,0)</f>
        <v>88.747453508771869</v>
      </c>
      <c r="BF32" s="14">
        <f t="shared" si="37"/>
        <v>24.262894982787131</v>
      </c>
      <c r="BG32" s="22">
        <f t="shared" si="7"/>
        <v>196.82635695613192</v>
      </c>
      <c r="BH32" s="62">
        <f t="shared" si="8"/>
        <v>490.15969028946523</v>
      </c>
      <c r="BI32" s="62">
        <f ca="1">AVERAGE(OFFSET($BH$3,0,0,'Données projet'!$E$11+1,1))-AVERAGE(OFFSET($H$3,0,0,'Données projet'!$E$11+1,1))</f>
        <v>255.64417186544995</v>
      </c>
      <c r="BJ32" s="62">
        <f t="shared" si="38"/>
        <v>165.41802783289376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24.6</v>
      </c>
      <c r="BY32" s="13">
        <f>IF('Données projet'!$A$114&gt;35,BY31+BX32-CG31,IF(A32&lt;'Données projet'!$A$114,$BV$205^A32,IF(A32='Données projet'!$A$114,'Données projet'!$B$114,BY31+BX32-CG31)))</f>
        <v>415.40000000000015</v>
      </c>
      <c r="BZ32" s="14">
        <f>BY32*VLOOKUP('Données projet'!$B$12,Paramètres!$A$1:$I$89,3,0)*VLOOKUP('Données projet'!$B$12,Paramètres!$A$1:$I$89,5,0)</f>
        <v>232.2086000000001</v>
      </c>
      <c r="CA32" s="14">
        <f t="shared" si="39"/>
        <v>56.759966547343083</v>
      </c>
      <c r="CB32" s="22">
        <f t="shared" si="10"/>
        <v>503.28692006995601</v>
      </c>
      <c r="CC32" s="62">
        <f t="shared" si="11"/>
        <v>796.62025340328933</v>
      </c>
      <c r="CD32" s="62">
        <f ca="1">AVERAGE(OFFSET($CC$3,0,0,'Données projet'!$E$12+1,1))-AVERAGE(OFFSET($H$3,0,0,'Données projet'!$E$12+1,1))</f>
        <v>465.49436272491818</v>
      </c>
      <c r="CE32" s="62">
        <f t="shared" si="40"/>
        <v>494.36941732405256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12.639569541792316</v>
      </c>
      <c r="CL32" s="23">
        <f>EXP(-LN(2)/25)*CL31+(1-EXP(-LN(2)/25))/(LN(2)/25)*Calculateur!CG32*Calculateur!CI32*VLOOKUP('Données projet'!$B$12,Paramètres!$A$1:$I$89,3,0)*0.475*44/12</f>
        <v>16.310277231079567</v>
      </c>
      <c r="CM32" s="23">
        <f>EXP(-LN(2)/2)*CM31+(1-EXP(-LN(2)/2))/(LN(2)/2)*CG32*CJ32*VLOOKUP('Données projet'!$B$12,Paramètres!$A$1:$I$89,3,0)*0.475*44/12</f>
        <v>2.628267807117894</v>
      </c>
      <c r="CN32" s="24">
        <f t="shared" si="12"/>
        <v>31.578114579989776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20.836666666666673</v>
      </c>
      <c r="CT32" s="13">
        <f>IF('Données projet'!$A$140&gt;35,CT31+CS32-DB31,IF(A32&lt;'Données projet'!$A$140,$CQ$205^A32,IF(A32='Données projet'!$A$140,'Données projet'!$B$140,CT31+CS32-DB31)))</f>
        <v>239.26333333333338</v>
      </c>
      <c r="CU32" s="18">
        <f>CT32*VLOOKUP('Données projet'!$B$13,Paramètres!$A$1:$I$89,3,0)*VLOOKUP('Données projet'!$B$13,Paramètres!$A$1:$I$89,5,0)</f>
        <v>143.07947333333337</v>
      </c>
      <c r="CV32" s="14">
        <f t="shared" si="41"/>
        <v>37.001573778174709</v>
      </c>
      <c r="CW32" s="22">
        <f t="shared" si="13"/>
        <v>313.64115705254318</v>
      </c>
      <c r="CX32" s="62">
        <f t="shared" si="14"/>
        <v>606.97449038587649</v>
      </c>
      <c r="CY32" s="62">
        <f ca="1">AVERAGE(OFFSET($CX$3,0,0,'Données projet'!$E$13+1,1))-AVERAGE(OFFSET($H$3,0,0,'Données projet'!$E$13+1,1))</f>
        <v>361.46923697840384</v>
      </c>
      <c r="CZ32" s="62">
        <f t="shared" si="42"/>
        <v>302.25424592654673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11.222572277074534</v>
      </c>
      <c r="DG32" s="23">
        <f>EXP(-LN(2)/25)*DG31+(1-EXP(-LN(2)/25))/(LN(2)/25)*Calculateur!DB32*Calculateur!DD32*VLOOKUP('Données projet'!$B$13,Paramètres!$A$1:$I$89,3,0)*0.475*44/12</f>
        <v>8.9612453738266566</v>
      </c>
      <c r="DH32" s="23">
        <f>EXP(-LN(2)/2)*DH31+(1-EXP(-LN(2)/2))/(LN(2)/2)*DB32*DE32*VLOOKUP('Données projet'!$B$13,Paramètres!$A$1:$I$89,3,0)*0.475*44/12</f>
        <v>1.6501134401341329</v>
      </c>
      <c r="DI32" s="24">
        <f t="shared" si="15"/>
        <v>21.833931091035325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360</v>
      </c>
      <c r="L33" s="13">
        <f>VLOOKUP(A33,'Données projet'!$A$35:$I$55,9,0)</f>
        <v>22.2</v>
      </c>
      <c r="M33" s="13">
        <f t="array" ref="M33">INDEX(L:L,MIN(IF(ISNUMBER(L33:L229),ROW(L33:L229),"")))</f>
        <v>22.2</v>
      </c>
      <c r="N33" s="14">
        <f>IF('Données projet'!$A$36&gt;35,N32+M33-V32,IF(A33&lt;'Données projet'!$A$36,$K$205^A33,IF(A33='Données projet'!$A$36,'Données projet'!$B$36,N32+M33-V32)))</f>
        <v>359.99999999999994</v>
      </c>
      <c r="O33" s="14">
        <f>N33*VLOOKUP('Données projet'!$B$9,Paramètres!$A$1:$I$89,3,0)*VLOOKUP('Données projet'!$B$9,Paramètres!$A$1:$I$89,5,0)</f>
        <v>201.23999999999998</v>
      </c>
      <c r="P33" s="14">
        <f t="shared" si="33"/>
        <v>50.016584086333268</v>
      </c>
      <c r="Q33" s="22">
        <f t="shared" si="2"/>
        <v>437.60521728369707</v>
      </c>
      <c r="R33" s="62">
        <f t="shared" si="0"/>
        <v>730.93855061703039</v>
      </c>
      <c r="S33" s="62">
        <f ca="1">AVERAGE(OFFSET($R$3,0,0,'Données projet'!$E$9+1,1))-AVERAGE(OFFSET($H$3,0,0,'Données projet'!$E$9+1,1))</f>
        <v>389.80719836281679</v>
      </c>
      <c r="T33" s="62">
        <f t="shared" si="34"/>
        <v>399.58193819355591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46</v>
      </c>
      <c r="W33" s="17">
        <f>IF(ISNA(VLOOKUP(A33,'Données projet'!$A$35:$I$55,5,0)),0%,VLOOKUP(A33,'Données projet'!$A$35:$I$55,5,0)*VLOOKUP('Données projet'!$B$9,Paramètres!$A$1:$I$89,7,0))</f>
        <v>0.22000000000000003</v>
      </c>
      <c r="X33" s="17">
        <f>IF(ISNA(VLOOKUP(A33,'Données projet'!$A$35:$I$55,6,0)),0%,VLOOKUP(A33,'Données projet'!$A$35:$I$55,6,0)*VLOOKUP('Données projet'!$B$9,Paramètres!$A$1:$I$89,7,0))</f>
        <v>0.18700000000000003</v>
      </c>
      <c r="Y33" s="17">
        <f>IF(ISNA(VLOOKUP(A33,'Données projet'!$A$35:$I$55,7,0)),0%,VLOOKUP(A33,'Données projet'!$A$35:$I$55,7,0))</f>
        <v>0.26</v>
      </c>
      <c r="Z33" s="23">
        <f>EXP(-LN(2)/35)*Z32+(1-EXP(-LN(2)/35))/(LN(2)/35)*V33*W33*VLOOKUP('Données projet'!$B$9,Paramètres!$A$1:$I$89,3,0)*0.475*44/12</f>
        <v>14.940021579882185</v>
      </c>
      <c r="AA33" s="23">
        <f>EXP(-LN(2)/25)*AA32+(1-EXP(-LN(2)/25))/(LN(2)/25)*Calculateur!V33*Calculateur!X33*VLOOKUP('Données projet'!$B$9,Paramètres!$A$1:$I$89,3,0)*0.475*44/12</f>
        <v>14.506816702295579</v>
      </c>
      <c r="AB33" s="23">
        <f>EXP(-LN(2)/2)*AB32+(1-EXP(-LN(2)/2))/(LN(2)/2)*V33*Y33*VLOOKUP('Données projet'!$B$9,Paramètres!$A$1:$I$89,3,0)*0.475*44/12</f>
        <v>8.8772761979644841</v>
      </c>
      <c r="AC33" s="24">
        <f t="shared" si="3"/>
        <v>38.324114480142249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16.614999999999998</v>
      </c>
      <c r="AI33" s="14">
        <f>IF('Données projet'!$A$62&gt;35,AI32+AH33-AQ32,IF(A33&lt;'Données projet'!$A$62,$AF$205^A33,IF(A33='Données projet'!$A$62,'Données projet'!$B$62,AI32+AH33-AQ32)))</f>
        <v>167.495</v>
      </c>
      <c r="AJ33" s="14">
        <f>AI33*VLOOKUP('Données projet'!$B$10,Paramètres!$A$1:$I$89,3,0)*VLOOKUP('Données projet'!$B$10,Paramètres!$A$1:$I$89,5,0)</f>
        <v>100.16201000000001</v>
      </c>
      <c r="AK33" s="14">
        <f t="shared" si="35"/>
        <v>27.000590559708886</v>
      </c>
      <c r="AL33" s="22">
        <f t="shared" si="4"/>
        <v>221.47486264149299</v>
      </c>
      <c r="AM33" s="62">
        <f t="shared" si="5"/>
        <v>514.80819597482628</v>
      </c>
      <c r="AN33" s="62">
        <f ca="1">AVERAGE(OFFSET($AM$3,0,0,'Données projet'!$E$10+1,1))-AVERAGE(OFFSET($H$3,0,0,'Données projet'!$E$10+1,1))</f>
        <v>269.90083987531233</v>
      </c>
      <c r="AO33" s="62">
        <f t="shared" si="36"/>
        <v>183.4515835513518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8.2851483322762522</v>
      </c>
      <c r="AV33" s="23">
        <f>EXP(-LN(2)/25)*AV32+(1-EXP(-LN(2)/25))/(LN(2)/25)*Calculateur!AQ33*Calculateur!AS33*VLOOKUP('Données projet'!$B$10,Paramètres!$A$1:$I$89,3,0)*0.475*44/12</f>
        <v>10.927324758281022</v>
      </c>
      <c r="AW33" s="23">
        <f>EXP(-LN(2)/2)*AW32+(1-EXP(-LN(2)/2))/(LN(2)/2)*AQ33*AT33*VLOOKUP('Données projet'!$B$10,Paramètres!$A$1:$I$89,3,0)*0.475*44/12</f>
        <v>3.1313823927919593</v>
      </c>
      <c r="AX33" s="23">
        <f t="shared" si="6"/>
        <v>22.343855483349234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6.3622807017543854</v>
      </c>
      <c r="BD33" s="13">
        <f>IF('Données projet'!$A$88&gt;35,BD32+BC33-BL32,IF(A33&lt;'Données projet'!$A$88,$BA$205^A33,IF(A33='Données projet'!$A$88,'Données projet'!$B$88,BD32+BC33-BL32)))</f>
        <v>190.86842105263145</v>
      </c>
      <c r="BE33" s="14">
        <f>BD33*VLOOKUP('Données projet'!$B$11,Paramètres!$A$1:$I$89,3,0)*VLOOKUP('Données projet'!$B$11,Paramètres!$A$1:$I$89,5,0)</f>
        <v>91.807710526315731</v>
      </c>
      <c r="BF33" s="14">
        <f t="shared" si="37"/>
        <v>25.00069536250815</v>
      </c>
      <c r="BG33" s="22">
        <f t="shared" si="7"/>
        <v>203.44130692303494</v>
      </c>
      <c r="BH33" s="62">
        <f t="shared" si="8"/>
        <v>496.77464025636823</v>
      </c>
      <c r="BI33" s="62">
        <f ca="1">AVERAGE(OFFSET($BH$3,0,0,'Données projet'!$E$11+1,1))-AVERAGE(OFFSET($H$3,0,0,'Données projet'!$E$11+1,1))</f>
        <v>255.64417186544995</v>
      </c>
      <c r="BJ33" s="62">
        <f t="shared" si="38"/>
        <v>165.41802783289376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440</v>
      </c>
      <c r="BW33" s="13">
        <f>VLOOKUP(A33,'Données projet'!$A$113:$I$133,9,0)</f>
        <v>24.6</v>
      </c>
      <c r="BX33" s="13">
        <f t="array" ref="BX33">INDEX(BW:BW,MIN(IF(ISNUMBER(BW33:BW229),ROW(BW33:BW229),"")))</f>
        <v>24.6</v>
      </c>
      <c r="BY33" s="13">
        <f>IF('Données projet'!$A$114&gt;35,BY32+BX33-CG32,IF(A33&lt;'Données projet'!$A$114,$BV$205^A33,IF(A33='Données projet'!$A$114,'Données projet'!$B$114,BY32+BX33-CG32)))</f>
        <v>440.00000000000017</v>
      </c>
      <c r="BZ33" s="14">
        <f>BY33*VLOOKUP('Données projet'!$B$12,Paramètres!$A$1:$I$89,3,0)*VLOOKUP('Données projet'!$B$12,Paramètres!$A$1:$I$89,5,0)</f>
        <v>245.96000000000009</v>
      </c>
      <c r="CA33" s="14">
        <f t="shared" si="39"/>
        <v>59.720017079919756</v>
      </c>
      <c r="CB33" s="22">
        <f t="shared" si="10"/>
        <v>532.39269641419367</v>
      </c>
      <c r="CC33" s="62">
        <f t="shared" si="11"/>
        <v>825.72602974752704</v>
      </c>
      <c r="CD33" s="62">
        <f ca="1">AVERAGE(OFFSET($CC$3,0,0,'Données projet'!$E$12+1,1))-AVERAGE(OFFSET($H$3,0,0,'Données projet'!$E$12+1,1))</f>
        <v>465.49436272491818</v>
      </c>
      <c r="CE33" s="62">
        <f t="shared" si="40"/>
        <v>494.36941732405256</v>
      </c>
      <c r="CF33" s="16">
        <f>IF(ISNA(VLOOKUP(A33,'Données projet'!$A$113:$I$133,3,0)),0,VLOOKUP(A33,'Données projet'!$A$113:$I$133,3,0))</f>
        <v>4</v>
      </c>
      <c r="CG33" s="16">
        <f>IF(ISNA(VLOOKUP(A33,'Données projet'!$A$113:$I$133,4,0)),0,VLOOKUP(A33,'Données projet'!$A$113:$I$133,4,0))</f>
        <v>55</v>
      </c>
      <c r="CH33" s="17">
        <f>IF(ISNA(VLOOKUP(A33,'Données projet'!$A$113:$I$133,5,0)),0%,VLOOKUP(A33,'Données projet'!$A$113:$I$133,5,0)*VLOOKUP('Données projet'!$B$12,Paramètres!$A$1:$I$89,7,0))</f>
        <v>0.22000000000000003</v>
      </c>
      <c r="CI33" s="17">
        <f>IF(ISNA(VLOOKUP(A33,'Données projet'!$A$113:$I$133,6,0)),0%,VLOOKUP(A33,'Données projet'!$A$113:$I$133,6,0)*VLOOKUP('Données projet'!$B$12,Paramètres!$A$1:$I$89,7,0))</f>
        <v>0.18700000000000003</v>
      </c>
      <c r="CJ33" s="17">
        <f>IF(ISNA(VLOOKUP(A33,'Données projet'!$A$113:$I$133,7,0)),0%,VLOOKUP(A33,'Données projet'!$A$113:$I$133,7,0))</f>
        <v>0.26</v>
      </c>
      <c r="CK33" s="23">
        <f>EXP(-LN(2)/35)*CK32+(1-EXP(-LN(2)/35))/(LN(2)/35)*CG33*CH33*VLOOKUP('Données projet'!$B$12,Paramètres!$A$1:$I$89,3,0)*0.475*44/12</f>
        <v>21.364464612601459</v>
      </c>
      <c r="CL33" s="23">
        <f>EXP(-LN(2)/25)*CL32+(1-EXP(-LN(2)/25))/(LN(2)/25)*Calculateur!CG33*Calculateur!CI33*VLOOKUP('Données projet'!$B$12,Paramètres!$A$1:$I$89,3,0)*0.475*44/12</f>
        <v>23.46107900158577</v>
      </c>
      <c r="CM33" s="23">
        <f>EXP(-LN(2)/2)*CM32+(1-EXP(-LN(2)/2))/(LN(2)/2)*CG33*CJ33*VLOOKUP('Données projet'!$B$12,Paramètres!$A$1:$I$89,3,0)*0.475*44/12</f>
        <v>10.909191305924672</v>
      </c>
      <c r="CN33" s="24">
        <f t="shared" si="12"/>
        <v>55.734734920111897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260.10000000000002</v>
      </c>
      <c r="CR33" s="13">
        <f>VLOOKUP(A33,'Données projet'!$A$139:$I$159,9,0)</f>
        <v>20.836666666666673</v>
      </c>
      <c r="CS33" s="13">
        <f t="array" ref="CS33">INDEX(CR:CR,MIN(IF(ISNUMBER(CR33:CR229),ROW(CR33:CR229),"")))</f>
        <v>20.836666666666673</v>
      </c>
      <c r="CT33" s="13">
        <f>IF('Données projet'!$A$140&gt;35,CT32+CS33-DB32,IF(A33&lt;'Données projet'!$A$140,$CQ$205^A33,IF(A33='Données projet'!$A$140,'Données projet'!$B$140,CT32+CS33-DB32)))</f>
        <v>260.10000000000002</v>
      </c>
      <c r="CU33" s="18">
        <f>CT33*VLOOKUP('Données projet'!$B$13,Paramètres!$A$1:$I$89,3,0)*VLOOKUP('Données projet'!$B$13,Paramètres!$A$1:$I$89,5,0)</f>
        <v>155.53980000000001</v>
      </c>
      <c r="CV33" s="14">
        <f t="shared" si="41"/>
        <v>39.834855511973885</v>
      </c>
      <c r="CW33" s="22">
        <f t="shared" si="13"/>
        <v>340.27752501668789</v>
      </c>
      <c r="CX33" s="62">
        <f t="shared" si="14"/>
        <v>633.6108583500212</v>
      </c>
      <c r="CY33" s="62">
        <f ca="1">AVERAGE(OFFSET($CX$3,0,0,'Données projet'!$E$13+1,1))-AVERAGE(OFFSET($H$3,0,0,'Données projet'!$E$13+1,1))</f>
        <v>361.46923697840384</v>
      </c>
      <c r="CZ33" s="62">
        <f t="shared" si="42"/>
        <v>302.25424592654673</v>
      </c>
      <c r="DA33" s="16">
        <f>IF(ISNA(VLOOKUP(A33,'Données projet'!$A$139:$I$159,3,0)),0,VLOOKUP(A33,'Données projet'!$A$139:$I$159,3,0))</f>
        <v>3</v>
      </c>
      <c r="DB33" s="16">
        <f>IF(ISNA(VLOOKUP(A33,'Données projet'!$A$139:$I$159,4,0)),0,VLOOKUP(A33,'Données projet'!$A$139:$I$159,4,0))</f>
        <v>66.989999999999995</v>
      </c>
      <c r="DC33" s="17">
        <f>IF(ISNA(VLOOKUP(A33,'Données projet'!$A$139:$I$159,5,0)),0%,VLOOKUP(A33,'Données projet'!$A$139:$I$159,5,0)*VLOOKUP('Données projet'!$B$13,Paramètres!$A$1:$I$89,7,0))</f>
        <v>0.18000000000000002</v>
      </c>
      <c r="DD33" s="17">
        <f>IF(ISNA(VLOOKUP(A33,'Données projet'!$A$139:$I$159,6,0)),0%,VLOOKUP(A33,'Données projet'!$A$139:$I$159,6,0)*VLOOKUP('Données projet'!$B$13,Paramètres!$A$1:$I$89,7,0))</f>
        <v>0.15300000000000002</v>
      </c>
      <c r="DE33" s="17">
        <f>IF(ISNA(VLOOKUP(A33,'Données projet'!$A$139:$I$159,7,0)),0%,VLOOKUP(A33,'Données projet'!$A$139:$I$159,7,0))</f>
        <v>0.26</v>
      </c>
      <c r="DF33" s="23">
        <f>EXP(-LN(2)/35)*DF32+(1-EXP(-LN(2)/35))/(LN(2)/35)*DB33*DC33*VLOOKUP('Données projet'!$B$13,Paramètres!$A$1:$I$89,3,0)*0.475*44/12</f>
        <v>20.568100230729772</v>
      </c>
      <c r="DG33" s="23">
        <f>EXP(-LN(2)/25)*DG32+(1-EXP(-LN(2)/25))/(LN(2)/25)*Calculateur!DB33*Calculateur!DD33*VLOOKUP('Données projet'!$B$13,Paramètres!$A$1:$I$89,3,0)*0.475*44/12</f>
        <v>16.814942150144393</v>
      </c>
      <c r="DH33" s="23">
        <f>EXP(-LN(2)/2)*DH32+(1-EXP(-LN(2)/2))/(LN(2)/2)*DB33*DE33*VLOOKUP('Données projet'!$B$13,Paramètres!$A$1:$I$89,3,0)*0.475*44/12</f>
        <v>12.959691008970511</v>
      </c>
      <c r="DI33" s="24">
        <f t="shared" si="15"/>
        <v>50.342733389844675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21.6</v>
      </c>
      <c r="N34" s="14">
        <f>IF('Données projet'!$A$36&gt;35,N33+M34-V33,IF(A34&lt;'Données projet'!$A$36,$K$205^A34,IF(A34='Données projet'!$A$36,'Données projet'!$B$36,N33+M34-V33)))</f>
        <v>335.59999999999997</v>
      </c>
      <c r="O34" s="14">
        <f>N34*VLOOKUP('Données projet'!$B$9,Paramètres!$A$1:$I$89,3,0)*VLOOKUP('Données projet'!$B$9,Paramètres!$A$1:$I$89,5,0)</f>
        <v>187.60040000000001</v>
      </c>
      <c r="P34" s="14">
        <f t="shared" si="33"/>
        <v>47.009043567098132</v>
      </c>
      <c r="Q34" s="22">
        <f t="shared" si="2"/>
        <v>408.61144754602924</v>
      </c>
      <c r="R34" s="62">
        <f t="shared" si="0"/>
        <v>701.9447808793625</v>
      </c>
      <c r="S34" s="62">
        <f ca="1">AVERAGE(OFFSET($R$3,0,0,'Données projet'!$E$9+1,1))-AVERAGE(OFFSET($H$3,0,0,'Données projet'!$E$9+1,1))</f>
        <v>389.80719836281679</v>
      </c>
      <c r="T34" s="62">
        <f t="shared" si="34"/>
        <v>399.58193819355591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14.647056869214072</v>
      </c>
      <c r="AA34" s="23">
        <f>EXP(-LN(2)/25)*AA33+(1-EXP(-LN(2)/25))/(LN(2)/25)*Calculateur!V34*Calculateur!X34*VLOOKUP('Données projet'!$B$9,Paramètres!$A$1:$I$89,3,0)*0.475*44/12</f>
        <v>14.110127036690972</v>
      </c>
      <c r="AB34" s="23">
        <f>EXP(-LN(2)/2)*AB33+(1-EXP(-LN(2)/2))/(LN(2)/2)*V34*Y34*VLOOKUP('Données projet'!$B$9,Paramètres!$A$1:$I$89,3,0)*0.475*44/12</f>
        <v>6.2771821980466198</v>
      </c>
      <c r="AC34" s="24">
        <f t="shared" si="3"/>
        <v>35.034366103951662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16.614999999999998</v>
      </c>
      <c r="AI34" s="14">
        <f>IF('Données projet'!$A$62&gt;35,AI33+AH34-AQ33,IF(A34&lt;'Données projet'!$A$62,$AF$205^A34,IF(A34='Données projet'!$A$62,'Données projet'!$B$62,AI33+AH34-AQ33)))</f>
        <v>184.11</v>
      </c>
      <c r="AJ34" s="14">
        <f>AI34*VLOOKUP('Données projet'!$B$10,Paramètres!$A$1:$I$89,3,0)*VLOOKUP('Données projet'!$B$10,Paramètres!$A$1:$I$89,5,0)</f>
        <v>110.09778000000001</v>
      </c>
      <c r="AK34" s="14">
        <f t="shared" si="35"/>
        <v>29.354021111763256</v>
      </c>
      <c r="AL34" s="22">
        <f t="shared" si="4"/>
        <v>242.87855360298769</v>
      </c>
      <c r="AM34" s="62">
        <f t="shared" si="5"/>
        <v>536.21188693632098</v>
      </c>
      <c r="AN34" s="62">
        <f ca="1">AVERAGE(OFFSET($AM$3,0,0,'Données projet'!$E$10+1,1))-AVERAGE(OFFSET($H$3,0,0,'Données projet'!$E$10+1,1))</f>
        <v>269.90083987531233</v>
      </c>
      <c r="AO34" s="62">
        <f t="shared" si="36"/>
        <v>183.4515835513518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8.1226816269218123</v>
      </c>
      <c r="AV34" s="23">
        <f>EXP(-LN(2)/25)*AV33+(1-EXP(-LN(2)/25))/(LN(2)/25)*Calculateur!AQ34*Calculateur!AS34*VLOOKUP('Données projet'!$B$10,Paramètres!$A$1:$I$89,3,0)*0.475*44/12</f>
        <v>10.628516488122793</v>
      </c>
      <c r="AW34" s="23">
        <f>EXP(-LN(2)/2)*AW33+(1-EXP(-LN(2)/2))/(LN(2)/2)*AQ34*AT34*VLOOKUP('Données projet'!$B$10,Paramètres!$A$1:$I$89,3,0)*0.475*44/12</f>
        <v>2.2142217244313516</v>
      </c>
      <c r="AX34" s="23">
        <f t="shared" si="6"/>
        <v>20.965419839475956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6.3622807017543854</v>
      </c>
      <c r="BD34" s="13">
        <f>IF('Données projet'!$A$88&gt;35,BD33+BC34-BL33,IF(A34&lt;'Données projet'!$A$88,$BA$205^A34,IF(A34='Données projet'!$A$88,'Données projet'!$B$88,BD33+BC34-BL33)))</f>
        <v>197.23070175438582</v>
      </c>
      <c r="BE34" s="14">
        <f>BD34*VLOOKUP('Données projet'!$B$11,Paramètres!$A$1:$I$89,3,0)*VLOOKUP('Données projet'!$B$11,Paramètres!$A$1:$I$89,5,0)</f>
        <v>94.867967543859578</v>
      </c>
      <c r="BF34" s="14">
        <f t="shared" si="37"/>
        <v>25.735638064087201</v>
      </c>
      <c r="BG34" s="22">
        <f t="shared" si="7"/>
        <v>210.05127976717395</v>
      </c>
      <c r="BH34" s="62">
        <f t="shared" si="8"/>
        <v>503.38461310050729</v>
      </c>
      <c r="BI34" s="62">
        <f ca="1">AVERAGE(OFFSET($BH$3,0,0,'Données projet'!$E$11+1,1))-AVERAGE(OFFSET($H$3,0,0,'Données projet'!$E$11+1,1))</f>
        <v>255.64417186544995</v>
      </c>
      <c r="BJ34" s="62">
        <f t="shared" si="38"/>
        <v>165.41802783289376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23</v>
      </c>
      <c r="BY34" s="13">
        <f>IF('Données projet'!$A$114&gt;35,BY33+BX34-CG33,IF(A34&lt;'Données projet'!$A$114,$BV$205^A34,IF(A34='Données projet'!$A$114,'Données projet'!$B$114,BY33+BX34-CG33)))</f>
        <v>408.00000000000017</v>
      </c>
      <c r="BZ34" s="14">
        <f>BY34*VLOOKUP('Données projet'!$B$12,Paramètres!$A$1:$I$89,3,0)*VLOOKUP('Données projet'!$B$12,Paramètres!$A$1:$I$89,5,0)</f>
        <v>228.07200000000012</v>
      </c>
      <c r="CA34" s="14">
        <f t="shared" si="39"/>
        <v>55.86559883553236</v>
      </c>
      <c r="CB34" s="22">
        <f t="shared" si="10"/>
        <v>494.52465130521909</v>
      </c>
      <c r="CC34" s="62">
        <f t="shared" si="11"/>
        <v>787.85798463855235</v>
      </c>
      <c r="CD34" s="62">
        <f ca="1">AVERAGE(OFFSET($CC$3,0,0,'Données projet'!$E$12+1,1))-AVERAGE(OFFSET($H$3,0,0,'Données projet'!$E$12+1,1))</f>
        <v>465.49436272491818</v>
      </c>
      <c r="CE34" s="62">
        <f t="shared" si="40"/>
        <v>494.36941732405256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20.94552049258505</v>
      </c>
      <c r="CL34" s="23">
        <f>EXP(-LN(2)/25)*CL33+(1-EXP(-LN(2)/25))/(LN(2)/25)*Calculateur!CG34*Calculateur!CI34*VLOOKUP('Données projet'!$B$12,Paramètres!$A$1:$I$89,3,0)*0.475*44/12</f>
        <v>22.819534562522882</v>
      </c>
      <c r="CM34" s="23">
        <f>EXP(-LN(2)/2)*CM33+(1-EXP(-LN(2)/2))/(LN(2)/2)*CG34*CJ34*VLOOKUP('Données projet'!$B$12,Paramètres!$A$1:$I$89,3,0)*0.475*44/12</f>
        <v>7.713963149680664</v>
      </c>
      <c r="CN34" s="24">
        <f t="shared" si="12"/>
        <v>51.479018204788602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20.572857142857142</v>
      </c>
      <c r="CT34" s="13">
        <f>IF('Données projet'!$A$140&gt;35,CT33+CS34-DB33,IF(A34&lt;'Données projet'!$A$140,$CQ$205^A34,IF(A34='Données projet'!$A$140,'Données projet'!$B$140,CT33+CS34-DB33)))</f>
        <v>213.68285714285713</v>
      </c>
      <c r="CU34" s="18">
        <f>CT34*VLOOKUP('Données projet'!$B$13,Paramètres!$A$1:$I$89,3,0)*VLOOKUP('Données projet'!$B$13,Paramètres!$A$1:$I$89,5,0)</f>
        <v>127.78234857142857</v>
      </c>
      <c r="CV34" s="14">
        <f t="shared" si="41"/>
        <v>33.483413182243972</v>
      </c>
      <c r="CW34" s="22">
        <f t="shared" si="13"/>
        <v>280.87120172097963</v>
      </c>
      <c r="CX34" s="62">
        <f t="shared" si="14"/>
        <v>574.20453505431294</v>
      </c>
      <c r="CY34" s="62">
        <f ca="1">AVERAGE(OFFSET($CX$3,0,0,'Données projet'!$E$13+1,1))-AVERAGE(OFFSET($H$3,0,0,'Données projet'!$E$13+1,1))</f>
        <v>361.46923697840384</v>
      </c>
      <c r="CZ34" s="62">
        <f t="shared" si="42"/>
        <v>302.25424592654673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20.164772330507557</v>
      </c>
      <c r="DG34" s="23">
        <f>EXP(-LN(2)/25)*DG33+(1-EXP(-LN(2)/25))/(LN(2)/25)*Calculateur!DB34*Calculateur!DD34*VLOOKUP('Données projet'!$B$13,Paramètres!$A$1:$I$89,3,0)*0.475*44/12</f>
        <v>16.355136672789317</v>
      </c>
      <c r="DH34" s="23">
        <f>EXP(-LN(2)/2)*DH33+(1-EXP(-LN(2)/2))/(LN(2)/2)*DB34*DE34*VLOOKUP('Données projet'!$B$13,Paramètres!$A$1:$I$89,3,0)*0.475*44/12</f>
        <v>9.1638853945253782</v>
      </c>
      <c r="DI34" s="24">
        <f t="shared" si="15"/>
        <v>45.683794397822254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21.6</v>
      </c>
      <c r="N35" s="14">
        <f>IF('Données projet'!$A$36&gt;35,N34+M35-V34,IF(A35&lt;'Données projet'!$A$36,$K$205^A35,IF(A35='Données projet'!$A$36,'Données projet'!$B$36,N34+M35-V34)))</f>
        <v>357.2</v>
      </c>
      <c r="O35" s="14">
        <f>N35*VLOOKUP('Données projet'!$B$9,Paramètres!$A$1:$I$89,3,0)*VLOOKUP('Données projet'!$B$9,Paramètres!$A$1:$I$89,5,0)</f>
        <v>199.6748</v>
      </c>
      <c r="P35" s="14">
        <f t="shared" si="33"/>
        <v>49.672691840760869</v>
      </c>
      <c r="Q35" s="22">
        <f t="shared" ref="Q35:Q66" si="53">(O35+P35)*0.475*44/12</f>
        <v>434.28021495599182</v>
      </c>
      <c r="R35" s="62">
        <f t="shared" si="0"/>
        <v>727.61354828932508</v>
      </c>
      <c r="S35" s="62">
        <f ca="1">AVERAGE(OFFSET($R$3,0,0,'Données projet'!$E$9+1,1))-AVERAGE(OFFSET($H$3,0,0,'Données projet'!$E$9+1,1))</f>
        <v>389.80719836281679</v>
      </c>
      <c r="T35" s="62">
        <f t="shared" si="34"/>
        <v>399.58193819355591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14.359837017831333</v>
      </c>
      <c r="AA35" s="23">
        <f>EXP(-LN(2)/25)*AA34+(1-EXP(-LN(2)/25))/(LN(2)/25)*Calculateur!V35*Calculateur!X35*VLOOKUP('Données projet'!$B$9,Paramètres!$A$1:$I$89,3,0)*0.475*44/12</f>
        <v>13.724284870853326</v>
      </c>
      <c r="AB35" s="23">
        <f>EXP(-LN(2)/2)*AB34+(1-EXP(-LN(2)/2))/(LN(2)/2)*V35*Y35*VLOOKUP('Données projet'!$B$9,Paramètres!$A$1:$I$89,3,0)*0.475*44/12</f>
        <v>4.4386380989822429</v>
      </c>
      <c r="AC35" s="24">
        <f t="shared" si="3"/>
        <v>32.522759987666902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16.614999999999998</v>
      </c>
      <c r="AI35" s="14">
        <f>IF('Données projet'!$A$62&gt;35,AI34+AH35-AQ34,IF(A35&lt;'Données projet'!$A$62,$AF$205^A35,IF(A35='Données projet'!$A$62,'Données projet'!$B$62,AI34+AH35-AQ34)))</f>
        <v>200.72500000000002</v>
      </c>
      <c r="AJ35" s="14">
        <f>AI35*VLOOKUP('Données projet'!$B$10,Paramètres!$A$1:$I$89,3,0)*VLOOKUP('Données projet'!$B$10,Paramètres!$A$1:$I$89,5,0)</f>
        <v>120.03355000000002</v>
      </c>
      <c r="AK35" s="14">
        <f t="shared" si="35"/>
        <v>31.68282415335652</v>
      </c>
      <c r="AL35" s="22">
        <f t="shared" si="4"/>
        <v>264.23935165042923</v>
      </c>
      <c r="AM35" s="62">
        <f t="shared" si="5"/>
        <v>557.57268498376254</v>
      </c>
      <c r="AN35" s="62">
        <f ca="1">AVERAGE(OFFSET($AM$3,0,0,'Données projet'!$E$10+1,1))-AVERAGE(OFFSET($H$3,0,0,'Données projet'!$E$10+1,1))</f>
        <v>269.90083987531233</v>
      </c>
      <c r="AO35" s="62">
        <f t="shared" si="36"/>
        <v>183.4515835513518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7.9634007945644667</v>
      </c>
      <c r="AV35" s="23">
        <f>EXP(-LN(2)/25)*AV34+(1-EXP(-LN(2)/25))/(LN(2)/25)*Calculateur!AQ35*Calculateur!AS35*VLOOKUP('Données projet'!$B$10,Paramètres!$A$1:$I$89,3,0)*0.475*44/12</f>
        <v>10.337879145825685</v>
      </c>
      <c r="AW35" s="23">
        <f>EXP(-LN(2)/2)*AW34+(1-EXP(-LN(2)/2))/(LN(2)/2)*AQ35*AT35*VLOOKUP('Données projet'!$B$10,Paramètres!$A$1:$I$89,3,0)*0.475*44/12</f>
        <v>1.5656911963959796</v>
      </c>
      <c r="AX35" s="23">
        <f t="shared" si="6"/>
        <v>19.866971136786134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6.3622807017543854</v>
      </c>
      <c r="BD35" s="13">
        <f>IF('Données projet'!$A$88&gt;35,BD34+BC35-BL34,IF(A35&lt;'Données projet'!$A$88,$BA$205^A35,IF(A35='Données projet'!$A$88,'Données projet'!$B$88,BD34+BC35-BL34)))</f>
        <v>203.59298245614019</v>
      </c>
      <c r="BE35" s="14">
        <f>BD35*VLOOKUP('Données projet'!$B$11,Paramètres!$A$1:$I$89,3,0)*VLOOKUP('Données projet'!$B$11,Paramètres!$A$1:$I$89,5,0)</f>
        <v>97.928224561403439</v>
      </c>
      <c r="BF35" s="14">
        <f t="shared" si="37"/>
        <v>26.467825844019448</v>
      </c>
      <c r="BG35" s="22">
        <f t="shared" si="7"/>
        <v>216.65645445611153</v>
      </c>
      <c r="BH35" s="62">
        <f t="shared" si="8"/>
        <v>509.98978778944485</v>
      </c>
      <c r="BI35" s="62">
        <f ca="1">AVERAGE(OFFSET($BH$3,0,0,'Données projet'!$E$11+1,1))-AVERAGE(OFFSET($H$3,0,0,'Données projet'!$E$11+1,1))</f>
        <v>255.64417186544995</v>
      </c>
      <c r="BJ35" s="62">
        <f t="shared" si="38"/>
        <v>165.41802783289376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23</v>
      </c>
      <c r="BY35" s="13">
        <f>IF('Données projet'!$A$114&gt;35,BY34+BX35-CG34,IF(A35&lt;'Données projet'!$A$114,$BV$205^A35,IF(A35='Données projet'!$A$114,'Données projet'!$B$114,BY34+BX35-CG34)))</f>
        <v>431.00000000000017</v>
      </c>
      <c r="BZ35" s="14">
        <f>BY35*VLOOKUP('Données projet'!$B$12,Paramètres!$A$1:$I$89,3,0)*VLOOKUP('Données projet'!$B$12,Paramètres!$A$1:$I$89,5,0)</f>
        <v>240.92900000000009</v>
      </c>
      <c r="CA35" s="14">
        <f t="shared" si="39"/>
        <v>58.639364393255526</v>
      </c>
      <c r="CB35" s="22">
        <f t="shared" si="10"/>
        <v>521.74823465158681</v>
      </c>
      <c r="CC35" s="62">
        <f t="shared" si="11"/>
        <v>815.08156798492018</v>
      </c>
      <c r="CD35" s="62">
        <f ca="1">AVERAGE(OFFSET($CC$3,0,0,'Données projet'!$E$12+1,1))-AVERAGE(OFFSET($H$3,0,0,'Données projet'!$E$12+1,1))</f>
        <v>465.49436272491818</v>
      </c>
      <c r="CE35" s="62">
        <f t="shared" si="40"/>
        <v>494.36941732405256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20.53479161123148</v>
      </c>
      <c r="CL35" s="23">
        <f>EXP(-LN(2)/25)*CL34+(1-EXP(-LN(2)/25))/(LN(2)/25)*Calculateur!CG35*Calculateur!CI35*VLOOKUP('Données projet'!$B$12,Paramètres!$A$1:$I$89,3,0)*0.475*44/12</f>
        <v>22.195533189883527</v>
      </c>
      <c r="CM35" s="23">
        <f>EXP(-LN(2)/2)*CM34+(1-EXP(-LN(2)/2))/(LN(2)/2)*CG35*CJ35*VLOOKUP('Données projet'!$B$12,Paramètres!$A$1:$I$89,3,0)*0.475*44/12</f>
        <v>5.4545956529623369</v>
      </c>
      <c r="CN35" s="24">
        <f t="shared" si="12"/>
        <v>48.184920454077343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20.572857142857142</v>
      </c>
      <c r="CT35" s="13">
        <f>IF('Données projet'!$A$140&gt;35,CT34+CS35-DB34,IF(A35&lt;'Données projet'!$A$140,$CQ$205^A35,IF(A35='Données projet'!$A$140,'Données projet'!$B$140,CT34+CS35-DB34)))</f>
        <v>234.25571428571428</v>
      </c>
      <c r="CU35" s="18">
        <f>CT35*VLOOKUP('Données projet'!$B$13,Paramètres!$A$1:$I$89,3,0)*VLOOKUP('Données projet'!$B$13,Paramètres!$A$1:$I$89,5,0)</f>
        <v>140.08491714285714</v>
      </c>
      <c r="CV35" s="14">
        <f t="shared" si="41"/>
        <v>36.316458133418756</v>
      </c>
      <c r="CW35" s="22">
        <f t="shared" si="13"/>
        <v>307.23239527284721</v>
      </c>
      <c r="CX35" s="62">
        <f t="shared" si="14"/>
        <v>600.56572860618053</v>
      </c>
      <c r="CY35" s="62">
        <f ca="1">AVERAGE(OFFSET($CX$3,0,0,'Données projet'!$E$13+1,1))-AVERAGE(OFFSET($H$3,0,0,'Données projet'!$E$13+1,1))</f>
        <v>361.46923697840384</v>
      </c>
      <c r="CZ35" s="62">
        <f t="shared" si="42"/>
        <v>302.25424592654673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19.76935344440297</v>
      </c>
      <c r="DG35" s="23">
        <f>EXP(-LN(2)/25)*DG34+(1-EXP(-LN(2)/25))/(LN(2)/25)*Calculateur!DB35*Calculateur!DD35*VLOOKUP('Données projet'!$B$13,Paramètres!$A$1:$I$89,3,0)*0.475*44/12</f>
        <v>15.907904600392635</v>
      </c>
      <c r="DH35" s="23">
        <f>EXP(-LN(2)/2)*DH34+(1-EXP(-LN(2)/2))/(LN(2)/2)*DB35*DE35*VLOOKUP('Données projet'!$B$13,Paramètres!$A$1:$I$89,3,0)*0.475*44/12</f>
        <v>6.4798455044852554</v>
      </c>
      <c r="DI35" s="24">
        <f t="shared" si="15"/>
        <v>42.157103549280862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21.6</v>
      </c>
      <c r="N36" s="14">
        <f>IF('Données projet'!$A$36&gt;35,N35+M36-V35,IF(A36&lt;'Données projet'!$A$36,$K$205^A36,IF(A36='Données projet'!$A$36,'Données projet'!$B$36,N35+M36-V35)))</f>
        <v>378.8</v>
      </c>
      <c r="O36" s="14">
        <f>N36*VLOOKUP('Données projet'!$B$9,Paramètres!$A$1:$I$89,3,0)*VLOOKUP('Données projet'!$B$9,Paramètres!$A$1:$I$89,5,0)</f>
        <v>211.74920000000003</v>
      </c>
      <c r="P36" s="14">
        <f t="shared" si="33"/>
        <v>52.317645175705572</v>
      </c>
      <c r="Q36" s="22">
        <f t="shared" si="53"/>
        <v>459.91642201435394</v>
      </c>
      <c r="R36" s="62">
        <f t="shared" si="0"/>
        <v>753.24975534768726</v>
      </c>
      <c r="S36" s="62">
        <f ca="1">AVERAGE(OFFSET($R$3,0,0,'Données projet'!$E$9+1,1))-AVERAGE(OFFSET($H$3,0,0,'Données projet'!$E$9+1,1))</f>
        <v>389.80719836281679</v>
      </c>
      <c r="T36" s="62">
        <f t="shared" si="34"/>
        <v>399.58193819355591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14.078249372547399</v>
      </c>
      <c r="AA36" s="23">
        <f>EXP(-LN(2)/25)*AA35+(1-EXP(-LN(2)/25))/(LN(2)/25)*Calculateur!V36*Calculateur!X36*VLOOKUP('Données projet'!$B$9,Paramètres!$A$1:$I$89,3,0)*0.475*44/12</f>
        <v>13.348993579331069</v>
      </c>
      <c r="AB36" s="23">
        <f>EXP(-LN(2)/2)*AB35+(1-EXP(-LN(2)/2))/(LN(2)/2)*V36*Y36*VLOOKUP('Données projet'!$B$9,Paramètres!$A$1:$I$89,3,0)*0.475*44/12</f>
        <v>3.1385910990233103</v>
      </c>
      <c r="AC36" s="24">
        <f t="shared" si="3"/>
        <v>30.565834050901778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>
        <f>VLOOKUP(A36,'Données projet'!$A$61:$I$81,2,0)</f>
        <v>217.34</v>
      </c>
      <c r="AG36" s="13">
        <f>VLOOKUP(A36,'Données projet'!$A$61:$I$81,9,0)</f>
        <v>16.614999999999998</v>
      </c>
      <c r="AH36" s="13">
        <f t="array" ref="AH36">INDEX(AG:AG,MIN(IF(ISNUMBER(AG36:AG232),ROW(AG36:AG232),"")))</f>
        <v>16.614999999999998</v>
      </c>
      <c r="AI36" s="14">
        <f>IF('Données projet'!$A$62&gt;35,AI35+AH36-AQ35,IF(A36&lt;'Données projet'!$A$62,$AF$205^A36,IF(A36='Données projet'!$A$62,'Données projet'!$B$62,AI35+AH36-AQ35)))</f>
        <v>217.34000000000003</v>
      </c>
      <c r="AJ36" s="14">
        <f>AI36*VLOOKUP('Données projet'!$B$10,Paramètres!$A$1:$I$89,3,0)*VLOOKUP('Données projet'!$B$10,Paramètres!$A$1:$I$89,5,0)</f>
        <v>129.96932000000001</v>
      </c>
      <c r="AK36" s="14">
        <f t="shared" si="35"/>
        <v>33.989269987755954</v>
      </c>
      <c r="AL36" s="22">
        <f t="shared" si="4"/>
        <v>285.56121089534162</v>
      </c>
      <c r="AM36" s="62">
        <f t="shared" si="5"/>
        <v>578.89454422867493</v>
      </c>
      <c r="AN36" s="62">
        <f ca="1">AVERAGE(OFFSET($AM$3,0,0,'Données projet'!$E$10+1,1))-AVERAGE(OFFSET($H$3,0,0,'Données projet'!$E$10+1,1))</f>
        <v>269.90083987531233</v>
      </c>
      <c r="AO36" s="62">
        <f t="shared" si="36"/>
        <v>183.4515835513518</v>
      </c>
      <c r="AP36" s="16">
        <f>IF(ISNA(VLOOKUP(A36,'Données projet'!$A$61:$I$81,3,0)),0,VLOOKUP(A36,'Données projet'!$A$61:$I$81,3,0))</f>
        <v>3</v>
      </c>
      <c r="AQ36" s="16">
        <f>IF(ISNA(VLOOKUP(A36,'Données projet'!$A$61:$I$81,4,0)),0,VLOOKUP(A36,'Données projet'!$A$61:$I$81,4,0))</f>
        <v>50.41</v>
      </c>
      <c r="AR36" s="17">
        <f>IF(ISNA(VLOOKUP(A36,'Données projet'!$A$61:$I$81,5,0)),0%,VLOOKUP(A36,'Données projet'!$A$61:$I$81,5,0)*VLOOKUP('Données projet'!$B$10,Paramètres!$A$1:$I$89,7,0))</f>
        <v>0.18000000000000002</v>
      </c>
      <c r="AS36" s="17">
        <f>IF(ISNA(VLOOKUP(A36,'Données projet'!$A$61:$I$81,6,0)),0%,VLOOKUP(A36,'Données projet'!$A$61:$I$81,6,0)*VLOOKUP('Données projet'!$B$10,Paramètres!$A$1:$I$89,7,0))</f>
        <v>0.15300000000000002</v>
      </c>
      <c r="AT36" s="17">
        <f>IF(ISNA(VLOOKUP(A36,'Données projet'!$A$61:$I$81,7,0)),0%,VLOOKUP(A36,'Données projet'!$A$61:$I$81,7,0))</f>
        <v>0.26</v>
      </c>
      <c r="AU36" s="23">
        <f>EXP(-LN(2)/35)*AU35+(1-EXP(-LN(2)/35))/(LN(2)/35)*AQ36*AR36*VLOOKUP('Données projet'!$B$10,Paramètres!$A$1:$I$89,3,0)*0.475*44/12</f>
        <v>15.005357734526781</v>
      </c>
      <c r="AV36" s="23">
        <f>EXP(-LN(2)/25)*AV35+(1-EXP(-LN(2)/25))/(LN(2)/25)*Calculateur!AQ36*Calculateur!AS36*VLOOKUP('Données projet'!$B$10,Paramètres!$A$1:$I$89,3,0)*0.475*44/12</f>
        <v>16.149496052300709</v>
      </c>
      <c r="AW36" s="23">
        <f>EXP(-LN(2)/2)*AW35+(1-EXP(-LN(2)/2))/(LN(2)/2)*AQ36*AT36*VLOOKUP('Données projet'!$B$10,Paramètres!$A$1:$I$89,3,0)*0.475*44/12</f>
        <v>9.9812609290103804</v>
      </c>
      <c r="AX36" s="23">
        <f t="shared" si="6"/>
        <v>41.13611471583787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6.3622807017543854</v>
      </c>
      <c r="BD36" s="13">
        <f>IF('Données projet'!$A$88&gt;35,BD35+BC36-BL35,IF(A36&lt;'Données projet'!$A$88,$BA$205^A36,IF(A36='Données projet'!$A$88,'Données projet'!$B$88,BD35+BC36-BL35)))</f>
        <v>209.95526315789456</v>
      </c>
      <c r="BE36" s="14">
        <f>BD36*VLOOKUP('Données projet'!$B$11,Paramètres!$A$1:$I$89,3,0)*VLOOKUP('Données projet'!$B$11,Paramètres!$A$1:$I$89,5,0)</f>
        <v>100.98848157894729</v>
      </c>
      <c r="BF36" s="14">
        <f t="shared" si="37"/>
        <v>27.197354671735855</v>
      </c>
      <c r="BG36" s="22">
        <f t="shared" si="7"/>
        <v>223.25699813660643</v>
      </c>
      <c r="BH36" s="62">
        <f t="shared" si="8"/>
        <v>516.59033146993977</v>
      </c>
      <c r="BI36" s="62">
        <f ca="1">AVERAGE(OFFSET($BH$3,0,0,'Données projet'!$E$11+1,1))-AVERAGE(OFFSET($H$3,0,0,'Données projet'!$E$11+1,1))</f>
        <v>255.64417186544995</v>
      </c>
      <c r="BJ36" s="62">
        <f t="shared" si="38"/>
        <v>165.41802783289376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23</v>
      </c>
      <c r="BY36" s="13">
        <f>IF('Données projet'!$A$114&gt;35,BY35+BX36-CG35,IF(A36&lt;'Données projet'!$A$114,$BV$205^A36,IF(A36='Données projet'!$A$114,'Données projet'!$B$114,BY35+BX36-CG35)))</f>
        <v>454.00000000000017</v>
      </c>
      <c r="BZ36" s="14">
        <f>BY36*VLOOKUP('Données projet'!$B$12,Paramètres!$A$1:$I$89,3,0)*VLOOKUP('Données projet'!$B$12,Paramètres!$A$1:$I$89,5,0)</f>
        <v>253.78600000000012</v>
      </c>
      <c r="CA36" s="14">
        <f t="shared" si="39"/>
        <v>61.395945216950963</v>
      </c>
      <c r="CB36" s="22">
        <f t="shared" si="10"/>
        <v>548.94188791952308</v>
      </c>
      <c r="CC36" s="62">
        <f t="shared" si="11"/>
        <v>842.27522125285645</v>
      </c>
      <c r="CD36" s="62">
        <f ca="1">AVERAGE(OFFSET($CC$3,0,0,'Données projet'!$E$12+1,1))-AVERAGE(OFFSET($H$3,0,0,'Données projet'!$E$12+1,1))</f>
        <v>465.49436272491818</v>
      </c>
      <c r="CE36" s="62">
        <f t="shared" si="40"/>
        <v>494.36941732405256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20.132116872721372</v>
      </c>
      <c r="CL36" s="23">
        <f>EXP(-LN(2)/25)*CL35+(1-EXP(-LN(2)/25))/(LN(2)/25)*Calculateur!CG36*Calculateur!CI36*VLOOKUP('Données projet'!$B$12,Paramètres!$A$1:$I$89,3,0)*0.475*44/12</f>
        <v>21.588595167593802</v>
      </c>
      <c r="CM36" s="23">
        <f>EXP(-LN(2)/2)*CM35+(1-EXP(-LN(2)/2))/(LN(2)/2)*CG36*CJ36*VLOOKUP('Données projet'!$B$12,Paramètres!$A$1:$I$89,3,0)*0.475*44/12</f>
        <v>3.8569815748403329</v>
      </c>
      <c r="CN36" s="24">
        <f t="shared" si="12"/>
        <v>45.577693615155511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20.572857142857142</v>
      </c>
      <c r="CT36" s="13">
        <f>IF('Données projet'!$A$140&gt;35,CT35+CS36-DB35,IF(A36&lt;'Données projet'!$A$140,$CQ$205^A36,IF(A36='Données projet'!$A$140,'Données projet'!$B$140,CT35+CS36-DB35)))</f>
        <v>254.82857142857142</v>
      </c>
      <c r="CU36" s="18">
        <f>CT36*VLOOKUP('Données projet'!$B$13,Paramètres!$A$1:$I$89,3,0)*VLOOKUP('Données projet'!$B$13,Paramètres!$A$1:$I$89,5,0)</f>
        <v>152.38748571428573</v>
      </c>
      <c r="CV36" s="14">
        <f t="shared" si="41"/>
        <v>39.120650666923964</v>
      </c>
      <c r="CW36" s="22">
        <f t="shared" si="13"/>
        <v>333.54333753060683</v>
      </c>
      <c r="CX36" s="62">
        <f t="shared" si="14"/>
        <v>626.87667086394015</v>
      </c>
      <c r="CY36" s="62">
        <f ca="1">AVERAGE(OFFSET($CX$3,0,0,'Données projet'!$E$13+1,1))-AVERAGE(OFFSET($H$3,0,0,'Données projet'!$E$13+1,1))</f>
        <v>361.46923697840384</v>
      </c>
      <c r="CZ36" s="62">
        <f t="shared" si="42"/>
        <v>302.25424592654673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19.381688481473191</v>
      </c>
      <c r="DG36" s="23">
        <f>EXP(-LN(2)/25)*DG35+(1-EXP(-LN(2)/25))/(LN(2)/25)*Calculateur!DB36*Calculateur!DD36*VLOOKUP('Données projet'!$B$13,Paramètres!$A$1:$I$89,3,0)*0.475*44/12</f>
        <v>15.472902112534554</v>
      </c>
      <c r="DH36" s="23">
        <f>EXP(-LN(2)/2)*DH35+(1-EXP(-LN(2)/2))/(LN(2)/2)*DB36*DE36*VLOOKUP('Données projet'!$B$13,Paramètres!$A$1:$I$89,3,0)*0.475*44/12</f>
        <v>4.5819426972626891</v>
      </c>
      <c r="DI36" s="24">
        <f t="shared" si="15"/>
        <v>39.436533291270436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21.6</v>
      </c>
      <c r="N37" s="14">
        <f>IF('Données projet'!$A$36&gt;35,N36+M37-V36,IF(A37&lt;'Données projet'!$A$36,$K$205^A37,IF(A37='Données projet'!$A$36,'Données projet'!$B$36,N36+M37-V36)))</f>
        <v>400.40000000000003</v>
      </c>
      <c r="O37" s="14">
        <f>N37*VLOOKUP('Données projet'!$B$9,Paramètres!$A$1:$I$89,3,0)*VLOOKUP('Données projet'!$B$9,Paramètres!$A$1:$I$89,5,0)</f>
        <v>223.82360000000003</v>
      </c>
      <c r="P37" s="14">
        <f t="shared" si="33"/>
        <v>54.945091065438675</v>
      </c>
      <c r="Q37" s="22">
        <f t="shared" si="53"/>
        <v>485.52213693897232</v>
      </c>
      <c r="R37" s="62">
        <f t="shared" si="0"/>
        <v>778.85547027230564</v>
      </c>
      <c r="S37" s="62">
        <f ca="1">AVERAGE(OFFSET($R$3,0,0,'Données projet'!$E$9+1,1))-AVERAGE(OFFSET($H$3,0,0,'Données projet'!$E$9+1,1))</f>
        <v>389.80719836281679</v>
      </c>
      <c r="T37" s="62">
        <f t="shared" si="34"/>
        <v>399.58193819355591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13.802183489235977</v>
      </c>
      <c r="AA37" s="23">
        <f>EXP(-LN(2)/25)*AA36+(1-EXP(-LN(2)/25))/(LN(2)/25)*Calculateur!V37*Calculateur!X37*VLOOKUP('Données projet'!$B$9,Paramètres!$A$1:$I$89,3,0)*0.475*44/12</f>
        <v>12.983964647911197</v>
      </c>
      <c r="AB37" s="23">
        <f>EXP(-LN(2)/2)*AB36+(1-EXP(-LN(2)/2))/(LN(2)/2)*V37*Y37*VLOOKUP('Données projet'!$B$9,Paramètres!$A$1:$I$89,3,0)*0.475*44/12</f>
        <v>2.2193190494911219</v>
      </c>
      <c r="AC37" s="24">
        <f t="shared" si="3"/>
        <v>29.005467186638295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16.701250000000002</v>
      </c>
      <c r="AI37" s="14">
        <f>IF('Données projet'!$A$62&gt;35,AI36+AH37-AQ36,IF(A37&lt;'Données projet'!$A$62,$AF$205^A37,IF(A37='Données projet'!$A$62,'Données projet'!$B$62,AI36+AH37-AQ36)))</f>
        <v>183.63125000000005</v>
      </c>
      <c r="AJ37" s="14">
        <f>AI37*VLOOKUP('Données projet'!$B$10,Paramètres!$A$1:$I$89,3,0)*VLOOKUP('Données projet'!$B$10,Paramètres!$A$1:$I$89,5,0)</f>
        <v>109.81148750000004</v>
      </c>
      <c r="AK37" s="14">
        <f t="shared" si="35"/>
        <v>29.286565124423376</v>
      </c>
      <c r="AL37" s="22">
        <f t="shared" si="4"/>
        <v>242.26244165420408</v>
      </c>
      <c r="AM37" s="62">
        <f t="shared" si="5"/>
        <v>535.59577498753742</v>
      </c>
      <c r="AN37" s="62">
        <f ca="1">AVERAGE(OFFSET($AM$3,0,0,'Données projet'!$E$10+1,1))-AVERAGE(OFFSET($H$3,0,0,'Données projet'!$E$10+1,1))</f>
        <v>269.90083987531233</v>
      </c>
      <c r="AO37" s="62">
        <f t="shared" si="36"/>
        <v>183.4515835513518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14.711111821717207</v>
      </c>
      <c r="AV37" s="23">
        <f>EXP(-LN(2)/25)*AV36+(1-EXP(-LN(2)/25))/(LN(2)/25)*Calculateur!AQ37*Calculateur!AS37*VLOOKUP('Données projet'!$B$10,Paramètres!$A$1:$I$89,3,0)*0.475*44/12</f>
        <v>15.707887233485458</v>
      </c>
      <c r="AW37" s="23">
        <f>EXP(-LN(2)/2)*AW36+(1-EXP(-LN(2)/2))/(LN(2)/2)*AQ37*AT37*VLOOKUP('Données projet'!$B$10,Paramètres!$A$1:$I$89,3,0)*0.475*44/12</f>
        <v>7.0578172876955794</v>
      </c>
      <c r="AX37" s="23">
        <f t="shared" si="6"/>
        <v>37.476816342898246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6.3622807017543854</v>
      </c>
      <c r="BD37" s="13">
        <f>IF('Données projet'!$A$88&gt;35,BD36+BC37-BL36,IF(A37&lt;'Données projet'!$A$88,$BA$205^A37,IF(A37='Données projet'!$A$88,'Données projet'!$B$88,BD36+BC37-BL36)))</f>
        <v>216.31754385964894</v>
      </c>
      <c r="BE37" s="14">
        <f>BD37*VLOOKUP('Données projet'!$B$11,Paramètres!$A$1:$I$89,3,0)*VLOOKUP('Données projet'!$B$11,Paramètres!$A$1:$I$89,5,0)</f>
        <v>104.04873859649115</v>
      </c>
      <c r="BF37" s="14">
        <f t="shared" si="37"/>
        <v>27.924314369818553</v>
      </c>
      <c r="BG37" s="22">
        <f t="shared" si="7"/>
        <v>229.85306724965605</v>
      </c>
      <c r="BH37" s="62">
        <f t="shared" si="8"/>
        <v>523.18640058298934</v>
      </c>
      <c r="BI37" s="62">
        <f ca="1">AVERAGE(OFFSET($BH$3,0,0,'Données projet'!$E$11+1,1))-AVERAGE(OFFSET($H$3,0,0,'Données projet'!$E$11+1,1))</f>
        <v>255.64417186544995</v>
      </c>
      <c r="BJ37" s="62">
        <f t="shared" si="38"/>
        <v>165.41802783289376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23</v>
      </c>
      <c r="BY37" s="13">
        <f>IF('Données projet'!$A$114&gt;35,BY36+BX37-CG36,IF(A37&lt;'Données projet'!$A$114,$BV$205^A37,IF(A37='Données projet'!$A$114,'Données projet'!$B$114,BY36+BX37-CG36)))</f>
        <v>477.00000000000017</v>
      </c>
      <c r="BZ37" s="14">
        <f>BY37*VLOOKUP('Données projet'!$B$12,Paramètres!$A$1:$I$89,3,0)*VLOOKUP('Données projet'!$B$12,Paramètres!$A$1:$I$89,5,0)</f>
        <v>266.64300000000009</v>
      </c>
      <c r="CA37" s="14">
        <f t="shared" si="39"/>
        <v>64.136311225795083</v>
      </c>
      <c r="CB37" s="22">
        <f t="shared" si="10"/>
        <v>576.10730038492648</v>
      </c>
      <c r="CC37" s="62">
        <f t="shared" si="11"/>
        <v>869.44063371825973</v>
      </c>
      <c r="CD37" s="62">
        <f ca="1">AVERAGE(OFFSET($CC$3,0,0,'Données projet'!$E$12+1,1))-AVERAGE(OFFSET($H$3,0,0,'Données projet'!$E$12+1,1))</f>
        <v>465.49436272491818</v>
      </c>
      <c r="CE37" s="62">
        <f t="shared" si="40"/>
        <v>494.36941732405256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19.73733834022611</v>
      </c>
      <c r="CL37" s="23">
        <f>EXP(-LN(2)/25)*CL36+(1-EXP(-LN(2)/25))/(LN(2)/25)*Calculateur!CG37*Calculateur!CI37*VLOOKUP('Données projet'!$B$12,Paramètres!$A$1:$I$89,3,0)*0.475*44/12</f>
        <v>20.998253897441071</v>
      </c>
      <c r="CM37" s="23">
        <f>EXP(-LN(2)/2)*CM36+(1-EXP(-LN(2)/2))/(LN(2)/2)*CG37*CJ37*VLOOKUP('Données projet'!$B$12,Paramètres!$A$1:$I$89,3,0)*0.475*44/12</f>
        <v>2.7272978264811689</v>
      </c>
      <c r="CN37" s="24">
        <f t="shared" si="12"/>
        <v>43.462890064148347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20.572857142857142</v>
      </c>
      <c r="CT37" s="13">
        <f>IF('Données projet'!$A$140&gt;35,CT36+CS37-DB36,IF(A37&lt;'Données projet'!$A$140,$CQ$205^A37,IF(A37='Données projet'!$A$140,'Données projet'!$B$140,CT36+CS37-DB36)))</f>
        <v>275.40142857142854</v>
      </c>
      <c r="CU37" s="18">
        <f>CT37*VLOOKUP('Données projet'!$B$13,Paramètres!$A$1:$I$89,3,0)*VLOOKUP('Données projet'!$B$13,Paramètres!$A$1:$I$89,5,0)</f>
        <v>164.69005428571427</v>
      </c>
      <c r="CV37" s="14">
        <f t="shared" si="41"/>
        <v>41.898584920743353</v>
      </c>
      <c r="CW37" s="22">
        <f t="shared" si="13"/>
        <v>359.80854661791369</v>
      </c>
      <c r="CX37" s="62">
        <f t="shared" si="14"/>
        <v>653.14187995124701</v>
      </c>
      <c r="CY37" s="62">
        <f ca="1">AVERAGE(OFFSET($CX$3,0,0,'Données projet'!$E$13+1,1))-AVERAGE(OFFSET($H$3,0,0,'Données projet'!$E$13+1,1))</f>
        <v>361.46923697840384</v>
      </c>
      <c r="CZ37" s="62">
        <f t="shared" si="42"/>
        <v>302.25424592654673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19.001625392014184</v>
      </c>
      <c r="DG37" s="23">
        <f>EXP(-LN(2)/25)*DG36+(1-EXP(-LN(2)/25))/(LN(2)/25)*Calculateur!DB37*Calculateur!DD37*VLOOKUP('Données projet'!$B$13,Paramètres!$A$1:$I$89,3,0)*0.475*44/12</f>
        <v>15.049794790582737</v>
      </c>
      <c r="DH37" s="23">
        <f>EXP(-LN(2)/2)*DH36+(1-EXP(-LN(2)/2))/(LN(2)/2)*DB37*DE37*VLOOKUP('Données projet'!$B$13,Paramètres!$A$1:$I$89,3,0)*0.475*44/12</f>
        <v>3.2399227522426277</v>
      </c>
      <c r="DI37" s="24">
        <f t="shared" si="15"/>
        <v>37.291342934839548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422</v>
      </c>
      <c r="L38" s="13">
        <f>VLOOKUP(A38,'Données projet'!$A$35:$I$55,9,0)</f>
        <v>21.6</v>
      </c>
      <c r="M38" s="13">
        <f t="array" ref="M38">INDEX(L:L,MIN(IF(ISNUMBER(L38:L234),ROW(L38:L234),"")))</f>
        <v>21.6</v>
      </c>
      <c r="N38" s="14">
        <f>IF('Données projet'!$A$36&gt;35,N37+M38-V37,IF(A38&lt;'Données projet'!$A$36,$K$205^A38,IF(A38='Données projet'!$A$36,'Données projet'!$B$36,N37+M38-V37)))</f>
        <v>422.00000000000006</v>
      </c>
      <c r="O38" s="14">
        <f>N38*VLOOKUP('Données projet'!$B$9,Paramètres!$A$1:$I$89,3,0)*VLOOKUP('Données projet'!$B$9,Paramètres!$A$1:$I$89,5,0)</f>
        <v>235.89800000000002</v>
      </c>
      <c r="P38" s="14">
        <f t="shared" si="33"/>
        <v>57.556081646252856</v>
      </c>
      <c r="Q38" s="22">
        <f t="shared" si="53"/>
        <v>511.09919220055707</v>
      </c>
      <c r="R38" s="62">
        <f t="shared" si="0"/>
        <v>804.43252553389038</v>
      </c>
      <c r="S38" s="62">
        <f ca="1">AVERAGE(OFFSET($R$3,0,0,'Données projet'!$E$9+1,1))-AVERAGE(OFFSET($H$3,0,0,'Données projet'!$E$9+1,1))</f>
        <v>389.80719836281679</v>
      </c>
      <c r="T38" s="62">
        <f t="shared" si="34"/>
        <v>399.58193819355591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50</v>
      </c>
      <c r="W38" s="17">
        <f>IF(ISNA(VLOOKUP(A38,'Données projet'!$A$35:$I$55,5,0)),0%,VLOOKUP(A38,'Données projet'!$A$35:$I$55,5,0)*VLOOKUP('Données projet'!$B$9,Paramètres!$A$1:$I$89,7,0))</f>
        <v>0.22000000000000003</v>
      </c>
      <c r="X38" s="17">
        <f>IF(ISNA(VLOOKUP(A38,'Données projet'!$A$35:$I$55,6,0)),0%,VLOOKUP(A38,'Données projet'!$A$35:$I$55,6,0)*VLOOKUP('Données projet'!$B$9,Paramètres!$A$1:$I$89,7,0))</f>
        <v>0.18700000000000003</v>
      </c>
      <c r="Y38" s="17">
        <f>IF(ISNA(VLOOKUP(A38,'Données projet'!$A$35:$I$55,7,0)),0%,VLOOKUP(A38,'Données projet'!$A$35:$I$55,7,0))</f>
        <v>0.26</v>
      </c>
      <c r="Z38" s="23">
        <f>EXP(-LN(2)/35)*Z37+(1-EXP(-LN(2)/35))/(LN(2)/35)*V38*W38*VLOOKUP('Données projet'!$B$9,Paramètres!$A$1:$I$89,3,0)*0.475*44/12</f>
        <v>21.688575926010465</v>
      </c>
      <c r="AA38" s="23">
        <f>EXP(-LN(2)/25)*AA37+(1-EXP(-LN(2)/25))/(LN(2)/25)*Calculateur!V38*Calculateur!X38*VLOOKUP('Données projet'!$B$9,Paramètres!$A$1:$I$89,3,0)*0.475*44/12</f>
        <v>19.535105778280926</v>
      </c>
      <c r="AB38" s="23">
        <f>EXP(-LN(2)/2)*AB37+(1-EXP(-LN(2)/2))/(LN(2)/2)*V38*Y38*VLOOKUP('Données projet'!$B$9,Paramètres!$A$1:$I$89,3,0)*0.475*44/12</f>
        <v>9.7972276556364832</v>
      </c>
      <c r="AC38" s="24">
        <f t="shared" si="3"/>
        <v>51.020909359927877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16.701250000000002</v>
      </c>
      <c r="AI38" s="14">
        <f>IF('Données projet'!$A$62&gt;35,AI37+AH38-AQ37,IF(A38&lt;'Données projet'!$A$62,$AF$205^A38,IF(A38='Données projet'!$A$62,'Données projet'!$B$62,AI37+AH38-AQ37)))</f>
        <v>200.33250000000004</v>
      </c>
      <c r="AJ38" s="14">
        <f>AI38*VLOOKUP('Données projet'!$B$10,Paramètres!$A$1:$I$89,3,0)*VLOOKUP('Données projet'!$B$10,Paramètres!$A$1:$I$89,5,0)</f>
        <v>119.79883500000003</v>
      </c>
      <c r="AK38" s="14">
        <f t="shared" si="35"/>
        <v>31.628076280921128</v>
      </c>
      <c r="AL38" s="22">
        <f t="shared" si="4"/>
        <v>263.73520381427102</v>
      </c>
      <c r="AM38" s="62">
        <f t="shared" si="5"/>
        <v>557.06853714760427</v>
      </c>
      <c r="AN38" s="62">
        <f ca="1">AVERAGE(OFFSET($AM$3,0,0,'Données projet'!$E$10+1,1))-AVERAGE(OFFSET($H$3,0,0,'Données projet'!$E$10+1,1))</f>
        <v>269.90083987531233</v>
      </c>
      <c r="AO38" s="62">
        <f t="shared" si="36"/>
        <v>183.4515835513518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14.422635891785545</v>
      </c>
      <c r="AV38" s="23">
        <f>EXP(-LN(2)/25)*AV37+(1-EXP(-LN(2)/25))/(LN(2)/25)*Calculateur!AQ38*Calculateur!AS38*VLOOKUP('Données projet'!$B$10,Paramètres!$A$1:$I$89,3,0)*0.475*44/12</f>
        <v>15.27835423104391</v>
      </c>
      <c r="AW38" s="23">
        <f>EXP(-LN(2)/2)*AW37+(1-EXP(-LN(2)/2))/(LN(2)/2)*AQ38*AT38*VLOOKUP('Données projet'!$B$10,Paramètres!$A$1:$I$89,3,0)*0.475*44/12</f>
        <v>4.9906304645051911</v>
      </c>
      <c r="AX38" s="23">
        <f t="shared" si="6"/>
        <v>34.69162058733464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6.3622807017543854</v>
      </c>
      <c r="BD38" s="13">
        <f>IF('Données projet'!$A$88&gt;35,BD37+BC38-BL37,IF(A38&lt;'Données projet'!$A$88,$BA$205^A38,IF(A38='Données projet'!$A$88,'Données projet'!$B$88,BD37+BC38-BL37)))</f>
        <v>222.67982456140331</v>
      </c>
      <c r="BE38" s="14">
        <f>BD38*VLOOKUP('Données projet'!$B$11,Paramètres!$A$1:$I$89,3,0)*VLOOKUP('Données projet'!$B$11,Paramètres!$A$1:$I$89,5,0)</f>
        <v>107.108995614035</v>
      </c>
      <c r="BF38" s="14">
        <f t="shared" si="37"/>
        <v>28.648789176779761</v>
      </c>
      <c r="BG38" s="22">
        <f t="shared" si="7"/>
        <v>236.44480851066905</v>
      </c>
      <c r="BH38" s="62">
        <f t="shared" si="8"/>
        <v>529.77814184400233</v>
      </c>
      <c r="BI38" s="62">
        <f ca="1">AVERAGE(OFFSET($BH$3,0,0,'Données projet'!$E$11+1,1))-AVERAGE(OFFSET($H$3,0,0,'Données projet'!$E$11+1,1))</f>
        <v>255.64417186544995</v>
      </c>
      <c r="BJ38" s="62">
        <f t="shared" si="38"/>
        <v>165.41802783289376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500</v>
      </c>
      <c r="BW38" s="13">
        <f>VLOOKUP(A38,'Données projet'!$A$113:$I$133,9,0)</f>
        <v>23</v>
      </c>
      <c r="BX38" s="13">
        <f t="array" ref="BX38">INDEX(BW:BW,MIN(IF(ISNUMBER(BW38:BW234),ROW(BW38:BW234),"")))</f>
        <v>23</v>
      </c>
      <c r="BY38" s="13">
        <f>IF('Données projet'!$A$114&gt;35,BY37+BX38-CG37,IF(A38&lt;'Données projet'!$A$114,$BV$205^A38,IF(A38='Données projet'!$A$114,'Données projet'!$B$114,BY37+BX38-CG37)))</f>
        <v>500.00000000000017</v>
      </c>
      <c r="BZ38" s="14">
        <f>BY38*VLOOKUP('Données projet'!$B$12,Paramètres!$A$1:$I$89,3,0)*VLOOKUP('Données projet'!$B$12,Paramètres!$A$1:$I$89,5,0)</f>
        <v>279.50000000000006</v>
      </c>
      <c r="CA38" s="14">
        <f t="shared" si="39"/>
        <v>66.861333518957409</v>
      </c>
      <c r="CB38" s="22">
        <f t="shared" si="10"/>
        <v>603.24598921218421</v>
      </c>
      <c r="CC38" s="62">
        <f t="shared" si="11"/>
        <v>896.57932254551747</v>
      </c>
      <c r="CD38" s="62">
        <f ca="1">AVERAGE(OFFSET($CC$3,0,0,'Données projet'!$E$12+1,1))-AVERAGE(OFFSET($H$3,0,0,'Données projet'!$E$12+1,1))</f>
        <v>465.49436272491818</v>
      </c>
      <c r="CE38" s="62">
        <f t="shared" si="40"/>
        <v>494.36941732405256</v>
      </c>
      <c r="CF38" s="16">
        <f>IF(ISNA(VLOOKUP(A38,'Données projet'!$A$113:$I$133,3,0)),0,VLOOKUP(A38,'Données projet'!$A$113:$I$133,3,0))</f>
        <v>5</v>
      </c>
      <c r="CG38" s="16">
        <f>IF(ISNA(VLOOKUP(A38,'Données projet'!$A$113:$I$133,4,0)),0,VLOOKUP(A38,'Données projet'!$A$113:$I$133,4,0))</f>
        <v>55</v>
      </c>
      <c r="CH38" s="17">
        <f>IF(ISNA(VLOOKUP(A38,'Données projet'!$A$113:$I$133,5,0)),0%,VLOOKUP(A38,'Données projet'!$A$113:$I$133,5,0)*VLOOKUP('Données projet'!$B$12,Paramètres!$A$1:$I$89,7,0))</f>
        <v>0.22000000000000003</v>
      </c>
      <c r="CI38" s="17">
        <f>IF(ISNA(VLOOKUP(A38,'Données projet'!$A$113:$I$133,6,0)),0%,VLOOKUP(A38,'Données projet'!$A$113:$I$133,6,0)*VLOOKUP('Données projet'!$B$12,Paramètres!$A$1:$I$89,7,0))</f>
        <v>0.18700000000000003</v>
      </c>
      <c r="CJ38" s="17">
        <f>IF(ISNA(VLOOKUP(A38,'Données projet'!$A$113:$I$133,7,0)),0%,VLOOKUP(A38,'Données projet'!$A$113:$I$133,7,0))</f>
        <v>0.26</v>
      </c>
      <c r="CK38" s="23">
        <f>EXP(-LN(2)/35)*CK37+(1-EXP(-LN(2)/35))/(LN(2)/35)*CG38*CH38*VLOOKUP('Données projet'!$B$12,Paramètres!$A$1:$I$89,3,0)*0.475*44/12</f>
        <v>28.323050494109459</v>
      </c>
      <c r="CL38" s="23">
        <f>EXP(-LN(2)/25)*CL37+(1-EXP(-LN(2)/25))/(LN(2)/25)*Calculateur!CG38*Calculateur!CI38*VLOOKUP('Données projet'!$B$12,Paramètres!$A$1:$I$89,3,0)*0.475*44/12</f>
        <v>28.020862699475643</v>
      </c>
      <c r="CM38" s="23">
        <f>EXP(-LN(2)/2)*CM37+(1-EXP(-LN(2)/2))/(LN(2)/2)*CG38*CJ38*VLOOKUP('Données projet'!$B$12,Paramètres!$A$1:$I$89,3,0)*0.475*44/12</f>
        <v>10.979216104157478</v>
      </c>
      <c r="CN38" s="24">
        <f t="shared" si="12"/>
        <v>67.323129297742582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20.572857142857142</v>
      </c>
      <c r="CT38" s="13">
        <f>IF('Données projet'!$A$140&gt;35,CT37+CS38-DB37,IF(A38&lt;'Données projet'!$A$140,$CQ$205^A38,IF(A38='Données projet'!$A$140,'Données projet'!$B$140,CT37+CS38-DB37)))</f>
        <v>295.97428571428566</v>
      </c>
      <c r="CU38" s="18">
        <f>CT38*VLOOKUP('Données projet'!$B$13,Paramètres!$A$1:$I$89,3,0)*VLOOKUP('Données projet'!$B$13,Paramètres!$A$1:$I$89,5,0)</f>
        <v>176.99262285714283</v>
      </c>
      <c r="CV38" s="14">
        <f t="shared" si="41"/>
        <v>44.652445469250452</v>
      </c>
      <c r="CW38" s="22">
        <f t="shared" si="13"/>
        <v>386.03182733513495</v>
      </c>
      <c r="CX38" s="62">
        <f t="shared" si="14"/>
        <v>679.36516066846821</v>
      </c>
      <c r="CY38" s="62">
        <f ca="1">AVERAGE(OFFSET($CX$3,0,0,'Données projet'!$E$13+1,1))-AVERAGE(OFFSET($H$3,0,0,'Données projet'!$E$13+1,1))</f>
        <v>361.46923697840384</v>
      </c>
      <c r="CZ38" s="62">
        <f t="shared" si="42"/>
        <v>302.25424592654673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18.629015107923873</v>
      </c>
      <c r="DG38" s="23">
        <f>EXP(-LN(2)/25)*DG37+(1-EXP(-LN(2)/25))/(LN(2)/25)*Calculateur!DB38*Calculateur!DD38*VLOOKUP('Données projet'!$B$13,Paramètres!$A$1:$I$89,3,0)*0.475*44/12</f>
        <v>14.63825736059994</v>
      </c>
      <c r="DH38" s="23">
        <f>EXP(-LN(2)/2)*DH37+(1-EXP(-LN(2)/2))/(LN(2)/2)*DB38*DE38*VLOOKUP('Données projet'!$B$13,Paramètres!$A$1:$I$89,3,0)*0.475*44/12</f>
        <v>2.2909713486313446</v>
      </c>
      <c r="DI38" s="24">
        <f t="shared" si="15"/>
        <v>35.558243817155159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21</v>
      </c>
      <c r="N39" s="14">
        <f>IF('Données projet'!$A$36&gt;35,N38+M39-V38,IF(A39&lt;'Données projet'!$A$36,$K$205^A39,IF(A39='Données projet'!$A$36,'Données projet'!$B$36,N38+M39-V38)))</f>
        <v>393.00000000000006</v>
      </c>
      <c r="O39" s="14">
        <f>N39*VLOOKUP('Données projet'!$B$9,Paramètres!$A$1:$I$89,3,0)*VLOOKUP('Données projet'!$B$9,Paramètres!$A$1:$I$89,5,0)</f>
        <v>219.68700000000001</v>
      </c>
      <c r="P39" s="14">
        <f t="shared" si="33"/>
        <v>54.046851081096591</v>
      </c>
      <c r="Q39" s="22">
        <f t="shared" si="53"/>
        <v>476.75312396624321</v>
      </c>
      <c r="R39" s="62">
        <f t="shared" si="0"/>
        <v>770.08645729957652</v>
      </c>
      <c r="S39" s="62">
        <f ca="1">AVERAGE(OFFSET($R$3,0,0,'Données projet'!$E$9+1,1))-AVERAGE(OFFSET($H$3,0,0,'Données projet'!$E$9+1,1))</f>
        <v>389.80719836281679</v>
      </c>
      <c r="T39" s="62">
        <f t="shared" si="34"/>
        <v>399.58193819355591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21.263276180826487</v>
      </c>
      <c r="AA39" s="23">
        <f>EXP(-LN(2)/25)*AA38+(1-EXP(-LN(2)/25))/(LN(2)/25)*Calculateur!V39*Calculateur!X39*VLOOKUP('Données projet'!$B$9,Paramètres!$A$1:$I$89,3,0)*0.475*44/12</f>
        <v>19.00091728346727</v>
      </c>
      <c r="AB39" s="23">
        <f>EXP(-LN(2)/2)*AB38+(1-EXP(-LN(2)/2))/(LN(2)/2)*V39*Y39*VLOOKUP('Données projet'!$B$9,Paramètres!$A$1:$I$89,3,0)*0.475*44/12</f>
        <v>6.9276861121289395</v>
      </c>
      <c r="AC39" s="24">
        <f t="shared" si="3"/>
        <v>47.191879576422693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16.701250000000002</v>
      </c>
      <c r="AI39" s="14">
        <f>IF('Données projet'!$A$62&gt;35,AI38+AH39-AQ38,IF(A39&lt;'Données projet'!$A$62,$AF$205^A39,IF(A39='Données projet'!$A$62,'Données projet'!$B$62,AI38+AH39-AQ38)))</f>
        <v>217.03375000000005</v>
      </c>
      <c r="AJ39" s="14">
        <f>AI39*VLOOKUP('Données projet'!$B$10,Paramètres!$A$1:$I$89,3,0)*VLOOKUP('Données projet'!$B$10,Paramètres!$A$1:$I$89,5,0)</f>
        <v>129.78618250000005</v>
      </c>
      <c r="AK39" s="14">
        <f t="shared" si="35"/>
        <v>33.946947653586037</v>
      </c>
      <c r="AL39" s="22">
        <f t="shared" si="4"/>
        <v>285.1685350174958</v>
      </c>
      <c r="AM39" s="62">
        <f t="shared" si="5"/>
        <v>578.50186835082911</v>
      </c>
      <c r="AN39" s="62">
        <f ca="1">AVERAGE(OFFSET($AM$3,0,0,'Données projet'!$E$10+1,1))-AVERAGE(OFFSET($H$3,0,0,'Données projet'!$E$10+1,1))</f>
        <v>269.90083987531233</v>
      </c>
      <c r="AO39" s="62">
        <f t="shared" si="36"/>
        <v>183.4515835513518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14.139816798886898</v>
      </c>
      <c r="AV39" s="23">
        <f>EXP(-LN(2)/25)*AV38+(1-EXP(-LN(2)/25))/(LN(2)/25)*Calculateur!AQ39*Calculateur!AS39*VLOOKUP('Données projet'!$B$10,Paramètres!$A$1:$I$89,3,0)*0.475*44/12</f>
        <v>14.860566831142284</v>
      </c>
      <c r="AW39" s="23">
        <f>EXP(-LN(2)/2)*AW38+(1-EXP(-LN(2)/2))/(LN(2)/2)*AQ39*AT39*VLOOKUP('Données projet'!$B$10,Paramètres!$A$1:$I$89,3,0)*0.475*44/12</f>
        <v>3.5289086438477906</v>
      </c>
      <c r="AX39" s="23">
        <f t="shared" si="6"/>
        <v>32.529292273876976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6.3622807017543854</v>
      </c>
      <c r="BD39" s="13">
        <f>IF('Données projet'!$A$88&gt;35,BD38+BC39-BL38,IF(A39&lt;'Données projet'!$A$88,$BA$205^A39,IF(A39='Données projet'!$A$88,'Données projet'!$B$88,BD38+BC39-BL38)))</f>
        <v>229.04210526315768</v>
      </c>
      <c r="BE39" s="14">
        <f>BD39*VLOOKUP('Données projet'!$B$11,Paramètres!$A$1:$I$89,3,0)*VLOOKUP('Données projet'!$B$11,Paramètres!$A$1:$I$89,5,0)</f>
        <v>110.16925263157886</v>
      </c>
      <c r="BF39" s="14">
        <f t="shared" si="37"/>
        <v>29.370858243715841</v>
      </c>
      <c r="BG39" s="22">
        <f t="shared" si="7"/>
        <v>243.03235977447159</v>
      </c>
      <c r="BH39" s="62">
        <f t="shared" si="8"/>
        <v>536.36569310780487</v>
      </c>
      <c r="BI39" s="62">
        <f ca="1">AVERAGE(OFFSET($BH$3,0,0,'Données projet'!$E$11+1,1))-AVERAGE(OFFSET($H$3,0,0,'Données projet'!$E$11+1,1))</f>
        <v>255.64417186544995</v>
      </c>
      <c r="BJ39" s="62">
        <f t="shared" si="38"/>
        <v>165.41802783289376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21.8</v>
      </c>
      <c r="BY39" s="13">
        <f>IF('Données projet'!$A$114&gt;35,BY38+BX39-CG38,IF(A39&lt;'Données projet'!$A$114,$BV$205^A39,IF(A39='Données projet'!$A$114,'Données projet'!$B$114,BY38+BX39-CG38)))</f>
        <v>466.80000000000018</v>
      </c>
      <c r="BZ39" s="14">
        <f>BY39*VLOOKUP('Données projet'!$B$12,Paramètres!$A$1:$I$89,3,0)*VLOOKUP('Données projet'!$B$12,Paramètres!$A$1:$I$89,5,0)</f>
        <v>260.94120000000009</v>
      </c>
      <c r="CA39" s="14">
        <f t="shared" si="39"/>
        <v>62.922961549594426</v>
      </c>
      <c r="CB39" s="22">
        <f t="shared" si="10"/>
        <v>564.06341469887707</v>
      </c>
      <c r="CC39" s="62">
        <f t="shared" si="11"/>
        <v>857.39674803221033</v>
      </c>
      <c r="CD39" s="62">
        <f ca="1">AVERAGE(OFFSET($CC$3,0,0,'Données projet'!$E$12+1,1))-AVERAGE(OFFSET($H$3,0,0,'Données projet'!$E$12+1,1))</f>
        <v>465.49436272491818</v>
      </c>
      <c r="CE39" s="62">
        <f t="shared" si="40"/>
        <v>494.36941732405256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27.767652749274976</v>
      </c>
      <c r="CL39" s="23">
        <f>EXP(-LN(2)/25)*CL38+(1-EXP(-LN(2)/25))/(LN(2)/25)*Calculateur!CG39*Calculateur!CI39*VLOOKUP('Données projet'!$B$12,Paramètres!$A$1:$I$89,3,0)*0.475*44/12</f>
        <v>27.254630735405353</v>
      </c>
      <c r="CM39" s="23">
        <f>EXP(-LN(2)/2)*CM38+(1-EXP(-LN(2)/2))/(LN(2)/2)*CG39*CJ39*VLOOKUP('Données projet'!$B$12,Paramètres!$A$1:$I$89,3,0)*0.475*44/12</f>
        <v>7.7634781593623012</v>
      </c>
      <c r="CN39" s="24">
        <f t="shared" si="12"/>
        <v>62.78576164404263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20.572857142857142</v>
      </c>
      <c r="CT39" s="13">
        <f>IF('Données projet'!$A$140&gt;35,CT38+CS39-DB38,IF(A39&lt;'Données projet'!$A$140,$CQ$205^A39,IF(A39='Données projet'!$A$140,'Données projet'!$B$140,CT38+CS39-DB38)))</f>
        <v>316.54714285714277</v>
      </c>
      <c r="CU39" s="18">
        <f>CT39*VLOOKUP('Données projet'!$B$13,Paramètres!$A$1:$I$89,3,0)*VLOOKUP('Données projet'!$B$13,Paramètres!$A$1:$I$89,5,0)</f>
        <v>189.29519142857137</v>
      </c>
      <c r="CV39" s="14">
        <f t="shared" si="41"/>
        <v>47.384095995290963</v>
      </c>
      <c r="CW39" s="22">
        <f t="shared" si="13"/>
        <v>412.21642559656016</v>
      </c>
      <c r="CX39" s="62">
        <f t="shared" si="14"/>
        <v>705.54975892989341</v>
      </c>
      <c r="CY39" s="62">
        <f ca="1">AVERAGE(OFFSET($CX$3,0,0,'Données projet'!$E$13+1,1))-AVERAGE(OFFSET($H$3,0,0,'Données projet'!$E$13+1,1))</f>
        <v>361.46923697840384</v>
      </c>
      <c r="CZ39" s="62">
        <f t="shared" si="42"/>
        <v>302.25424592654673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18.26371148423474</v>
      </c>
      <c r="DG39" s="23">
        <f>EXP(-LN(2)/25)*DG38+(1-EXP(-LN(2)/25))/(LN(2)/25)*Calculateur!DB39*Calculateur!DD39*VLOOKUP('Données projet'!$B$13,Paramètres!$A$1:$I$89,3,0)*0.475*44/12</f>
        <v>14.237973443281836</v>
      </c>
      <c r="DH39" s="23">
        <f>EXP(-LN(2)/2)*DH38+(1-EXP(-LN(2)/2))/(LN(2)/2)*DB39*DE39*VLOOKUP('Données projet'!$B$13,Paramètres!$A$1:$I$89,3,0)*0.475*44/12</f>
        <v>1.6199613761213139</v>
      </c>
      <c r="DI39" s="24">
        <f t="shared" si="15"/>
        <v>34.121646303637895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21</v>
      </c>
      <c r="N40" s="14">
        <f>IF('Données projet'!$A$36&gt;35,N39+M40-V39,IF(A40&lt;'Données projet'!$A$36,$K$205^A40,IF(A40='Données projet'!$A$36,'Données projet'!$B$36,N39+M40-V39)))</f>
        <v>414.00000000000006</v>
      </c>
      <c r="O40" s="14">
        <f>N40*VLOOKUP('Données projet'!$B$9,Paramètres!$A$1:$I$89,3,0)*VLOOKUP('Données projet'!$B$9,Paramètres!$A$1:$I$89,5,0)</f>
        <v>231.42600000000002</v>
      </c>
      <c r="P40" s="14">
        <f t="shared" si="33"/>
        <v>56.590905067453221</v>
      </c>
      <c r="Q40" s="22">
        <f t="shared" si="53"/>
        <v>501.62944299248107</v>
      </c>
      <c r="R40" s="62">
        <f t="shared" si="0"/>
        <v>794.96277632581439</v>
      </c>
      <c r="S40" s="62">
        <f ca="1">AVERAGE(OFFSET($R$3,0,0,'Données projet'!$E$9+1,1))-AVERAGE(OFFSET($H$3,0,0,'Données projet'!$E$9+1,1))</f>
        <v>389.80719836281679</v>
      </c>
      <c r="T40" s="62">
        <f t="shared" si="34"/>
        <v>399.58193819355591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20.846316304238336</v>
      </c>
      <c r="AA40" s="23">
        <f>EXP(-LN(2)/25)*AA39+(1-EXP(-LN(2)/25))/(LN(2)/25)*Calculateur!V40*Calculateur!X40*VLOOKUP('Données projet'!$B$9,Paramètres!$A$1:$I$89,3,0)*0.475*44/12</f>
        <v>18.481336201136045</v>
      </c>
      <c r="AB40" s="23">
        <f>EXP(-LN(2)/2)*AB39+(1-EXP(-LN(2)/2))/(LN(2)/2)*V40*Y40*VLOOKUP('Données projet'!$B$9,Paramètres!$A$1:$I$89,3,0)*0.475*44/12</f>
        <v>4.8986138278182425</v>
      </c>
      <c r="AC40" s="24">
        <f t="shared" si="3"/>
        <v>44.226266333192626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16.701250000000002</v>
      </c>
      <c r="AI40" s="14">
        <f>IF('Données projet'!$A$62&gt;35,AI39+AH40-AQ39,IF(A40&lt;'Données projet'!$A$62,$AF$205^A40,IF(A40='Données projet'!$A$62,'Données projet'!$B$62,AI39+AH40-AQ39)))</f>
        <v>233.73500000000007</v>
      </c>
      <c r="AJ40" s="14">
        <f>AI40*VLOOKUP('Données projet'!$B$10,Paramètres!$A$1:$I$89,3,0)*VLOOKUP('Données projet'!$B$10,Paramètres!$A$1:$I$89,5,0)</f>
        <v>139.77353000000005</v>
      </c>
      <c r="AK40" s="14">
        <f t="shared" si="35"/>
        <v>36.245119510821418</v>
      </c>
      <c r="AL40" s="22">
        <f t="shared" si="4"/>
        <v>306.56581456468069</v>
      </c>
      <c r="AM40" s="62">
        <f t="shared" si="5"/>
        <v>599.89914789801401</v>
      </c>
      <c r="AN40" s="62">
        <f ca="1">AVERAGE(OFFSET($AM$3,0,0,'Données projet'!$E$10+1,1))-AVERAGE(OFFSET($H$3,0,0,'Données projet'!$E$10+1,1))</f>
        <v>269.90083987531233</v>
      </c>
      <c r="AO40" s="62">
        <f t="shared" si="36"/>
        <v>183.4515835513518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13.86254361589738</v>
      </c>
      <c r="AV40" s="23">
        <f>EXP(-LN(2)/25)*AV39+(1-EXP(-LN(2)/25))/(LN(2)/25)*Calculateur!AQ40*Calculateur!AS40*VLOOKUP('Données projet'!$B$10,Paramètres!$A$1:$I$89,3,0)*0.475*44/12</f>
        <v>14.454203849661454</v>
      </c>
      <c r="AW40" s="23">
        <f>EXP(-LN(2)/2)*AW39+(1-EXP(-LN(2)/2))/(LN(2)/2)*AQ40*AT40*VLOOKUP('Données projet'!$B$10,Paramètres!$A$1:$I$89,3,0)*0.475*44/12</f>
        <v>2.495315232252596</v>
      </c>
      <c r="AX40" s="23">
        <f t="shared" si="6"/>
        <v>30.812062697811431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6.3622807017543854</v>
      </c>
      <c r="BD40" s="13">
        <f>IF('Données projet'!$A$88&gt;35,BD39+BC40-BL39,IF(A40&lt;'Données projet'!$A$88,$BA$205^A40,IF(A40='Données projet'!$A$88,'Données projet'!$B$88,BD39+BC40-BL39)))</f>
        <v>235.40438596491205</v>
      </c>
      <c r="BE40" s="14">
        <f>BD40*VLOOKUP('Données projet'!$B$11,Paramètres!$A$1:$I$89,3,0)*VLOOKUP('Données projet'!$B$11,Paramètres!$A$1:$I$89,5,0)</f>
        <v>113.22950964912269</v>
      </c>
      <c r="BF40" s="14">
        <f t="shared" si="37"/>
        <v>30.090596074225726</v>
      </c>
      <c r="BG40" s="22">
        <f t="shared" si="7"/>
        <v>249.61585080149845</v>
      </c>
      <c r="BH40" s="62">
        <f t="shared" si="8"/>
        <v>542.94918413483174</v>
      </c>
      <c r="BI40" s="62">
        <f ca="1">AVERAGE(OFFSET($BH$3,0,0,'Données projet'!$E$11+1,1))-AVERAGE(OFFSET($H$3,0,0,'Données projet'!$E$11+1,1))</f>
        <v>255.64417186544995</v>
      </c>
      <c r="BJ40" s="62">
        <f t="shared" si="38"/>
        <v>165.41802783289376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21.8</v>
      </c>
      <c r="BY40" s="13">
        <f>IF('Données projet'!$A$114&gt;35,BY39+BX40-CG39,IF(A40&lt;'Données projet'!$A$114,$BV$205^A40,IF(A40='Données projet'!$A$114,'Données projet'!$B$114,BY39+BX40-CG39)))</f>
        <v>488.60000000000019</v>
      </c>
      <c r="BZ40" s="14">
        <f>BY40*VLOOKUP('Données projet'!$B$12,Paramètres!$A$1:$I$89,3,0)*VLOOKUP('Données projet'!$B$12,Paramètres!$A$1:$I$89,5,0)</f>
        <v>273.12740000000008</v>
      </c>
      <c r="CA40" s="14">
        <f t="shared" si="39"/>
        <v>65.512536987025797</v>
      </c>
      <c r="CB40" s="22">
        <f t="shared" si="10"/>
        <v>589.79789025240336</v>
      </c>
      <c r="CC40" s="62">
        <f t="shared" si="11"/>
        <v>883.13122358573673</v>
      </c>
      <c r="CD40" s="62">
        <f ca="1">AVERAGE(OFFSET($CC$3,0,0,'Données projet'!$E$12+1,1))-AVERAGE(OFFSET($H$3,0,0,'Données projet'!$E$12+1,1))</f>
        <v>465.49436272491818</v>
      </c>
      <c r="CE40" s="62">
        <f t="shared" si="40"/>
        <v>494.36941732405256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27.22314601545752</v>
      </c>
      <c r="CL40" s="23">
        <f>EXP(-LN(2)/25)*CL39+(1-EXP(-LN(2)/25))/(LN(2)/25)*Calculateur!CG40*Calculateur!CI40*VLOOKUP('Données projet'!$B$12,Paramètres!$A$1:$I$89,3,0)*0.475*44/12</f>
        <v>26.509351424686955</v>
      </c>
      <c r="CM40" s="23">
        <f>EXP(-LN(2)/2)*CM39+(1-EXP(-LN(2)/2))/(LN(2)/2)*CG40*CJ40*VLOOKUP('Données projet'!$B$12,Paramètres!$A$1:$I$89,3,0)*0.475*44/12</f>
        <v>5.48960805207874</v>
      </c>
      <c r="CN40" s="24">
        <f t="shared" si="12"/>
        <v>59.222105492223207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>
        <f>VLOOKUP(A40,'Données projet'!$A$139:$I$159,2,0)</f>
        <v>337.12</v>
      </c>
      <c r="CR40" s="13">
        <f>VLOOKUP(A40,'Données projet'!$A$139:$I$159,9,0)</f>
        <v>20.572857142857142</v>
      </c>
      <c r="CS40" s="13">
        <f t="array" ref="CS40">INDEX(CR:CR,MIN(IF(ISNUMBER(CR40:CR236),ROW(CR40:CR236),"")))</f>
        <v>20.572857142857142</v>
      </c>
      <c r="CT40" s="13">
        <f>IF('Données projet'!$A$140&gt;35,CT39+CS40-DB39,IF(A40&lt;'Données projet'!$A$140,$CQ$205^A40,IF(A40='Données projet'!$A$140,'Données projet'!$B$140,CT39+CS40-DB39)))</f>
        <v>337.11999999999989</v>
      </c>
      <c r="CU40" s="18">
        <f>CT40*VLOOKUP('Données projet'!$B$13,Paramètres!$A$1:$I$89,3,0)*VLOOKUP('Données projet'!$B$13,Paramètres!$A$1:$I$89,5,0)</f>
        <v>201.59775999999997</v>
      </c>
      <c r="CV40" s="14">
        <f t="shared" si="41"/>
        <v>50.095144235750958</v>
      </c>
      <c r="CW40" s="22">
        <f t="shared" si="13"/>
        <v>438.36514154393285</v>
      </c>
      <c r="CX40" s="62">
        <f t="shared" si="14"/>
        <v>731.69847487726611</v>
      </c>
      <c r="CY40" s="62">
        <f ca="1">AVERAGE(OFFSET($CX$3,0,0,'Données projet'!$E$13+1,1))-AVERAGE(OFFSET($H$3,0,0,'Données projet'!$E$13+1,1))</f>
        <v>361.46923697840384</v>
      </c>
      <c r="CZ40" s="62">
        <f t="shared" si="42"/>
        <v>302.25424592654673</v>
      </c>
      <c r="DA40" s="16">
        <f>IF(ISNA(VLOOKUP(A40,'Données projet'!$A$139:$I$159,3,0)),0,VLOOKUP(A40,'Données projet'!$A$139:$I$159,3,0))</f>
        <v>4</v>
      </c>
      <c r="DB40" s="16">
        <f>IF(ISNA(VLOOKUP(A40,'Données projet'!$A$139:$I$159,4,0)),0,VLOOKUP(A40,'Données projet'!$A$139:$I$159,4,0))</f>
        <v>54.63</v>
      </c>
      <c r="DC40" s="17">
        <f>IF(ISNA(VLOOKUP(A40,'Données projet'!$A$139:$I$159,5,0)),0%,VLOOKUP(A40,'Données projet'!$A$139:$I$159,5,0)*VLOOKUP('Données projet'!$B$13,Paramètres!$A$1:$I$89,7,0))</f>
        <v>0.22500000000000001</v>
      </c>
      <c r="DD40" s="17">
        <f>IF(ISNA(VLOOKUP(A40,'Données projet'!$A$139:$I$159,6,0)),0%,VLOOKUP(A40,'Données projet'!$A$139:$I$159,6,0)*VLOOKUP('Données projet'!$B$13,Paramètres!$A$1:$I$89,7,0))</f>
        <v>0.12600000000000003</v>
      </c>
      <c r="DE40" s="17">
        <f>IF(ISNA(VLOOKUP(A40,'Données projet'!$A$139:$I$159,7,0)),0%,VLOOKUP(A40,'Données projet'!$A$139:$I$159,7,0))</f>
        <v>0.22</v>
      </c>
      <c r="DF40" s="23">
        <f>EXP(-LN(2)/35)*DF39+(1-EXP(-LN(2)/35))/(LN(2)/35)*DB40*DC40*VLOOKUP('Données projet'!$B$13,Paramètres!$A$1:$I$89,3,0)*0.475*44/12</f>
        <v>27.656438831592027</v>
      </c>
      <c r="DG40" s="23">
        <f>EXP(-LN(2)/25)*DG39+(1-EXP(-LN(2)/25))/(LN(2)/25)*Calculateur!DB40*Calculateur!DD40*VLOOKUP('Données projet'!$B$13,Paramètres!$A$1:$I$89,3,0)*0.475*44/12</f>
        <v>19.287621147619493</v>
      </c>
      <c r="DH40" s="23">
        <f>EXP(-LN(2)/2)*DH39+(1-EXP(-LN(2)/2))/(LN(2)/2)*DB40*DE40*VLOOKUP('Données projet'!$B$13,Paramètres!$A$1:$I$89,3,0)*0.475*44/12</f>
        <v>9.2829782347645189</v>
      </c>
      <c r="DI40" s="24">
        <f t="shared" si="15"/>
        <v>56.227038213976037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21</v>
      </c>
      <c r="N41" s="14">
        <f>IF('Données projet'!$A$36&gt;35,N40+M41-V40,IF(A41&lt;'Données projet'!$A$36,$K$205^A41,IF(A41='Données projet'!$A$36,'Données projet'!$B$36,N40+M41-V40)))</f>
        <v>435.00000000000006</v>
      </c>
      <c r="O41" s="14">
        <f>N41*VLOOKUP('Données projet'!$B$9,Paramètres!$A$1:$I$89,3,0)*VLOOKUP('Données projet'!$B$9,Paramètres!$A$1:$I$89,5,0)</f>
        <v>243.16500000000002</v>
      </c>
      <c r="P41" s="14">
        <f t="shared" si="33"/>
        <v>59.119975548046618</v>
      </c>
      <c r="Q41" s="22">
        <f t="shared" si="53"/>
        <v>526.47966574618124</v>
      </c>
      <c r="R41" s="62">
        <f t="shared" si="0"/>
        <v>819.81299907951461</v>
      </c>
      <c r="S41" s="62">
        <f ca="1">AVERAGE(OFFSET($R$3,0,0,'Données projet'!$E$9+1,1))-AVERAGE(OFFSET($H$3,0,0,'Données projet'!$E$9+1,1))</f>
        <v>389.80719836281679</v>
      </c>
      <c r="T41" s="62">
        <f t="shared" si="34"/>
        <v>399.58193819355591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20.437532756509665</v>
      </c>
      <c r="AA41" s="23">
        <f>EXP(-LN(2)/25)*AA40+(1-EXP(-LN(2)/25))/(LN(2)/25)*Calculateur!V41*Calculateur!X41*VLOOKUP('Données projet'!$B$9,Paramètres!$A$1:$I$89,3,0)*0.475*44/12</f>
        <v>17.975963090824749</v>
      </c>
      <c r="AB41" s="23">
        <f>EXP(-LN(2)/2)*AB40+(1-EXP(-LN(2)/2))/(LN(2)/2)*V41*Y41*VLOOKUP('Données projet'!$B$9,Paramètres!$A$1:$I$89,3,0)*0.475*44/12</f>
        <v>3.4638430560644702</v>
      </c>
      <c r="AC41" s="24">
        <f t="shared" si="3"/>
        <v>41.877338903398886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16.701250000000002</v>
      </c>
      <c r="AI41" s="14">
        <f>IF('Données projet'!$A$62&gt;35,AI40+AH41-AQ40,IF(A41&lt;'Données projet'!$A$62,$AF$205^A41,IF(A41='Données projet'!$A$62,'Données projet'!$B$62,AI40+AH41-AQ40)))</f>
        <v>250.43625000000009</v>
      </c>
      <c r="AJ41" s="14">
        <f>AI41*VLOOKUP('Données projet'!$B$10,Paramètres!$A$1:$I$89,3,0)*VLOOKUP('Données projet'!$B$10,Paramètres!$A$1:$I$89,5,0)</f>
        <v>149.76087750000008</v>
      </c>
      <c r="AK41" s="14">
        <f t="shared" si="35"/>
        <v>38.524239129902824</v>
      </c>
      <c r="AL41" s="22">
        <f t="shared" si="4"/>
        <v>327.9299114637476</v>
      </c>
      <c r="AM41" s="62">
        <f t="shared" si="5"/>
        <v>621.26324479708092</v>
      </c>
      <c r="AN41" s="62">
        <f ca="1">AVERAGE(OFFSET($AM$3,0,0,'Données projet'!$E$10+1,1))-AVERAGE(OFFSET($H$3,0,0,'Données projet'!$E$10+1,1))</f>
        <v>269.90083987531233</v>
      </c>
      <c r="AO41" s="62">
        <f t="shared" si="36"/>
        <v>183.4515835513518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13.590707590906344</v>
      </c>
      <c r="AV41" s="23">
        <f>EXP(-LN(2)/25)*AV40+(1-EXP(-LN(2)/25))/(LN(2)/25)*Calculateur!AQ41*Calculateur!AS41*VLOOKUP('Données projet'!$B$10,Paramètres!$A$1:$I$89,3,0)*0.475*44/12</f>
        <v>14.058952885278917</v>
      </c>
      <c r="AW41" s="23">
        <f>EXP(-LN(2)/2)*AW40+(1-EXP(-LN(2)/2))/(LN(2)/2)*AQ41*AT41*VLOOKUP('Données projet'!$B$10,Paramètres!$A$1:$I$89,3,0)*0.475*44/12</f>
        <v>1.7644543219238955</v>
      </c>
      <c r="AX41" s="23">
        <f t="shared" si="6"/>
        <v>29.414114798109157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6.3622807017543854</v>
      </c>
      <c r="BD41" s="13">
        <f>IF('Données projet'!$A$88&gt;35,BD40+BC41-BL40,IF(A41&lt;'Données projet'!$A$88,$BA$205^A41,IF(A41='Données projet'!$A$88,'Données projet'!$B$88,BD40+BC41-BL40)))</f>
        <v>241.76666666666642</v>
      </c>
      <c r="BE41" s="14">
        <f>BD41*VLOOKUP('Données projet'!$B$11,Paramètres!$A$1:$I$89,3,0)*VLOOKUP('Données projet'!$B$11,Paramètres!$A$1:$I$89,5,0)</f>
        <v>116.28976666666655</v>
      </c>
      <c r="BF41" s="14">
        <f t="shared" si="37"/>
        <v>30.808072915433446</v>
      </c>
      <c r="BG41" s="22">
        <f t="shared" si="7"/>
        <v>256.19540393882409</v>
      </c>
      <c r="BH41" s="62">
        <f t="shared" si="8"/>
        <v>549.5287372721574</v>
      </c>
      <c r="BI41" s="62">
        <f ca="1">AVERAGE(OFFSET($BH$3,0,0,'Données projet'!$E$11+1,1))-AVERAGE(OFFSET($H$3,0,0,'Données projet'!$E$11+1,1))</f>
        <v>255.64417186544995</v>
      </c>
      <c r="BJ41" s="62">
        <f t="shared" si="38"/>
        <v>165.41802783289376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21.8</v>
      </c>
      <c r="BY41" s="13">
        <f>IF('Données projet'!$A$114&gt;35,BY40+BX41-CG40,IF(A41&lt;'Données projet'!$A$114,$BV$205^A41,IF(A41='Données projet'!$A$114,'Données projet'!$B$114,BY40+BX41-CG40)))</f>
        <v>510.4000000000002</v>
      </c>
      <c r="BZ41" s="14">
        <f>BY41*VLOOKUP('Données projet'!$B$12,Paramètres!$A$1:$I$89,3,0)*VLOOKUP('Données projet'!$B$12,Paramètres!$A$1:$I$89,5,0)</f>
        <v>285.31360000000012</v>
      </c>
      <c r="CA41" s="14">
        <f t="shared" si="39"/>
        <v>68.088693753445725</v>
      </c>
      <c r="CB41" s="22">
        <f t="shared" si="10"/>
        <v>615.5089949539182</v>
      </c>
      <c r="CC41" s="62">
        <f t="shared" si="11"/>
        <v>908.84232828725158</v>
      </c>
      <c r="CD41" s="62">
        <f ca="1">AVERAGE(OFFSET($CC$3,0,0,'Données projet'!$E$12+1,1))-AVERAGE(OFFSET($H$3,0,0,'Données projet'!$E$12+1,1))</f>
        <v>465.49436272491818</v>
      </c>
      <c r="CE41" s="62">
        <f t="shared" si="40"/>
        <v>494.36941732405256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26.68931672657391</v>
      </c>
      <c r="CL41" s="23">
        <f>EXP(-LN(2)/25)*CL40+(1-EXP(-LN(2)/25))/(LN(2)/25)*Calculateur!CG41*Calculateur!CI41*VLOOKUP('Données projet'!$B$12,Paramètres!$A$1:$I$89,3,0)*0.475*44/12</f>
        <v>25.784451815912686</v>
      </c>
      <c r="CM41" s="23">
        <f>EXP(-LN(2)/2)*CM40+(1-EXP(-LN(2)/2))/(LN(2)/2)*CG41*CJ41*VLOOKUP('Données projet'!$B$12,Paramètres!$A$1:$I$89,3,0)*0.475*44/12</f>
        <v>3.8817390796811511</v>
      </c>
      <c r="CN41" s="24">
        <f t="shared" si="12"/>
        <v>56.35550762216775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20.418888888888887</v>
      </c>
      <c r="CT41" s="13">
        <f>IF('Données projet'!$A$140&gt;35,CT40+CS41-DB40,IF(A41&lt;'Données projet'!$A$140,$CQ$205^A41,IF(A41='Données projet'!$A$140,'Données projet'!$B$140,CT40+CS41-DB40)))</f>
        <v>302.90888888888878</v>
      </c>
      <c r="CU41" s="18">
        <f>CT41*VLOOKUP('Données projet'!$B$13,Paramètres!$A$1:$I$89,3,0)*VLOOKUP('Données projet'!$B$13,Paramètres!$A$1:$I$89,5,0)</f>
        <v>181.1395155555555</v>
      </c>
      <c r="CV41" s="14">
        <f t="shared" si="41"/>
        <v>45.575614194457899</v>
      </c>
      <c r="CW41" s="22">
        <f t="shared" si="13"/>
        <v>394.86218431460662</v>
      </c>
      <c r="CX41" s="62">
        <f t="shared" si="14"/>
        <v>688.19551764793994</v>
      </c>
      <c r="CY41" s="62">
        <f ca="1">AVERAGE(OFFSET($CX$3,0,0,'Données projet'!$E$13+1,1))-AVERAGE(OFFSET($H$3,0,0,'Données projet'!$E$13+1,1))</f>
        <v>361.46923697840384</v>
      </c>
      <c r="CZ41" s="62">
        <f t="shared" si="42"/>
        <v>302.25424592654673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27.114112934866544</v>
      </c>
      <c r="DG41" s="23">
        <f>EXP(-LN(2)/25)*DG40+(1-EXP(-LN(2)/25))/(LN(2)/25)*Calculateur!DB41*Calculateur!DD41*VLOOKUP('Données projet'!$B$13,Paramètres!$A$1:$I$89,3,0)*0.475*44/12</f>
        <v>18.760200133045924</v>
      </c>
      <c r="DH41" s="23">
        <f>EXP(-LN(2)/2)*DH40+(1-EXP(-LN(2)/2))/(LN(2)/2)*DB41*DE41*VLOOKUP('Données projet'!$B$13,Paramètres!$A$1:$I$89,3,0)*0.475*44/12</f>
        <v>6.564056859409118</v>
      </c>
      <c r="DI41" s="24">
        <f t="shared" si="15"/>
        <v>52.438369927321588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21</v>
      </c>
      <c r="N42" s="14">
        <f>IF('Données projet'!$A$36&gt;35,N41+M42-V41,IF(A42&lt;'Données projet'!$A$36,$K$205^A42,IF(A42='Données projet'!$A$36,'Données projet'!$B$36,N41+M42-V41)))</f>
        <v>456.00000000000006</v>
      </c>
      <c r="O42" s="14">
        <f>N42*VLOOKUP('Données projet'!$B$9,Paramètres!$A$1:$I$89,3,0)*VLOOKUP('Données projet'!$B$9,Paramètres!$A$1:$I$89,5,0)</f>
        <v>254.90400000000002</v>
      </c>
      <c r="P42" s="14">
        <f t="shared" si="33"/>
        <v>61.634868437438257</v>
      </c>
      <c r="Q42" s="22">
        <f t="shared" si="53"/>
        <v>551.30519586187165</v>
      </c>
      <c r="R42" s="62">
        <f t="shared" si="0"/>
        <v>844.63852919520491</v>
      </c>
      <c r="S42" s="62">
        <f ca="1">AVERAGE(OFFSET($R$3,0,0,'Données projet'!$E$9+1,1))-AVERAGE(OFFSET($H$3,0,0,'Données projet'!$E$9+1,1))</f>
        <v>389.80719836281679</v>
      </c>
      <c r="T42" s="62">
        <f t="shared" si="34"/>
        <v>399.58193819355591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20.036765204818611</v>
      </c>
      <c r="AA42" s="23">
        <f>EXP(-LN(2)/25)*AA41+(1-EXP(-LN(2)/25))/(LN(2)/25)*Calculateur!V42*Calculateur!X42*VLOOKUP('Données projet'!$B$9,Paramètres!$A$1:$I$89,3,0)*0.475*44/12</f>
        <v>17.484409434791331</v>
      </c>
      <c r="AB42" s="23">
        <f>EXP(-LN(2)/2)*AB41+(1-EXP(-LN(2)/2))/(LN(2)/2)*V42*Y42*VLOOKUP('Données projet'!$B$9,Paramètres!$A$1:$I$89,3,0)*0.475*44/12</f>
        <v>2.4493069139091217</v>
      </c>
      <c r="AC42" s="24">
        <f t="shared" si="3"/>
        <v>39.970481553519058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16.701250000000002</v>
      </c>
      <c r="AI42" s="14">
        <f>IF('Données projet'!$A$62&gt;35,AI41+AH42-AQ41,IF(A42&lt;'Données projet'!$A$62,$AF$205^A42,IF(A42='Données projet'!$A$62,'Données projet'!$B$62,AI41+AH42-AQ41)))</f>
        <v>267.1375000000001</v>
      </c>
      <c r="AJ42" s="14">
        <f>AI42*VLOOKUP('Données projet'!$B$10,Paramètres!$A$1:$I$89,3,0)*VLOOKUP('Données projet'!$B$10,Paramètres!$A$1:$I$89,5,0)</f>
        <v>159.74822500000008</v>
      </c>
      <c r="AK42" s="14">
        <f t="shared" si="35"/>
        <v>40.785721648734771</v>
      </c>
      <c r="AL42" s="22">
        <f t="shared" si="4"/>
        <v>349.26329041321316</v>
      </c>
      <c r="AM42" s="62">
        <f t="shared" si="5"/>
        <v>642.59662374654647</v>
      </c>
      <c r="AN42" s="62">
        <f ca="1">AVERAGE(OFFSET($AM$3,0,0,'Données projet'!$E$10+1,1))-AVERAGE(OFFSET($H$3,0,0,'Données projet'!$E$10+1,1))</f>
        <v>269.90083987531233</v>
      </c>
      <c r="AO42" s="62">
        <f t="shared" si="36"/>
        <v>183.4515835513518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13.324202104561779</v>
      </c>
      <c r="AV42" s="23">
        <f>EXP(-LN(2)/25)*AV41+(1-EXP(-LN(2)/25))/(LN(2)/25)*Calculateur!AQ42*Calculateur!AS42*VLOOKUP('Données projet'!$B$10,Paramètres!$A$1:$I$89,3,0)*0.475*44/12</f>
        <v>13.674510079302765</v>
      </c>
      <c r="AW42" s="23">
        <f>EXP(-LN(2)/2)*AW41+(1-EXP(-LN(2)/2))/(LN(2)/2)*AQ42*AT42*VLOOKUP('Données projet'!$B$10,Paramètres!$A$1:$I$89,3,0)*0.475*44/12</f>
        <v>1.2476576161262982</v>
      </c>
      <c r="AX42" s="23">
        <f t="shared" si="6"/>
        <v>28.246369799990841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6.3622807017543854</v>
      </c>
      <c r="BD42" s="13">
        <f>IF('Données projet'!$A$88&gt;35,BD41+BC42-BL41,IF(A42&lt;'Données projet'!$A$88,$BA$205^A42,IF(A42='Données projet'!$A$88,'Données projet'!$B$88,BD41+BC42-BL41)))</f>
        <v>248.1289473684208</v>
      </c>
      <c r="BE42" s="14">
        <f>BD42*VLOOKUP('Données projet'!$B$11,Paramètres!$A$1:$I$89,3,0)*VLOOKUP('Données projet'!$B$11,Paramètres!$A$1:$I$89,5,0)</f>
        <v>119.3500236842104</v>
      </c>
      <c r="BF42" s="14">
        <f t="shared" si="37"/>
        <v>31.523355106692364</v>
      </c>
      <c r="BG42" s="22">
        <f t="shared" si="7"/>
        <v>262.77113472748897</v>
      </c>
      <c r="BH42" s="62">
        <f t="shared" si="8"/>
        <v>556.10446806082223</v>
      </c>
      <c r="BI42" s="62">
        <f ca="1">AVERAGE(OFFSET($BH$3,0,0,'Données projet'!$E$11+1,1))-AVERAGE(OFFSET($H$3,0,0,'Données projet'!$E$11+1,1))</f>
        <v>255.64417186544995</v>
      </c>
      <c r="BJ42" s="62">
        <f t="shared" si="38"/>
        <v>165.41802783289376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21.8</v>
      </c>
      <c r="BY42" s="13">
        <f>IF('Données projet'!$A$114&gt;35,BY41+BX42-CG41,IF(A42&lt;'Données projet'!$A$114,$BV$205^A42,IF(A42='Données projet'!$A$114,'Données projet'!$B$114,BY41+BX42-CG41)))</f>
        <v>532.20000000000016</v>
      </c>
      <c r="BZ42" s="14">
        <f>BY42*VLOOKUP('Données projet'!$B$12,Paramètres!$A$1:$I$89,3,0)*VLOOKUP('Données projet'!$B$12,Paramètres!$A$1:$I$89,5,0)</f>
        <v>297.49980000000011</v>
      </c>
      <c r="CA42" s="14">
        <f t="shared" si="39"/>
        <v>70.652070502757923</v>
      </c>
      <c r="CB42" s="22">
        <f t="shared" si="10"/>
        <v>641.19784112563684</v>
      </c>
      <c r="CC42" s="62">
        <f t="shared" si="11"/>
        <v>934.5311744589701</v>
      </c>
      <c r="CD42" s="62">
        <f ca="1">AVERAGE(OFFSET($CC$3,0,0,'Données projet'!$E$12+1,1))-AVERAGE(OFFSET($H$3,0,0,'Données projet'!$E$12+1,1))</f>
        <v>465.49436272491818</v>
      </c>
      <c r="CE42" s="62">
        <f t="shared" si="40"/>
        <v>494.36941732405256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26.165955504441595</v>
      </c>
      <c r="CL42" s="23">
        <f>EXP(-LN(2)/25)*CL41+(1-EXP(-LN(2)/25))/(LN(2)/25)*Calculateur!CG42*Calculateur!CI42*VLOOKUP('Données projet'!$B$12,Paramètres!$A$1:$I$89,3,0)*0.475*44/12</f>
        <v>25.079374625061163</v>
      </c>
      <c r="CM42" s="23">
        <f>EXP(-LN(2)/2)*CM41+(1-EXP(-LN(2)/2))/(LN(2)/2)*CG42*CJ42*VLOOKUP('Données projet'!$B$12,Paramètres!$A$1:$I$89,3,0)*0.475*44/12</f>
        <v>2.74480402603937</v>
      </c>
      <c r="CN42" s="24">
        <f t="shared" si="12"/>
        <v>53.99013415554213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20.418888888888887</v>
      </c>
      <c r="CT42" s="13">
        <f>IF('Données projet'!$A$140&gt;35,CT41+CS42-DB41,IF(A42&lt;'Données projet'!$A$140,$CQ$205^A42,IF(A42='Données projet'!$A$140,'Données projet'!$B$140,CT41+CS42-DB41)))</f>
        <v>323.32777777777767</v>
      </c>
      <c r="CU42" s="18">
        <f>CT42*VLOOKUP('Données projet'!$B$13,Paramètres!$A$1:$I$89,3,0)*VLOOKUP('Données projet'!$B$13,Paramètres!$A$1:$I$89,5,0)</f>
        <v>193.35001111111109</v>
      </c>
      <c r="CV42" s="14">
        <f t="shared" si="41"/>
        <v>48.279837668419283</v>
      </c>
      <c r="CW42" s="22">
        <f t="shared" si="13"/>
        <v>420.83865329101536</v>
      </c>
      <c r="CX42" s="62">
        <f t="shared" si="14"/>
        <v>714.17198662434862</v>
      </c>
      <c r="CY42" s="62">
        <f ca="1">AVERAGE(OFFSET($CX$3,0,0,'Données projet'!$E$13+1,1))-AVERAGE(OFFSET($H$3,0,0,'Données projet'!$E$13+1,1))</f>
        <v>361.46923697840384</v>
      </c>
      <c r="CZ42" s="62">
        <f t="shared" si="42"/>
        <v>302.25424592654673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26.58242171818971</v>
      </c>
      <c r="DG42" s="23">
        <f>EXP(-LN(2)/25)*DG41+(1-EXP(-LN(2)/25))/(LN(2)/25)*Calculateur!DB42*Calculateur!DD42*VLOOKUP('Données projet'!$B$13,Paramètres!$A$1:$I$89,3,0)*0.475*44/12</f>
        <v>18.247201473851735</v>
      </c>
      <c r="DH42" s="23">
        <f>EXP(-LN(2)/2)*DH41+(1-EXP(-LN(2)/2))/(LN(2)/2)*DB42*DE42*VLOOKUP('Données projet'!$B$13,Paramètres!$A$1:$I$89,3,0)*0.475*44/12</f>
        <v>4.6414891173822594</v>
      </c>
      <c r="DI42" s="24">
        <f t="shared" si="15"/>
        <v>49.471112309423702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477</v>
      </c>
      <c r="L43" s="13">
        <f>VLOOKUP(A43,'Données projet'!$A$35:$I$55,9,0)</f>
        <v>21</v>
      </c>
      <c r="M43" s="13">
        <f t="array" ref="M43">INDEX(L:L,MIN(IF(ISNUMBER(L43:L239),ROW(L43:L239),"")))</f>
        <v>21</v>
      </c>
      <c r="N43" s="14">
        <f>IF('Données projet'!$A$36&gt;35,N42+M43-V42,IF(A43&lt;'Données projet'!$A$36,$K$205^A43,IF(A43='Données projet'!$A$36,'Données projet'!$B$36,N42+M43-V42)))</f>
        <v>477.00000000000006</v>
      </c>
      <c r="O43" s="14">
        <f>N43*VLOOKUP('Données projet'!$B$9,Paramètres!$A$1:$I$89,3,0)*VLOOKUP('Données projet'!$B$9,Paramètres!$A$1:$I$89,5,0)</f>
        <v>266.64300000000003</v>
      </c>
      <c r="P43" s="14">
        <f t="shared" si="33"/>
        <v>64.136311225795083</v>
      </c>
      <c r="Q43" s="22">
        <f t="shared" si="53"/>
        <v>576.10730038492648</v>
      </c>
      <c r="R43" s="62">
        <f t="shared" si="0"/>
        <v>869.44063371825973</v>
      </c>
      <c r="S43" s="62">
        <f ca="1">AVERAGE(OFFSET($R$3,0,0,'Données projet'!$E$9+1,1))-AVERAGE(OFFSET($H$3,0,0,'Données projet'!$E$9+1,1))</f>
        <v>389.80719836281679</v>
      </c>
      <c r="T43" s="62">
        <f t="shared" si="34"/>
        <v>399.58193819355591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50</v>
      </c>
      <c r="W43" s="17">
        <f>IF(ISNA(VLOOKUP(A43,'Données projet'!$A$35:$I$55,5,0)),0%,VLOOKUP(A43,'Données projet'!$A$35:$I$55,5,0)*VLOOKUP('Données projet'!$B$9,Paramètres!$A$1:$I$89,7,0))</f>
        <v>0.27500000000000002</v>
      </c>
      <c r="X43" s="17">
        <f>IF(ISNA(VLOOKUP(A43,'Données projet'!$A$35:$I$55,6,0)),0%,VLOOKUP(A43,'Données projet'!$A$35:$I$55,6,0)*VLOOKUP('Données projet'!$B$9,Paramètres!$A$1:$I$89,7,0))</f>
        <v>0.15400000000000003</v>
      </c>
      <c r="Y43" s="17">
        <f>IF(ISNA(VLOOKUP(A43,'Données projet'!$A$35:$I$55,7,0)),0%,VLOOKUP(A43,'Données projet'!$A$35:$I$55,7,0))</f>
        <v>0.22</v>
      </c>
      <c r="Z43" s="23">
        <f>EXP(-LN(2)/35)*Z42+(1-EXP(-LN(2)/35))/(LN(2)/35)*V43*W43*VLOOKUP('Données projet'!$B$9,Paramètres!$A$1:$I$89,3,0)*0.475*44/12</f>
        <v>29.840162505994314</v>
      </c>
      <c r="AA43" s="23">
        <f>EXP(-LN(2)/25)*AA42+(1-EXP(-LN(2)/25))/(LN(2)/25)*Calculateur!V43*Calculateur!X43*VLOOKUP('Données projet'!$B$9,Paramètres!$A$1:$I$89,3,0)*0.475*44/12</f>
        <v>22.693746549360913</v>
      </c>
      <c r="AB43" s="23">
        <f>EXP(-LN(2)/2)*AB42+(1-EXP(-LN(2)/2))/(LN(2)/2)*V43*Y43*VLOOKUP('Données projet'!$B$9,Paramètres!$A$1:$I$89,3,0)*0.475*44/12</f>
        <v>8.6940179255224734</v>
      </c>
      <c r="AC43" s="24">
        <f t="shared" si="3"/>
        <v>61.227926980877697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16.701250000000002</v>
      </c>
      <c r="AI43" s="14">
        <f>IF('Données projet'!$A$62&gt;35,AI42+AH43-AQ42,IF(A43&lt;'Données projet'!$A$62,$AF$205^A43,IF(A43='Données projet'!$A$62,'Données projet'!$B$62,AI42+AH43-AQ42)))</f>
        <v>283.83875000000012</v>
      </c>
      <c r="AJ43" s="14">
        <f>AI43*VLOOKUP('Données projet'!$B$10,Paramètres!$A$1:$I$89,3,0)*VLOOKUP('Données projet'!$B$10,Paramètres!$A$1:$I$89,5,0)</f>
        <v>169.73557250000007</v>
      </c>
      <c r="AK43" s="14">
        <f t="shared" si="35"/>
        <v>43.030795257249402</v>
      </c>
      <c r="AL43" s="22">
        <f t="shared" si="4"/>
        <v>370.56809051054279</v>
      </c>
      <c r="AM43" s="62">
        <f t="shared" si="5"/>
        <v>663.90142384387605</v>
      </c>
      <c r="AN43" s="62">
        <f ca="1">AVERAGE(OFFSET($AM$3,0,0,'Données projet'!$E$10+1,1))-AVERAGE(OFFSET($H$3,0,0,'Données projet'!$E$10+1,1))</f>
        <v>269.90083987531233</v>
      </c>
      <c r="AO43" s="62">
        <f t="shared" si="36"/>
        <v>183.4515835513518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13.062922628252135</v>
      </c>
      <c r="AV43" s="23">
        <f>EXP(-LN(2)/25)*AV42+(1-EXP(-LN(2)/25))/(LN(2)/25)*Calculateur!AQ43*Calculateur!AS43*VLOOKUP('Données projet'!$B$10,Paramètres!$A$1:$I$89,3,0)*0.475*44/12</f>
        <v>13.300579882072999</v>
      </c>
      <c r="AW43" s="23">
        <f>EXP(-LN(2)/2)*AW42+(1-EXP(-LN(2)/2))/(LN(2)/2)*AQ43*AT43*VLOOKUP('Données projet'!$B$10,Paramètres!$A$1:$I$89,3,0)*0.475*44/12</f>
        <v>0.88222716096194798</v>
      </c>
      <c r="AX43" s="23">
        <f t="shared" si="6"/>
        <v>27.24572967128708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6.3622807017543854</v>
      </c>
      <c r="BD43" s="13">
        <f>IF('Données projet'!$A$88&gt;35,BD42+BC43-BL42,IF(A43&lt;'Données projet'!$A$88,$BA$205^A43,IF(A43='Données projet'!$A$88,'Données projet'!$B$88,BD42+BC43-BL42)))</f>
        <v>254.49122807017517</v>
      </c>
      <c r="BE43" s="14">
        <f>BD43*VLOOKUP('Données projet'!$B$11,Paramètres!$A$1:$I$89,3,0)*VLOOKUP('Données projet'!$B$11,Paramètres!$A$1:$I$89,5,0)</f>
        <v>122.41028070175426</v>
      </c>
      <c r="BF43" s="14">
        <f t="shared" si="37"/>
        <v>32.236505391518655</v>
      </c>
      <c r="BG43" s="22">
        <f t="shared" si="7"/>
        <v>269.34315244578369</v>
      </c>
      <c r="BH43" s="62">
        <f t="shared" si="8"/>
        <v>562.676485779117</v>
      </c>
      <c r="BI43" s="62">
        <f ca="1">AVERAGE(OFFSET($BH$3,0,0,'Données projet'!$E$11+1,1))-AVERAGE(OFFSET($H$3,0,0,'Données projet'!$E$11+1,1))</f>
        <v>255.64417186544995</v>
      </c>
      <c r="BJ43" s="62">
        <f t="shared" si="38"/>
        <v>165.41802783289376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554</v>
      </c>
      <c r="BW43" s="13">
        <f>VLOOKUP(A43,'Données projet'!$A$113:$I$133,9,0)</f>
        <v>21.8</v>
      </c>
      <c r="BX43" s="13">
        <f t="array" ref="BX43">INDEX(BW:BW,MIN(IF(ISNUMBER(BW43:BW239),ROW(BW43:BW239),"")))</f>
        <v>21.8</v>
      </c>
      <c r="BY43" s="13">
        <f>IF('Données projet'!$A$114&gt;35,BY42+BX43-CG42,IF(A43&lt;'Données projet'!$A$114,$BV$205^A43,IF(A43='Données projet'!$A$114,'Données projet'!$B$114,BY42+BX43-CG42)))</f>
        <v>554.00000000000011</v>
      </c>
      <c r="BZ43" s="14">
        <f>BY43*VLOOKUP('Données projet'!$B$12,Paramètres!$A$1:$I$89,3,0)*VLOOKUP('Données projet'!$B$12,Paramètres!$A$1:$I$89,5,0)</f>
        <v>309.68600000000009</v>
      </c>
      <c r="CA43" s="14">
        <f t="shared" si="39"/>
        <v>73.203250607027869</v>
      </c>
      <c r="CB43" s="22">
        <f t="shared" si="10"/>
        <v>666.86544480724035</v>
      </c>
      <c r="CC43" s="62">
        <f t="shared" si="11"/>
        <v>960.19877814057372</v>
      </c>
      <c r="CD43" s="62">
        <f ca="1">AVERAGE(OFFSET($CC$3,0,0,'Données projet'!$E$12+1,1))-AVERAGE(OFFSET($H$3,0,0,'Données projet'!$E$12+1,1))</f>
        <v>465.49436272491818</v>
      </c>
      <c r="CE43" s="62">
        <f t="shared" si="40"/>
        <v>494.36941732405256</v>
      </c>
      <c r="CF43" s="16">
        <f>IF(ISNA(VLOOKUP(A43,'Données projet'!$A$113:$I$133,3,0)),0,VLOOKUP(A43,'Données projet'!$A$113:$I$133,3,0))</f>
        <v>6</v>
      </c>
      <c r="CG43" s="16">
        <f>IF(ISNA(VLOOKUP(A43,'Données projet'!$A$113:$I$133,4,0)),0,VLOOKUP(A43,'Données projet'!$A$113:$I$133,4,0))</f>
        <v>55</v>
      </c>
      <c r="CH43" s="17">
        <f>IF(ISNA(VLOOKUP(A43,'Données projet'!$A$113:$I$133,5,0)),0%,VLOOKUP(A43,'Données projet'!$A$113:$I$133,5,0)*VLOOKUP('Données projet'!$B$12,Paramètres!$A$1:$I$89,7,0))</f>
        <v>0.27500000000000002</v>
      </c>
      <c r="CI43" s="17">
        <f>IF(ISNA(VLOOKUP(A43,'Données projet'!$A$113:$I$133,6,0)),0%,VLOOKUP(A43,'Données projet'!$A$113:$I$133,6,0)*VLOOKUP('Données projet'!$B$12,Paramètres!$A$1:$I$89,7,0))</f>
        <v>0.15400000000000003</v>
      </c>
      <c r="CJ43" s="17">
        <f>IF(ISNA(VLOOKUP(A43,'Données projet'!$A$113:$I$133,7,0)),0%,VLOOKUP(A43,'Données projet'!$A$113:$I$133,7,0))</f>
        <v>0.22</v>
      </c>
      <c r="CK43" s="23">
        <f>EXP(-LN(2)/35)*CK42+(1-EXP(-LN(2)/35))/(LN(2)/35)*CG43*CH43*VLOOKUP('Données projet'!$B$12,Paramètres!$A$1:$I$89,3,0)*0.475*44/12</f>
        <v>36.868793726840849</v>
      </c>
      <c r="CL43" s="23">
        <f>EXP(-LN(2)/25)*CL42+(1-EXP(-LN(2)/25))/(LN(2)/25)*Calculateur!CG43*Calculateur!CI43*VLOOKUP('Données projet'!$B$12,Paramètres!$A$1:$I$89,3,0)*0.475*44/12</f>
        <v>30.649771938103864</v>
      </c>
      <c r="CM43" s="23">
        <f>EXP(-LN(2)/2)*CM42+(1-EXP(-LN(2)/2))/(LN(2)/2)*CG43*CJ43*VLOOKUP('Données projet'!$B$12,Paramètres!$A$1:$I$89,3,0)*0.475*44/12</f>
        <v>9.599175577079837</v>
      </c>
      <c r="CN43" s="24">
        <f t="shared" si="12"/>
        <v>77.11774124202455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20.418888888888887</v>
      </c>
      <c r="CT43" s="13">
        <f>IF('Données projet'!$A$140&gt;35,CT42+CS43-DB42,IF(A43&lt;'Données projet'!$A$140,$CQ$205^A43,IF(A43='Données projet'!$A$140,'Données projet'!$B$140,CT42+CS43-DB42)))</f>
        <v>343.74666666666656</v>
      </c>
      <c r="CU43" s="18">
        <f>CT43*VLOOKUP('Données projet'!$B$13,Paramètres!$A$1:$I$89,3,0)*VLOOKUP('Données projet'!$B$13,Paramètres!$A$1:$I$89,5,0)</f>
        <v>205.56050666666661</v>
      </c>
      <c r="CV43" s="14">
        <f t="shared" si="41"/>
        <v>50.964241575970675</v>
      </c>
      <c r="CW43" s="22">
        <f t="shared" si="13"/>
        <v>446.78060318925992</v>
      </c>
      <c r="CX43" s="62">
        <f t="shared" si="14"/>
        <v>740.11393652259324</v>
      </c>
      <c r="CY43" s="62">
        <f ca="1">AVERAGE(OFFSET($CX$3,0,0,'Données projet'!$E$13+1,1))-AVERAGE(OFFSET($H$3,0,0,'Données projet'!$E$13+1,1))</f>
        <v>361.46923697840384</v>
      </c>
      <c r="CZ43" s="62">
        <f t="shared" si="42"/>
        <v>302.25424592654673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26.061156641972289</v>
      </c>
      <c r="DG43" s="23">
        <f>EXP(-LN(2)/25)*DG42+(1-EXP(-LN(2)/25))/(LN(2)/25)*Calculateur!DB43*Calculateur!DD43*VLOOKUP('Données projet'!$B$13,Paramètres!$A$1:$I$89,3,0)*0.475*44/12</f>
        <v>17.748230789970638</v>
      </c>
      <c r="DH43" s="23">
        <f>EXP(-LN(2)/2)*DH42+(1-EXP(-LN(2)/2))/(LN(2)/2)*DB43*DE43*VLOOKUP('Données projet'!$B$13,Paramètres!$A$1:$I$89,3,0)*0.475*44/12</f>
        <v>3.282028429704559</v>
      </c>
      <c r="DI43" s="24">
        <f t="shared" si="15"/>
        <v>47.091415861647484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20.2</v>
      </c>
      <c r="N44" s="14">
        <f>IF('Données projet'!$A$36&gt;35,N43+M44-V43,IF(A44&lt;'Données projet'!$A$36,$K$205^A44,IF(A44='Données projet'!$A$36,'Données projet'!$B$36,N43+M44-V43)))</f>
        <v>447.20000000000005</v>
      </c>
      <c r="O44" s="14">
        <f>N44*VLOOKUP('Données projet'!$B$9,Paramètres!$A$1:$I$89,3,0)*VLOOKUP('Données projet'!$B$9,Paramètres!$A$1:$I$89,5,0)</f>
        <v>249.98480000000004</v>
      </c>
      <c r="P44" s="14">
        <f t="shared" si="33"/>
        <v>60.582685989596904</v>
      </c>
      <c r="Q44" s="22">
        <f t="shared" si="53"/>
        <v>540.90503809854795</v>
      </c>
      <c r="R44" s="62">
        <f t="shared" si="0"/>
        <v>834.23837143188121</v>
      </c>
      <c r="S44" s="62">
        <f ca="1">AVERAGE(OFFSET($R$3,0,0,'Données projet'!$E$9+1,1))-AVERAGE(OFFSET($H$3,0,0,'Données projet'!$E$9+1,1))</f>
        <v>389.80719836281679</v>
      </c>
      <c r="T44" s="62">
        <f t="shared" si="34"/>
        <v>399.58193819355591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29.255015119953725</v>
      </c>
      <c r="AA44" s="23">
        <f>EXP(-LN(2)/25)*AA43+(1-EXP(-LN(2)/25))/(LN(2)/25)*Calculateur!V44*Calculateur!X44*VLOOKUP('Données projet'!$B$9,Paramètres!$A$1:$I$89,3,0)*0.475*44/12</f>
        <v>22.073184856556374</v>
      </c>
      <c r="AB44" s="23">
        <f>EXP(-LN(2)/2)*AB43+(1-EXP(-LN(2)/2))/(LN(2)/2)*V44*Y44*VLOOKUP('Données projet'!$B$9,Paramètres!$A$1:$I$89,3,0)*0.475*44/12</f>
        <v>6.1475990308943418</v>
      </c>
      <c r="AC44" s="24">
        <f t="shared" si="3"/>
        <v>57.47579900740444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>
        <f>VLOOKUP(A44,'Données projet'!$A$61:$I$81,2,0)</f>
        <v>300.54000000000002</v>
      </c>
      <c r="AG44" s="13">
        <f>VLOOKUP(A44,'Données projet'!$A$61:$I$81,9,0)</f>
        <v>16.701250000000002</v>
      </c>
      <c r="AH44" s="13">
        <f t="array" ref="AH44">INDEX(AG:AG,MIN(IF(ISNUMBER(AG44:AG240),ROW(AG44:AG240),"")))</f>
        <v>16.701250000000002</v>
      </c>
      <c r="AI44" s="14">
        <f>IF('Données projet'!$A$62&gt;35,AI43+AH44-AQ43,IF(A44&lt;'Données projet'!$A$62,$AF$205^A44,IF(A44='Données projet'!$A$62,'Données projet'!$B$62,AI43+AH44-AQ43)))</f>
        <v>300.54000000000013</v>
      </c>
      <c r="AJ44" s="14">
        <f>AI44*VLOOKUP('Données projet'!$B$10,Paramètres!$A$1:$I$89,3,0)*VLOOKUP('Données projet'!$B$10,Paramètres!$A$1:$I$89,5,0)</f>
        <v>179.72292000000007</v>
      </c>
      <c r="AK44" s="14">
        <f t="shared" si="35"/>
        <v>45.260535445550182</v>
      </c>
      <c r="AL44" s="22">
        <f t="shared" si="4"/>
        <v>391.84618490100002</v>
      </c>
      <c r="AM44" s="62">
        <f t="shared" si="5"/>
        <v>685.17951823433327</v>
      </c>
      <c r="AN44" s="62">
        <f ca="1">AVERAGE(OFFSET($AM$3,0,0,'Données projet'!$E$10+1,1))-AVERAGE(OFFSET($H$3,0,0,'Données projet'!$E$10+1,1))</f>
        <v>269.90083987531233</v>
      </c>
      <c r="AO44" s="62">
        <f t="shared" si="36"/>
        <v>183.4515835513518</v>
      </c>
      <c r="AP44" s="16">
        <f>IF(ISNA(VLOOKUP(A44,'Données projet'!$A$61:$I$81,3,0)),0,VLOOKUP(A44,'Données projet'!$A$61:$I$81,3,0))</f>
        <v>4</v>
      </c>
      <c r="AQ44" s="16">
        <f>IF(ISNA(VLOOKUP(A44,'Données projet'!$A$61:$I$81,4,0)),0,VLOOKUP(A44,'Données projet'!$A$61:$I$81,4,0))</f>
        <v>72.13</v>
      </c>
      <c r="AR44" s="17">
        <f>IF(ISNA(VLOOKUP(A44,'Données projet'!$A$61:$I$81,5,0)),0%,VLOOKUP(A44,'Données projet'!$A$61:$I$81,5,0)*VLOOKUP('Données projet'!$B$10,Paramètres!$A$1:$I$89,7,0))</f>
        <v>0.18000000000000002</v>
      </c>
      <c r="AS44" s="17">
        <f>IF(ISNA(VLOOKUP(A44,'Données projet'!$A$61:$I$81,6,0)),0%,VLOOKUP(A44,'Données projet'!$A$61:$I$81,6,0)*VLOOKUP('Données projet'!$B$10,Paramètres!$A$1:$I$89,7,0))</f>
        <v>0.15300000000000002</v>
      </c>
      <c r="AT44" s="17">
        <f>IF(ISNA(VLOOKUP(A44,'Données projet'!$A$61:$I$81,7,0)),0%,VLOOKUP(A44,'Données projet'!$A$61:$I$81,7,0))</f>
        <v>0.26</v>
      </c>
      <c r="AU44" s="23">
        <f>EXP(-LN(2)/35)*AU43+(1-EXP(-LN(2)/35))/(LN(2)/35)*AQ44*AR44*VLOOKUP('Données projet'!$B$10,Paramètres!$A$1:$I$89,3,0)*0.475*44/12</f>
        <v>23.106310219658909</v>
      </c>
      <c r="AV44" s="23">
        <f>EXP(-LN(2)/25)*AV43+(1-EXP(-LN(2)/25))/(LN(2)/25)*Calculateur!AQ44*Calculateur!AS44*VLOOKUP('Données projet'!$B$10,Paramètres!$A$1:$I$89,3,0)*0.475*44/12</f>
        <v>21.657016588582152</v>
      </c>
      <c r="AW44" s="23">
        <f>EXP(-LN(2)/2)*AW43+(1-EXP(-LN(2)/2))/(LN(2)/2)*AQ44*AT44*VLOOKUP('Données projet'!$B$10,Paramètres!$A$1:$I$89,3,0)*0.475*44/12</f>
        <v>13.321556328751546</v>
      </c>
      <c r="AX44" s="23">
        <f t="shared" si="6"/>
        <v>58.084883136992609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6.3622807017543854</v>
      </c>
      <c r="BD44" s="13">
        <f>IF('Données projet'!$A$88&gt;35,BD43+BC44-BL43,IF(A44&lt;'Données projet'!$A$88,$BA$205^A44,IF(A44='Données projet'!$A$88,'Données projet'!$B$88,BD43+BC44-BL43)))</f>
        <v>260.85350877192957</v>
      </c>
      <c r="BE44" s="14">
        <f>BD44*VLOOKUP('Données projet'!$B$11,Paramètres!$A$1:$I$89,3,0)*VLOOKUP('Données projet'!$B$11,Paramètres!$A$1:$I$89,5,0)</f>
        <v>125.47053771929812</v>
      </c>
      <c r="BF44" s="14">
        <f t="shared" si="37"/>
        <v>32.947583197453355</v>
      </c>
      <c r="BG44" s="22">
        <f t="shared" si="7"/>
        <v>275.91156059667554</v>
      </c>
      <c r="BH44" s="62">
        <f t="shared" si="8"/>
        <v>569.24489393000886</v>
      </c>
      <c r="BI44" s="62">
        <f ca="1">AVERAGE(OFFSET($BH$3,0,0,'Données projet'!$E$11+1,1))-AVERAGE(OFFSET($H$3,0,0,'Données projet'!$E$11+1,1))</f>
        <v>255.64417186544995</v>
      </c>
      <c r="BJ44" s="62">
        <f t="shared" si="38"/>
        <v>165.41802783289376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20.399999999999999</v>
      </c>
      <c r="BY44" s="13">
        <f>IF('Données projet'!$A$114&gt;35,BY43+BX44-CG43,IF(A44&lt;'Données projet'!$A$114,$BV$205^A44,IF(A44='Données projet'!$A$114,'Données projet'!$B$114,BY43+BX44-CG43)))</f>
        <v>519.40000000000009</v>
      </c>
      <c r="BZ44" s="14">
        <f>BY44*VLOOKUP('Données projet'!$B$12,Paramètres!$A$1:$I$89,3,0)*VLOOKUP('Données projet'!$B$12,Paramètres!$A$1:$I$89,5,0)</f>
        <v>290.34460000000007</v>
      </c>
      <c r="CA44" s="14">
        <f t="shared" si="39"/>
        <v>69.148483049501621</v>
      </c>
      <c r="CB44" s="22">
        <f t="shared" si="10"/>
        <v>626.11711964454878</v>
      </c>
      <c r="CC44" s="62">
        <f t="shared" si="11"/>
        <v>919.45045297788215</v>
      </c>
      <c r="CD44" s="62">
        <f ca="1">AVERAGE(OFFSET($CC$3,0,0,'Données projet'!$E$12+1,1))-AVERAGE(OFFSET($H$3,0,0,'Données projet'!$E$12+1,1))</f>
        <v>465.49436272491818</v>
      </c>
      <c r="CE44" s="62">
        <f t="shared" si="40"/>
        <v>494.36941732405256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36.145819169601197</v>
      </c>
      <c r="CL44" s="23">
        <f>EXP(-LN(2)/25)*CL43+(1-EXP(-LN(2)/25))/(LN(2)/25)*Calculateur!CG44*Calculateur!CI44*VLOOKUP('Données projet'!$B$12,Paramètres!$A$1:$I$89,3,0)*0.475*44/12</f>
        <v>29.81165231265496</v>
      </c>
      <c r="CM44" s="23">
        <f>EXP(-LN(2)/2)*CM43+(1-EXP(-LN(2)/2))/(LN(2)/2)*CG44*CJ44*VLOOKUP('Données projet'!$B$12,Paramètres!$A$1:$I$89,3,0)*0.475*44/12</f>
        <v>6.7876421443534438</v>
      </c>
      <c r="CN44" s="24">
        <f t="shared" si="12"/>
        <v>72.745113626609594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20.418888888888887</v>
      </c>
      <c r="CT44" s="13">
        <f>IF('Données projet'!$A$140&gt;35,CT43+CS44-DB43,IF(A44&lt;'Données projet'!$A$140,$CQ$205^A44,IF(A44='Données projet'!$A$140,'Données projet'!$B$140,CT43+CS44-DB43)))</f>
        <v>364.16555555555544</v>
      </c>
      <c r="CU44" s="18">
        <f>CT44*VLOOKUP('Données projet'!$B$13,Paramètres!$A$1:$I$89,3,0)*VLOOKUP('Données projet'!$B$13,Paramètres!$A$1:$I$89,5,0)</f>
        <v>217.77100222222217</v>
      </c>
      <c r="CV44" s="14">
        <f t="shared" si="41"/>
        <v>53.630137310633735</v>
      </c>
      <c r="CW44" s="22">
        <f t="shared" si="13"/>
        <v>472.69031801972392</v>
      </c>
      <c r="CX44" s="62">
        <f t="shared" si="14"/>
        <v>766.02365135305718</v>
      </c>
      <c r="CY44" s="62">
        <f ca="1">AVERAGE(OFFSET($CX$3,0,0,'Données projet'!$E$13+1,1))-AVERAGE(OFFSET($H$3,0,0,'Données projet'!$E$13+1,1))</f>
        <v>361.46923697840384</v>
      </c>
      <c r="CZ44" s="62">
        <f t="shared" si="42"/>
        <v>302.25424592654673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25.550113255959189</v>
      </c>
      <c r="DG44" s="23">
        <f>EXP(-LN(2)/25)*DG43+(1-EXP(-LN(2)/25))/(LN(2)/25)*Calculateur!DB44*Calculateur!DD44*VLOOKUP('Données projet'!$B$13,Paramètres!$A$1:$I$89,3,0)*0.475*44/12</f>
        <v>17.262904485679996</v>
      </c>
      <c r="DH44" s="23">
        <f>EXP(-LN(2)/2)*DH43+(1-EXP(-LN(2)/2))/(LN(2)/2)*DB44*DE44*VLOOKUP('Données projet'!$B$13,Paramètres!$A$1:$I$89,3,0)*0.475*44/12</f>
        <v>2.3207445586911297</v>
      </c>
      <c r="DI44" s="24">
        <f t="shared" si="15"/>
        <v>45.133762300330318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20.2</v>
      </c>
      <c r="N45" s="14">
        <f>IF('Données projet'!$A$36&gt;35,N44+M45-V44,IF(A45&lt;'Données projet'!$A$36,$K$205^A45,IF(A45='Données projet'!$A$36,'Données projet'!$B$36,N44+M45-V44)))</f>
        <v>467.40000000000003</v>
      </c>
      <c r="O45" s="14">
        <f>N45*VLOOKUP('Données projet'!$B$9,Paramètres!$A$1:$I$89,3,0)*VLOOKUP('Données projet'!$B$9,Paramètres!$A$1:$I$89,5,0)</f>
        <v>261.27660000000003</v>
      </c>
      <c r="P45" s="14">
        <f t="shared" si="33"/>
        <v>62.994419867882641</v>
      </c>
      <c r="Q45" s="22">
        <f t="shared" si="53"/>
        <v>564.7720262698956</v>
      </c>
      <c r="R45" s="62">
        <f t="shared" si="0"/>
        <v>858.10535960322886</v>
      </c>
      <c r="S45" s="62">
        <f ca="1">AVERAGE(OFFSET($R$3,0,0,'Données projet'!$E$9+1,1))-AVERAGE(OFFSET($H$3,0,0,'Données projet'!$E$9+1,1))</f>
        <v>389.80719836281679</v>
      </c>
      <c r="T45" s="62">
        <f t="shared" si="34"/>
        <v>399.58193819355591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28.681342117248729</v>
      </c>
      <c r="AA45" s="23">
        <f>EXP(-LN(2)/25)*AA44+(1-EXP(-LN(2)/25))/(LN(2)/25)*Calculateur!V45*Calculateur!X45*VLOOKUP('Données projet'!$B$9,Paramètres!$A$1:$I$89,3,0)*0.475*44/12</f>
        <v>21.469592455875496</v>
      </c>
      <c r="AB45" s="23">
        <f>EXP(-LN(2)/2)*AB44+(1-EXP(-LN(2)/2))/(LN(2)/2)*V45*Y45*VLOOKUP('Données projet'!$B$9,Paramètres!$A$1:$I$89,3,0)*0.475*44/12</f>
        <v>4.3470089627612376</v>
      </c>
      <c r="AC45" s="24">
        <f t="shared" si="3"/>
        <v>54.497943535885462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15.725555555555552</v>
      </c>
      <c r="AI45" s="14">
        <f>IF('Données projet'!$A$62&gt;35,AI44+AH45-AQ44,IF(A45&lt;'Données projet'!$A$62,$AF$205^A45,IF(A45='Données projet'!$A$62,'Données projet'!$B$62,AI44+AH45-AQ44)))</f>
        <v>244.1355555555557</v>
      </c>
      <c r="AJ45" s="14">
        <f>AI45*VLOOKUP('Données projet'!$B$10,Paramètres!$A$1:$I$89,3,0)*VLOOKUP('Données projet'!$B$10,Paramètres!$A$1:$I$89,5,0)</f>
        <v>145.99306222222231</v>
      </c>
      <c r="AK45" s="14">
        <f t="shared" si="35"/>
        <v>37.666564668799332</v>
      </c>
      <c r="AL45" s="22">
        <f t="shared" si="4"/>
        <v>319.87385016852937</v>
      </c>
      <c r="AM45" s="62">
        <f t="shared" si="5"/>
        <v>613.20718350186269</v>
      </c>
      <c r="AN45" s="62">
        <f ca="1">AVERAGE(OFFSET($AM$3,0,0,'Données projet'!$E$10+1,1))-AVERAGE(OFFSET($H$3,0,0,'Données projet'!$E$10+1,1))</f>
        <v>269.90083987531233</v>
      </c>
      <c r="AO45" s="62">
        <f t="shared" si="36"/>
        <v>183.4515835513518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22.653209569709016</v>
      </c>
      <c r="AV45" s="23">
        <f>EXP(-LN(2)/25)*AV44+(1-EXP(-LN(2)/25))/(LN(2)/25)*Calculateur!AQ45*Calculateur!AS45*VLOOKUP('Données projet'!$B$10,Paramètres!$A$1:$I$89,3,0)*0.475*44/12</f>
        <v>21.06480433107437</v>
      </c>
      <c r="AW45" s="23">
        <f>EXP(-LN(2)/2)*AW44+(1-EXP(-LN(2)/2))/(LN(2)/2)*AQ45*AT45*VLOOKUP('Données projet'!$B$10,Paramètres!$A$1:$I$89,3,0)*0.475*44/12</f>
        <v>9.4197628160187872</v>
      </c>
      <c r="AX45" s="23">
        <f t="shared" si="6"/>
        <v>53.137776716802179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6.3622807017543854</v>
      </c>
      <c r="BD45" s="13">
        <f>IF('Données projet'!$A$88&gt;35,BD44+BC45-BL44,IF(A45&lt;'Données projet'!$A$88,$BA$205^A45,IF(A45='Données projet'!$A$88,'Données projet'!$B$88,BD44+BC45-BL44)))</f>
        <v>267.21578947368397</v>
      </c>
      <c r="BE45" s="14">
        <f>BD45*VLOOKUP('Données projet'!$B$11,Paramètres!$A$1:$I$89,3,0)*VLOOKUP('Données projet'!$B$11,Paramètres!$A$1:$I$89,5,0)</f>
        <v>128.53079473684198</v>
      </c>
      <c r="BF45" s="14">
        <f t="shared" si="37"/>
        <v>33.656644887851741</v>
      </c>
      <c r="BG45" s="22">
        <f t="shared" si="7"/>
        <v>282.47645734634153</v>
      </c>
      <c r="BH45" s="62">
        <f t="shared" si="8"/>
        <v>575.80979067967485</v>
      </c>
      <c r="BI45" s="62">
        <f ca="1">AVERAGE(OFFSET($BH$3,0,0,'Données projet'!$E$11+1,1))-AVERAGE(OFFSET($H$3,0,0,'Données projet'!$E$11+1,1))</f>
        <v>255.64417186544995</v>
      </c>
      <c r="BJ45" s="62">
        <f t="shared" si="38"/>
        <v>165.41802783289376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20.399999999999999</v>
      </c>
      <c r="BY45" s="13">
        <f>IF('Données projet'!$A$114&gt;35,BY44+BX45-CG44,IF(A45&lt;'Données projet'!$A$114,$BV$205^A45,IF(A45='Données projet'!$A$114,'Données projet'!$B$114,BY44+BX45-CG44)))</f>
        <v>539.80000000000007</v>
      </c>
      <c r="BZ45" s="14">
        <f>BY45*VLOOKUP('Données projet'!$B$12,Paramètres!$A$1:$I$89,3,0)*VLOOKUP('Données projet'!$B$12,Paramètres!$A$1:$I$89,5,0)</f>
        <v>301.74820000000005</v>
      </c>
      <c r="CA45" s="14">
        <f t="shared" si="39"/>
        <v>71.542829318170703</v>
      </c>
      <c r="CB45" s="22">
        <f t="shared" si="10"/>
        <v>650.14854272914738</v>
      </c>
      <c r="CC45" s="62">
        <f t="shared" si="11"/>
        <v>943.48187606248075</v>
      </c>
      <c r="CD45" s="62">
        <f ca="1">AVERAGE(OFFSET($CC$3,0,0,'Données projet'!$E$12+1,1))-AVERAGE(OFFSET($H$3,0,0,'Données projet'!$E$12+1,1))</f>
        <v>465.49436272491818</v>
      </c>
      <c r="CE45" s="62">
        <f t="shared" si="40"/>
        <v>494.36941732405256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35.437021702458075</v>
      </c>
      <c r="CL45" s="23">
        <f>EXP(-LN(2)/25)*CL44+(1-EXP(-LN(2)/25))/(LN(2)/25)*Calculateur!CG45*Calculateur!CI45*VLOOKUP('Données projet'!$B$12,Paramètres!$A$1:$I$89,3,0)*0.475*44/12</f>
        <v>28.996451112438752</v>
      </c>
      <c r="CM45" s="23">
        <f>EXP(-LN(2)/2)*CM44+(1-EXP(-LN(2)/2))/(LN(2)/2)*CG45*CJ45*VLOOKUP('Données projet'!$B$12,Paramètres!$A$1:$I$89,3,0)*0.475*44/12</f>
        <v>4.7995877885399194</v>
      </c>
      <c r="CN45" s="24">
        <f t="shared" si="12"/>
        <v>69.233060603436755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20.418888888888887</v>
      </c>
      <c r="CT45" s="13">
        <f>IF('Données projet'!$A$140&gt;35,CT44+CS45-DB44,IF(A45&lt;'Données projet'!$A$140,$CQ$205^A45,IF(A45='Données projet'!$A$140,'Données projet'!$B$140,CT44+CS45-DB44)))</f>
        <v>384.58444444444433</v>
      </c>
      <c r="CU45" s="18">
        <f>CT45*VLOOKUP('Données projet'!$B$13,Paramètres!$A$1:$I$89,3,0)*VLOOKUP('Données projet'!$B$13,Paramètres!$A$1:$I$89,5,0)</f>
        <v>229.98149777777775</v>
      </c>
      <c r="CV45" s="14">
        <f t="shared" si="41"/>
        <v>56.278680899383595</v>
      </c>
      <c r="CW45" s="22">
        <f t="shared" si="13"/>
        <v>498.56981119605592</v>
      </c>
      <c r="CX45" s="62">
        <f t="shared" si="14"/>
        <v>791.90314452938924</v>
      </c>
      <c r="CY45" s="62">
        <f ca="1">AVERAGE(OFFSET($CX$3,0,0,'Données projet'!$E$13+1,1))-AVERAGE(OFFSET($H$3,0,0,'Données projet'!$E$13+1,1))</f>
        <v>361.46923697840384</v>
      </c>
      <c r="CZ45" s="62">
        <f t="shared" si="42"/>
        <v>302.25424592654673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25.049091119040121</v>
      </c>
      <c r="DG45" s="23">
        <f>EXP(-LN(2)/25)*DG44+(1-EXP(-LN(2)/25))/(LN(2)/25)*Calculateur!DB45*Calculateur!DD45*VLOOKUP('Données projet'!$B$13,Paramètres!$A$1:$I$89,3,0)*0.475*44/12</f>
        <v>16.790849454702386</v>
      </c>
      <c r="DH45" s="23">
        <f>EXP(-LN(2)/2)*DH44+(1-EXP(-LN(2)/2))/(LN(2)/2)*DB45*DE45*VLOOKUP('Données projet'!$B$13,Paramètres!$A$1:$I$89,3,0)*0.475*44/12</f>
        <v>1.6410142148522795</v>
      </c>
      <c r="DI45" s="24">
        <f t="shared" si="15"/>
        <v>43.480954788594786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20.2</v>
      </c>
      <c r="N46" s="14">
        <f>IF('Données projet'!$A$36&gt;35,N45+M46-V45,IF(A46&lt;'Données projet'!$A$36,$K$205^A46,IF(A46='Données projet'!$A$36,'Données projet'!$B$36,N45+M46-V45)))</f>
        <v>487.6</v>
      </c>
      <c r="O46" s="14">
        <f>N46*VLOOKUP('Données projet'!$B$9,Paramètres!$A$1:$I$89,3,0)*VLOOKUP('Données projet'!$B$9,Paramètres!$A$1:$I$89,5,0)</f>
        <v>272.5684</v>
      </c>
      <c r="P46" s="14">
        <f t="shared" si="33"/>
        <v>65.394047878996318</v>
      </c>
      <c r="Q46" s="22">
        <f t="shared" si="53"/>
        <v>588.61793005591858</v>
      </c>
      <c r="R46" s="62">
        <f t="shared" si="0"/>
        <v>881.95126338925184</v>
      </c>
      <c r="S46" s="62">
        <f ca="1">AVERAGE(OFFSET($R$3,0,0,'Données projet'!$E$9+1,1))-AVERAGE(OFFSET($H$3,0,0,'Données projet'!$E$9+1,1))</f>
        <v>389.80719836281679</v>
      </c>
      <c r="T46" s="62">
        <f t="shared" si="34"/>
        <v>399.58193819355591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28.118918492220793</v>
      </c>
      <c r="AA46" s="23">
        <f>EXP(-LN(2)/25)*AA45+(1-EXP(-LN(2)/25))/(LN(2)/25)*Calculateur!V46*Calculateur!X46*VLOOKUP('Données projet'!$B$9,Paramètres!$A$1:$I$89,3,0)*0.475*44/12</f>
        <v>20.882505321132783</v>
      </c>
      <c r="AB46" s="23">
        <f>EXP(-LN(2)/2)*AB45+(1-EXP(-LN(2)/2))/(LN(2)/2)*V46*Y46*VLOOKUP('Données projet'!$B$9,Paramètres!$A$1:$I$89,3,0)*0.475*44/12</f>
        <v>3.0737995154471718</v>
      </c>
      <c r="AC46" s="24">
        <f t="shared" si="3"/>
        <v>52.075223328800746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15.725555555555552</v>
      </c>
      <c r="AI46" s="14">
        <f>IF('Données projet'!$A$62&gt;35,AI45+AH46-AQ45,IF(A46&lt;'Données projet'!$A$62,$AF$205^A46,IF(A46='Données projet'!$A$62,'Données projet'!$B$62,AI45+AH46-AQ45)))</f>
        <v>259.86111111111126</v>
      </c>
      <c r="AJ46" s="14">
        <f>AI46*VLOOKUP('Données projet'!$B$10,Paramètres!$A$1:$I$89,3,0)*VLOOKUP('Données projet'!$B$10,Paramètres!$A$1:$I$89,5,0)</f>
        <v>155.39694444444453</v>
      </c>
      <c r="AK46" s="14">
        <f t="shared" si="35"/>
        <v>39.802526102363792</v>
      </c>
      <c r="AL46" s="22">
        <f t="shared" si="4"/>
        <v>339.97241120235782</v>
      </c>
      <c r="AM46" s="62">
        <f t="shared" si="5"/>
        <v>633.30574453569113</v>
      </c>
      <c r="AN46" s="62">
        <f ca="1">AVERAGE(OFFSET($AM$3,0,0,'Données projet'!$E$10+1,1))-AVERAGE(OFFSET($H$3,0,0,'Données projet'!$E$10+1,1))</f>
        <v>269.90083987531233</v>
      </c>
      <c r="AO46" s="62">
        <f t="shared" si="36"/>
        <v>183.4515835513518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22.208993947140534</v>
      </c>
      <c r="AV46" s="23">
        <f>EXP(-LN(2)/25)*AV45+(1-EXP(-LN(2)/25))/(LN(2)/25)*Calculateur!AQ46*Calculateur!AS46*VLOOKUP('Données projet'!$B$10,Paramètres!$A$1:$I$89,3,0)*0.475*44/12</f>
        <v>20.488786148891226</v>
      </c>
      <c r="AW46" s="23">
        <f>EXP(-LN(2)/2)*AW45+(1-EXP(-LN(2)/2))/(LN(2)/2)*AQ46*AT46*VLOOKUP('Données projet'!$B$10,Paramètres!$A$1:$I$89,3,0)*0.475*44/12</f>
        <v>6.660778164375774</v>
      </c>
      <c r="AX46" s="23">
        <f t="shared" si="6"/>
        <v>49.358558260407534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6.3622807017543854</v>
      </c>
      <c r="BD46" s="13">
        <f>IF('Données projet'!$A$88&gt;35,BD45+BC46-BL45,IF(A46&lt;'Données projet'!$A$88,$BA$205^A46,IF(A46='Données projet'!$A$88,'Données projet'!$B$88,BD45+BC46-BL45)))</f>
        <v>273.57807017543837</v>
      </c>
      <c r="BE46" s="14">
        <f>BD46*VLOOKUP('Données projet'!$B$11,Paramètres!$A$1:$I$89,3,0)*VLOOKUP('Données projet'!$B$11,Paramètres!$A$1:$I$89,5,0)</f>
        <v>131.59105175438586</v>
      </c>
      <c r="BF46" s="14">
        <f t="shared" si="37"/>
        <v>34.363743989017969</v>
      </c>
      <c r="BG46" s="22">
        <f t="shared" si="7"/>
        <v>289.03793591976165</v>
      </c>
      <c r="BH46" s="62">
        <f t="shared" si="8"/>
        <v>582.37126925309497</v>
      </c>
      <c r="BI46" s="62">
        <f ca="1">AVERAGE(OFFSET($BH$3,0,0,'Données projet'!$E$11+1,1))-AVERAGE(OFFSET($H$3,0,0,'Données projet'!$E$11+1,1))</f>
        <v>255.64417186544995</v>
      </c>
      <c r="BJ46" s="62">
        <f t="shared" si="38"/>
        <v>165.41802783289376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20.399999999999999</v>
      </c>
      <c r="BY46" s="13">
        <f>IF('Données projet'!$A$114&gt;35,BY45+BX46-CG45,IF(A46&lt;'Données projet'!$A$114,$BV$205^A46,IF(A46='Données projet'!$A$114,'Données projet'!$B$114,BY45+BX46-CG45)))</f>
        <v>560.20000000000005</v>
      </c>
      <c r="BZ46" s="14">
        <f>BY46*VLOOKUP('Données projet'!$B$12,Paramètres!$A$1:$I$89,3,0)*VLOOKUP('Données projet'!$B$12,Paramètres!$A$1:$I$89,5,0)</f>
        <v>313.15180000000004</v>
      </c>
      <c r="CA46" s="14">
        <f t="shared" si="39"/>
        <v>73.926663436613353</v>
      </c>
      <c r="CB46" s="22">
        <f t="shared" si="10"/>
        <v>674.16165715210161</v>
      </c>
      <c r="CC46" s="62">
        <f t="shared" si="11"/>
        <v>967.49499048543498</v>
      </c>
      <c r="CD46" s="62">
        <f ca="1">AVERAGE(OFFSET($CC$3,0,0,'Données projet'!$E$12+1,1))-AVERAGE(OFFSET($H$3,0,0,'Données projet'!$E$12+1,1))</f>
        <v>465.49436272491818</v>
      </c>
      <c r="CE46" s="62">
        <f t="shared" si="40"/>
        <v>494.36941732405256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34.742123321321863</v>
      </c>
      <c r="CL46" s="23">
        <f>EXP(-LN(2)/25)*CL45+(1-EXP(-LN(2)/25))/(LN(2)/25)*Calculateur!CG46*Calculateur!CI46*VLOOKUP('Données projet'!$B$12,Paramètres!$A$1:$I$89,3,0)*0.475*44/12</f>
        <v>28.203541631912021</v>
      </c>
      <c r="CM46" s="23">
        <f>EXP(-LN(2)/2)*CM45+(1-EXP(-LN(2)/2))/(LN(2)/2)*CG46*CJ46*VLOOKUP('Données projet'!$B$12,Paramètres!$A$1:$I$89,3,0)*0.475*44/12</f>
        <v>3.3938210721767224</v>
      </c>
      <c r="CN46" s="24">
        <f t="shared" si="12"/>
        <v>66.339486025410608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20.418888888888887</v>
      </c>
      <c r="CT46" s="13">
        <f>IF('Données projet'!$A$140&gt;35,CT45+CS46-DB45,IF(A46&lt;'Données projet'!$A$140,$CQ$205^A46,IF(A46='Données projet'!$A$140,'Données projet'!$B$140,CT45+CS46-DB45)))</f>
        <v>405.00333333333322</v>
      </c>
      <c r="CU46" s="18">
        <f>CT46*VLOOKUP('Données projet'!$B$13,Paramètres!$A$1:$I$89,3,0)*VLOOKUP('Données projet'!$B$13,Paramètres!$A$1:$I$89,5,0)</f>
        <v>242.19199333333327</v>
      </c>
      <c r="CV46" s="14">
        <f t="shared" si="41"/>
        <v>58.91089868137653</v>
      </c>
      <c r="CW46" s="22">
        <f t="shared" si="13"/>
        <v>524.42087025895296</v>
      </c>
      <c r="CX46" s="62">
        <f t="shared" si="14"/>
        <v>817.75420359228633</v>
      </c>
      <c r="CY46" s="62">
        <f ca="1">AVERAGE(OFFSET($CX$3,0,0,'Données projet'!$E$13+1,1))-AVERAGE(OFFSET($H$3,0,0,'Données projet'!$E$13+1,1))</f>
        <v>361.46923697840384</v>
      </c>
      <c r="CZ46" s="62">
        <f t="shared" si="42"/>
        <v>302.25424592654673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24.557893720632705</v>
      </c>
      <c r="DG46" s="23">
        <f>EXP(-LN(2)/25)*DG45+(1-EXP(-LN(2)/25))/(LN(2)/25)*Calculateur!DB46*Calculateur!DD46*VLOOKUP('Données projet'!$B$13,Paramètres!$A$1:$I$89,3,0)*0.475*44/12</f>
        <v>16.331702793371154</v>
      </c>
      <c r="DH46" s="23">
        <f>EXP(-LN(2)/2)*DH45+(1-EXP(-LN(2)/2))/(LN(2)/2)*DB46*DE46*VLOOKUP('Données projet'!$B$13,Paramètres!$A$1:$I$89,3,0)*0.475*44/12</f>
        <v>1.1603722793455649</v>
      </c>
      <c r="DI46" s="24">
        <f t="shared" si="15"/>
        <v>42.049968793349422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20.2</v>
      </c>
      <c r="N47" s="14">
        <f>IF('Données projet'!$A$36&gt;35,N46+M47-V46,IF(A47&lt;'Données projet'!$A$36,$K$205^A47,IF(A47='Données projet'!$A$36,'Données projet'!$B$36,N46+M47-V46)))</f>
        <v>507.8</v>
      </c>
      <c r="O47" s="14">
        <f>N47*VLOOKUP('Données projet'!$B$9,Paramètres!$A$1:$I$89,3,0)*VLOOKUP('Données projet'!$B$9,Paramètres!$A$1:$I$89,5,0)</f>
        <v>283.86020000000002</v>
      </c>
      <c r="P47" s="14">
        <f t="shared" si="33"/>
        <v>67.782128892060015</v>
      </c>
      <c r="Q47" s="22">
        <f t="shared" si="53"/>
        <v>612.44372282033794</v>
      </c>
      <c r="R47" s="62">
        <f t="shared" si="0"/>
        <v>905.77705615367131</v>
      </c>
      <c r="S47" s="62">
        <f ca="1">AVERAGE(OFFSET($R$3,0,0,'Données projet'!$E$9+1,1))-AVERAGE(OFFSET($H$3,0,0,'Données projet'!$E$9+1,1))</f>
        <v>389.80719836281679</v>
      </c>
      <c r="T47" s="62">
        <f t="shared" si="34"/>
        <v>399.58193819355591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27.567523651435117</v>
      </c>
      <c r="AA47" s="23">
        <f>EXP(-LN(2)/25)*AA46+(1-EXP(-LN(2)/25))/(LN(2)/25)*Calculateur!V47*Calculateur!X47*VLOOKUP('Données projet'!$B$9,Paramètres!$A$1:$I$89,3,0)*0.475*44/12</f>
        <v>20.311472114963181</v>
      </c>
      <c r="AB47" s="23">
        <f>EXP(-LN(2)/2)*AB46+(1-EXP(-LN(2)/2))/(LN(2)/2)*V47*Y47*VLOOKUP('Données projet'!$B$9,Paramètres!$A$1:$I$89,3,0)*0.475*44/12</f>
        <v>2.1735044813806192</v>
      </c>
      <c r="AC47" s="24">
        <f t="shared" si="3"/>
        <v>50.052500247778916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15.725555555555552</v>
      </c>
      <c r="AI47" s="14">
        <f>IF('Données projet'!$A$62&gt;35,AI46+AH47-AQ46,IF(A47&lt;'Données projet'!$A$62,$AF$205^A47,IF(A47='Données projet'!$A$62,'Données projet'!$B$62,AI46+AH47-AQ46)))</f>
        <v>275.58666666666682</v>
      </c>
      <c r="AJ47" s="14">
        <f>AI47*VLOOKUP('Données projet'!$B$10,Paramètres!$A$1:$I$89,3,0)*VLOOKUP('Données projet'!$B$10,Paramètres!$A$1:$I$89,5,0)</f>
        <v>164.80082666666678</v>
      </c>
      <c r="AK47" s="14">
        <f t="shared" si="35"/>
        <v>41.923485083367801</v>
      </c>
      <c r="AL47" s="22">
        <f t="shared" si="4"/>
        <v>360.04484296464358</v>
      </c>
      <c r="AM47" s="62">
        <f t="shared" si="5"/>
        <v>653.37817629797689</v>
      </c>
      <c r="AN47" s="62">
        <f ca="1">AVERAGE(OFFSET($AM$3,0,0,'Données projet'!$E$10+1,1))-AVERAGE(OFFSET($H$3,0,0,'Données projet'!$E$10+1,1))</f>
        <v>269.90083987531233</v>
      </c>
      <c r="AO47" s="62">
        <f t="shared" si="36"/>
        <v>183.4515835513518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21.773489121985847</v>
      </c>
      <c r="AV47" s="23">
        <f>EXP(-LN(2)/25)*AV46+(1-EXP(-LN(2)/25))/(LN(2)/25)*Calculateur!AQ47*Calculateur!AS47*VLOOKUP('Données projet'!$B$10,Paramètres!$A$1:$I$89,3,0)*0.475*44/12</f>
        <v>19.928519214191358</v>
      </c>
      <c r="AW47" s="23">
        <f>EXP(-LN(2)/2)*AW46+(1-EXP(-LN(2)/2))/(LN(2)/2)*AQ47*AT47*VLOOKUP('Données projet'!$B$10,Paramètres!$A$1:$I$89,3,0)*0.475*44/12</f>
        <v>4.7098814080093945</v>
      </c>
      <c r="AX47" s="23">
        <f t="shared" si="6"/>
        <v>46.411889744186595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6.3622807017543854</v>
      </c>
      <c r="BD47" s="13">
        <f>IF('Données projet'!$A$88&gt;35,BD46+BC47-BL46,IF(A47&lt;'Données projet'!$A$88,$BA$205^A47,IF(A47='Données projet'!$A$88,'Données projet'!$B$88,BD46+BC47-BL46)))</f>
        <v>279.94035087719277</v>
      </c>
      <c r="BE47" s="14">
        <f>BD47*VLOOKUP('Données projet'!$B$11,Paramètres!$A$1:$I$89,3,0)*VLOOKUP('Données projet'!$B$11,Paramètres!$A$1:$I$89,5,0)</f>
        <v>134.65130877192973</v>
      </c>
      <c r="BF47" s="14">
        <f t="shared" si="37"/>
        <v>35.068931395614634</v>
      </c>
      <c r="BG47" s="22">
        <f t="shared" si="7"/>
        <v>295.59608495847311</v>
      </c>
      <c r="BH47" s="62">
        <f t="shared" si="8"/>
        <v>588.92941829180643</v>
      </c>
      <c r="BI47" s="62">
        <f ca="1">AVERAGE(OFFSET($BH$3,0,0,'Données projet'!$E$11+1,1))-AVERAGE(OFFSET($H$3,0,0,'Données projet'!$E$11+1,1))</f>
        <v>255.64417186544995</v>
      </c>
      <c r="BJ47" s="62">
        <f t="shared" si="38"/>
        <v>165.41802783289376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20.399999999999999</v>
      </c>
      <c r="BY47" s="13">
        <f>IF('Données projet'!$A$114&gt;35,BY46+BX47-CG46,IF(A47&lt;'Données projet'!$A$114,$BV$205^A47,IF(A47='Données projet'!$A$114,'Données projet'!$B$114,BY46+BX47-CG46)))</f>
        <v>580.6</v>
      </c>
      <c r="BZ47" s="14">
        <f>BY47*VLOOKUP('Données projet'!$B$12,Paramètres!$A$1:$I$89,3,0)*VLOOKUP('Données projet'!$B$12,Paramètres!$A$1:$I$89,5,0)</f>
        <v>324.55540000000002</v>
      </c>
      <c r="CA47" s="14">
        <f t="shared" si="39"/>
        <v>76.300412056684536</v>
      </c>
      <c r="CB47" s="22">
        <f t="shared" si="10"/>
        <v>698.15720599872554</v>
      </c>
      <c r="CC47" s="62">
        <f t="shared" si="11"/>
        <v>991.49053933205892</v>
      </c>
      <c r="CD47" s="62">
        <f ca="1">AVERAGE(OFFSET($CC$3,0,0,'Données projet'!$E$12+1,1))-AVERAGE(OFFSET($H$3,0,0,'Données projet'!$E$12+1,1))</f>
        <v>465.49436272491818</v>
      </c>
      <c r="CE47" s="62">
        <f t="shared" si="40"/>
        <v>494.36941732405256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34.060851473593566</v>
      </c>
      <c r="CL47" s="23">
        <f>EXP(-LN(2)/25)*CL46+(1-EXP(-LN(2)/25))/(LN(2)/25)*Calculateur!CG47*Calculateur!CI47*VLOOKUP('Données projet'!$B$12,Paramètres!$A$1:$I$89,3,0)*0.475*44/12</f>
        <v>27.432314302827592</v>
      </c>
      <c r="CM47" s="23">
        <f>EXP(-LN(2)/2)*CM46+(1-EXP(-LN(2)/2))/(LN(2)/2)*CG47*CJ47*VLOOKUP('Données projet'!$B$12,Paramètres!$A$1:$I$89,3,0)*0.475*44/12</f>
        <v>2.3997938942699597</v>
      </c>
      <c r="CN47" s="24">
        <f t="shared" si="12"/>
        <v>63.89295967069112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20.418888888888887</v>
      </c>
      <c r="CT47" s="13">
        <f>IF('Données projet'!$A$140&gt;35,CT46+CS47-DB46,IF(A47&lt;'Données projet'!$A$140,$CQ$205^A47,IF(A47='Données projet'!$A$140,'Données projet'!$B$140,CT46+CS47-DB46)))</f>
        <v>425.4222222222221</v>
      </c>
      <c r="CU47" s="18">
        <f>CT47*VLOOKUP('Données projet'!$B$13,Paramètres!$A$1:$I$89,3,0)*VLOOKUP('Données projet'!$B$13,Paramètres!$A$1:$I$89,5,0)</f>
        <v>254.40248888888885</v>
      </c>
      <c r="CV47" s="14">
        <f t="shared" si="41"/>
        <v>61.527707660892787</v>
      </c>
      <c r="CW47" s="22">
        <f t="shared" si="13"/>
        <v>550.24509232420291</v>
      </c>
      <c r="CX47" s="62">
        <f t="shared" si="14"/>
        <v>843.57842565753617</v>
      </c>
      <c r="CY47" s="62">
        <f ca="1">AVERAGE(OFFSET($CX$3,0,0,'Données projet'!$E$13+1,1))-AVERAGE(OFFSET($H$3,0,0,'Données projet'!$E$13+1,1))</f>
        <v>361.46923697840384</v>
      </c>
      <c r="CZ47" s="62">
        <f t="shared" si="42"/>
        <v>302.25424592654673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24.076328403607231</v>
      </c>
      <c r="DG47" s="23">
        <f>EXP(-LN(2)/25)*DG46+(1-EXP(-LN(2)/25))/(LN(2)/25)*Calculateur!DB47*Calculateur!DD47*VLOOKUP('Données projet'!$B$13,Paramètres!$A$1:$I$89,3,0)*0.475*44/12</f>
        <v>15.885111521639496</v>
      </c>
      <c r="DH47" s="23">
        <f>EXP(-LN(2)/2)*DH46+(1-EXP(-LN(2)/2))/(LN(2)/2)*DB47*DE47*VLOOKUP('Données projet'!$B$13,Paramètres!$A$1:$I$89,3,0)*0.475*44/12</f>
        <v>0.82050710742613975</v>
      </c>
      <c r="DI47" s="24">
        <f t="shared" si="15"/>
        <v>40.781947032672868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528</v>
      </c>
      <c r="L48" s="13">
        <f>VLOOKUP(A48,'Données projet'!$A$35:$I$55,9,0)</f>
        <v>20.2</v>
      </c>
      <c r="M48" s="13">
        <f t="array" ref="M48">INDEX(L:L,MIN(IF(ISNUMBER(L48:L244),ROW(L48:L244),"")))</f>
        <v>20.2</v>
      </c>
      <c r="N48" s="14">
        <f>IF('Données projet'!$A$36&gt;35,N47+M48-V47,IF(A48&lt;'Données projet'!$A$36,$K$205^A48,IF(A48='Données projet'!$A$36,'Données projet'!$B$36,N47+M48-V47)))</f>
        <v>528</v>
      </c>
      <c r="O48" s="14">
        <f>N48*VLOOKUP('Données projet'!$B$9,Paramètres!$A$1:$I$89,3,0)*VLOOKUP('Données projet'!$B$9,Paramètres!$A$1:$I$89,5,0)</f>
        <v>295.15199999999999</v>
      </c>
      <c r="P48" s="14">
        <f t="shared" si="33"/>
        <v>70.159174796274201</v>
      </c>
      <c r="Q48" s="22">
        <f t="shared" si="53"/>
        <v>636.25029610351078</v>
      </c>
      <c r="R48" s="62">
        <f t="shared" si="0"/>
        <v>929.58362943684415</v>
      </c>
      <c r="S48" s="62">
        <f ca="1">AVERAGE(OFFSET($R$3,0,0,'Données projet'!$E$9+1,1))-AVERAGE(OFFSET($H$3,0,0,'Données projet'!$E$9+1,1))</f>
        <v>389.80719836281679</v>
      </c>
      <c r="T48" s="62">
        <f t="shared" si="34"/>
        <v>399.58193819355591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52</v>
      </c>
      <c r="W48" s="17">
        <f>IF(ISNA(VLOOKUP(A48,'Données projet'!$A$35:$I$55,5,0)),0%,VLOOKUP(A48,'Données projet'!$A$35:$I$55,5,0)*VLOOKUP('Données projet'!$B$9,Paramètres!$A$1:$I$89,7,0))</f>
        <v>0.27500000000000002</v>
      </c>
      <c r="X48" s="17">
        <f>IF(ISNA(VLOOKUP(A48,'Données projet'!$A$35:$I$55,6,0)),0%,VLOOKUP(A48,'Données projet'!$A$35:$I$55,6,0)*VLOOKUP('Données projet'!$B$9,Paramètres!$A$1:$I$89,7,0))</f>
        <v>0.15400000000000003</v>
      </c>
      <c r="Y48" s="17">
        <f>IF(ISNA(VLOOKUP(A48,'Données projet'!$A$35:$I$55,7,0)),0%,VLOOKUP(A48,'Données projet'!$A$35:$I$55,7,0))</f>
        <v>0.22</v>
      </c>
      <c r="Z48" s="23">
        <f>EXP(-LN(2)/35)*Z47+(1-EXP(-LN(2)/35))/(LN(2)/35)*V48*W48*VLOOKUP('Données projet'!$B$9,Paramètres!$A$1:$I$89,3,0)*0.475*44/12</f>
        <v>37.631099614606661</v>
      </c>
      <c r="AA48" s="23">
        <f>EXP(-LN(2)/25)*AA47+(1-EXP(-LN(2)/25))/(LN(2)/25)*Calculateur!V48*Calculateur!X48*VLOOKUP('Données projet'!$B$9,Paramètres!$A$1:$I$89,3,0)*0.475*44/12</f>
        <v>25.671001020275863</v>
      </c>
      <c r="AB48" s="23">
        <f>EXP(-LN(2)/2)*AB47+(1-EXP(-LN(2)/2))/(LN(2)/2)*V48*Y48*VLOOKUP('Données projet'!$B$9,Paramètres!$A$1:$I$89,3,0)*0.475*44/12</f>
        <v>8.7774800111134343</v>
      </c>
      <c r="AC48" s="24">
        <f t="shared" si="3"/>
        <v>72.079580645995961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15.725555555555552</v>
      </c>
      <c r="AI48" s="14">
        <f>IF('Données projet'!$A$62&gt;35,AI47+AH48-AQ47,IF(A48&lt;'Données projet'!$A$62,$AF$205^A48,IF(A48='Données projet'!$A$62,'Données projet'!$B$62,AI47+AH48-AQ47)))</f>
        <v>291.31222222222237</v>
      </c>
      <c r="AJ48" s="14">
        <f>AI48*VLOOKUP('Données projet'!$B$10,Paramètres!$A$1:$I$89,3,0)*VLOOKUP('Données projet'!$B$10,Paramètres!$A$1:$I$89,5,0)</f>
        <v>174.204708888889</v>
      </c>
      <c r="AK48" s="14">
        <f t="shared" si="35"/>
        <v>44.030395226989455</v>
      </c>
      <c r="AL48" s="22">
        <f t="shared" si="4"/>
        <v>380.09280633515499</v>
      </c>
      <c r="AM48" s="62">
        <f t="shared" si="5"/>
        <v>673.4261396684883</v>
      </c>
      <c r="AN48" s="62">
        <f ca="1">AVERAGE(OFFSET($AM$3,0,0,'Données projet'!$E$10+1,1))-AVERAGE(OFFSET($H$3,0,0,'Données projet'!$E$10+1,1))</f>
        <v>269.90083987531233</v>
      </c>
      <c r="AO48" s="62">
        <f t="shared" si="36"/>
        <v>183.4515835513518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21.346524280820727</v>
      </c>
      <c r="AV48" s="23">
        <f>EXP(-LN(2)/25)*AV47+(1-EXP(-LN(2)/25))/(LN(2)/25)*Calculateur!AQ48*Calculateur!AS48*VLOOKUP('Données projet'!$B$10,Paramètres!$A$1:$I$89,3,0)*0.475*44/12</f>
        <v>19.383572808284018</v>
      </c>
      <c r="AW48" s="23">
        <f>EXP(-LN(2)/2)*AW47+(1-EXP(-LN(2)/2))/(LN(2)/2)*AQ48*AT48*VLOOKUP('Données projet'!$B$10,Paramètres!$A$1:$I$89,3,0)*0.475*44/12</f>
        <v>3.3303890821878874</v>
      </c>
      <c r="AX48" s="23">
        <f t="shared" si="6"/>
        <v>44.060486171292631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6.3622807017543854</v>
      </c>
      <c r="BD48" s="13">
        <f>IF('Données projet'!$A$88&gt;35,BD47+BC48-BL47,IF(A48&lt;'Données projet'!$A$88,$BA$205^A48,IF(A48='Données projet'!$A$88,'Données projet'!$B$88,BD47+BC48-BL47)))</f>
        <v>286.30263157894717</v>
      </c>
      <c r="BE48" s="14">
        <f>BD48*VLOOKUP('Données projet'!$B$11,Paramètres!$A$1:$I$89,3,0)*VLOOKUP('Données projet'!$B$11,Paramètres!$A$1:$I$89,5,0)</f>
        <v>137.71156578947358</v>
      </c>
      <c r="BF48" s="14">
        <f t="shared" si="37"/>
        <v>35.772255556873198</v>
      </c>
      <c r="BG48" s="22">
        <f t="shared" si="7"/>
        <v>302.15098884488731</v>
      </c>
      <c r="BH48" s="62">
        <f t="shared" si="8"/>
        <v>595.48432217822062</v>
      </c>
      <c r="BI48" s="62">
        <f ca="1">AVERAGE(OFFSET($BH$3,0,0,'Données projet'!$E$11+1,1))-AVERAGE(OFFSET($H$3,0,0,'Données projet'!$E$11+1,1))</f>
        <v>255.64417186544995</v>
      </c>
      <c r="BJ48" s="62">
        <f t="shared" si="38"/>
        <v>165.41802783289376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601</v>
      </c>
      <c r="BW48" s="13">
        <f>VLOOKUP(A48,'Données projet'!$A$113:$I$133,9,0)</f>
        <v>20.399999999999999</v>
      </c>
      <c r="BX48" s="13">
        <f t="array" ref="BX48">INDEX(BW:BW,MIN(IF(ISNUMBER(BW48:BW244),ROW(BW48:BW244),"")))</f>
        <v>20.399999999999999</v>
      </c>
      <c r="BY48" s="13">
        <f>IF('Données projet'!$A$114&gt;35,BY47+BX48-CG47,IF(A48&lt;'Données projet'!$A$114,$BV$205^A48,IF(A48='Données projet'!$A$114,'Données projet'!$B$114,BY47+BX48-CG47)))</f>
        <v>601</v>
      </c>
      <c r="BZ48" s="14">
        <f>BY48*VLOOKUP('Données projet'!$B$12,Paramètres!$A$1:$I$89,3,0)*VLOOKUP('Données projet'!$B$12,Paramètres!$A$1:$I$89,5,0)</f>
        <v>335.959</v>
      </c>
      <c r="CA48" s="14">
        <f t="shared" si="39"/>
        <v>78.664470148497045</v>
      </c>
      <c r="CB48" s="22">
        <f t="shared" si="10"/>
        <v>722.1358771752989</v>
      </c>
      <c r="CC48" s="62">
        <f t="shared" si="11"/>
        <v>1015.4692105086322</v>
      </c>
      <c r="CD48" s="62">
        <f ca="1">AVERAGE(OFFSET($CC$3,0,0,'Données projet'!$E$12+1,1))-AVERAGE(OFFSET($H$3,0,0,'Données projet'!$E$12+1,1))</f>
        <v>465.49436272491818</v>
      </c>
      <c r="CE48" s="62">
        <f t="shared" si="40"/>
        <v>494.36941732405256</v>
      </c>
      <c r="CF48" s="16">
        <f>IF(ISNA(VLOOKUP(A48,'Données projet'!$A$113:$I$133,3,0)),0,VLOOKUP(A48,'Données projet'!$A$113:$I$133,3,0))</f>
        <v>7</v>
      </c>
      <c r="CG48" s="16">
        <f>IF(ISNA(VLOOKUP(A48,'Données projet'!$A$113:$I$133,4,0)),0,VLOOKUP(A48,'Données projet'!$A$113:$I$133,4,0))</f>
        <v>53</v>
      </c>
      <c r="CH48" s="17">
        <f>IF(ISNA(VLOOKUP(A48,'Données projet'!$A$113:$I$133,5,0)),0%,VLOOKUP(A48,'Données projet'!$A$113:$I$133,5,0)*VLOOKUP('Données projet'!$B$12,Paramètres!$A$1:$I$89,7,0))</f>
        <v>0.27500000000000002</v>
      </c>
      <c r="CI48" s="17">
        <f>IF(ISNA(VLOOKUP(A48,'Données projet'!$A$113:$I$133,6,0)),0%,VLOOKUP(A48,'Données projet'!$A$113:$I$133,6,0)*VLOOKUP('Données projet'!$B$12,Paramètres!$A$1:$I$89,7,0))</f>
        <v>0.15400000000000003</v>
      </c>
      <c r="CJ48" s="17">
        <f>IF(ISNA(VLOOKUP(A48,'Données projet'!$A$113:$I$133,7,0)),0%,VLOOKUP(A48,'Données projet'!$A$113:$I$133,7,0))</f>
        <v>0.22</v>
      </c>
      <c r="CK48" s="23">
        <f>EXP(-LN(2)/35)*CK47+(1-EXP(-LN(2)/35))/(LN(2)/35)*CG48*CH48*VLOOKUP('Données projet'!$B$12,Paramètres!$A$1:$I$89,3,0)*0.475*44/12</f>
        <v>44.201023359623925</v>
      </c>
      <c r="CL48" s="23">
        <f>EXP(-LN(2)/25)*CL47+(1-EXP(-LN(2)/25))/(LN(2)/25)*Calculateur!CG48*Calculateur!CI48*VLOOKUP('Données projet'!$B$12,Paramètres!$A$1:$I$89,3,0)*0.475*44/12</f>
        <v>32.710872388244887</v>
      </c>
      <c r="CM48" s="23">
        <f>EXP(-LN(2)/2)*CM47+(1-EXP(-LN(2)/2))/(LN(2)/2)*CG48*CJ48*VLOOKUP('Données projet'!$B$12,Paramètres!$A$1:$I$89,3,0)*0.475*44/12</f>
        <v>9.0767327174280155</v>
      </c>
      <c r="CN48" s="24">
        <f t="shared" si="12"/>
        <v>85.988628465296827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20.418888888888887</v>
      </c>
      <c r="CT48" s="13">
        <f>IF('Données projet'!$A$140&gt;35,CT47+CS48-DB47,IF(A48&lt;'Données projet'!$A$140,$CQ$205^A48,IF(A48='Données projet'!$A$140,'Données projet'!$B$140,CT47+CS48-DB47)))</f>
        <v>445.84111111111099</v>
      </c>
      <c r="CU48" s="18">
        <f>CT48*VLOOKUP('Données projet'!$B$13,Paramètres!$A$1:$I$89,3,0)*VLOOKUP('Données projet'!$B$13,Paramètres!$A$1:$I$89,5,0)</f>
        <v>266.61298444444441</v>
      </c>
      <c r="CV48" s="14">
        <f t="shared" si="41"/>
        <v>64.129931842015907</v>
      </c>
      <c r="CW48" s="22">
        <f t="shared" si="13"/>
        <v>576.04391253225162</v>
      </c>
      <c r="CX48" s="62">
        <f t="shared" si="14"/>
        <v>869.37724586558488</v>
      </c>
      <c r="CY48" s="62">
        <f ca="1">AVERAGE(OFFSET($CX$3,0,0,'Données projet'!$E$13+1,1))-AVERAGE(OFFSET($H$3,0,0,'Données projet'!$E$13+1,1))</f>
        <v>361.46923697840384</v>
      </c>
      <c r="CZ48" s="62">
        <f t="shared" si="42"/>
        <v>302.25424592654673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23.604206288722786</v>
      </c>
      <c r="DG48" s="23">
        <f>EXP(-LN(2)/25)*DG47+(1-EXP(-LN(2)/25))/(LN(2)/25)*Calculateur!DB48*Calculateur!DD48*VLOOKUP('Données projet'!$B$13,Paramètres!$A$1:$I$89,3,0)*0.475*44/12</f>
        <v>15.450732311718555</v>
      </c>
      <c r="DH48" s="23">
        <f>EXP(-LN(2)/2)*DH47+(1-EXP(-LN(2)/2))/(LN(2)/2)*DB48*DE48*VLOOKUP('Données projet'!$B$13,Paramètres!$A$1:$I$89,3,0)*0.475*44/12</f>
        <v>0.58018613967278243</v>
      </c>
      <c r="DI48" s="24">
        <f t="shared" si="15"/>
        <v>39.635124740114122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19</v>
      </c>
      <c r="N49" s="14">
        <f>IF('Données projet'!$A$36&gt;35,N48+M49-V48,IF(A49&lt;'Données projet'!$A$36,$K$205^A49,IF(A49='Données projet'!$A$36,'Données projet'!$B$36,N48+M49-V48)))</f>
        <v>495</v>
      </c>
      <c r="O49" s="14">
        <f>N49*VLOOKUP('Données projet'!$B$9,Paramètres!$A$1:$I$89,3,0)*VLOOKUP('Données projet'!$B$9,Paramètres!$A$1:$I$89,5,0)</f>
        <v>276.70499999999998</v>
      </c>
      <c r="P49" s="14">
        <f t="shared" si="33"/>
        <v>66.27020165175162</v>
      </c>
      <c r="Q49" s="22">
        <f t="shared" si="53"/>
        <v>597.34847621013398</v>
      </c>
      <c r="R49" s="62">
        <f t="shared" si="0"/>
        <v>890.68180954346735</v>
      </c>
      <c r="S49" s="62">
        <f ca="1">AVERAGE(OFFSET($R$3,0,0,'Données projet'!$E$9+1,1))-AVERAGE(OFFSET($H$3,0,0,'Données projet'!$E$9+1,1))</f>
        <v>389.80719836281679</v>
      </c>
      <c r="T49" s="62">
        <f t="shared" si="34"/>
        <v>399.58193819355591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36.893176703868598</v>
      </c>
      <c r="AA49" s="23">
        <f>EXP(-LN(2)/25)*AA48+(1-EXP(-LN(2)/25))/(LN(2)/25)*Calculateur!V49*Calculateur!X49*VLOOKUP('Données projet'!$B$9,Paramètres!$A$1:$I$89,3,0)*0.475*44/12</f>
        <v>24.969026147397148</v>
      </c>
      <c r="AB49" s="23">
        <f>EXP(-LN(2)/2)*AB48+(1-EXP(-LN(2)/2))/(LN(2)/2)*V49*Y49*VLOOKUP('Données projet'!$B$9,Paramètres!$A$1:$I$89,3,0)*0.475*44/12</f>
        <v>6.2066156375876824</v>
      </c>
      <c r="AC49" s="24">
        <f t="shared" si="3"/>
        <v>68.068818488853438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15.725555555555552</v>
      </c>
      <c r="AI49" s="14">
        <f>IF('Données projet'!$A$62&gt;35,AI48+AH49-AQ48,IF(A49&lt;'Données projet'!$A$62,$AF$205^A49,IF(A49='Données projet'!$A$62,'Données projet'!$B$62,AI48+AH49-AQ48)))</f>
        <v>307.03777777777793</v>
      </c>
      <c r="AJ49" s="14">
        <f>AI49*VLOOKUP('Données projet'!$B$10,Paramètres!$A$1:$I$89,3,0)*VLOOKUP('Données projet'!$B$10,Paramètres!$A$1:$I$89,5,0)</f>
        <v>183.60859111111122</v>
      </c>
      <c r="AK49" s="14">
        <f t="shared" si="35"/>
        <v>46.124101377958297</v>
      </c>
      <c r="AL49" s="22">
        <f t="shared" si="4"/>
        <v>400.11777275179605</v>
      </c>
      <c r="AM49" s="62">
        <f t="shared" si="5"/>
        <v>693.45110608512937</v>
      </c>
      <c r="AN49" s="62">
        <f ca="1">AVERAGE(OFFSET($AM$3,0,0,'Données projet'!$E$10+1,1))-AVERAGE(OFFSET($H$3,0,0,'Données projet'!$E$10+1,1))</f>
        <v>269.90083987531233</v>
      </c>
      <c r="AO49" s="62">
        <f t="shared" si="36"/>
        <v>183.4515835513518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20.927931959768017</v>
      </c>
      <c r="AV49" s="23">
        <f>EXP(-LN(2)/25)*AV48+(1-EXP(-LN(2)/25))/(LN(2)/25)*Calculateur!AQ49*Calculateur!AS49*VLOOKUP('Données projet'!$B$10,Paramètres!$A$1:$I$89,3,0)*0.475*44/12</f>
        <v>18.8535279905037</v>
      </c>
      <c r="AW49" s="23">
        <f>EXP(-LN(2)/2)*AW48+(1-EXP(-LN(2)/2))/(LN(2)/2)*AQ49*AT49*VLOOKUP('Données projet'!$B$10,Paramètres!$A$1:$I$89,3,0)*0.475*44/12</f>
        <v>2.3549407040046977</v>
      </c>
      <c r="AX49" s="23">
        <f t="shared" si="6"/>
        <v>42.136400654276414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6.3622807017543854</v>
      </c>
      <c r="BD49" s="13">
        <f>IF('Données projet'!$A$88&gt;35,BD48+BC49-BL48,IF(A49&lt;'Données projet'!$A$88,$BA$205^A49,IF(A49='Données projet'!$A$88,'Données projet'!$B$88,BD48+BC49-BL48)))</f>
        <v>292.66491228070157</v>
      </c>
      <c r="BE49" s="14">
        <f>BD49*VLOOKUP('Données projet'!$B$11,Paramètres!$A$1:$I$89,3,0)*VLOOKUP('Données projet'!$B$11,Paramètres!$A$1:$I$89,5,0)</f>
        <v>140.77182280701746</v>
      </c>
      <c r="BF49" s="14">
        <f t="shared" si="37"/>
        <v>36.473762645785222</v>
      </c>
      <c r="BG49" s="22">
        <f t="shared" si="7"/>
        <v>308.70272799696471</v>
      </c>
      <c r="BH49" s="62">
        <f t="shared" si="8"/>
        <v>602.03606133029803</v>
      </c>
      <c r="BI49" s="62">
        <f ca="1">AVERAGE(OFFSET($BH$3,0,0,'Données projet'!$E$11+1,1))-AVERAGE(OFFSET($H$3,0,0,'Données projet'!$E$11+1,1))</f>
        <v>255.64417186544995</v>
      </c>
      <c r="BJ49" s="62">
        <f t="shared" si="38"/>
        <v>165.41802783289376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19.399999999999999</v>
      </c>
      <c r="BY49" s="13">
        <f>IF('Données projet'!$A$114&gt;35,BY48+BX49-CG48,IF(A49&lt;'Données projet'!$A$114,$BV$205^A49,IF(A49='Données projet'!$A$114,'Données projet'!$B$114,BY48+BX49-CG48)))</f>
        <v>567.4</v>
      </c>
      <c r="BZ49" s="14">
        <f>BY49*VLOOKUP('Données projet'!$B$12,Paramètres!$A$1:$I$89,3,0)*VLOOKUP('Données projet'!$B$12,Paramètres!$A$1:$I$89,5,0)</f>
        <v>317.17660000000001</v>
      </c>
      <c r="CA49" s="14">
        <f t="shared" si="39"/>
        <v>74.765587722928572</v>
      </c>
      <c r="CB49" s="22">
        <f t="shared" si="10"/>
        <v>682.63264361743393</v>
      </c>
      <c r="CC49" s="62">
        <f t="shared" si="11"/>
        <v>975.9659769507673</v>
      </c>
      <c r="CD49" s="62">
        <f ca="1">AVERAGE(OFFSET($CC$3,0,0,'Données projet'!$E$12+1,1))-AVERAGE(OFFSET($H$3,0,0,'Données projet'!$E$12+1,1))</f>
        <v>465.49436272491818</v>
      </c>
      <c r="CE49" s="62">
        <f t="shared" si="40"/>
        <v>494.36941732405256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43.334268251503872</v>
      </c>
      <c r="CL49" s="23">
        <f>EXP(-LN(2)/25)*CL48+(1-EXP(-LN(2)/25))/(LN(2)/25)*Calculateur!CG49*Calculateur!CI49*VLOOKUP('Données projet'!$B$12,Paramètres!$A$1:$I$89,3,0)*0.475*44/12</f>
        <v>31.816391862598312</v>
      </c>
      <c r="CM49" s="23">
        <f>EXP(-LN(2)/2)*CM48+(1-EXP(-LN(2)/2))/(LN(2)/2)*CG49*CJ49*VLOOKUP('Données projet'!$B$12,Paramètres!$A$1:$I$89,3,0)*0.475*44/12</f>
        <v>6.4182192555111488</v>
      </c>
      <c r="CN49" s="24">
        <f t="shared" si="12"/>
        <v>81.568879369613327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>
        <f>VLOOKUP(A49,'Données projet'!$A$139:$I$159,2,0)</f>
        <v>466.26</v>
      </c>
      <c r="CR49" s="13">
        <f>VLOOKUP(A49,'Données projet'!$A$139:$I$159,9,0)</f>
        <v>20.418888888888887</v>
      </c>
      <c r="CS49" s="13">
        <f t="array" ref="CS49">INDEX(CR:CR,MIN(IF(ISNUMBER(CR49:CR245),ROW(CR49:CR245),"")))</f>
        <v>20.418888888888887</v>
      </c>
      <c r="CT49" s="13">
        <f>IF('Données projet'!$A$140&gt;35,CT48+CS49-DB48,IF(A49&lt;'Données projet'!$A$140,$CQ$205^A49,IF(A49='Données projet'!$A$140,'Données projet'!$B$140,CT48+CS49-DB48)))</f>
        <v>466.25999999999988</v>
      </c>
      <c r="CU49" s="18">
        <f>CT49*VLOOKUP('Données projet'!$B$13,Paramètres!$A$1:$I$89,3,0)*VLOOKUP('Données projet'!$B$13,Paramètres!$A$1:$I$89,5,0)</f>
        <v>278.82347999999996</v>
      </c>
      <c r="CV49" s="14">
        <f t="shared" si="41"/>
        <v>66.718315486273781</v>
      </c>
      <c r="CW49" s="22">
        <f t="shared" si="13"/>
        <v>601.81862713859334</v>
      </c>
      <c r="CX49" s="62">
        <f t="shared" si="14"/>
        <v>895.15196047192671</v>
      </c>
      <c r="CY49" s="62">
        <f ca="1">AVERAGE(OFFSET($CX$3,0,0,'Données projet'!$E$13+1,1))-AVERAGE(OFFSET($H$3,0,0,'Données projet'!$E$13+1,1))</f>
        <v>361.46923697840384</v>
      </c>
      <c r="CZ49" s="62">
        <f t="shared" si="42"/>
        <v>302.25424592654673</v>
      </c>
      <c r="DA49" s="16">
        <f>IF(ISNA(VLOOKUP(A49,'Données projet'!$A$139:$I$159,3,0)),0,VLOOKUP(A49,'Données projet'!$A$139:$I$159,3,0))</f>
        <v>5</v>
      </c>
      <c r="DB49" s="16">
        <f>IF(ISNA(VLOOKUP(A49,'Données projet'!$A$139:$I$159,4,0)),0,VLOOKUP(A49,'Données projet'!$A$139:$I$159,4,0))</f>
        <v>93.13</v>
      </c>
      <c r="DC49" s="17">
        <f>IF(ISNA(VLOOKUP(A49,'Données projet'!$A$139:$I$159,5,0)),0%,VLOOKUP(A49,'Données projet'!$A$139:$I$159,5,0)*VLOOKUP('Données projet'!$B$13,Paramètres!$A$1:$I$89,7,0))</f>
        <v>0.22500000000000001</v>
      </c>
      <c r="DD49" s="17">
        <f>IF(ISNA(VLOOKUP(A49,'Données projet'!$A$139:$I$159,6,0)),0%,VLOOKUP(A49,'Données projet'!$A$139:$I$159,6,0)*VLOOKUP('Données projet'!$B$13,Paramètres!$A$1:$I$89,7,0))</f>
        <v>0.12600000000000003</v>
      </c>
      <c r="DE49" s="17">
        <f>IF(ISNA(VLOOKUP(A49,'Données projet'!$A$139:$I$159,7,0)),0%,VLOOKUP(A49,'Données projet'!$A$139:$I$159,7,0))</f>
        <v>0.22</v>
      </c>
      <c r="DF49" s="23">
        <f>EXP(-LN(2)/35)*DF48+(1-EXP(-LN(2)/35))/(LN(2)/35)*DB49*DC49*VLOOKUP('Données projet'!$B$13,Paramètres!$A$1:$I$89,3,0)*0.475*44/12</f>
        <v>39.764045818300772</v>
      </c>
      <c r="DG49" s="23">
        <f>EXP(-LN(2)/25)*DG48+(1-EXP(-LN(2)/25))/(LN(2)/25)*Calculateur!DB49*Calculateur!DD49*VLOOKUP('Données projet'!$B$13,Paramètres!$A$1:$I$89,3,0)*0.475*44/12</f>
        <v>24.300293296060801</v>
      </c>
      <c r="DH49" s="23">
        <f>EXP(-LN(2)/2)*DH48+(1-EXP(-LN(2)/2))/(LN(2)/2)*DB49*DE49*VLOOKUP('Données projet'!$B$13,Paramètres!$A$1:$I$89,3,0)*0.475*44/12</f>
        <v>14.282570635071316</v>
      </c>
      <c r="DI49" s="24">
        <f t="shared" si="15"/>
        <v>78.346909749432882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19</v>
      </c>
      <c r="N50" s="14">
        <f>IF('Données projet'!$A$36&gt;35,N49+M50-V49,IF(A50&lt;'Données projet'!$A$36,$K$205^A50,IF(A50='Données projet'!$A$36,'Données projet'!$B$36,N49+M50-V49)))</f>
        <v>514</v>
      </c>
      <c r="O50" s="14">
        <f>N50*VLOOKUP('Données projet'!$B$9,Paramètres!$A$1:$I$89,3,0)*VLOOKUP('Données projet'!$B$9,Paramètres!$A$1:$I$89,5,0)</f>
        <v>287.32600000000002</v>
      </c>
      <c r="P50" s="14">
        <f t="shared" si="33"/>
        <v>68.512868389632061</v>
      </c>
      <c r="Q50" s="22">
        <f t="shared" si="53"/>
        <v>619.75269577860911</v>
      </c>
      <c r="R50" s="62">
        <f t="shared" si="0"/>
        <v>913.08602911194248</v>
      </c>
      <c r="S50" s="62">
        <f ca="1">AVERAGE(OFFSET($R$3,0,0,'Données projet'!$E$9+1,1))-AVERAGE(OFFSET($H$3,0,0,'Données projet'!$E$9+1,1))</f>
        <v>389.80719836281679</v>
      </c>
      <c r="T50" s="62">
        <f t="shared" si="34"/>
        <v>399.58193819355591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36.169724011321577</v>
      </c>
      <c r="AA50" s="23">
        <f>EXP(-LN(2)/25)*AA49+(1-EXP(-LN(2)/25))/(LN(2)/25)*Calculateur!V50*Calculateur!X50*VLOOKUP('Données projet'!$B$9,Paramètres!$A$1:$I$89,3,0)*0.475*44/12</f>
        <v>24.286246814332557</v>
      </c>
      <c r="AB50" s="23">
        <f>EXP(-LN(2)/2)*AB49+(1-EXP(-LN(2)/2))/(LN(2)/2)*V50*Y50*VLOOKUP('Données projet'!$B$9,Paramètres!$A$1:$I$89,3,0)*0.475*44/12</f>
        <v>4.3887400055567181</v>
      </c>
      <c r="AC50" s="24">
        <f t="shared" si="3"/>
        <v>64.844710831210847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15.725555555555552</v>
      </c>
      <c r="AI50" s="14">
        <f>IF('Données projet'!$A$62&gt;35,AI49+AH50-AQ49,IF(A50&lt;'Données projet'!$A$62,$AF$205^A50,IF(A50='Données projet'!$A$62,'Données projet'!$B$62,AI49+AH50-AQ49)))</f>
        <v>322.76333333333349</v>
      </c>
      <c r="AJ50" s="14">
        <f>AI50*VLOOKUP('Données projet'!$B$10,Paramètres!$A$1:$I$89,3,0)*VLOOKUP('Données projet'!$B$10,Paramètres!$A$1:$I$89,5,0)</f>
        <v>193.01247333333347</v>
      </c>
      <c r="AK50" s="14">
        <f t="shared" si="35"/>
        <v>48.205356952003704</v>
      </c>
      <c r="AL50" s="22">
        <f t="shared" si="4"/>
        <v>420.12105441362888</v>
      </c>
      <c r="AM50" s="62">
        <f t="shared" si="5"/>
        <v>713.4543877469622</v>
      </c>
      <c r="AN50" s="62">
        <f ca="1">AVERAGE(OFFSET($AM$3,0,0,'Données projet'!$E$10+1,1))-AVERAGE(OFFSET($H$3,0,0,'Données projet'!$E$10+1,1))</f>
        <v>269.90083987531233</v>
      </c>
      <c r="AO50" s="62">
        <f t="shared" si="36"/>
        <v>183.4515835513518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20.517547978815045</v>
      </c>
      <c r="AV50" s="23">
        <f>EXP(-LN(2)/25)*AV49+(1-EXP(-LN(2)/25))/(LN(2)/25)*Calculateur!AQ50*Calculateur!AS50*VLOOKUP('Données projet'!$B$10,Paramètres!$A$1:$I$89,3,0)*0.475*44/12</f>
        <v>18.33797727613943</v>
      </c>
      <c r="AW50" s="23">
        <f>EXP(-LN(2)/2)*AW49+(1-EXP(-LN(2)/2))/(LN(2)/2)*AQ50*AT50*VLOOKUP('Données projet'!$B$10,Paramètres!$A$1:$I$89,3,0)*0.475*44/12</f>
        <v>1.6651945410939442</v>
      </c>
      <c r="AX50" s="23">
        <f t="shared" si="6"/>
        <v>40.520719796048418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6.3622807017543854</v>
      </c>
      <c r="BD50" s="13">
        <f>IF('Données projet'!$A$88&gt;35,BD49+BC50-BL49,IF(A50&lt;'Données projet'!$A$88,$BA$205^A50,IF(A50='Données projet'!$A$88,'Données projet'!$B$88,BD49+BC50-BL49)))</f>
        <v>299.02719298245597</v>
      </c>
      <c r="BE50" s="14">
        <f>BD50*VLOOKUP('Données projet'!$B$11,Paramètres!$A$1:$I$89,3,0)*VLOOKUP('Données projet'!$B$11,Paramètres!$A$1:$I$89,5,0)</f>
        <v>143.83207982456133</v>
      </c>
      <c r="BF50" s="14">
        <f t="shared" si="37"/>
        <v>37.173496713166415</v>
      </c>
      <c r="BG50" s="22">
        <f t="shared" si="7"/>
        <v>315.25137913654243</v>
      </c>
      <c r="BH50" s="62">
        <f t="shared" si="8"/>
        <v>608.58471246987574</v>
      </c>
      <c r="BI50" s="62">
        <f ca="1">AVERAGE(OFFSET($BH$3,0,0,'Données projet'!$E$11+1,1))-AVERAGE(OFFSET($H$3,0,0,'Données projet'!$E$11+1,1))</f>
        <v>255.64417186544995</v>
      </c>
      <c r="BJ50" s="62">
        <f t="shared" si="38"/>
        <v>165.41802783289376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19.399999999999999</v>
      </c>
      <c r="BY50" s="13">
        <f>IF('Données projet'!$A$114&gt;35,BY49+BX50-CG49,IF(A50&lt;'Données projet'!$A$114,$BV$205^A50,IF(A50='Données projet'!$A$114,'Données projet'!$B$114,BY49+BX50-CG49)))</f>
        <v>586.79999999999995</v>
      </c>
      <c r="BZ50" s="14">
        <f>BY50*VLOOKUP('Données projet'!$B$12,Paramètres!$A$1:$I$89,3,0)*VLOOKUP('Données projet'!$B$12,Paramètres!$A$1:$I$89,5,0)</f>
        <v>328.02119999999996</v>
      </c>
      <c r="CA50" s="14">
        <f t="shared" si="39"/>
        <v>77.019907950957702</v>
      </c>
      <c r="CB50" s="22">
        <f t="shared" si="10"/>
        <v>705.44659634791788</v>
      </c>
      <c r="CC50" s="62">
        <f t="shared" si="11"/>
        <v>998.77992968125113</v>
      </c>
      <c r="CD50" s="62">
        <f ca="1">AVERAGE(OFFSET($CC$3,0,0,'Données projet'!$E$12+1,1))-AVERAGE(OFFSET($H$3,0,0,'Données projet'!$E$12+1,1))</f>
        <v>465.49436272491818</v>
      </c>
      <c r="CE50" s="62">
        <f t="shared" si="40"/>
        <v>494.36941732405256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42.484509682385642</v>
      </c>
      <c r="CL50" s="23">
        <f>EXP(-LN(2)/25)*CL49+(1-EXP(-LN(2)/25))/(LN(2)/25)*Calculateur!CG50*Calculateur!CI50*VLOOKUP('Données projet'!$B$12,Paramètres!$A$1:$I$89,3,0)*0.475*44/12</f>
        <v>30.94637095396423</v>
      </c>
      <c r="CM50" s="23">
        <f>EXP(-LN(2)/2)*CM49+(1-EXP(-LN(2)/2))/(LN(2)/2)*CG50*CJ50*VLOOKUP('Données projet'!$B$12,Paramètres!$A$1:$I$89,3,0)*0.475*44/12</f>
        <v>4.5383663587140077</v>
      </c>
      <c r="CN50" s="24">
        <f t="shared" si="12"/>
        <v>77.969246995063884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17.857000000000006</v>
      </c>
      <c r="CT50" s="13">
        <f>IF('Données projet'!$A$140&gt;35,CT49+CS50-DB49,IF(A50&lt;'Données projet'!$A$140,$CQ$205^A50,IF(A50='Données projet'!$A$140,'Données projet'!$B$140,CT49+CS50-DB49)))</f>
        <v>390.98699999999991</v>
      </c>
      <c r="CU50" s="18">
        <f>CT50*VLOOKUP('Données projet'!$B$13,Paramètres!$A$1:$I$89,3,0)*VLOOKUP('Données projet'!$B$13,Paramètres!$A$1:$I$89,5,0)</f>
        <v>233.81022599999997</v>
      </c>
      <c r="CV50" s="14">
        <f t="shared" si="41"/>
        <v>57.105752002945586</v>
      </c>
      <c r="CW50" s="22">
        <f t="shared" si="13"/>
        <v>506.67866168846348</v>
      </c>
      <c r="CX50" s="62">
        <f t="shared" si="14"/>
        <v>800.01199502179679</v>
      </c>
      <c r="CY50" s="62">
        <f ca="1">AVERAGE(OFFSET($CX$3,0,0,'Données projet'!$E$13+1,1))-AVERAGE(OFFSET($H$3,0,0,'Données projet'!$E$13+1,1))</f>
        <v>361.46923697840384</v>
      </c>
      <c r="CZ50" s="62">
        <f t="shared" si="42"/>
        <v>302.25424592654673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38.984297133476993</v>
      </c>
      <c r="DG50" s="23">
        <f>EXP(-LN(2)/25)*DG49+(1-EXP(-LN(2)/25))/(LN(2)/25)*Calculateur!DB50*Calculateur!DD50*VLOOKUP('Données projet'!$B$13,Paramètres!$A$1:$I$89,3,0)*0.475*44/12</f>
        <v>23.635800497983134</v>
      </c>
      <c r="DH50" s="23">
        <f>EXP(-LN(2)/2)*DH49+(1-EXP(-LN(2)/2))/(LN(2)/2)*DB50*DE50*VLOOKUP('Données projet'!$B$13,Paramètres!$A$1:$I$89,3,0)*0.475*44/12</f>
        <v>10.099302548834784</v>
      </c>
      <c r="DI50" s="24">
        <f t="shared" si="15"/>
        <v>72.719400180294912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19</v>
      </c>
      <c r="N51" s="14">
        <f>IF('Données projet'!$A$36&gt;35,N50+M51-V50,IF(A51&lt;'Données projet'!$A$36,$K$205^A51,IF(A51='Données projet'!$A$36,'Données projet'!$B$36,N50+M51-V50)))</f>
        <v>533</v>
      </c>
      <c r="O51" s="14">
        <f>N51*VLOOKUP('Données projet'!$B$9,Paramètres!$A$1:$I$89,3,0)*VLOOKUP('Données projet'!$B$9,Paramètres!$A$1:$I$89,5,0)</f>
        <v>297.947</v>
      </c>
      <c r="P51" s="14">
        <f t="shared" si="33"/>
        <v>70.745903965311697</v>
      </c>
      <c r="Q51" s="22">
        <f t="shared" si="53"/>
        <v>642.1401410729178</v>
      </c>
      <c r="R51" s="62">
        <f t="shared" si="0"/>
        <v>935.47347440625117</v>
      </c>
      <c r="S51" s="62">
        <f ca="1">AVERAGE(OFFSET($R$3,0,0,'Données projet'!$E$9+1,1))-AVERAGE(OFFSET($H$3,0,0,'Données projet'!$E$9+1,1))</f>
        <v>389.80719836281679</v>
      </c>
      <c r="T51" s="62">
        <f t="shared" si="34"/>
        <v>399.58193819355591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35.460457784812832</v>
      </c>
      <c r="AA51" s="23">
        <f>EXP(-LN(2)/25)*AA50+(1-EXP(-LN(2)/25))/(LN(2)/25)*Calculateur!V51*Calculateur!X51*VLOOKUP('Données projet'!$B$9,Paramètres!$A$1:$I$89,3,0)*0.475*44/12</f>
        <v>23.622138118036421</v>
      </c>
      <c r="AB51" s="23">
        <f>EXP(-LN(2)/2)*AB50+(1-EXP(-LN(2)/2))/(LN(2)/2)*V51*Y51*VLOOKUP('Données projet'!$B$9,Paramètres!$A$1:$I$89,3,0)*0.475*44/12</f>
        <v>3.1033078187938417</v>
      </c>
      <c r="AC51" s="24">
        <f t="shared" si="3"/>
        <v>62.185903721643093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15.725555555555552</v>
      </c>
      <c r="AI51" s="14">
        <f>IF('Données projet'!$A$62&gt;35,AI50+AH51-AQ50,IF(A51&lt;'Données projet'!$A$62,$AF$205^A51,IF(A51='Données projet'!$A$62,'Données projet'!$B$62,AI50+AH51-AQ50)))</f>
        <v>338.48888888888905</v>
      </c>
      <c r="AJ51" s="14">
        <f>AI51*VLOOKUP('Données projet'!$B$10,Paramètres!$A$1:$I$89,3,0)*VLOOKUP('Données projet'!$B$10,Paramètres!$A$1:$I$89,5,0)</f>
        <v>202.41635555555567</v>
      </c>
      <c r="AK51" s="14">
        <f t="shared" si="35"/>
        <v>50.274837801805468</v>
      </c>
      <c r="AL51" s="22">
        <f t="shared" si="4"/>
        <v>440.10382843073722</v>
      </c>
      <c r="AM51" s="62">
        <f t="shared" si="5"/>
        <v>733.43716176407054</v>
      </c>
      <c r="AN51" s="62">
        <f ca="1">AVERAGE(OFFSET($AM$3,0,0,'Données projet'!$E$10+1,1))-AVERAGE(OFFSET($H$3,0,0,'Données projet'!$E$10+1,1))</f>
        <v>269.90083987531233</v>
      </c>
      <c r="AO51" s="62">
        <f t="shared" si="36"/>
        <v>183.4515835513518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20.115211377419048</v>
      </c>
      <c r="AV51" s="23">
        <f>EXP(-LN(2)/25)*AV50+(1-EXP(-LN(2)/25))/(LN(2)/25)*Calculateur!AQ51*Calculateur!AS51*VLOOKUP('Données projet'!$B$10,Paramètres!$A$1:$I$89,3,0)*0.475*44/12</f>
        <v>17.836524323171083</v>
      </c>
      <c r="AW51" s="23">
        <f>EXP(-LN(2)/2)*AW50+(1-EXP(-LN(2)/2))/(LN(2)/2)*AQ51*AT51*VLOOKUP('Données projet'!$B$10,Paramètres!$A$1:$I$89,3,0)*0.475*44/12</f>
        <v>1.1774703520023491</v>
      </c>
      <c r="AX51" s="23">
        <f t="shared" si="6"/>
        <v>39.129206052592487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6.3622807017543854</v>
      </c>
      <c r="BD51" s="13">
        <f>IF('Données projet'!$A$88&gt;35,BD50+BC51-BL50,IF(A51&lt;'Données projet'!$A$88,$BA$205^A51,IF(A51='Données projet'!$A$88,'Données projet'!$B$88,BD50+BC51-BL50)))</f>
        <v>305.38947368421037</v>
      </c>
      <c r="BE51" s="14">
        <f>BD51*VLOOKUP('Données projet'!$B$11,Paramètres!$A$1:$I$89,3,0)*VLOOKUP('Données projet'!$B$11,Paramètres!$A$1:$I$89,5,0)</f>
        <v>146.89233684210518</v>
      </c>
      <c r="BF51" s="14">
        <f t="shared" si="37"/>
        <v>37.871499828238733</v>
      </c>
      <c r="BG51" s="22">
        <f t="shared" si="7"/>
        <v>321.79701553418232</v>
      </c>
      <c r="BH51" s="62">
        <f t="shared" si="8"/>
        <v>615.13034886751564</v>
      </c>
      <c r="BI51" s="62">
        <f ca="1">AVERAGE(OFFSET($BH$3,0,0,'Données projet'!$E$11+1,1))-AVERAGE(OFFSET($H$3,0,0,'Données projet'!$E$11+1,1))</f>
        <v>255.64417186544995</v>
      </c>
      <c r="BJ51" s="62">
        <f t="shared" si="38"/>
        <v>165.41802783289376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19.399999999999999</v>
      </c>
      <c r="BY51" s="13">
        <f>IF('Données projet'!$A$114&gt;35,BY50+BX51-CG50,IF(A51&lt;'Données projet'!$A$114,$BV$205^A51,IF(A51='Données projet'!$A$114,'Données projet'!$B$114,BY50+BX51-CG50)))</f>
        <v>606.19999999999993</v>
      </c>
      <c r="BZ51" s="14">
        <f>BY51*VLOOKUP('Données projet'!$B$12,Paramètres!$A$1:$I$89,3,0)*VLOOKUP('Données projet'!$B$12,Paramètres!$A$1:$I$89,5,0)</f>
        <v>338.86579999999992</v>
      </c>
      <c r="CA51" s="14">
        <f t="shared" si="39"/>
        <v>79.265567968856317</v>
      </c>
      <c r="CB51" s="22">
        <f t="shared" si="10"/>
        <v>728.24546587909117</v>
      </c>
      <c r="CC51" s="62">
        <f t="shared" si="11"/>
        <v>1021.5787992124244</v>
      </c>
      <c r="CD51" s="62">
        <f ca="1">AVERAGE(OFFSET($CC$3,0,0,'Données projet'!$E$12+1,1))-AVERAGE(OFFSET($H$3,0,0,'Données projet'!$E$12+1,1))</f>
        <v>465.49436272491818</v>
      </c>
      <c r="CE51" s="62">
        <f t="shared" si="40"/>
        <v>494.36941732405256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41.651414360506273</v>
      </c>
      <c r="CL51" s="23">
        <f>EXP(-LN(2)/25)*CL50+(1-EXP(-LN(2)/25))/(LN(2)/25)*Calculateur!CG51*Calculateur!CI51*VLOOKUP('Données projet'!$B$12,Paramètres!$A$1:$I$89,3,0)*0.475*44/12</f>
        <v>30.10014081282916</v>
      </c>
      <c r="CM51" s="23">
        <f>EXP(-LN(2)/2)*CM50+(1-EXP(-LN(2)/2))/(LN(2)/2)*CG51*CJ51*VLOOKUP('Données projet'!$B$12,Paramètres!$A$1:$I$89,3,0)*0.475*44/12</f>
        <v>3.2091096277555744</v>
      </c>
      <c r="CN51" s="24">
        <f t="shared" si="12"/>
        <v>74.960664801091013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17.857000000000006</v>
      </c>
      <c r="CT51" s="13">
        <f>IF('Données projet'!$A$140&gt;35,CT50+CS51-DB50,IF(A51&lt;'Données projet'!$A$140,$CQ$205^A51,IF(A51='Données projet'!$A$140,'Données projet'!$B$140,CT50+CS51-DB50)))</f>
        <v>408.84399999999994</v>
      </c>
      <c r="CU51" s="18">
        <f>CT51*VLOOKUP('Données projet'!$B$13,Paramètres!$A$1:$I$89,3,0)*VLOOKUP('Données projet'!$B$13,Paramètres!$A$1:$I$89,5,0)</f>
        <v>244.48871199999996</v>
      </c>
      <c r="CV51" s="14">
        <f t="shared" si="41"/>
        <v>59.404254729453328</v>
      </c>
      <c r="CW51" s="22">
        <f t="shared" si="13"/>
        <v>529.2802503871311</v>
      </c>
      <c r="CX51" s="62">
        <f t="shared" si="14"/>
        <v>822.61358372046448</v>
      </c>
      <c r="CY51" s="62">
        <f ca="1">AVERAGE(OFFSET($CX$3,0,0,'Données projet'!$E$13+1,1))-AVERAGE(OFFSET($H$3,0,0,'Données projet'!$E$13+1,1))</f>
        <v>361.46923697840384</v>
      </c>
      <c r="CZ51" s="62">
        <f t="shared" si="42"/>
        <v>302.25424592654673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38.219838844762869</v>
      </c>
      <c r="DG51" s="23">
        <f>EXP(-LN(2)/25)*DG50+(1-EXP(-LN(2)/25))/(LN(2)/25)*Calculateur!DB51*Calculateur!DD51*VLOOKUP('Données projet'!$B$13,Paramètres!$A$1:$I$89,3,0)*0.475*44/12</f>
        <v>22.989478290413057</v>
      </c>
      <c r="DH51" s="23">
        <f>EXP(-LN(2)/2)*DH50+(1-EXP(-LN(2)/2))/(LN(2)/2)*DB51*DE51*VLOOKUP('Données projet'!$B$13,Paramètres!$A$1:$I$89,3,0)*0.475*44/12</f>
        <v>7.1412853175356599</v>
      </c>
      <c r="DI51" s="24">
        <f t="shared" si="15"/>
        <v>68.350602452711584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19</v>
      </c>
      <c r="N52" s="14">
        <f>IF('Données projet'!$A$36&gt;35,N51+M52-V51,IF(A52&lt;'Données projet'!$A$36,$K$205^A52,IF(A52='Données projet'!$A$36,'Données projet'!$B$36,N51+M52-V51)))</f>
        <v>552</v>
      </c>
      <c r="O52" s="14">
        <f>N52*VLOOKUP('Données projet'!$B$9,Paramètres!$A$1:$I$89,3,0)*VLOOKUP('Données projet'!$B$9,Paramètres!$A$1:$I$89,5,0)</f>
        <v>308.56799999999998</v>
      </c>
      <c r="P52" s="14">
        <f t="shared" si="33"/>
        <v>72.969691037219945</v>
      </c>
      <c r="Q52" s="22">
        <f t="shared" si="53"/>
        <v>664.5114785564914</v>
      </c>
      <c r="R52" s="62">
        <f t="shared" si="0"/>
        <v>957.84481188982477</v>
      </c>
      <c r="S52" s="62">
        <f ca="1">AVERAGE(OFFSET($R$3,0,0,'Données projet'!$E$9+1,1))-AVERAGE(OFFSET($H$3,0,0,'Données projet'!$E$9+1,1))</f>
        <v>389.80719836281679</v>
      </c>
      <c r="T52" s="62">
        <f t="shared" si="34"/>
        <v>399.58193819355591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34.765099836396239</v>
      </c>
      <c r="AA52" s="23">
        <f>EXP(-LN(2)/25)*AA51+(1-EXP(-LN(2)/25))/(LN(2)/25)*Calculateur!V52*Calculateur!X52*VLOOKUP('Données projet'!$B$9,Paramètres!$A$1:$I$89,3,0)*0.475*44/12</f>
        <v>22.97618950896446</v>
      </c>
      <c r="AB52" s="23">
        <f>EXP(-LN(2)/2)*AB51+(1-EXP(-LN(2)/2))/(LN(2)/2)*V52*Y52*VLOOKUP('Données projet'!$B$9,Paramètres!$A$1:$I$89,3,0)*0.475*44/12</f>
        <v>2.194370002778359</v>
      </c>
      <c r="AC52" s="24">
        <f t="shared" si="3"/>
        <v>59.935659348139055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15.725555555555552</v>
      </c>
      <c r="AI52" s="14">
        <f>IF('Données projet'!$A$62&gt;35,AI51+AH52-AQ51,IF(A52&lt;'Données projet'!$A$62,$AF$205^A52,IF(A52='Données projet'!$A$62,'Données projet'!$B$62,AI51+AH52-AQ51)))</f>
        <v>354.21444444444461</v>
      </c>
      <c r="AJ52" s="14">
        <f>AI52*VLOOKUP('Données projet'!$B$10,Paramètres!$A$1:$I$89,3,0)*VLOOKUP('Données projet'!$B$10,Paramètres!$A$1:$I$89,5,0)</f>
        <v>211.82023777777789</v>
      </c>
      <c r="AK52" s="14">
        <f t="shared" si="35"/>
        <v>52.333153433287507</v>
      </c>
      <c r="AL52" s="22">
        <f t="shared" si="4"/>
        <v>460.06715635927225</v>
      </c>
      <c r="AM52" s="62">
        <f t="shared" si="5"/>
        <v>753.40048969260556</v>
      </c>
      <c r="AN52" s="62">
        <f ca="1">AVERAGE(OFFSET($AM$3,0,0,'Données projet'!$E$10+1,1))-AVERAGE(OFFSET($H$3,0,0,'Données projet'!$E$10+1,1))</f>
        <v>269.90083987531233</v>
      </c>
      <c r="AO52" s="62">
        <f t="shared" si="36"/>
        <v>183.4515835513518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19.72076435137533</v>
      </c>
      <c r="AV52" s="23">
        <f>EXP(-LN(2)/25)*AV51+(1-EXP(-LN(2)/25))/(LN(2)/25)*Calculateur!AQ52*Calculateur!AS52*VLOOKUP('Données projet'!$B$10,Paramètres!$A$1:$I$89,3,0)*0.475*44/12</f>
        <v>17.348783627571922</v>
      </c>
      <c r="AW52" s="23">
        <f>EXP(-LN(2)/2)*AW51+(1-EXP(-LN(2)/2))/(LN(2)/2)*AQ52*AT52*VLOOKUP('Données projet'!$B$10,Paramètres!$A$1:$I$89,3,0)*0.475*44/12</f>
        <v>0.83259727054697219</v>
      </c>
      <c r="AX52" s="23">
        <f t="shared" si="6"/>
        <v>37.902145249494225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6.3622807017543854</v>
      </c>
      <c r="BD52" s="13">
        <f>IF('Données projet'!$A$88&gt;35,BD51+BC52-BL51,IF(A52&lt;'Données projet'!$A$88,$BA$205^A52,IF(A52='Données projet'!$A$88,'Données projet'!$B$88,BD51+BC52-BL51)))</f>
        <v>311.75175438596477</v>
      </c>
      <c r="BE52" s="14">
        <f>BD52*VLOOKUP('Données projet'!$B$11,Paramètres!$A$1:$I$89,3,0)*VLOOKUP('Données projet'!$B$11,Paramètres!$A$1:$I$89,5,0)</f>
        <v>149.95259385964906</v>
      </c>
      <c r="BF52" s="14">
        <f t="shared" si="37"/>
        <v>38.567812207167108</v>
      </c>
      <c r="BG52" s="22">
        <f t="shared" si="7"/>
        <v>328.33970723303815</v>
      </c>
      <c r="BH52" s="62">
        <f t="shared" si="8"/>
        <v>621.67304056637147</v>
      </c>
      <c r="BI52" s="62">
        <f ca="1">AVERAGE(OFFSET($BH$3,0,0,'Données projet'!$E$11+1,1))-AVERAGE(OFFSET($H$3,0,0,'Données projet'!$E$11+1,1))</f>
        <v>255.64417186544995</v>
      </c>
      <c r="BJ52" s="62">
        <f t="shared" si="38"/>
        <v>165.41802783289376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19.399999999999999</v>
      </c>
      <c r="BY52" s="13">
        <f>IF('Données projet'!$A$114&gt;35,BY51+BX52-CG51,IF(A52&lt;'Données projet'!$A$114,$BV$205^A52,IF(A52='Données projet'!$A$114,'Données projet'!$B$114,BY51+BX52-CG51)))</f>
        <v>625.59999999999991</v>
      </c>
      <c r="BZ52" s="14">
        <f>BY52*VLOOKUP('Données projet'!$B$12,Paramètres!$A$1:$I$89,3,0)*VLOOKUP('Données projet'!$B$12,Paramètres!$A$1:$I$89,5,0)</f>
        <v>349.71039999999999</v>
      </c>
      <c r="CA52" s="14">
        <f t="shared" si="39"/>
        <v>81.502876717883439</v>
      </c>
      <c r="CB52" s="22">
        <f t="shared" si="10"/>
        <v>751.02979028364689</v>
      </c>
      <c r="CC52" s="62">
        <f t="shared" si="11"/>
        <v>1044.3631236169801</v>
      </c>
      <c r="CD52" s="62">
        <f ca="1">AVERAGE(OFFSET($CC$3,0,0,'Données projet'!$E$12+1,1))-AVERAGE(OFFSET($H$3,0,0,'Données projet'!$E$12+1,1))</f>
        <v>465.49436272491818</v>
      </c>
      <c r="CE52" s="62">
        <f t="shared" si="40"/>
        <v>494.36941732405256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40.834655529750982</v>
      </c>
      <c r="CL52" s="23">
        <f>EXP(-LN(2)/25)*CL51+(1-EXP(-LN(2)/25))/(LN(2)/25)*Calculateur!CG52*Calculateur!CI52*VLOOKUP('Données projet'!$B$12,Paramètres!$A$1:$I$89,3,0)*0.475*44/12</f>
        <v>29.277050879404737</v>
      </c>
      <c r="CM52" s="23">
        <f>EXP(-LN(2)/2)*CM51+(1-EXP(-LN(2)/2))/(LN(2)/2)*CG52*CJ52*VLOOKUP('Données projet'!$B$12,Paramètres!$A$1:$I$89,3,0)*0.475*44/12</f>
        <v>2.2691831793570039</v>
      </c>
      <c r="CN52" s="24">
        <f t="shared" si="12"/>
        <v>72.380889588512716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17.857000000000006</v>
      </c>
      <c r="CT52" s="13">
        <f>IF('Données projet'!$A$140&gt;35,CT51+CS52-DB51,IF(A52&lt;'Données projet'!$A$140,$CQ$205^A52,IF(A52='Données projet'!$A$140,'Données projet'!$B$140,CT51+CS52-DB51)))</f>
        <v>426.70099999999996</v>
      </c>
      <c r="CU52" s="18">
        <f>CT52*VLOOKUP('Données projet'!$B$13,Paramètres!$A$1:$I$89,3,0)*VLOOKUP('Données projet'!$B$13,Paramètres!$A$1:$I$89,5,0)</f>
        <v>255.16719799999998</v>
      </c>
      <c r="CV52" s="14">
        <f t="shared" si="41"/>
        <v>61.691097653105281</v>
      </c>
      <c r="CW52" s="22">
        <f t="shared" si="13"/>
        <v>551.86153159582489</v>
      </c>
      <c r="CX52" s="62">
        <f t="shared" si="14"/>
        <v>845.19486492915826</v>
      </c>
      <c r="CY52" s="62">
        <f ca="1">AVERAGE(OFFSET($CX$3,0,0,'Données projet'!$E$13+1,1))-AVERAGE(OFFSET($H$3,0,0,'Données projet'!$E$13+1,1))</f>
        <v>361.46923697840384</v>
      </c>
      <c r="CZ52" s="62">
        <f t="shared" si="42"/>
        <v>302.25424592654673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37.470371116816914</v>
      </c>
      <c r="DG52" s="23">
        <f>EXP(-LN(2)/25)*DG51+(1-EXP(-LN(2)/25))/(LN(2)/25)*Calculateur!DB52*Calculateur!DD52*VLOOKUP('Données projet'!$B$13,Paramètres!$A$1:$I$89,3,0)*0.475*44/12</f>
        <v>22.360829797597592</v>
      </c>
      <c r="DH52" s="23">
        <f>EXP(-LN(2)/2)*DH51+(1-EXP(-LN(2)/2))/(LN(2)/2)*DB52*DE52*VLOOKUP('Données projet'!$B$13,Paramètres!$A$1:$I$89,3,0)*0.475*44/12</f>
        <v>5.0496512744173927</v>
      </c>
      <c r="DI52" s="24">
        <f t="shared" si="15"/>
        <v>64.880852188831909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571</v>
      </c>
      <c r="L53" s="13">
        <f>VLOOKUP(A53,'Données projet'!$A$35:$I$55,9,0)</f>
        <v>19</v>
      </c>
      <c r="M53" s="13">
        <f t="array" ref="M53">INDEX(L:L,MIN(IF(ISNUMBER(L53:L249),ROW(L53:L249),"")))</f>
        <v>19</v>
      </c>
      <c r="N53" s="14">
        <f>IF('Données projet'!$A$36&gt;35,N52+M53-V52,IF(A53&lt;'Données projet'!$A$36,$K$205^A53,IF(A53='Données projet'!$A$36,'Données projet'!$B$36,N52+M53-V52)))</f>
        <v>571</v>
      </c>
      <c r="O53" s="14">
        <f>N53*VLOOKUP('Données projet'!$B$9,Paramètres!$A$1:$I$89,3,0)*VLOOKUP('Données projet'!$B$9,Paramètres!$A$1:$I$89,5,0)</f>
        <v>319.18900000000002</v>
      </c>
      <c r="P53" s="14">
        <f t="shared" si="33"/>
        <v>75.184584427263374</v>
      </c>
      <c r="Q53" s="22">
        <f t="shared" si="53"/>
        <v>686.86732621081694</v>
      </c>
      <c r="R53" s="62">
        <f t="shared" si="0"/>
        <v>980.20065954415031</v>
      </c>
      <c r="S53" s="62">
        <f ca="1">AVERAGE(OFFSET($R$3,0,0,'Données projet'!$E$9+1,1))-AVERAGE(OFFSET($H$3,0,0,'Données projet'!$E$9+1,1))</f>
        <v>389.80719836281679</v>
      </c>
      <c r="T53" s="62">
        <f t="shared" si="34"/>
        <v>399.58193819355591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49</v>
      </c>
      <c r="W53" s="17">
        <f>IF(ISNA(VLOOKUP(A53,'Données projet'!$A$35:$I$55,5,0)),0%,VLOOKUP(A53,'Données projet'!$A$35:$I$55,5,0)*VLOOKUP('Données projet'!$B$9,Paramètres!$A$1:$I$89,7,0))</f>
        <v>0.27500000000000002</v>
      </c>
      <c r="X53" s="17">
        <f>IF(ISNA(VLOOKUP(A53,'Données projet'!$A$35:$I$55,6,0)),0%,VLOOKUP(A53,'Données projet'!$A$35:$I$55,6,0)*VLOOKUP('Données projet'!$B$9,Paramètres!$A$1:$I$89,7,0))</f>
        <v>0.15400000000000003</v>
      </c>
      <c r="Y53" s="17">
        <f>IF(ISNA(VLOOKUP(A53,'Données projet'!$A$35:$I$55,7,0)),0%,VLOOKUP(A53,'Données projet'!$A$35:$I$55,7,0))</f>
        <v>0.22</v>
      </c>
      <c r="Z53" s="23">
        <f>EXP(-LN(2)/35)*Z52+(1-EXP(-LN(2)/35))/(LN(2)/35)*V53*W53*VLOOKUP('Données projet'!$B$9,Paramètres!$A$1:$I$89,3,0)*0.475*44/12</f>
        <v>44.075757357931352</v>
      </c>
      <c r="AA53" s="23">
        <f>EXP(-LN(2)/25)*AA52+(1-EXP(-LN(2)/25))/(LN(2)/25)*Calculateur!V53*Calculateur!X53*VLOOKUP('Données projet'!$B$9,Paramètres!$A$1:$I$89,3,0)*0.475*44/12</f>
        <v>27.921604624405035</v>
      </c>
      <c r="AB53" s="23">
        <f>EXP(-LN(2)/2)*AB52+(1-EXP(-LN(2)/2))/(LN(2)/2)*V53*Y53*VLOOKUP('Données projet'!$B$9,Paramètres!$A$1:$I$89,3,0)*0.475*44/12</f>
        <v>8.3745083789373549</v>
      </c>
      <c r="AC53" s="24">
        <f t="shared" si="3"/>
        <v>80.371870361273736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369.94</v>
      </c>
      <c r="AG53" s="13">
        <f>VLOOKUP(A53,'Données projet'!$A$61:$I$81,9,0)</f>
        <v>15.725555555555552</v>
      </c>
      <c r="AH53" s="13">
        <f t="array" ref="AH53">INDEX(AG:AG,MIN(IF(ISNUMBER(AG53:AG249),ROW(AG53:AG249),"")))</f>
        <v>15.725555555555552</v>
      </c>
      <c r="AI53" s="14">
        <f>IF('Données projet'!$A$62&gt;35,AI52+AH53-AQ52,IF(A53&lt;'Données projet'!$A$62,$AF$205^A53,IF(A53='Données projet'!$A$62,'Données projet'!$B$62,AI52+AH53-AQ52)))</f>
        <v>369.94000000000017</v>
      </c>
      <c r="AJ53" s="14">
        <f>AI53*VLOOKUP('Données projet'!$B$10,Paramètres!$A$1:$I$89,3,0)*VLOOKUP('Données projet'!$B$10,Paramètres!$A$1:$I$89,5,0)</f>
        <v>221.22412000000014</v>
      </c>
      <c r="AK53" s="14">
        <f t="shared" si="35"/>
        <v>54.380856173847832</v>
      </c>
      <c r="AL53" s="22">
        <f t="shared" si="4"/>
        <v>480.01200016945177</v>
      </c>
      <c r="AM53" s="62">
        <f t="shared" si="5"/>
        <v>773.34533350278502</v>
      </c>
      <c r="AN53" s="62">
        <f ca="1">AVERAGE(OFFSET($AM$3,0,0,'Données projet'!$E$10+1,1))-AVERAGE(OFFSET($H$3,0,0,'Données projet'!$E$10+1,1))</f>
        <v>269.90083987531233</v>
      </c>
      <c r="AO53" s="62">
        <f t="shared" si="36"/>
        <v>183.4515835513518</v>
      </c>
      <c r="AP53" s="16">
        <f>IF(ISNA(VLOOKUP(A53,'Données projet'!$A$61:$I$81,3,0)),0,VLOOKUP(A53,'Données projet'!$A$61:$I$81,3,0))</f>
        <v>5</v>
      </c>
      <c r="AQ53" s="16">
        <f>IF(ISNA(VLOOKUP(A53,'Données projet'!$A$61:$I$81,4,0)),0,VLOOKUP(A53,'Données projet'!$A$61:$I$81,4,0))</f>
        <v>70.2</v>
      </c>
      <c r="AR53" s="17">
        <f>IF(ISNA(VLOOKUP(A53,'Données projet'!$A$61:$I$81,5,0)),0%,VLOOKUP(A53,'Données projet'!$A$61:$I$81,5,0)*VLOOKUP('Données projet'!$B$10,Paramètres!$A$1:$I$89,7,0))</f>
        <v>0.22500000000000001</v>
      </c>
      <c r="AS53" s="17">
        <f>IF(ISNA(VLOOKUP(A53,'Données projet'!$A$61:$I$81,6,0)),0%,VLOOKUP(A53,'Données projet'!$A$61:$I$81,6,0)*VLOOKUP('Données projet'!$B$10,Paramètres!$A$1:$I$89,7,0))</f>
        <v>0.12600000000000003</v>
      </c>
      <c r="AT53" s="17">
        <f>IF(ISNA(VLOOKUP(A53,'Données projet'!$A$61:$I$81,7,0)),0%,VLOOKUP(A53,'Données projet'!$A$61:$I$81,7,0))</f>
        <v>0.22</v>
      </c>
      <c r="AU53" s="23">
        <f>EXP(-LN(2)/35)*AU52+(1-EXP(-LN(2)/35))/(LN(2)/35)*AQ53*AR53*VLOOKUP('Données projet'!$B$10,Paramètres!$A$1:$I$89,3,0)*0.475*44/12</f>
        <v>31.863997363976587</v>
      </c>
      <c r="AV53" s="23">
        <f>EXP(-LN(2)/25)*AV52+(1-EXP(-LN(2)/25))/(LN(2)/25)*Calculateur!AQ53*Calculateur!AS53*VLOOKUP('Données projet'!$B$10,Paramètres!$A$1:$I$89,3,0)*0.475*44/12</f>
        <v>23.863521829532232</v>
      </c>
      <c r="AW53" s="23">
        <f>EXP(-LN(2)/2)*AW52+(1-EXP(-LN(2)/2))/(LN(2)/2)*AQ53*AT53*VLOOKUP('Données projet'!$B$10,Paramètres!$A$1:$I$89,3,0)*0.475*44/12</f>
        <v>11.04548014659442</v>
      </c>
      <c r="AX53" s="23">
        <f t="shared" si="6"/>
        <v>66.77299934010324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6.3622807017543854</v>
      </c>
      <c r="BD53" s="13">
        <f>IF('Données projet'!$A$88&gt;35,BD52+BC53-BL52,IF(A53&lt;'Données projet'!$A$88,$BA$205^A53,IF(A53='Données projet'!$A$88,'Données projet'!$B$88,BD52+BC53-BL52)))</f>
        <v>318.11403508771917</v>
      </c>
      <c r="BE53" s="14">
        <f>BD53*VLOOKUP('Données projet'!$B$11,Paramètres!$A$1:$I$89,3,0)*VLOOKUP('Données projet'!$B$11,Paramètres!$A$1:$I$89,5,0)</f>
        <v>153.01285087719293</v>
      </c>
      <c r="BF53" s="14">
        <f t="shared" si="37"/>
        <v>39.262472330806297</v>
      </c>
      <c r="BG53" s="22">
        <f t="shared" si="7"/>
        <v>334.87952125393201</v>
      </c>
      <c r="BH53" s="62">
        <f t="shared" si="8"/>
        <v>628.21285458726538</v>
      </c>
      <c r="BI53" s="62">
        <f ca="1">AVERAGE(OFFSET($BH$3,0,0,'Données projet'!$E$11+1,1))-AVERAGE(OFFSET($H$3,0,0,'Données projet'!$E$11+1,1))</f>
        <v>255.64417186544995</v>
      </c>
      <c r="BJ53" s="62">
        <f t="shared" si="38"/>
        <v>165.41802783289376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645</v>
      </c>
      <c r="BW53" s="13">
        <f>VLOOKUP(A53,'Données projet'!$A$113:$I$133,9,0)</f>
        <v>19.399999999999999</v>
      </c>
      <c r="BX53" s="13">
        <f t="array" ref="BX53">INDEX(BW:BW,MIN(IF(ISNUMBER(BW53:BW249),ROW(BW53:BW249),"")))</f>
        <v>19.399999999999999</v>
      </c>
      <c r="BY53" s="13">
        <f>IF('Données projet'!$A$114&gt;35,BY52+BX53-CG52,IF(A53&lt;'Données projet'!$A$114,$BV$205^A53,IF(A53='Données projet'!$A$114,'Données projet'!$B$114,BY52+BX53-CG52)))</f>
        <v>644.99999999999989</v>
      </c>
      <c r="BZ53" s="14">
        <f>BY53*VLOOKUP('Données projet'!$B$12,Paramètres!$A$1:$I$89,3,0)*VLOOKUP('Données projet'!$B$12,Paramètres!$A$1:$I$89,5,0)</f>
        <v>360.55499999999995</v>
      </c>
      <c r="CA53" s="14">
        <f t="shared" si="39"/>
        <v>83.732122890172221</v>
      </c>
      <c r="CB53" s="22">
        <f t="shared" si="10"/>
        <v>773.80007236704989</v>
      </c>
      <c r="CC53" s="62">
        <f t="shared" si="11"/>
        <v>1067.1334057003833</v>
      </c>
      <c r="CD53" s="62">
        <f ca="1">AVERAGE(OFFSET($CC$3,0,0,'Données projet'!$E$12+1,1))-AVERAGE(OFFSET($H$3,0,0,'Données projet'!$E$12+1,1))</f>
        <v>465.49436272491818</v>
      </c>
      <c r="CE53" s="62">
        <f t="shared" si="40"/>
        <v>494.36941732405256</v>
      </c>
      <c r="CF53" s="16">
        <f>IF(ISNA(VLOOKUP(A53,'Données projet'!$A$113:$I$133,3,0)),0,VLOOKUP(A53,'Données projet'!$A$113:$I$133,3,0))</f>
        <v>8</v>
      </c>
      <c r="CG53" s="16">
        <f>IF(ISNA(VLOOKUP(A53,'Données projet'!$A$113:$I$133,4,0)),0,VLOOKUP(A53,'Données projet'!$A$113:$I$133,4,0))</f>
        <v>51</v>
      </c>
      <c r="CH53" s="17">
        <f>IF(ISNA(VLOOKUP(A53,'Données projet'!$A$113:$I$133,5,0)),0%,VLOOKUP(A53,'Données projet'!$A$113:$I$133,5,0)*VLOOKUP('Données projet'!$B$12,Paramètres!$A$1:$I$89,7,0))</f>
        <v>0.27500000000000002</v>
      </c>
      <c r="CI53" s="17">
        <f>IF(ISNA(VLOOKUP(A53,'Données projet'!$A$113:$I$133,6,0)),0%,VLOOKUP(A53,'Données projet'!$A$113:$I$133,6,0)*VLOOKUP('Données projet'!$B$12,Paramètres!$A$1:$I$89,7,0))</f>
        <v>0.15400000000000003</v>
      </c>
      <c r="CJ53" s="17">
        <f>IF(ISNA(VLOOKUP(A53,'Données projet'!$A$113:$I$133,7,0)),0%,VLOOKUP(A53,'Données projet'!$A$113:$I$133,7,0))</f>
        <v>0.22</v>
      </c>
      <c r="CK53" s="23">
        <f>EXP(-LN(2)/35)*CK52+(1-EXP(-LN(2)/35))/(LN(2)/35)*CG53*CH53*VLOOKUP('Données projet'!$B$12,Paramètres!$A$1:$I$89,3,0)*0.475*44/12</f>
        <v>50.434145008027713</v>
      </c>
      <c r="CL53" s="23">
        <f>EXP(-LN(2)/25)*CL52+(1-EXP(-LN(2)/25))/(LN(2)/25)*Calculateur!CG53*Calculateur!CI53*VLOOKUP('Données projet'!$B$12,Paramètres!$A$1:$I$89,3,0)*0.475*44/12</f>
        <v>34.277666577723885</v>
      </c>
      <c r="CM53" s="23">
        <f>EXP(-LN(2)/2)*CM52+(1-EXP(-LN(2)/2))/(LN(2)/2)*CG53*CJ53*VLOOKUP('Données projet'!$B$12,Paramètres!$A$1:$I$89,3,0)*0.475*44/12</f>
        <v>8.7058931393178298</v>
      </c>
      <c r="CN53" s="24">
        <f t="shared" si="12"/>
        <v>93.417704725069427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17.857000000000006</v>
      </c>
      <c r="CT53" s="13">
        <f>IF('Données projet'!$A$140&gt;35,CT52+CS53-DB52,IF(A53&lt;'Données projet'!$A$140,$CQ$205^A53,IF(A53='Données projet'!$A$140,'Données projet'!$B$140,CT52+CS53-DB52)))</f>
        <v>444.55799999999999</v>
      </c>
      <c r="CU53" s="18">
        <f>CT53*VLOOKUP('Données projet'!$B$13,Paramètres!$A$1:$I$89,3,0)*VLOOKUP('Données projet'!$B$13,Paramètres!$A$1:$I$89,5,0)</f>
        <v>265.84568400000001</v>
      </c>
      <c r="CV53" s="14">
        <f t="shared" si="41"/>
        <v>63.96682452128006</v>
      </c>
      <c r="CW53" s="22">
        <f t="shared" si="13"/>
        <v>574.42345234122934</v>
      </c>
      <c r="CX53" s="62">
        <f t="shared" si="14"/>
        <v>867.75678567456271</v>
      </c>
      <c r="CY53" s="62">
        <f ca="1">AVERAGE(OFFSET($CX$3,0,0,'Données projet'!$E$13+1,1))-AVERAGE(OFFSET($H$3,0,0,'Données projet'!$E$13+1,1))</f>
        <v>361.46923697840384</v>
      </c>
      <c r="CZ53" s="62">
        <f t="shared" si="42"/>
        <v>302.25424592654673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36.735599993885806</v>
      </c>
      <c r="DG53" s="23">
        <f>EXP(-LN(2)/25)*DG52+(1-EXP(-LN(2)/25))/(LN(2)/25)*Calculateur!DB53*Calculateur!DD53*VLOOKUP('Données projet'!$B$13,Paramètres!$A$1:$I$89,3,0)*0.475*44/12</f>
        <v>21.749371730877353</v>
      </c>
      <c r="DH53" s="23">
        <f>EXP(-LN(2)/2)*DH52+(1-EXP(-LN(2)/2))/(LN(2)/2)*DB53*DE53*VLOOKUP('Données projet'!$B$13,Paramètres!$A$1:$I$89,3,0)*0.475*44/12</f>
        <v>3.5706426587678304</v>
      </c>
      <c r="DI53" s="24">
        <f t="shared" si="15"/>
        <v>62.055614383530987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18.399999999999999</v>
      </c>
      <c r="N54" s="14">
        <f>IF('Données projet'!$A$36&gt;35,N53+M54-V53,IF(A54&lt;'Données projet'!$A$36,$K$205^A54,IF(A54='Données projet'!$A$36,'Données projet'!$B$36,N53+M54-V53)))</f>
        <v>540.4</v>
      </c>
      <c r="O54" s="14">
        <f>N54*VLOOKUP('Données projet'!$B$9,Paramètres!$A$1:$I$89,3,0)*VLOOKUP('Données projet'!$B$9,Paramètres!$A$1:$I$89,5,0)</f>
        <v>302.08359999999999</v>
      </c>
      <c r="P54" s="14">
        <f t="shared" si="33"/>
        <v>71.61308995867725</v>
      </c>
      <c r="Q54" s="22">
        <f t="shared" si="53"/>
        <v>650.85506834469618</v>
      </c>
      <c r="R54" s="62">
        <f t="shared" si="0"/>
        <v>944.18840167802955</v>
      </c>
      <c r="S54" s="62">
        <f ca="1">AVERAGE(OFFSET($R$3,0,0,'Données projet'!$E$9+1,1))-AVERAGE(OFFSET($H$3,0,0,'Données projet'!$E$9+1,1))</f>
        <v>389.80719836281679</v>
      </c>
      <c r="T54" s="62">
        <f t="shared" si="34"/>
        <v>399.58193819355591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43.211458639699778</v>
      </c>
      <c r="AA54" s="23">
        <f>EXP(-LN(2)/25)*AA53+(1-EXP(-LN(2)/25))/(LN(2)/25)*Calculateur!V54*Calculateur!X54*VLOOKUP('Données projet'!$B$9,Paramètres!$A$1:$I$89,3,0)*0.475*44/12</f>
        <v>27.158086877617308</v>
      </c>
      <c r="AB54" s="23">
        <f>EXP(-LN(2)/2)*AB53+(1-EXP(-LN(2)/2))/(LN(2)/2)*V54*Y54*VLOOKUP('Données projet'!$B$9,Paramètres!$A$1:$I$89,3,0)*0.475*44/12</f>
        <v>5.9216716638501659</v>
      </c>
      <c r="AC54" s="24">
        <f t="shared" si="3"/>
        <v>76.291217181167241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14.12</v>
      </c>
      <c r="AI54" s="14">
        <f>IF('Données projet'!$A$62&gt;35,AI53+AH54-AQ53,IF(A54&lt;'Données projet'!$A$62,$AF$205^A54,IF(A54='Données projet'!$A$62,'Données projet'!$B$62,AI53+AH54-AQ53)))</f>
        <v>313.86000000000018</v>
      </c>
      <c r="AJ54" s="14">
        <f>AI54*VLOOKUP('Données projet'!$B$10,Paramètres!$A$1:$I$89,3,0)*VLOOKUP('Données projet'!$B$10,Paramètres!$A$1:$I$89,5,0)</f>
        <v>187.68828000000013</v>
      </c>
      <c r="AK54" s="14">
        <f t="shared" si="35"/>
        <v>47.028500822168901</v>
      </c>
      <c r="AL54" s="22">
        <f t="shared" si="4"/>
        <v>408.79839326527775</v>
      </c>
      <c r="AM54" s="62">
        <f t="shared" si="5"/>
        <v>702.13172659861107</v>
      </c>
      <c r="AN54" s="62">
        <f ca="1">AVERAGE(OFFSET($AM$3,0,0,'Données projet'!$E$10+1,1))-AVERAGE(OFFSET($H$3,0,0,'Données projet'!$E$10+1,1))</f>
        <v>269.90083987531233</v>
      </c>
      <c r="AO54" s="62">
        <f t="shared" si="36"/>
        <v>183.4515835513518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31.239163810788341</v>
      </c>
      <c r="AV54" s="23">
        <f>EXP(-LN(2)/25)*AV53+(1-EXP(-LN(2)/25))/(LN(2)/25)*Calculateur!AQ54*Calculateur!AS54*VLOOKUP('Données projet'!$B$10,Paramètres!$A$1:$I$89,3,0)*0.475*44/12</f>
        <v>23.210972570175599</v>
      </c>
      <c r="AW54" s="23">
        <f>EXP(-LN(2)/2)*AW53+(1-EXP(-LN(2)/2))/(LN(2)/2)*AQ54*AT54*VLOOKUP('Données projet'!$B$10,Paramètres!$A$1:$I$89,3,0)*0.475*44/12</f>
        <v>7.8103339131182956</v>
      </c>
      <c r="AX54" s="23">
        <f t="shared" si="6"/>
        <v>62.260470294082239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6.3622807017543854</v>
      </c>
      <c r="BD54" s="13">
        <f>IF('Données projet'!$A$88&gt;35,BD53+BC54-BL53,IF(A54&lt;'Données projet'!$A$88,$BA$205^A54,IF(A54='Données projet'!$A$88,'Données projet'!$B$88,BD53+BC54-BL53)))</f>
        <v>324.47631578947357</v>
      </c>
      <c r="BE54" s="14">
        <f>BD54*VLOOKUP('Données projet'!$B$11,Paramètres!$A$1:$I$89,3,0)*VLOOKUP('Données projet'!$B$11,Paramètres!$A$1:$I$89,5,0)</f>
        <v>156.07310789473678</v>
      </c>
      <c r="BF54" s="14">
        <f t="shared" si="37"/>
        <v>39.955517052762524</v>
      </c>
      <c r="BG54" s="22">
        <f t="shared" si="7"/>
        <v>341.41652178356122</v>
      </c>
      <c r="BH54" s="62">
        <f t="shared" si="8"/>
        <v>634.74985511689454</v>
      </c>
      <c r="BI54" s="62">
        <f ca="1">AVERAGE(OFFSET($BH$3,0,0,'Données projet'!$E$11+1,1))-AVERAGE(OFFSET($H$3,0,0,'Données projet'!$E$11+1,1))</f>
        <v>255.64417186544995</v>
      </c>
      <c r="BJ54" s="62">
        <f t="shared" si="38"/>
        <v>165.41802783289376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18</v>
      </c>
      <c r="BY54" s="13">
        <f>IF('Données projet'!$A$114&gt;35,BY53+BX54-CG53,IF(A54&lt;'Données projet'!$A$114,$BV$205^A54,IF(A54='Données projet'!$A$114,'Données projet'!$B$114,BY53+BX54-CG53)))</f>
        <v>611.99999999999989</v>
      </c>
      <c r="BZ54" s="14">
        <f>BY54*VLOOKUP('Données projet'!$B$12,Paramètres!$A$1:$I$89,3,0)*VLOOKUP('Données projet'!$B$12,Paramètres!$A$1:$I$89,5,0)</f>
        <v>342.10799999999995</v>
      </c>
      <c r="CA54" s="14">
        <f t="shared" si="39"/>
        <v>79.935315774430151</v>
      </c>
      <c r="CB54" s="22">
        <f t="shared" si="10"/>
        <v>735.0587749737989</v>
      </c>
      <c r="CC54" s="62">
        <f t="shared" si="11"/>
        <v>1028.3921083071323</v>
      </c>
      <c r="CD54" s="62">
        <f ca="1">AVERAGE(OFFSET($CC$3,0,0,'Données projet'!$E$12+1,1))-AVERAGE(OFFSET($H$3,0,0,'Données projet'!$E$12+1,1))</f>
        <v>465.49436272491818</v>
      </c>
      <c r="CE54" s="62">
        <f t="shared" si="40"/>
        <v>494.36941732405256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49.44516218621127</v>
      </c>
      <c r="CL54" s="23">
        <f>EXP(-LN(2)/25)*CL53+(1-EXP(-LN(2)/25))/(LN(2)/25)*Calculateur!CG54*Calculateur!CI54*VLOOKUP('Données projet'!$B$12,Paramètres!$A$1:$I$89,3,0)*0.475*44/12</f>
        <v>33.340341982571886</v>
      </c>
      <c r="CM54" s="23">
        <f>EXP(-LN(2)/2)*CM53+(1-EXP(-LN(2)/2))/(LN(2)/2)*CG54*CJ54*VLOOKUP('Données projet'!$B$12,Paramètres!$A$1:$I$89,3,0)*0.475*44/12</f>
        <v>6.1559960750970788</v>
      </c>
      <c r="CN54" s="24">
        <f t="shared" si="12"/>
        <v>88.941500243880228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17.857000000000006</v>
      </c>
      <c r="CT54" s="13">
        <f>IF('Données projet'!$A$140&gt;35,CT53+CS54-DB53,IF(A54&lt;'Données projet'!$A$140,$CQ$205^A54,IF(A54='Données projet'!$A$140,'Données projet'!$B$140,CT53+CS54-DB53)))</f>
        <v>462.41500000000002</v>
      </c>
      <c r="CU54" s="18">
        <f>CT54*VLOOKUP('Données projet'!$B$13,Paramètres!$A$1:$I$89,3,0)*VLOOKUP('Données projet'!$B$13,Paramètres!$A$1:$I$89,5,0)</f>
        <v>276.52417000000003</v>
      </c>
      <c r="CV54" s="14">
        <f t="shared" si="41"/>
        <v>66.231932926439853</v>
      </c>
      <c r="CW54" s="22">
        <f t="shared" si="13"/>
        <v>596.96687926354946</v>
      </c>
      <c r="CX54" s="62">
        <f t="shared" si="14"/>
        <v>890.30021259688283</v>
      </c>
      <c r="CY54" s="62">
        <f ca="1">AVERAGE(OFFSET($CX$3,0,0,'Données projet'!$E$13+1,1))-AVERAGE(OFFSET($H$3,0,0,'Données projet'!$E$13+1,1))</f>
        <v>361.46923697840384</v>
      </c>
      <c r="CZ54" s="62">
        <f t="shared" si="42"/>
        <v>302.25424592654673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36.01523728450924</v>
      </c>
      <c r="DG54" s="23">
        <f>EXP(-LN(2)/25)*DG53+(1-EXP(-LN(2)/25))/(LN(2)/25)*Calculateur!DB54*Calculateur!DD54*VLOOKUP('Données projet'!$B$13,Paramètres!$A$1:$I$89,3,0)*0.475*44/12</f>
        <v>21.154634017146762</v>
      </c>
      <c r="DH54" s="23">
        <f>EXP(-LN(2)/2)*DH53+(1-EXP(-LN(2)/2))/(LN(2)/2)*DB54*DE54*VLOOKUP('Données projet'!$B$13,Paramètres!$A$1:$I$89,3,0)*0.475*44/12</f>
        <v>2.5248256372086968</v>
      </c>
      <c r="DI54" s="24">
        <f t="shared" si="15"/>
        <v>59.694696938864702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18.399999999999999</v>
      </c>
      <c r="N55" s="14">
        <f>IF('Données projet'!$A$36&gt;35,N54+M55-V54,IF(A55&lt;'Données projet'!$A$36,$K$205^A55,IF(A55='Données projet'!$A$36,'Données projet'!$B$36,N54+M55-V54)))</f>
        <v>558.79999999999995</v>
      </c>
      <c r="O55" s="14">
        <f>N55*VLOOKUP('Données projet'!$B$9,Paramètres!$A$1:$I$89,3,0)*VLOOKUP('Données projet'!$B$9,Paramètres!$A$1:$I$89,5,0)</f>
        <v>312.36919999999998</v>
      </c>
      <c r="P55" s="14">
        <f t="shared" si="33"/>
        <v>73.763393973236617</v>
      </c>
      <c r="Q55" s="22">
        <f t="shared" si="53"/>
        <v>672.51426783672036</v>
      </c>
      <c r="R55" s="62">
        <f t="shared" si="0"/>
        <v>965.84760117005362</v>
      </c>
      <c r="S55" s="62">
        <f ca="1">AVERAGE(OFFSET($R$3,0,0,'Données projet'!$E$9+1,1))-AVERAGE(OFFSET($H$3,0,0,'Données projet'!$E$9+1,1))</f>
        <v>389.80719836281679</v>
      </c>
      <c r="T55" s="62">
        <f t="shared" si="34"/>
        <v>399.58193819355591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42.364108292162555</v>
      </c>
      <c r="AA55" s="23">
        <f>EXP(-LN(2)/25)*AA54+(1-EXP(-LN(2)/25))/(LN(2)/25)*Calculateur!V55*Calculateur!X55*VLOOKUP('Données projet'!$B$9,Paramètres!$A$1:$I$89,3,0)*0.475*44/12</f>
        <v>26.415447563767145</v>
      </c>
      <c r="AB55" s="23">
        <f>EXP(-LN(2)/2)*AB54+(1-EXP(-LN(2)/2))/(LN(2)/2)*V55*Y55*VLOOKUP('Données projet'!$B$9,Paramètres!$A$1:$I$89,3,0)*0.475*44/12</f>
        <v>4.1872541894686783</v>
      </c>
      <c r="AC55" s="24">
        <f t="shared" si="3"/>
        <v>72.966810045398375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14.12</v>
      </c>
      <c r="AI55" s="14">
        <f>IF('Données projet'!$A$62&gt;35,AI54+AH55-AQ54,IF(A55&lt;'Données projet'!$A$62,$AF$205^A55,IF(A55='Données projet'!$A$62,'Données projet'!$B$62,AI54+AH55-AQ54)))</f>
        <v>327.98000000000019</v>
      </c>
      <c r="AJ55" s="14">
        <f>AI55*VLOOKUP('Données projet'!$B$10,Paramètres!$A$1:$I$89,3,0)*VLOOKUP('Données projet'!$B$10,Paramètres!$A$1:$I$89,5,0)</f>
        <v>196.13204000000013</v>
      </c>
      <c r="AK55" s="14">
        <f t="shared" si="35"/>
        <v>48.893143423385645</v>
      </c>
      <c r="AL55" s="22">
        <f t="shared" si="4"/>
        <v>426.75219446239686</v>
      </c>
      <c r="AM55" s="62">
        <f t="shared" si="5"/>
        <v>720.08552779573017</v>
      </c>
      <c r="AN55" s="62">
        <f ca="1">AVERAGE(OFFSET($AM$3,0,0,'Données projet'!$E$10+1,1))-AVERAGE(OFFSET($H$3,0,0,'Données projet'!$E$10+1,1))</f>
        <v>269.90083987531233</v>
      </c>
      <c r="AO55" s="62">
        <f t="shared" si="36"/>
        <v>183.4515835513518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30.626582862467281</v>
      </c>
      <c r="AV55" s="23">
        <f>EXP(-LN(2)/25)*AV54+(1-EXP(-LN(2)/25))/(LN(2)/25)*Calculateur!AQ55*Calculateur!AS55*VLOOKUP('Données projet'!$B$10,Paramètres!$A$1:$I$89,3,0)*0.475*44/12</f>
        <v>22.57626730463215</v>
      </c>
      <c r="AW55" s="23">
        <f>EXP(-LN(2)/2)*AW54+(1-EXP(-LN(2)/2))/(LN(2)/2)*AQ55*AT55*VLOOKUP('Données projet'!$B$10,Paramètres!$A$1:$I$89,3,0)*0.475*44/12</f>
        <v>5.5227400732972107</v>
      </c>
      <c r="AX55" s="23">
        <f t="shared" si="6"/>
        <v>58.725590240396642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6.3622807017543854</v>
      </c>
      <c r="BD55" s="13">
        <f>IF('Données projet'!$A$88&gt;35,BD54+BC55-BL54,IF(A55&lt;'Données projet'!$A$88,$BA$205^A55,IF(A55='Données projet'!$A$88,'Données projet'!$B$88,BD54+BC55-BL54)))</f>
        <v>330.83859649122797</v>
      </c>
      <c r="BE55" s="14">
        <f>BD55*VLOOKUP('Données projet'!$B$11,Paramètres!$A$1:$I$89,3,0)*VLOOKUP('Données projet'!$B$11,Paramètres!$A$1:$I$89,5,0)</f>
        <v>159.13336491228065</v>
      </c>
      <c r="BF55" s="14">
        <f t="shared" si="37"/>
        <v>40.64698169874017</v>
      </c>
      <c r="BG55" s="22">
        <f t="shared" si="7"/>
        <v>347.95077034752791</v>
      </c>
      <c r="BH55" s="62">
        <f t="shared" si="8"/>
        <v>641.28410368086122</v>
      </c>
      <c r="BI55" s="62">
        <f ca="1">AVERAGE(OFFSET($BH$3,0,0,'Données projet'!$E$11+1,1))-AVERAGE(OFFSET($H$3,0,0,'Données projet'!$E$11+1,1))</f>
        <v>255.64417186544995</v>
      </c>
      <c r="BJ55" s="62">
        <f t="shared" si="38"/>
        <v>165.41802783289376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18</v>
      </c>
      <c r="BY55" s="13">
        <f>IF('Données projet'!$A$114&gt;35,BY54+BX55-CG54,IF(A55&lt;'Données projet'!$A$114,$BV$205^A55,IF(A55='Données projet'!$A$114,'Données projet'!$B$114,BY54+BX55-CG54)))</f>
        <v>629.99999999999989</v>
      </c>
      <c r="BZ55" s="14">
        <f>BY55*VLOOKUP('Données projet'!$B$12,Paramètres!$A$1:$I$89,3,0)*VLOOKUP('Données projet'!$B$12,Paramètres!$A$1:$I$89,5,0)</f>
        <v>352.1699999999999</v>
      </c>
      <c r="CA55" s="14">
        <f t="shared" si="39"/>
        <v>82.009175912878291</v>
      </c>
      <c r="CB55" s="22">
        <f t="shared" si="10"/>
        <v>756.19539804826275</v>
      </c>
      <c r="CC55" s="62">
        <f t="shared" si="11"/>
        <v>1049.5287313815961</v>
      </c>
      <c r="CD55" s="62">
        <f ca="1">AVERAGE(OFFSET($CC$3,0,0,'Données projet'!$E$12+1,1))-AVERAGE(OFFSET($H$3,0,0,'Données projet'!$E$12+1,1))</f>
        <v>465.49436272491818</v>
      </c>
      <c r="CE55" s="62">
        <f t="shared" si="40"/>
        <v>494.36941732405256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48.475572714310687</v>
      </c>
      <c r="CL55" s="23">
        <f>EXP(-LN(2)/25)*CL54+(1-EXP(-LN(2)/25))/(LN(2)/25)*Calculateur!CG55*Calculateur!CI55*VLOOKUP('Données projet'!$B$12,Paramètres!$A$1:$I$89,3,0)*0.475*44/12</f>
        <v>32.428648577766076</v>
      </c>
      <c r="CM55" s="23">
        <f>EXP(-LN(2)/2)*CM54+(1-EXP(-LN(2)/2))/(LN(2)/2)*CG55*CJ55*VLOOKUP('Données projet'!$B$12,Paramètres!$A$1:$I$89,3,0)*0.475*44/12</f>
        <v>4.3529465696589158</v>
      </c>
      <c r="CN55" s="24">
        <f t="shared" si="12"/>
        <v>85.257167861735667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17.857000000000006</v>
      </c>
      <c r="CT55" s="13">
        <f>IF('Données projet'!$A$140&gt;35,CT54+CS55-DB54,IF(A55&lt;'Données projet'!$A$140,$CQ$205^A55,IF(A55='Données projet'!$A$140,'Données projet'!$B$140,CT54+CS55-DB54)))</f>
        <v>480.27200000000005</v>
      </c>
      <c r="CU55" s="18">
        <f>CT55*VLOOKUP('Données projet'!$B$13,Paramètres!$A$1:$I$89,3,0)*VLOOKUP('Données projet'!$B$13,Paramètres!$A$1:$I$89,5,0)</f>
        <v>287.20265600000005</v>
      </c>
      <c r="CV55" s="14">
        <f t="shared" si="41"/>
        <v>68.486879853887146</v>
      </c>
      <c r="CW55" s="22">
        <f t="shared" si="13"/>
        <v>619.49260827885348</v>
      </c>
      <c r="CX55" s="62">
        <f t="shared" si="14"/>
        <v>912.82594161218685</v>
      </c>
      <c r="CY55" s="62">
        <f ca="1">AVERAGE(OFFSET($CX$3,0,0,'Données projet'!$E$13+1,1))-AVERAGE(OFFSET($H$3,0,0,'Données projet'!$E$13+1,1))</f>
        <v>361.46923697840384</v>
      </c>
      <c r="CZ55" s="62">
        <f t="shared" si="42"/>
        <v>302.25424592654673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35.309000448485683</v>
      </c>
      <c r="DG55" s="23">
        <f>EXP(-LN(2)/25)*DG54+(1-EXP(-LN(2)/25))/(LN(2)/25)*Calculateur!DB55*Calculateur!DD55*VLOOKUP('Données projet'!$B$13,Paramètres!$A$1:$I$89,3,0)*0.475*44/12</f>
        <v>20.576159437474029</v>
      </c>
      <c r="DH55" s="23">
        <f>EXP(-LN(2)/2)*DH54+(1-EXP(-LN(2)/2))/(LN(2)/2)*DB55*DE55*VLOOKUP('Données projet'!$B$13,Paramètres!$A$1:$I$89,3,0)*0.475*44/12</f>
        <v>1.7853213293839154</v>
      </c>
      <c r="DI55" s="24">
        <f t="shared" si="15"/>
        <v>57.670481215343628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18.399999999999999</v>
      </c>
      <c r="N56" s="14">
        <f>IF('Données projet'!$A$36&gt;35,N55+M56-V55,IF(A56&lt;'Données projet'!$A$36,$K$205^A56,IF(A56='Données projet'!$A$36,'Données projet'!$B$36,N55+M56-V55)))</f>
        <v>577.19999999999993</v>
      </c>
      <c r="O56" s="14">
        <f>N56*VLOOKUP('Données projet'!$B$9,Paramètres!$A$1:$I$89,3,0)*VLOOKUP('Données projet'!$B$9,Paramètres!$A$1:$I$89,5,0)</f>
        <v>322.65479999999997</v>
      </c>
      <c r="P56" s="14">
        <f t="shared" si="33"/>
        <v>75.905470539220715</v>
      </c>
      <c r="Q56" s="22">
        <f t="shared" si="53"/>
        <v>694.15913785580926</v>
      </c>
      <c r="R56" s="62">
        <f t="shared" si="0"/>
        <v>987.49247118914263</v>
      </c>
      <c r="S56" s="62">
        <f ca="1">AVERAGE(OFFSET($R$3,0,0,'Données projet'!$E$9+1,1))-AVERAGE(OFFSET($H$3,0,0,'Données projet'!$E$9+1,1))</f>
        <v>389.80719836281679</v>
      </c>
      <c r="T56" s="62">
        <f t="shared" si="34"/>
        <v>399.58193819355591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41.53337396810786</v>
      </c>
      <c r="AA56" s="23">
        <f>EXP(-LN(2)/25)*AA55+(1-EXP(-LN(2)/25))/(LN(2)/25)*Calculateur!V56*Calculateur!X56*VLOOKUP('Données projet'!$B$9,Paramètres!$A$1:$I$89,3,0)*0.475*44/12</f>
        <v>25.69311576100792</v>
      </c>
      <c r="AB56" s="23">
        <f>EXP(-LN(2)/2)*AB55+(1-EXP(-LN(2)/2))/(LN(2)/2)*V56*Y56*VLOOKUP('Données projet'!$B$9,Paramètres!$A$1:$I$89,3,0)*0.475*44/12</f>
        <v>2.9608358319250834</v>
      </c>
      <c r="AC56" s="24">
        <f t="shared" si="3"/>
        <v>70.187325561040865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14.12</v>
      </c>
      <c r="AI56" s="14">
        <f>IF('Données projet'!$A$62&gt;35,AI55+AH56-AQ55,IF(A56&lt;'Données projet'!$A$62,$AF$205^A56,IF(A56='Données projet'!$A$62,'Données projet'!$B$62,AI55+AH56-AQ55)))</f>
        <v>342.10000000000019</v>
      </c>
      <c r="AJ56" s="14">
        <f>AI56*VLOOKUP('Données projet'!$B$10,Paramètres!$A$1:$I$89,3,0)*VLOOKUP('Données projet'!$B$10,Paramètres!$A$1:$I$89,5,0)</f>
        <v>204.57580000000013</v>
      </c>
      <c r="AK56" s="14">
        <f t="shared" si="35"/>
        <v>50.748462290021173</v>
      </c>
      <c r="AL56" s="22">
        <f t="shared" si="4"/>
        <v>444.68975682178706</v>
      </c>
      <c r="AM56" s="62">
        <f t="shared" si="5"/>
        <v>738.02309015512037</v>
      </c>
      <c r="AN56" s="62">
        <f ca="1">AVERAGE(OFFSET($AM$3,0,0,'Données projet'!$E$10+1,1))-AVERAGE(OFFSET($H$3,0,0,'Données projet'!$E$10+1,1))</f>
        <v>269.90083987531233</v>
      </c>
      <c r="AO56" s="62">
        <f t="shared" si="36"/>
        <v>183.4515835513518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30.026014252905309</v>
      </c>
      <c r="AV56" s="23">
        <f>EXP(-LN(2)/25)*AV55+(1-EXP(-LN(2)/25))/(LN(2)/25)*Calculateur!AQ56*Calculateur!AS56*VLOOKUP('Données projet'!$B$10,Paramètres!$A$1:$I$89,3,0)*0.475*44/12</f>
        <v>21.958918087952686</v>
      </c>
      <c r="AW56" s="23">
        <f>EXP(-LN(2)/2)*AW55+(1-EXP(-LN(2)/2))/(LN(2)/2)*AQ56*AT56*VLOOKUP('Données projet'!$B$10,Paramètres!$A$1:$I$89,3,0)*0.475*44/12</f>
        <v>3.9051669565591487</v>
      </c>
      <c r="AX56" s="23">
        <f t="shared" si="6"/>
        <v>55.890099297417144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6.3622807017543854</v>
      </c>
      <c r="BD56" s="13">
        <f>IF('Données projet'!$A$88&gt;35,BD55+BC56-BL55,IF(A56&lt;'Données projet'!$A$88,$BA$205^A56,IF(A56='Données projet'!$A$88,'Données projet'!$B$88,BD55+BC56-BL55)))</f>
        <v>337.20087719298238</v>
      </c>
      <c r="BE56" s="14">
        <f>BD56*VLOOKUP('Données projet'!$B$11,Paramètres!$A$1:$I$89,3,0)*VLOOKUP('Données projet'!$B$11,Paramètres!$A$1:$I$89,5,0)</f>
        <v>162.19362192982453</v>
      </c>
      <c r="BF56" s="14">
        <f t="shared" si="37"/>
        <v>41.336900158029863</v>
      </c>
      <c r="BG56" s="22">
        <f t="shared" si="7"/>
        <v>354.48232596967972</v>
      </c>
      <c r="BH56" s="62">
        <f t="shared" si="8"/>
        <v>647.81565930301304</v>
      </c>
      <c r="BI56" s="62">
        <f ca="1">AVERAGE(OFFSET($BH$3,0,0,'Données projet'!$E$11+1,1))-AVERAGE(OFFSET($H$3,0,0,'Données projet'!$E$11+1,1))</f>
        <v>255.64417186544995</v>
      </c>
      <c r="BJ56" s="62">
        <f t="shared" si="38"/>
        <v>165.41802783289376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18</v>
      </c>
      <c r="BY56" s="13">
        <f>IF('Données projet'!$A$114&gt;35,BY55+BX56-CG55,IF(A56&lt;'Données projet'!$A$114,$BV$205^A56,IF(A56='Données projet'!$A$114,'Données projet'!$B$114,BY55+BX56-CG55)))</f>
        <v>647.99999999999989</v>
      </c>
      <c r="BZ56" s="14">
        <f>BY56*VLOOKUP('Données projet'!$B$12,Paramètres!$A$1:$I$89,3,0)*VLOOKUP('Données projet'!$B$12,Paramètres!$A$1:$I$89,5,0)</f>
        <v>362.23199999999991</v>
      </c>
      <c r="CA56" s="14">
        <f t="shared" si="39"/>
        <v>84.076149451138917</v>
      </c>
      <c r="CB56" s="22">
        <f t="shared" si="10"/>
        <v>777.32002696073334</v>
      </c>
      <c r="CC56" s="62">
        <f t="shared" si="11"/>
        <v>1070.6533602940667</v>
      </c>
      <c r="CD56" s="62">
        <f ca="1">AVERAGE(OFFSET($CC$3,0,0,'Données projet'!$E$12+1,1))-AVERAGE(OFFSET($H$3,0,0,'Données projet'!$E$12+1,1))</f>
        <v>465.49436272491818</v>
      </c>
      <c r="CE56" s="62">
        <f t="shared" si="40"/>
        <v>494.36941732405256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47.52499630056289</v>
      </c>
      <c r="CL56" s="23">
        <f>EXP(-LN(2)/25)*CL55+(1-EXP(-LN(2)/25))/(LN(2)/25)*Calculateur!CG56*Calculateur!CI56*VLOOKUP('Données projet'!$B$12,Paramètres!$A$1:$I$89,3,0)*0.475*44/12</f>
        <v>31.54188547705855</v>
      </c>
      <c r="CM56" s="23">
        <f>EXP(-LN(2)/2)*CM55+(1-EXP(-LN(2)/2))/(LN(2)/2)*CG56*CJ56*VLOOKUP('Données projet'!$B$12,Paramètres!$A$1:$I$89,3,0)*0.475*44/12</f>
        <v>3.0779980375485398</v>
      </c>
      <c r="CN56" s="24">
        <f t="shared" si="12"/>
        <v>82.144879815169972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17.857000000000006</v>
      </c>
      <c r="CT56" s="13">
        <f>IF('Données projet'!$A$140&gt;35,CT55+CS56-DB55,IF(A56&lt;'Données projet'!$A$140,$CQ$205^A56,IF(A56='Données projet'!$A$140,'Données projet'!$B$140,CT55+CS56-DB55)))</f>
        <v>498.12900000000008</v>
      </c>
      <c r="CU56" s="18">
        <f>CT56*VLOOKUP('Données projet'!$B$13,Paramètres!$A$1:$I$89,3,0)*VLOOKUP('Données projet'!$B$13,Paramètres!$A$1:$I$89,5,0)</f>
        <v>297.88114200000007</v>
      </c>
      <c r="CV56" s="14">
        <f t="shared" si="41"/>
        <v>70.732086381240663</v>
      </c>
      <c r="CW56" s="22">
        <f t="shared" si="13"/>
        <v>642.00137276399425</v>
      </c>
      <c r="CX56" s="62">
        <f t="shared" si="14"/>
        <v>935.33470609732763</v>
      </c>
      <c r="CY56" s="62">
        <f ca="1">AVERAGE(OFFSET($CX$3,0,0,'Données projet'!$E$13+1,1))-AVERAGE(OFFSET($H$3,0,0,'Données projet'!$E$13+1,1))</f>
        <v>361.46923697840384</v>
      </c>
      <c r="CZ56" s="62">
        <f t="shared" si="42"/>
        <v>302.25424592654673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34.616612486054613</v>
      </c>
      <c r="DG56" s="23">
        <f>EXP(-LN(2)/25)*DG55+(1-EXP(-LN(2)/25))/(LN(2)/25)*Calculateur!DB56*Calculateur!DD56*VLOOKUP('Données projet'!$B$13,Paramètres!$A$1:$I$89,3,0)*0.475*44/12</f>
        <v>20.013503275603103</v>
      </c>
      <c r="DH56" s="23">
        <f>EXP(-LN(2)/2)*DH55+(1-EXP(-LN(2)/2))/(LN(2)/2)*DB56*DE56*VLOOKUP('Données projet'!$B$13,Paramètres!$A$1:$I$89,3,0)*0.475*44/12</f>
        <v>1.2624128186043484</v>
      </c>
      <c r="DI56" s="24">
        <f t="shared" si="15"/>
        <v>55.892528580262066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18.399999999999999</v>
      </c>
      <c r="N57" s="14">
        <f>IF('Données projet'!$A$36&gt;35,N56+M57-V56,IF(A57&lt;'Données projet'!$A$36,$K$205^A57,IF(A57='Données projet'!$A$36,'Données projet'!$B$36,N56+M57-V56)))</f>
        <v>595.59999999999991</v>
      </c>
      <c r="O57" s="14">
        <f>N57*VLOOKUP('Données projet'!$B$9,Paramètres!$A$1:$I$89,3,0)*VLOOKUP('Données projet'!$B$9,Paramètres!$A$1:$I$89,5,0)</f>
        <v>332.94039999999995</v>
      </c>
      <c r="P57" s="14">
        <f t="shared" si="33"/>
        <v>78.039612018229533</v>
      </c>
      <c r="Q57" s="22">
        <f t="shared" si="53"/>
        <v>715.79018759841631</v>
      </c>
      <c r="R57" s="62">
        <f t="shared" si="0"/>
        <v>1009.1235209317497</v>
      </c>
      <c r="S57" s="62">
        <f ca="1">AVERAGE(OFFSET($R$3,0,0,'Données projet'!$E$9+1,1))-AVERAGE(OFFSET($H$3,0,0,'Données projet'!$E$9+1,1))</f>
        <v>389.80719836281679</v>
      </c>
      <c r="T57" s="62">
        <f t="shared" si="34"/>
        <v>399.58193819355591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40.71892983744997</v>
      </c>
      <c r="AA57" s="23">
        <f>EXP(-LN(2)/25)*AA56+(1-EXP(-LN(2)/25))/(LN(2)/25)*Calculateur!V57*Calculateur!X57*VLOOKUP('Données projet'!$B$9,Paramètres!$A$1:$I$89,3,0)*0.475*44/12</f>
        <v>24.990536159380923</v>
      </c>
      <c r="AB57" s="23">
        <f>EXP(-LN(2)/2)*AB56+(1-EXP(-LN(2)/2))/(LN(2)/2)*V57*Y57*VLOOKUP('Données projet'!$B$9,Paramètres!$A$1:$I$89,3,0)*0.475*44/12</f>
        <v>2.0936270947343396</v>
      </c>
      <c r="AC57" s="24">
        <f t="shared" si="3"/>
        <v>67.803093091565231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14.12</v>
      </c>
      <c r="AI57" s="14">
        <f>IF('Données projet'!$A$62&gt;35,AI56+AH57-AQ56,IF(A57&lt;'Données projet'!$A$62,$AF$205^A57,IF(A57='Données projet'!$A$62,'Données projet'!$B$62,AI56+AH57-AQ56)))</f>
        <v>356.2200000000002</v>
      </c>
      <c r="AJ57" s="14">
        <f>AI57*VLOOKUP('Données projet'!$B$10,Paramètres!$A$1:$I$89,3,0)*VLOOKUP('Données projet'!$B$10,Paramètres!$A$1:$I$89,5,0)</f>
        <v>213.01956000000015</v>
      </c>
      <c r="AK57" s="14">
        <f t="shared" si="35"/>
        <v>52.594886266766075</v>
      </c>
      <c r="AL57" s="22">
        <f t="shared" si="4"/>
        <v>462.61182724795117</v>
      </c>
      <c r="AM57" s="62">
        <f t="shared" si="5"/>
        <v>755.94516058128443</v>
      </c>
      <c r="AN57" s="62">
        <f ca="1">AVERAGE(OFFSET($AM$3,0,0,'Données projet'!$E$10+1,1))-AVERAGE(OFFSET($H$3,0,0,'Données projet'!$E$10+1,1))</f>
        <v>269.90083987531233</v>
      </c>
      <c r="AO57" s="62">
        <f t="shared" si="36"/>
        <v>183.4515835513518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29.437222427466168</v>
      </c>
      <c r="AV57" s="23">
        <f>EXP(-LN(2)/25)*AV56+(1-EXP(-LN(2)/25))/(LN(2)/25)*Calculateur!AQ57*Calculateur!AS57*VLOOKUP('Données projet'!$B$10,Paramètres!$A$1:$I$89,3,0)*0.475*44/12</f>
        <v>21.358450318068304</v>
      </c>
      <c r="AW57" s="23">
        <f>EXP(-LN(2)/2)*AW56+(1-EXP(-LN(2)/2))/(LN(2)/2)*AQ57*AT57*VLOOKUP('Données projet'!$B$10,Paramètres!$A$1:$I$89,3,0)*0.475*44/12</f>
        <v>2.7613700366486058</v>
      </c>
      <c r="AX57" s="23">
        <f t="shared" si="6"/>
        <v>53.557042782183082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6.3622807017543854</v>
      </c>
      <c r="BD57" s="13">
        <f>IF('Données projet'!$A$88&gt;35,BD56+BC57-BL56,IF(A57&lt;'Données projet'!$A$88,$BA$205^A57,IF(A57='Données projet'!$A$88,'Données projet'!$B$88,BD56+BC57-BL56)))</f>
        <v>343.56315789473678</v>
      </c>
      <c r="BE57" s="14">
        <f>BD57*VLOOKUP('Données projet'!$B$11,Paramètres!$A$1:$I$89,3,0)*VLOOKUP('Données projet'!$B$11,Paramètres!$A$1:$I$89,5,0)</f>
        <v>165.25387894736841</v>
      </c>
      <c r="BF57" s="14">
        <f t="shared" si="37"/>
        <v>42.025304967897284</v>
      </c>
      <c r="BG57" s="22">
        <f t="shared" si="7"/>
        <v>361.01124531908772</v>
      </c>
      <c r="BH57" s="62">
        <f t="shared" si="8"/>
        <v>654.34457865242098</v>
      </c>
      <c r="BI57" s="62">
        <f ca="1">AVERAGE(OFFSET($BH$3,0,0,'Données projet'!$E$11+1,1))-AVERAGE(OFFSET($H$3,0,0,'Données projet'!$E$11+1,1))</f>
        <v>255.64417186544995</v>
      </c>
      <c r="BJ57" s="62">
        <f t="shared" si="38"/>
        <v>165.41802783289376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18</v>
      </c>
      <c r="BY57" s="13">
        <f>IF('Données projet'!$A$114&gt;35,BY56+BX57-CG56,IF(A57&lt;'Données projet'!$A$114,$BV$205^A57,IF(A57='Données projet'!$A$114,'Données projet'!$B$114,BY56+BX57-CG56)))</f>
        <v>665.99999999999989</v>
      </c>
      <c r="BZ57" s="14">
        <f>BY57*VLOOKUP('Données projet'!$B$12,Paramètres!$A$1:$I$89,3,0)*VLOOKUP('Données projet'!$B$12,Paramètres!$A$1:$I$89,5,0)</f>
        <v>372.29399999999993</v>
      </c>
      <c r="CA57" s="14">
        <f t="shared" si="39"/>
        <v>86.136449661008839</v>
      </c>
      <c r="CB57" s="22">
        <f t="shared" si="10"/>
        <v>798.4330331595902</v>
      </c>
      <c r="CC57" s="62">
        <f t="shared" si="11"/>
        <v>1091.7663664929235</v>
      </c>
      <c r="CD57" s="62">
        <f ca="1">AVERAGE(OFFSET($CC$3,0,0,'Données projet'!$E$12+1,1))-AVERAGE(OFFSET($H$3,0,0,'Données projet'!$E$12+1,1))</f>
        <v>465.49436272491818</v>
      </c>
      <c r="CE57" s="62">
        <f t="shared" si="40"/>
        <v>494.36941732405256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46.593060110494328</v>
      </c>
      <c r="CL57" s="23">
        <f>EXP(-LN(2)/25)*CL56+(1-EXP(-LN(2)/25))/(LN(2)/25)*Calculateur!CG57*Calculateur!CI57*VLOOKUP('Données projet'!$B$12,Paramètres!$A$1:$I$89,3,0)*0.475*44/12</f>
        <v>30.679370959972715</v>
      </c>
      <c r="CM57" s="23">
        <f>EXP(-LN(2)/2)*CM56+(1-EXP(-LN(2)/2))/(LN(2)/2)*CG57*CJ57*VLOOKUP('Données projet'!$B$12,Paramètres!$A$1:$I$89,3,0)*0.475*44/12</f>
        <v>2.1764732848294583</v>
      </c>
      <c r="CN57" s="24">
        <f t="shared" si="12"/>
        <v>79.448904355296492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17.857000000000006</v>
      </c>
      <c r="CT57" s="13">
        <f>IF('Données projet'!$A$140&gt;35,CT56+CS57-DB56,IF(A57&lt;'Données projet'!$A$140,$CQ$205^A57,IF(A57='Données projet'!$A$140,'Données projet'!$B$140,CT56+CS57-DB56)))</f>
        <v>515.9860000000001</v>
      </c>
      <c r="CU57" s="18">
        <f>CT57*VLOOKUP('Données projet'!$B$13,Paramètres!$A$1:$I$89,3,0)*VLOOKUP('Données projet'!$B$13,Paramètres!$A$1:$I$89,5,0)</f>
        <v>308.55962800000009</v>
      </c>
      <c r="CV57" s="14">
        <f t="shared" si="41"/>
        <v>72.967941685104847</v>
      </c>
      <c r="CW57" s="22">
        <f t="shared" si="13"/>
        <v>664.49385053489107</v>
      </c>
      <c r="CX57" s="62">
        <f t="shared" si="14"/>
        <v>957.82718386822444</v>
      </c>
      <c r="CY57" s="62">
        <f ca="1">AVERAGE(OFFSET($CX$3,0,0,'Données projet'!$E$13+1,1))-AVERAGE(OFFSET($H$3,0,0,'Données projet'!$E$13+1,1))</f>
        <v>361.46923697840384</v>
      </c>
      <c r="CZ57" s="62">
        <f t="shared" si="42"/>
        <v>302.25424592654673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33.93780182925186</v>
      </c>
      <c r="DG57" s="23">
        <f>EXP(-LN(2)/25)*DG56+(1-EXP(-LN(2)/25))/(LN(2)/25)*Calculateur!DB57*Calculateur!DD57*VLOOKUP('Données projet'!$B$13,Paramètres!$A$1:$I$89,3,0)*0.475*44/12</f>
        <v>19.466232976067339</v>
      </c>
      <c r="DH57" s="23">
        <f>EXP(-LN(2)/2)*DH56+(1-EXP(-LN(2)/2))/(LN(2)/2)*DB57*DE57*VLOOKUP('Données projet'!$B$13,Paramètres!$A$1:$I$89,3,0)*0.475*44/12</f>
        <v>0.89266066469195771</v>
      </c>
      <c r="DI57" s="24">
        <f t="shared" si="15"/>
        <v>54.296695470011159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614</v>
      </c>
      <c r="L58" s="13">
        <f>VLOOKUP(A58,'Données projet'!$A$35:$I$55,9,0)</f>
        <v>18.399999999999999</v>
      </c>
      <c r="M58" s="13">
        <f t="array" ref="M58">INDEX(L:L,MIN(IF(ISNUMBER(L58:L254),ROW(L58:L254),"")))</f>
        <v>18.399999999999999</v>
      </c>
      <c r="N58" s="14">
        <f>IF('Données projet'!$A$36&gt;35,N57+M58-V57,IF(A58&lt;'Données projet'!$A$36,$K$205^A58,IF(A58='Données projet'!$A$36,'Données projet'!$B$36,N57+M58-V57)))</f>
        <v>613.99999999999989</v>
      </c>
      <c r="O58" s="14">
        <f>N58*VLOOKUP('Données projet'!$B$9,Paramètres!$A$1:$I$89,3,0)*VLOOKUP('Données projet'!$B$9,Paramètres!$A$1:$I$89,5,0)</f>
        <v>343.22599999999994</v>
      </c>
      <c r="P58" s="14">
        <f t="shared" si="33"/>
        <v>80.166091681676448</v>
      </c>
      <c r="Q58" s="22">
        <f t="shared" si="53"/>
        <v>737.40789301225288</v>
      </c>
      <c r="R58" s="62">
        <f t="shared" si="0"/>
        <v>1030.7412263455863</v>
      </c>
      <c r="S58" s="62">
        <f ca="1">AVERAGE(OFFSET($R$3,0,0,'Données projet'!$E$9+1,1))-AVERAGE(OFFSET($H$3,0,0,'Données projet'!$E$9+1,1))</f>
        <v>389.80719836281679</v>
      </c>
      <c r="T58" s="62">
        <f t="shared" si="34"/>
        <v>399.58193819355591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51</v>
      </c>
      <c r="W58" s="17">
        <f>IF(ISNA(VLOOKUP(A58,'Données projet'!$A$35:$I$55,5,0)),0%,VLOOKUP(A58,'Données projet'!$A$35:$I$55,5,0)*VLOOKUP('Données projet'!$B$9,Paramètres!$A$1:$I$89,7,0))</f>
        <v>0.33</v>
      </c>
      <c r="X58" s="17">
        <f>IF(ISNA(VLOOKUP(A58,'Données projet'!$A$35:$I$55,6,0)),0%,VLOOKUP(A58,'Données projet'!$A$35:$I$55,6,0)*VLOOKUP('Données projet'!$B$9,Paramètres!$A$1:$I$89,7,0))</f>
        <v>0.12100000000000001</v>
      </c>
      <c r="Y58" s="17">
        <f>IF(ISNA(VLOOKUP(A58,'Données projet'!$A$35:$I$55,7,0)),0%,VLOOKUP(A58,'Données projet'!$A$35:$I$55,7,0))</f>
        <v>0.18</v>
      </c>
      <c r="Z58" s="23">
        <f>EXP(-LN(2)/35)*Z57+(1-EXP(-LN(2)/35))/(LN(2)/35)*V58*W58*VLOOKUP('Données projet'!$B$9,Paramètres!$A$1:$I$89,3,0)*0.475*44/12</f>
        <v>52.400735059273948</v>
      </c>
      <c r="AA58" s="23">
        <f>EXP(-LN(2)/25)*AA57+(1-EXP(-LN(2)/25))/(LN(2)/25)*Calculateur!V58*Calculateur!X58*VLOOKUP('Données projet'!$B$9,Paramètres!$A$1:$I$89,3,0)*0.475*44/12</f>
        <v>28.865252929373639</v>
      </c>
      <c r="AB58" s="23">
        <f>EXP(-LN(2)/2)*AB57+(1-EXP(-LN(2)/2))/(LN(2)/2)*V58*Y58*VLOOKUP('Données projet'!$B$9,Paramètres!$A$1:$I$89,3,0)*0.475*44/12</f>
        <v>7.2906038185953044</v>
      </c>
      <c r="AC58" s="24">
        <f t="shared" si="3"/>
        <v>88.556591807242896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14.12</v>
      </c>
      <c r="AI58" s="14">
        <f>IF('Données projet'!$A$62&gt;35,AI57+AH58-AQ57,IF(A58&lt;'Données projet'!$A$62,$AF$205^A58,IF(A58='Données projet'!$A$62,'Données projet'!$B$62,AI57+AH58-AQ57)))</f>
        <v>370.3400000000002</v>
      </c>
      <c r="AJ58" s="14">
        <f>AI58*VLOOKUP('Données projet'!$B$10,Paramètres!$A$1:$I$89,3,0)*VLOOKUP('Données projet'!$B$10,Paramètres!$A$1:$I$89,5,0)</f>
        <v>221.46332000000012</v>
      </c>
      <c r="AK58" s="14">
        <f t="shared" si="35"/>
        <v>54.432808276273747</v>
      </c>
      <c r="AL58" s="22">
        <f t="shared" si="4"/>
        <v>480.51909008117696</v>
      </c>
      <c r="AM58" s="62">
        <f t="shared" si="5"/>
        <v>773.85242341451021</v>
      </c>
      <c r="AN58" s="62">
        <f ca="1">AVERAGE(OFFSET($AM$3,0,0,'Données projet'!$E$10+1,1))-AVERAGE(OFFSET($H$3,0,0,'Données projet'!$E$10+1,1))</f>
        <v>269.90083987531233</v>
      </c>
      <c r="AO58" s="62">
        <f t="shared" si="36"/>
        <v>183.4515835513518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28.859976450596335</v>
      </c>
      <c r="AV58" s="23">
        <f>EXP(-LN(2)/25)*AV57+(1-EXP(-LN(2)/25))/(LN(2)/25)*Calculateur!AQ58*Calculateur!AS58*VLOOKUP('Données projet'!$B$10,Paramètres!$A$1:$I$89,3,0)*0.475*44/12</f>
        <v>20.774402370928637</v>
      </c>
      <c r="AW58" s="23">
        <f>EXP(-LN(2)/2)*AW57+(1-EXP(-LN(2)/2))/(LN(2)/2)*AQ58*AT58*VLOOKUP('Données projet'!$B$10,Paramètres!$A$1:$I$89,3,0)*0.475*44/12</f>
        <v>1.9525834782795746</v>
      </c>
      <c r="AX58" s="23">
        <f t="shared" si="6"/>
        <v>51.586962299804547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6.3622807017543854</v>
      </c>
      <c r="BD58" s="13">
        <f>IF('Données projet'!$A$88&gt;35,BD57+BC58-BL57,IF(A58&lt;'Données projet'!$A$88,$BA$205^A58,IF(A58='Données projet'!$A$88,'Données projet'!$B$88,BD57+BC58-BL57)))</f>
        <v>349.92543859649118</v>
      </c>
      <c r="BE58" s="14">
        <f>BD58*VLOOKUP('Données projet'!$B$11,Paramètres!$A$1:$I$89,3,0)*VLOOKUP('Données projet'!$B$11,Paramètres!$A$1:$I$89,5,0)</f>
        <v>168.31413596491228</v>
      </c>
      <c r="BF58" s="14">
        <f t="shared" si="37"/>
        <v>42.712227391543522</v>
      </c>
      <c r="BG58" s="22">
        <f t="shared" si="7"/>
        <v>367.53758284582722</v>
      </c>
      <c r="BH58" s="62">
        <f t="shared" si="8"/>
        <v>660.87091617916053</v>
      </c>
      <c r="BI58" s="62">
        <f ca="1">AVERAGE(OFFSET($BH$3,0,0,'Données projet'!$E$11+1,1))-AVERAGE(OFFSET($H$3,0,0,'Données projet'!$E$11+1,1))</f>
        <v>255.64417186544995</v>
      </c>
      <c r="BJ58" s="62">
        <f t="shared" si="38"/>
        <v>165.41802783289376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684</v>
      </c>
      <c r="BW58" s="13">
        <f>VLOOKUP(A58,'Données projet'!$A$113:$I$133,9,0)</f>
        <v>18</v>
      </c>
      <c r="BX58" s="13">
        <f t="array" ref="BX58">INDEX(BW:BW,MIN(IF(ISNUMBER(BW58:BW254),ROW(BW58:BW254),"")))</f>
        <v>18</v>
      </c>
      <c r="BY58" s="13">
        <f>IF('Données projet'!$A$114&gt;35,BY57+BX58-CG57,IF(A58&lt;'Données projet'!$A$114,$BV$205^A58,IF(A58='Données projet'!$A$114,'Données projet'!$B$114,BY57+BX58-CG57)))</f>
        <v>683.99999999999989</v>
      </c>
      <c r="BZ58" s="14">
        <f>BY58*VLOOKUP('Données projet'!$B$12,Paramètres!$A$1:$I$89,3,0)*VLOOKUP('Données projet'!$B$12,Paramètres!$A$1:$I$89,5,0)</f>
        <v>382.35599999999994</v>
      </c>
      <c r="CA58" s="14">
        <f t="shared" si="39"/>
        <v>88.190277629826127</v>
      </c>
      <c r="CB58" s="22">
        <f t="shared" si="10"/>
        <v>819.534766871947</v>
      </c>
      <c r="CC58" s="62">
        <f t="shared" si="11"/>
        <v>1112.8681002052804</v>
      </c>
      <c r="CD58" s="62">
        <f ca="1">AVERAGE(OFFSET($CC$3,0,0,'Données projet'!$E$12+1,1))-AVERAGE(OFFSET($H$3,0,0,'Données projet'!$E$12+1,1))</f>
        <v>465.49436272491818</v>
      </c>
      <c r="CE58" s="62">
        <f t="shared" si="40"/>
        <v>494.36941732405256</v>
      </c>
      <c r="CF58" s="16">
        <f>IF(ISNA(VLOOKUP(A58,'Données projet'!$A$113:$I$133,3,0)),0,VLOOKUP(A58,'Données projet'!$A$113:$I$133,3,0))</f>
        <v>9</v>
      </c>
      <c r="CG58" s="16">
        <f>IF(ISNA(VLOOKUP(A58,'Données projet'!$A$113:$I$133,4,0)),0,VLOOKUP(A58,'Données projet'!$A$113:$I$133,4,0))</f>
        <v>51</v>
      </c>
      <c r="CH58" s="17">
        <f>IF(ISNA(VLOOKUP(A58,'Données projet'!$A$113:$I$133,5,0)),0%,VLOOKUP(A58,'Données projet'!$A$113:$I$133,5,0)*VLOOKUP('Données projet'!$B$12,Paramètres!$A$1:$I$89,7,0))</f>
        <v>0.33</v>
      </c>
      <c r="CI58" s="17">
        <f>IF(ISNA(VLOOKUP(A58,'Données projet'!$A$113:$I$133,6,0)),0%,VLOOKUP(A58,'Données projet'!$A$113:$I$133,6,0)*VLOOKUP('Données projet'!$B$12,Paramètres!$A$1:$I$89,7,0))</f>
        <v>0.12100000000000001</v>
      </c>
      <c r="CJ58" s="17">
        <f>IF(ISNA(VLOOKUP(A58,'Données projet'!$A$113:$I$133,7,0)),0%,VLOOKUP(A58,'Données projet'!$A$113:$I$133,7,0))</f>
        <v>0.18</v>
      </c>
      <c r="CK58" s="23">
        <f>EXP(-LN(2)/35)*CK57+(1-EXP(-LN(2)/35))/(LN(2)/35)*CG58*CH58*VLOOKUP('Données projet'!$B$12,Paramètres!$A$1:$I$89,3,0)*0.475*44/12</f>
        <v>58.159677220529595</v>
      </c>
      <c r="CL58" s="23">
        <f>EXP(-LN(2)/25)*CL57+(1-EXP(-LN(2)/25))/(LN(2)/25)*Calculateur!CG58*Calculateur!CI58*VLOOKUP('Données projet'!$B$12,Paramètres!$A$1:$I$89,3,0)*0.475*44/12</f>
        <v>34.398526243180427</v>
      </c>
      <c r="CM58" s="23">
        <f>EXP(-LN(2)/2)*CM57+(1-EXP(-LN(2)/2))/(LN(2)/2)*CG58*CJ58*VLOOKUP('Données projet'!$B$12,Paramètres!$A$1:$I$89,3,0)*0.475*44/12</f>
        <v>7.3491849214070335</v>
      </c>
      <c r="CN58" s="24">
        <f t="shared" si="12"/>
        <v>99.907388385117045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17.857000000000006</v>
      </c>
      <c r="CT58" s="13">
        <f>IF('Données projet'!$A$140&gt;35,CT57+CS58-DB57,IF(A58&lt;'Données projet'!$A$140,$CQ$205^A58,IF(A58='Données projet'!$A$140,'Données projet'!$B$140,CT57+CS58-DB57)))</f>
        <v>533.84300000000007</v>
      </c>
      <c r="CU58" s="18">
        <f>CT58*VLOOKUP('Données projet'!$B$13,Paramètres!$A$1:$I$89,3,0)*VLOOKUP('Données projet'!$B$13,Paramètres!$A$1:$I$89,5,0)</f>
        <v>319.23811400000011</v>
      </c>
      <c r="CV58" s="14">
        <f t="shared" si="41"/>
        <v>75.194806477511975</v>
      </c>
      <c r="CW58" s="22">
        <f t="shared" si="13"/>
        <v>686.97066983166678</v>
      </c>
      <c r="CX58" s="62">
        <f t="shared" si="14"/>
        <v>980.30400316500004</v>
      </c>
      <c r="CY58" s="62">
        <f ca="1">AVERAGE(OFFSET($CX$3,0,0,'Données projet'!$E$13+1,1))-AVERAGE(OFFSET($H$3,0,0,'Données projet'!$E$13+1,1))</f>
        <v>361.46923697840384</v>
      </c>
      <c r="CZ58" s="62">
        <f t="shared" si="42"/>
        <v>302.25424592654673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33.272302235395394</v>
      </c>
      <c r="DG58" s="23">
        <f>EXP(-LN(2)/25)*DG57+(1-EXP(-LN(2)/25))/(LN(2)/25)*Calculateur!DB58*Calculateur!DD58*VLOOKUP('Données projet'!$B$13,Paramètres!$A$1:$I$89,3,0)*0.475*44/12</f>
        <v>18.933927811652076</v>
      </c>
      <c r="DH58" s="23">
        <f>EXP(-LN(2)/2)*DH57+(1-EXP(-LN(2)/2))/(LN(2)/2)*DB58*DE58*VLOOKUP('Données projet'!$B$13,Paramètres!$A$1:$I$89,3,0)*0.475*44/12</f>
        <v>0.6312064093021742</v>
      </c>
      <c r="DI58" s="24">
        <f t="shared" si="15"/>
        <v>52.837436456349643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17.600000000000001</v>
      </c>
      <c r="N59" s="14">
        <f>IF('Données projet'!$A$36&gt;35,N58+M59-V58,IF(A59&lt;'Données projet'!$A$36,$K$205^A59,IF(A59='Données projet'!$A$36,'Données projet'!$B$36,N58+M59-V58)))</f>
        <v>580.59999999999991</v>
      </c>
      <c r="O59" s="14">
        <f>N59*VLOOKUP('Données projet'!$B$9,Paramètres!$A$1:$I$89,3,0)*VLOOKUP('Données projet'!$B$9,Paramètres!$A$1:$I$89,5,0)</f>
        <v>324.55539999999996</v>
      </c>
      <c r="P59" s="14">
        <f t="shared" si="33"/>
        <v>76.300412056684465</v>
      </c>
      <c r="Q59" s="22">
        <f t="shared" si="53"/>
        <v>698.15720599872532</v>
      </c>
      <c r="R59" s="62">
        <f t="shared" si="0"/>
        <v>991.49053933205869</v>
      </c>
      <c r="S59" s="62">
        <f ca="1">AVERAGE(OFFSET($R$3,0,0,'Données projet'!$E$9+1,1))-AVERAGE(OFFSET($H$3,0,0,'Données projet'!$E$9+1,1))</f>
        <v>389.80719836281679</v>
      </c>
      <c r="T59" s="62">
        <f t="shared" si="34"/>
        <v>399.58193819355591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51.373188606054057</v>
      </c>
      <c r="AA59" s="23">
        <f>EXP(-LN(2)/25)*AA58+(1-EXP(-LN(2)/25))/(LN(2)/25)*Calculateur!V59*Calculateur!X59*VLOOKUP('Données projet'!$B$9,Paramètres!$A$1:$I$89,3,0)*0.475*44/12</f>
        <v>28.075931070062239</v>
      </c>
      <c r="AB59" s="23">
        <f>EXP(-LN(2)/2)*AB58+(1-EXP(-LN(2)/2))/(LN(2)/2)*V59*Y59*VLOOKUP('Données projet'!$B$9,Paramètres!$A$1:$I$89,3,0)*0.475*44/12</f>
        <v>5.1552353990732778</v>
      </c>
      <c r="AC59" s="24">
        <f t="shared" si="3"/>
        <v>84.604355075189574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14.12</v>
      </c>
      <c r="AI59" s="14">
        <f>IF('Données projet'!$A$62&gt;35,AI58+AH59-AQ58,IF(A59&lt;'Données projet'!$A$62,$AF$205^A59,IF(A59='Données projet'!$A$62,'Données projet'!$B$62,AI58+AH59-AQ58)))</f>
        <v>384.46000000000021</v>
      </c>
      <c r="AJ59" s="14">
        <f>AI59*VLOOKUP('Données projet'!$B$10,Paramètres!$A$1:$I$89,3,0)*VLOOKUP('Données projet'!$B$10,Paramètres!$A$1:$I$89,5,0)</f>
        <v>229.90708000000015</v>
      </c>
      <c r="AK59" s="14">
        <f t="shared" si="35"/>
        <v>56.262589582193186</v>
      </c>
      <c r="AL59" s="22">
        <f t="shared" si="4"/>
        <v>498.41217452232013</v>
      </c>
      <c r="AM59" s="62">
        <f t="shared" si="5"/>
        <v>791.74550785565339</v>
      </c>
      <c r="AN59" s="62">
        <f ca="1">AVERAGE(OFFSET($AM$3,0,0,'Données projet'!$E$10+1,1))-AVERAGE(OFFSET($H$3,0,0,'Données projet'!$E$10+1,1))</f>
        <v>269.90083987531233</v>
      </c>
      <c r="AO59" s="62">
        <f t="shared" si="36"/>
        <v>183.4515835513518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28.294049915247641</v>
      </c>
      <c r="AV59" s="23">
        <f>EXP(-LN(2)/25)*AV58+(1-EXP(-LN(2)/25))/(LN(2)/25)*Calculateur!AQ59*Calculateur!AS59*VLOOKUP('Données projet'!$B$10,Paramètres!$A$1:$I$89,3,0)*0.475*44/12</f>
        <v>20.206325245617254</v>
      </c>
      <c r="AW59" s="23">
        <f>EXP(-LN(2)/2)*AW58+(1-EXP(-LN(2)/2))/(LN(2)/2)*AQ59*AT59*VLOOKUP('Données projet'!$B$10,Paramètres!$A$1:$I$89,3,0)*0.475*44/12</f>
        <v>1.3806850183243031</v>
      </c>
      <c r="AX59" s="23">
        <f t="shared" si="6"/>
        <v>49.881060179189191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6.3622807017543854</v>
      </c>
      <c r="BD59" s="13">
        <f>IF('Données projet'!$A$88&gt;35,BD58+BC59-BL58,IF(A59&lt;'Données projet'!$A$88,$BA$205^A59,IF(A59='Données projet'!$A$88,'Données projet'!$B$88,BD58+BC59-BL58)))</f>
        <v>356.28771929824558</v>
      </c>
      <c r="BE59" s="14">
        <f>BD59*VLOOKUP('Données projet'!$B$11,Paramètres!$A$1:$I$89,3,0)*VLOOKUP('Données projet'!$B$11,Paramètres!$A$1:$I$89,5,0)</f>
        <v>171.37439298245613</v>
      </c>
      <c r="BF59" s="14">
        <f t="shared" si="37"/>
        <v>43.397697490235522</v>
      </c>
      <c r="BG59" s="22">
        <f t="shared" si="7"/>
        <v>374.06139090660463</v>
      </c>
      <c r="BH59" s="62">
        <f t="shared" si="8"/>
        <v>667.39472423993789</v>
      </c>
      <c r="BI59" s="62">
        <f ca="1">AVERAGE(OFFSET($BH$3,0,0,'Données projet'!$E$11+1,1))-AVERAGE(OFFSET($H$3,0,0,'Données projet'!$E$11+1,1))</f>
        <v>255.64417186544995</v>
      </c>
      <c r="BJ59" s="62">
        <f t="shared" si="38"/>
        <v>165.41802783289376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17</v>
      </c>
      <c r="BY59" s="13">
        <f>IF('Données projet'!$A$114&gt;35,BY58+BX59-CG58,IF(A59&lt;'Données projet'!$A$114,$BV$205^A59,IF(A59='Données projet'!$A$114,'Données projet'!$B$114,BY58+BX59-CG58)))</f>
        <v>649.99999999999989</v>
      </c>
      <c r="BZ59" s="14">
        <f>BY59*VLOOKUP('Données projet'!$B$12,Paramètres!$A$1:$I$89,3,0)*VLOOKUP('Données projet'!$B$12,Paramètres!$A$1:$I$89,5,0)</f>
        <v>363.34999999999997</v>
      </c>
      <c r="CA59" s="14">
        <f t="shared" si="39"/>
        <v>84.30539746449827</v>
      </c>
      <c r="CB59" s="22">
        <f t="shared" si="10"/>
        <v>779.6664839173344</v>
      </c>
      <c r="CC59" s="62">
        <f t="shared" si="11"/>
        <v>1072.9998172506678</v>
      </c>
      <c r="CD59" s="62">
        <f ca="1">AVERAGE(OFFSET($CC$3,0,0,'Données projet'!$E$12+1,1))-AVERAGE(OFFSET($H$3,0,0,'Données projet'!$E$12+1,1))</f>
        <v>465.49436272491818</v>
      </c>
      <c r="CE59" s="62">
        <f t="shared" si="40"/>
        <v>494.36941732405256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57.01920142413536</v>
      </c>
      <c r="CL59" s="23">
        <f>EXP(-LN(2)/25)*CL58+(1-EXP(-LN(2)/25))/(LN(2)/25)*Calculateur!CG59*Calculateur!CI59*VLOOKUP('Données projet'!$B$12,Paramètres!$A$1:$I$89,3,0)*0.475*44/12</f>
        <v>33.45789673412078</v>
      </c>
      <c r="CM59" s="23">
        <f>EXP(-LN(2)/2)*CM58+(1-EXP(-LN(2)/2))/(LN(2)/2)*CG59*CJ59*VLOOKUP('Données projet'!$B$12,Paramètres!$A$1:$I$89,3,0)*0.475*44/12</f>
        <v>5.1966584941208378</v>
      </c>
      <c r="CN59" s="24">
        <f t="shared" si="12"/>
        <v>95.67375665237698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>
        <f>VLOOKUP(A59,'Données projet'!$A$139:$I$159,2,0)</f>
        <v>551.70000000000005</v>
      </c>
      <c r="CR59" s="13">
        <f>VLOOKUP(A59,'Données projet'!$A$139:$I$159,9,0)</f>
        <v>17.857000000000006</v>
      </c>
      <c r="CS59" s="13">
        <f t="array" ref="CS59">INDEX(CR:CR,MIN(IF(ISNUMBER(CR59:CR255),ROW(CR59:CR255),"")))</f>
        <v>17.857000000000006</v>
      </c>
      <c r="CT59" s="13">
        <f>IF('Données projet'!$A$140&gt;35,CT58+CS59-DB58,IF(A59&lt;'Données projet'!$A$140,$CQ$205^A59,IF(A59='Données projet'!$A$140,'Données projet'!$B$140,CT58+CS59-DB58)))</f>
        <v>551.70000000000005</v>
      </c>
      <c r="CU59" s="18">
        <f>CT59*VLOOKUP('Données projet'!$B$13,Paramètres!$A$1:$I$89,3,0)*VLOOKUP('Données projet'!$B$13,Paramètres!$A$1:$I$89,5,0)</f>
        <v>329.91660000000007</v>
      </c>
      <c r="CV59" s="14">
        <f t="shared" si="41"/>
        <v>77.413015969653813</v>
      </c>
      <c r="CW59" s="22">
        <f t="shared" si="13"/>
        <v>709.43241448048047</v>
      </c>
      <c r="CX59" s="62">
        <f t="shared" si="14"/>
        <v>1002.7657478138137</v>
      </c>
      <c r="CY59" s="62">
        <f ca="1">AVERAGE(OFFSET($CX$3,0,0,'Données projet'!$E$13+1,1))-AVERAGE(OFFSET($H$3,0,0,'Données projet'!$E$13+1,1))</f>
        <v>361.46923697840384</v>
      </c>
      <c r="CZ59" s="62">
        <f t="shared" si="42"/>
        <v>302.25424592654673</v>
      </c>
      <c r="DA59" s="16">
        <f>IF(ISNA(VLOOKUP(A59,'Données projet'!$A$139:$I$159,3,0)),0,VLOOKUP(A59,'Données projet'!$A$139:$I$159,3,0))</f>
        <v>6</v>
      </c>
      <c r="DB59" s="16">
        <f>IF(ISNA(VLOOKUP(A59,'Données projet'!$A$139:$I$159,4,0)),0,VLOOKUP(A59,'Données projet'!$A$139:$I$159,4,0))</f>
        <v>77.37</v>
      </c>
      <c r="DC59" s="17">
        <f>IF(ISNA(VLOOKUP(A59,'Données projet'!$A$139:$I$159,5,0)),0%,VLOOKUP(A59,'Données projet'!$A$139:$I$159,5,0)*VLOOKUP('Données projet'!$B$13,Paramètres!$A$1:$I$89,7,0))</f>
        <v>0.27</v>
      </c>
      <c r="DD59" s="17">
        <f>IF(ISNA(VLOOKUP(A59,'Données projet'!$A$139:$I$159,6,0)),0%,VLOOKUP(A59,'Données projet'!$A$139:$I$159,6,0)*VLOOKUP('Données projet'!$B$13,Paramètres!$A$1:$I$89,7,0))</f>
        <v>9.9000000000000005E-2</v>
      </c>
      <c r="DE59" s="17">
        <f>IF(ISNA(VLOOKUP(A59,'Données projet'!$A$139:$I$159,7,0)),0%,VLOOKUP(A59,'Données projet'!$A$139:$I$159,7,0))</f>
        <v>0.18</v>
      </c>
      <c r="DF59" s="23">
        <f>EXP(-LN(2)/35)*DF58+(1-EXP(-LN(2)/35))/(LN(2)/35)*DB59*DC59*VLOOKUP('Données projet'!$B$13,Paramètres!$A$1:$I$89,3,0)*0.475*44/12</f>
        <v>49.191508375636275</v>
      </c>
      <c r="DG59" s="23">
        <f>EXP(-LN(2)/25)*DG58+(1-EXP(-LN(2)/25))/(LN(2)/25)*Calculateur!DB59*Calculateur!DD59*VLOOKUP('Données projet'!$B$13,Paramètres!$A$1:$I$89,3,0)*0.475*44/12</f>
        <v>24.468527709030173</v>
      </c>
      <c r="DH59" s="23">
        <f>EXP(-LN(2)/2)*DH58+(1-EXP(-LN(2)/2))/(LN(2)/2)*DB59*DE59*VLOOKUP('Données projet'!$B$13,Paramètres!$A$1:$I$89,3,0)*0.475*44/12</f>
        <v>9.8756818285557628</v>
      </c>
      <c r="DI59" s="24">
        <f t="shared" si="15"/>
        <v>83.535717913222214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17.600000000000001</v>
      </c>
      <c r="N60" s="14">
        <f>IF('Données projet'!$A$36&gt;35,N59+M60-V59,IF(A60&lt;'Données projet'!$A$36,$K$205^A60,IF(A60='Données projet'!$A$36,'Données projet'!$B$36,N59+M60-V59)))</f>
        <v>598.19999999999993</v>
      </c>
      <c r="O60" s="14">
        <f>N60*VLOOKUP('Données projet'!$B$9,Paramètres!$A$1:$I$89,3,0)*VLOOKUP('Données projet'!$B$9,Paramètres!$A$1:$I$89,5,0)</f>
        <v>334.39379999999994</v>
      </c>
      <c r="P60" s="14">
        <f t="shared" si="33"/>
        <v>78.340551587003134</v>
      </c>
      <c r="Q60" s="22">
        <f t="shared" si="53"/>
        <v>718.8456623473636</v>
      </c>
      <c r="R60" s="62">
        <f t="shared" si="0"/>
        <v>1012.178995680697</v>
      </c>
      <c r="S60" s="62">
        <f ca="1">AVERAGE(OFFSET($R$3,0,0,'Données projet'!$E$9+1,1))-AVERAGE(OFFSET($H$3,0,0,'Données projet'!$E$9+1,1))</f>
        <v>389.80719836281679</v>
      </c>
      <c r="T60" s="62">
        <f t="shared" si="34"/>
        <v>399.58193819355591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50.365791712040355</v>
      </c>
      <c r="AA60" s="23">
        <f>EXP(-LN(2)/25)*AA59+(1-EXP(-LN(2)/25))/(LN(2)/25)*Calculateur!V60*Calculateur!X60*VLOOKUP('Données projet'!$B$9,Paramètres!$A$1:$I$89,3,0)*0.475*44/12</f>
        <v>27.308193258502342</v>
      </c>
      <c r="AB60" s="23">
        <f>EXP(-LN(2)/2)*AB59+(1-EXP(-LN(2)/2))/(LN(2)/2)*V60*Y60*VLOOKUP('Données projet'!$B$9,Paramètres!$A$1:$I$89,3,0)*0.475*44/12</f>
        <v>3.6453019092976526</v>
      </c>
      <c r="AC60" s="24">
        <f t="shared" si="3"/>
        <v>81.319286879840362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14.12</v>
      </c>
      <c r="AI60" s="14">
        <f>IF('Données projet'!$A$62&gt;35,AI59+AH60-AQ59,IF(A60&lt;'Données projet'!$A$62,$AF$205^A60,IF(A60='Données projet'!$A$62,'Données projet'!$B$62,AI59+AH60-AQ59)))</f>
        <v>398.58000000000021</v>
      </c>
      <c r="AJ60" s="14">
        <f>AI60*VLOOKUP('Données projet'!$B$10,Paramètres!$A$1:$I$89,3,0)*VLOOKUP('Données projet'!$B$10,Paramètres!$A$1:$I$89,5,0)</f>
        <v>238.35084000000015</v>
      </c>
      <c r="AK60" s="14">
        <f t="shared" si="35"/>
        <v>58.084563408326787</v>
      </c>
      <c r="AL60" s="22">
        <f t="shared" si="4"/>
        <v>516.29166093616936</v>
      </c>
      <c r="AM60" s="62">
        <f t="shared" si="5"/>
        <v>809.62499426950262</v>
      </c>
      <c r="AN60" s="62">
        <f ca="1">AVERAGE(OFFSET($AM$3,0,0,'Données projet'!$E$10+1,1))-AVERAGE(OFFSET($H$3,0,0,'Données projet'!$E$10+1,1))</f>
        <v>269.90083987531233</v>
      </c>
      <c r="AO60" s="62">
        <f t="shared" si="36"/>
        <v>183.4515835513518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27.739220854076031</v>
      </c>
      <c r="AV60" s="23">
        <f>EXP(-LN(2)/25)*AV59+(1-EXP(-LN(2)/25))/(LN(2)/25)*Calculateur!AQ60*Calculateur!AS60*VLOOKUP('Données projet'!$B$10,Paramètres!$A$1:$I$89,3,0)*0.475*44/12</f>
        <v>19.653782219171386</v>
      </c>
      <c r="AW60" s="23">
        <f>EXP(-LN(2)/2)*AW59+(1-EXP(-LN(2)/2))/(LN(2)/2)*AQ60*AT60*VLOOKUP('Données projet'!$B$10,Paramètres!$A$1:$I$89,3,0)*0.475*44/12</f>
        <v>0.9762917391397874</v>
      </c>
      <c r="AX60" s="23">
        <f t="shared" si="6"/>
        <v>48.369294812387203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>
        <f>VLOOKUP(A60,'Données projet'!$A$87:$I$107,2,0)</f>
        <v>362.65</v>
      </c>
      <c r="BB60" s="13">
        <f>VLOOKUP(A60,'Données projet'!$A$87:$I$107,9,0)</f>
        <v>6.3622807017543854</v>
      </c>
      <c r="BC60" s="13">
        <f t="array" ref="BC60">INDEX(BB:BB,MIN(IF(ISNUMBER(BB60:BB256),ROW(BB60:BB256),"")))</f>
        <v>6.3622807017543854</v>
      </c>
      <c r="BD60" s="13">
        <f>IF('Données projet'!$A$88&gt;35,BD59+BC60-BL59,IF(A60&lt;'Données projet'!$A$88,$BA$205^A60,IF(A60='Données projet'!$A$88,'Données projet'!$B$88,BD59+BC60-BL59)))</f>
        <v>362.65</v>
      </c>
      <c r="BE60" s="14">
        <f>BD60*VLOOKUP('Données projet'!$B$11,Paramètres!$A$1:$I$89,3,0)*VLOOKUP('Données projet'!$B$11,Paramètres!$A$1:$I$89,5,0)</f>
        <v>174.43465</v>
      </c>
      <c r="BF60" s="14">
        <f t="shared" si="37"/>
        <v>44.081744190138657</v>
      </c>
      <c r="BG60" s="22">
        <f t="shared" si="7"/>
        <v>380.5827198811582</v>
      </c>
      <c r="BH60" s="62">
        <f t="shared" si="8"/>
        <v>673.91605321449151</v>
      </c>
      <c r="BI60" s="62">
        <f ca="1">AVERAGE(OFFSET($BH$3,0,0,'Données projet'!$E$11+1,1))-AVERAGE(OFFSET($H$3,0,0,'Données projet'!$E$11+1,1))</f>
        <v>255.64417186544995</v>
      </c>
      <c r="BJ60" s="62">
        <f t="shared" si="38"/>
        <v>165.41802783289376</v>
      </c>
      <c r="BK60" s="16">
        <f>IF(ISNA(VLOOKUP(A60,'Données projet'!$A$87:$I$107,3,0)),0,VLOOKUP(A60,'Données projet'!$A$87:$I$107,3,0))</f>
        <v>1</v>
      </c>
      <c r="BL60" s="16">
        <f>IF(ISNA(VLOOKUP(A60,'Données projet'!$A$87:$I$107,4,0)),0,VLOOKUP(A60,'Données projet'!$A$87:$I$107,4,0))</f>
        <v>133.62</v>
      </c>
      <c r="BM60" s="17">
        <f>IF(ISNA(VLOOKUP(A60,'Données projet'!$A$87:$I$107,5,0)),0%,VLOOKUP(A60,'Données projet'!$A$87:$I$107,5,0)*VLOOKUP('Données projet'!$B$11,Paramètres!$A$1:$I$89,7,0))</f>
        <v>0.11000000000000001</v>
      </c>
      <c r="BN60" s="17">
        <f>IF(ISNA(VLOOKUP(A60,'Données projet'!$A$87:$I$107,6,0)),0%,VLOOKUP(A60,'Données projet'!$A$87:$I$107,6,0)*VLOOKUP('Données projet'!$B$11,Paramètres!$A$1:$I$89,7,0))</f>
        <v>0.24750000000000003</v>
      </c>
      <c r="BO60" s="17">
        <f>IF(ISNA(VLOOKUP(A60,'Données projet'!$A$87:$I$107,7,0)),0%,VLOOKUP(A60,'Données projet'!$A$87:$I$107,7,0))</f>
        <v>0.35</v>
      </c>
      <c r="BP60" s="23">
        <f>EXP(-LN(2)/35)*BP59+(1-EXP(-LN(2)/35))/(LN(2)/35)*BL60*BM60*VLOOKUP('Données projet'!$B$11,Paramètres!$A$1:$I$89,3,0)*0.475*44/12</f>
        <v>9.3785907555708388</v>
      </c>
      <c r="BQ60" s="23">
        <f>EXP(-LN(2)/25)*BQ59+(1-EXP(-LN(2)/25))/(LN(2)/25)*Calculateur!BL60*Calculateur!BN60*VLOOKUP('Données projet'!$B$11,Paramètres!$A$1:$I$89,3,0)*0.475*44/12</f>
        <v>21.018743258046566</v>
      </c>
      <c r="BR60" s="23">
        <f>EXP(-LN(2)/2)*BR59+(1-EXP(-LN(2)/2))/(LN(2)/2)*BL60*BO60*VLOOKUP('Données projet'!$B$11,Paramètres!$A$1:$I$89,3,0)*0.475*44/12</f>
        <v>25.469482879900127</v>
      </c>
      <c r="BS60" s="24">
        <f t="shared" si="9"/>
        <v>55.86681689351753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17</v>
      </c>
      <c r="BY60" s="13">
        <f>IF('Données projet'!$A$114&gt;35,BY59+BX60-CG59,IF(A60&lt;'Données projet'!$A$114,$BV$205^A60,IF(A60='Données projet'!$A$114,'Données projet'!$B$114,BY59+BX60-CG59)))</f>
        <v>666.99999999999989</v>
      </c>
      <c r="BZ60" s="14">
        <f>BY60*VLOOKUP('Données projet'!$B$12,Paramètres!$A$1:$I$89,3,0)*VLOOKUP('Données projet'!$B$12,Paramètres!$A$1:$I$89,5,0)</f>
        <v>372.85299999999995</v>
      </c>
      <c r="CA60" s="14">
        <f t="shared" si="39"/>
        <v>86.250719209905597</v>
      </c>
      <c r="CB60" s="22">
        <f t="shared" si="10"/>
        <v>799.60564429058547</v>
      </c>
      <c r="CC60" s="62">
        <f t="shared" si="11"/>
        <v>1092.9389776239188</v>
      </c>
      <c r="CD60" s="62">
        <f ca="1">AVERAGE(OFFSET($CC$3,0,0,'Données projet'!$E$12+1,1))-AVERAGE(OFFSET($H$3,0,0,'Données projet'!$E$12+1,1))</f>
        <v>465.49436272491818</v>
      </c>
      <c r="CE60" s="62">
        <f t="shared" si="40"/>
        <v>494.36941732405256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55.901089662486868</v>
      </c>
      <c r="CL60" s="23">
        <f>EXP(-LN(2)/25)*CL59+(1-EXP(-LN(2)/25))/(LN(2)/25)*Calculateur!CG60*Calculateur!CI60*VLOOKUP('Données projet'!$B$12,Paramètres!$A$1:$I$89,3,0)*0.475*44/12</f>
        <v>32.542988788451929</v>
      </c>
      <c r="CM60" s="23">
        <f>EXP(-LN(2)/2)*CM59+(1-EXP(-LN(2)/2))/(LN(2)/2)*CG60*CJ60*VLOOKUP('Données projet'!$B$12,Paramètres!$A$1:$I$89,3,0)*0.475*44/12</f>
        <v>3.6745924607035172</v>
      </c>
      <c r="CN60" s="24">
        <f t="shared" si="12"/>
        <v>92.118670911642326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15.602999999999998</v>
      </c>
      <c r="CT60" s="13">
        <f>IF('Données projet'!$A$140&gt;35,CT59+CS60-DB59,IF(A60&lt;'Données projet'!$A$140,$CQ$205^A60,IF(A60='Données projet'!$A$140,'Données projet'!$B$140,CT59+CS60-DB59)))</f>
        <v>489.93299999999999</v>
      </c>
      <c r="CU60" s="18">
        <f>CT60*VLOOKUP('Données projet'!$B$13,Paramètres!$A$1:$I$89,3,0)*VLOOKUP('Données projet'!$B$13,Paramètres!$A$1:$I$89,5,0)</f>
        <v>292.97993400000001</v>
      </c>
      <c r="CV60" s="14">
        <f t="shared" si="41"/>
        <v>69.702766061708147</v>
      </c>
      <c r="CW60" s="22">
        <f t="shared" si="13"/>
        <v>631.67236927414172</v>
      </c>
      <c r="CX60" s="62">
        <f t="shared" si="14"/>
        <v>925.00570260747509</v>
      </c>
      <c r="CY60" s="62">
        <f ca="1">AVERAGE(OFFSET($CX$3,0,0,'Données projet'!$E$13+1,1))-AVERAGE(OFFSET($H$3,0,0,'Données projet'!$E$13+1,1))</f>
        <v>361.46923697840384</v>
      </c>
      <c r="CZ60" s="62">
        <f t="shared" si="42"/>
        <v>302.25424592654673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48.22689290024752</v>
      </c>
      <c r="DG60" s="23">
        <f>EXP(-LN(2)/25)*DG59+(1-EXP(-LN(2)/25))/(LN(2)/25)*Calculateur!DB60*Calculateur!DD60*VLOOKUP('Données projet'!$B$13,Paramètres!$A$1:$I$89,3,0)*0.475*44/12</f>
        <v>23.799434532082795</v>
      </c>
      <c r="DH60" s="23">
        <f>EXP(-LN(2)/2)*DH59+(1-EXP(-LN(2)/2))/(LN(2)/2)*DB60*DE60*VLOOKUP('Données projet'!$B$13,Paramètres!$A$1:$I$89,3,0)*0.475*44/12</f>
        <v>6.9831615898125436</v>
      </c>
      <c r="DI60" s="24">
        <f t="shared" si="15"/>
        <v>79.009489022142859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17.600000000000001</v>
      </c>
      <c r="N61" s="14">
        <f>IF('Données projet'!$A$36&gt;35,N60+M61-V60,IF(A61&lt;'Données projet'!$A$36,$K$205^A61,IF(A61='Données projet'!$A$36,'Données projet'!$B$36,N60+M61-V60)))</f>
        <v>615.79999999999995</v>
      </c>
      <c r="O61" s="14">
        <f>N61*VLOOKUP('Données projet'!$B$9,Paramètres!$A$1:$I$89,3,0)*VLOOKUP('Données projet'!$B$9,Paramètres!$A$1:$I$89,5,0)</f>
        <v>344.23219999999998</v>
      </c>
      <c r="P61" s="14">
        <f t="shared" si="33"/>
        <v>80.373715191199906</v>
      </c>
      <c r="Q61" s="22">
        <f t="shared" si="53"/>
        <v>739.52196895800637</v>
      </c>
      <c r="R61" s="62">
        <f t="shared" si="0"/>
        <v>1032.8553022913397</v>
      </c>
      <c r="S61" s="62">
        <f ca="1">AVERAGE(OFFSET($R$3,0,0,'Données projet'!$E$9+1,1))-AVERAGE(OFFSET($H$3,0,0,'Données projet'!$E$9+1,1))</f>
        <v>389.80719836281679</v>
      </c>
      <c r="T61" s="62">
        <f t="shared" si="34"/>
        <v>399.58193819355591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49.378149256666831</v>
      </c>
      <c r="AA61" s="23">
        <f>EXP(-LN(2)/25)*AA60+(1-EXP(-LN(2)/25))/(LN(2)/25)*Calculateur!V61*Calculateur!X61*VLOOKUP('Données projet'!$B$9,Paramètres!$A$1:$I$89,3,0)*0.475*44/12</f>
        <v>26.561449277773125</v>
      </c>
      <c r="AB61" s="23">
        <f>EXP(-LN(2)/2)*AB60+(1-EXP(-LN(2)/2))/(LN(2)/2)*V61*Y61*VLOOKUP('Données projet'!$B$9,Paramètres!$A$1:$I$89,3,0)*0.475*44/12</f>
        <v>2.5776176995366393</v>
      </c>
      <c r="AC61" s="24">
        <f t="shared" si="3"/>
        <v>78.517216233976598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14.12</v>
      </c>
      <c r="AI61" s="14">
        <f>IF('Données projet'!$A$62&gt;35,AI60+AH61-AQ60,IF(A61&lt;'Données projet'!$A$62,$AF$205^A61,IF(A61='Données projet'!$A$62,'Données projet'!$B$62,AI60+AH61-AQ60)))</f>
        <v>412.70000000000022</v>
      </c>
      <c r="AJ61" s="14">
        <f>AI61*VLOOKUP('Données projet'!$B$10,Paramètres!$A$1:$I$89,3,0)*VLOOKUP('Données projet'!$B$10,Paramètres!$A$1:$I$89,5,0)</f>
        <v>246.79460000000014</v>
      </c>
      <c r="AK61" s="14">
        <f t="shared" si="35"/>
        <v>59.899038030532552</v>
      </c>
      <c r="AL61" s="22">
        <f t="shared" si="4"/>
        <v>534.15808623651117</v>
      </c>
      <c r="AM61" s="62">
        <f t="shared" si="5"/>
        <v>827.49141956984454</v>
      </c>
      <c r="AN61" s="62">
        <f ca="1">AVERAGE(OFFSET($AM$3,0,0,'Données projet'!$E$10+1,1))-AVERAGE(OFFSET($H$3,0,0,'Données projet'!$E$10+1,1))</f>
        <v>269.90083987531233</v>
      </c>
      <c r="AO61" s="62">
        <f t="shared" si="36"/>
        <v>183.4515835513518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27.195271652381685</v>
      </c>
      <c r="AV61" s="23">
        <f>EXP(-LN(2)/25)*AV60+(1-EXP(-LN(2)/25))/(LN(2)/25)*Calculateur!AQ61*Calculateur!AS61*VLOOKUP('Données projet'!$B$10,Paramètres!$A$1:$I$89,3,0)*0.475*44/12</f>
        <v>19.116348510840659</v>
      </c>
      <c r="AW61" s="23">
        <f>EXP(-LN(2)/2)*AW60+(1-EXP(-LN(2)/2))/(LN(2)/2)*AQ61*AT61*VLOOKUP('Données projet'!$B$10,Paramètres!$A$1:$I$89,3,0)*0.475*44/12</f>
        <v>0.69034250916215167</v>
      </c>
      <c r="AX61" s="23">
        <f t="shared" si="6"/>
        <v>47.001962672384494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15.948750000000004</v>
      </c>
      <c r="BD61" s="13">
        <f>IF('Données projet'!$A$88&gt;35,BD60+BC61-BL60,IF(A61&lt;'Données projet'!$A$88,$BA$205^A61,IF(A61='Données projet'!$A$88,'Données projet'!$B$88,BD60+BC61-BL60)))</f>
        <v>244.97874999999999</v>
      </c>
      <c r="BE61" s="14">
        <f>BD61*VLOOKUP('Données projet'!$B$11,Paramètres!$A$1:$I$89,3,0)*VLOOKUP('Données projet'!$B$11,Paramètres!$A$1:$I$89,5,0)</f>
        <v>117.83477874999998</v>
      </c>
      <c r="BF61" s="14">
        <f t="shared" si="37"/>
        <v>31.169463080041233</v>
      </c>
      <c r="BG61" s="22">
        <f t="shared" si="7"/>
        <v>259.51572118732179</v>
      </c>
      <c r="BH61" s="62">
        <f t="shared" si="8"/>
        <v>552.84905452065505</v>
      </c>
      <c r="BI61" s="62">
        <f ca="1">AVERAGE(OFFSET($BH$3,0,0,'Données projet'!$E$11+1,1))-AVERAGE(OFFSET($H$3,0,0,'Données projet'!$E$11+1,1))</f>
        <v>255.64417186544995</v>
      </c>
      <c r="BJ61" s="62">
        <f t="shared" si="38"/>
        <v>165.41802783289376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9.1946823112296148</v>
      </c>
      <c r="BQ61" s="23">
        <f>EXP(-LN(2)/25)*BQ60+(1-EXP(-LN(2)/25))/(LN(2)/25)*Calculateur!BL61*Calculateur!BN61*VLOOKUP('Données projet'!$B$11,Paramètres!$A$1:$I$89,3,0)*0.475*44/12</f>
        <v>20.443984618327615</v>
      </c>
      <c r="BR61" s="23">
        <f>EXP(-LN(2)/2)*BR60+(1-EXP(-LN(2)/2))/(LN(2)/2)*BL61*BO61*VLOOKUP('Données projet'!$B$11,Paramètres!$A$1:$I$89,3,0)*0.475*44/12</f>
        <v>18.009644057692057</v>
      </c>
      <c r="BS61" s="24">
        <f t="shared" si="9"/>
        <v>47.648310987249289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17</v>
      </c>
      <c r="BY61" s="13">
        <f>IF('Données projet'!$A$114&gt;35,BY60+BX61-CG60,IF(A61&lt;'Données projet'!$A$114,$BV$205^A61,IF(A61='Données projet'!$A$114,'Données projet'!$B$114,BY60+BX61-CG60)))</f>
        <v>683.99999999999989</v>
      </c>
      <c r="BZ61" s="14">
        <f>BY61*VLOOKUP('Données projet'!$B$12,Paramètres!$A$1:$I$89,3,0)*VLOOKUP('Données projet'!$B$12,Paramètres!$A$1:$I$89,5,0)</f>
        <v>382.35599999999994</v>
      </c>
      <c r="CA61" s="14">
        <f t="shared" si="39"/>
        <v>88.190277629826127</v>
      </c>
      <c r="CB61" s="22">
        <f t="shared" si="10"/>
        <v>819.534766871947</v>
      </c>
      <c r="CC61" s="62">
        <f t="shared" si="11"/>
        <v>1112.8681002052804</v>
      </c>
      <c r="CD61" s="62">
        <f ca="1">AVERAGE(OFFSET($CC$3,0,0,'Données projet'!$E$12+1,1))-AVERAGE(OFFSET($H$3,0,0,'Données projet'!$E$12+1,1))</f>
        <v>465.49436272491818</v>
      </c>
      <c r="CE61" s="62">
        <f t="shared" si="40"/>
        <v>494.36941732405256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54.804903390503462</v>
      </c>
      <c r="CL61" s="23">
        <f>EXP(-LN(2)/25)*CL60+(1-EXP(-LN(2)/25))/(LN(2)/25)*Calculateur!CG61*Calculateur!CI61*VLOOKUP('Données projet'!$B$12,Paramètres!$A$1:$I$89,3,0)*0.475*44/12</f>
        <v>31.65309904867031</v>
      </c>
      <c r="CM61" s="23">
        <f>EXP(-LN(2)/2)*CM60+(1-EXP(-LN(2)/2))/(LN(2)/2)*CG61*CJ61*VLOOKUP('Données projet'!$B$12,Paramètres!$A$1:$I$89,3,0)*0.475*44/12</f>
        <v>2.5983292470604193</v>
      </c>
      <c r="CN61" s="24">
        <f t="shared" si="12"/>
        <v>89.056331686234188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15.602999999999998</v>
      </c>
      <c r="CT61" s="13">
        <f>IF('Données projet'!$A$140&gt;35,CT60+CS61-DB60,IF(A61&lt;'Données projet'!$A$140,$CQ$205^A61,IF(A61='Données projet'!$A$140,'Données projet'!$B$140,CT60+CS61-DB60)))</f>
        <v>505.536</v>
      </c>
      <c r="CU61" s="18">
        <f>CT61*VLOOKUP('Données projet'!$B$13,Paramètres!$A$1:$I$89,3,0)*VLOOKUP('Données projet'!$B$13,Paramètres!$A$1:$I$89,5,0)</f>
        <v>302.31052800000003</v>
      </c>
      <c r="CV61" s="14">
        <f t="shared" si="41"/>
        <v>71.66062239498595</v>
      </c>
      <c r="CW61" s="22">
        <f t="shared" si="13"/>
        <v>651.3330869379339</v>
      </c>
      <c r="CX61" s="62">
        <f t="shared" si="14"/>
        <v>944.66642027126727</v>
      </c>
      <c r="CY61" s="62">
        <f ca="1">AVERAGE(OFFSET($CX$3,0,0,'Données projet'!$E$13+1,1))-AVERAGE(OFFSET($H$3,0,0,'Données projet'!$E$13+1,1))</f>
        <v>361.46923697840384</v>
      </c>
      <c r="CZ61" s="62">
        <f t="shared" si="42"/>
        <v>302.25424592654673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47.2811929459738</v>
      </c>
      <c r="DG61" s="23">
        <f>EXP(-LN(2)/25)*DG60+(1-EXP(-LN(2)/25))/(LN(2)/25)*Calculateur!DB61*Calculateur!DD61*VLOOKUP('Données projet'!$B$13,Paramètres!$A$1:$I$89,3,0)*0.475*44/12</f>
        <v>23.148637743245125</v>
      </c>
      <c r="DH61" s="23">
        <f>EXP(-LN(2)/2)*DH60+(1-EXP(-LN(2)/2))/(LN(2)/2)*DB61*DE61*VLOOKUP('Données projet'!$B$13,Paramètres!$A$1:$I$89,3,0)*0.475*44/12</f>
        <v>4.9378409142778823</v>
      </c>
      <c r="DI61" s="24">
        <f t="shared" si="15"/>
        <v>75.367671603496817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17.600000000000001</v>
      </c>
      <c r="N62" s="14">
        <f>IF('Données projet'!$A$36&gt;35,N61+M62-V61,IF(A62&lt;'Données projet'!$A$36,$K$205^A62,IF(A62='Données projet'!$A$36,'Données projet'!$B$36,N61+M62-V61)))</f>
        <v>633.4</v>
      </c>
      <c r="O62" s="14">
        <f>N62*VLOOKUP('Données projet'!$B$9,Paramètres!$A$1:$I$89,3,0)*VLOOKUP('Données projet'!$B$9,Paramètres!$A$1:$I$89,5,0)</f>
        <v>354.07059999999996</v>
      </c>
      <c r="P62" s="14">
        <f t="shared" si="33"/>
        <v>82.400125145142354</v>
      </c>
      <c r="Q62" s="22">
        <f t="shared" si="53"/>
        <v>760.18651296112273</v>
      </c>
      <c r="R62" s="62">
        <f t="shared" si="0"/>
        <v>1053.5198462944561</v>
      </c>
      <c r="S62" s="62">
        <f ca="1">AVERAGE(OFFSET($R$3,0,0,'Données projet'!$E$9+1,1))-AVERAGE(OFFSET($H$3,0,0,'Données projet'!$E$9+1,1))</f>
        <v>389.80719836281679</v>
      </c>
      <c r="T62" s="62">
        <f t="shared" si="34"/>
        <v>399.58193819355591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48.409873867440766</v>
      </c>
      <c r="AA62" s="23">
        <f>EXP(-LN(2)/25)*AA61+(1-EXP(-LN(2)/25))/(LN(2)/25)*Calculateur!V62*Calculateur!X62*VLOOKUP('Données projet'!$B$9,Paramètres!$A$1:$I$89,3,0)*0.475*44/12</f>
        <v>25.835125050466509</v>
      </c>
      <c r="AB62" s="23">
        <f>EXP(-LN(2)/2)*AB61+(1-EXP(-LN(2)/2))/(LN(2)/2)*V62*Y62*VLOOKUP('Données projet'!$B$9,Paramètres!$A$1:$I$89,3,0)*0.475*44/12</f>
        <v>1.8226509546488265</v>
      </c>
      <c r="AC62" s="24">
        <f t="shared" si="3"/>
        <v>76.067649872556103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14.12</v>
      </c>
      <c r="AI62" s="14">
        <f>IF('Données projet'!$A$62&gt;35,AI61+AH62-AQ61,IF(A62&lt;'Données projet'!$A$62,$AF$205^A62,IF(A62='Données projet'!$A$62,'Données projet'!$B$62,AI61+AH62-AQ61)))</f>
        <v>426.82000000000022</v>
      </c>
      <c r="AJ62" s="14">
        <f>AI62*VLOOKUP('Données projet'!$B$10,Paramètres!$A$1:$I$89,3,0)*VLOOKUP('Données projet'!$B$10,Paramètres!$A$1:$I$89,5,0)</f>
        <v>255.23836000000014</v>
      </c>
      <c r="AK62" s="14">
        <f t="shared" si="35"/>
        <v>61.706299433596136</v>
      </c>
      <c r="AL62" s="22">
        <f t="shared" si="4"/>
        <v>552.0119485135134</v>
      </c>
      <c r="AM62" s="62">
        <f t="shared" si="5"/>
        <v>845.34528184684677</v>
      </c>
      <c r="AN62" s="62">
        <f ca="1">AVERAGE(OFFSET($AM$3,0,0,'Données projet'!$E$10+1,1))-AVERAGE(OFFSET($H$3,0,0,'Données projet'!$E$10+1,1))</f>
        <v>269.90083987531233</v>
      </c>
      <c r="AO62" s="62">
        <f t="shared" si="36"/>
        <v>183.4515835513518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26.661988962756311</v>
      </c>
      <c r="AV62" s="23">
        <f>EXP(-LN(2)/25)*AV61+(1-EXP(-LN(2)/25))/(LN(2)/25)*Calculateur!AQ62*Calculateur!AS62*VLOOKUP('Données projet'!$B$10,Paramètres!$A$1:$I$89,3,0)*0.475*44/12</f>
        <v>18.593610955526643</v>
      </c>
      <c r="AW62" s="23">
        <f>EXP(-LN(2)/2)*AW61+(1-EXP(-LN(2)/2))/(LN(2)/2)*AQ62*AT62*VLOOKUP('Données projet'!$B$10,Paramètres!$A$1:$I$89,3,0)*0.475*44/12</f>
        <v>0.48814586956989381</v>
      </c>
      <c r="AX62" s="23">
        <f t="shared" si="6"/>
        <v>45.743745787852845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15.948750000000004</v>
      </c>
      <c r="BD62" s="13">
        <f>IF('Données projet'!$A$88&gt;35,BD61+BC62-BL61,IF(A62&lt;'Données projet'!$A$88,$BA$205^A62,IF(A62='Données projet'!$A$88,'Données projet'!$B$88,BD61+BC62-BL61)))</f>
        <v>260.92750000000001</v>
      </c>
      <c r="BE62" s="14">
        <f>BD62*VLOOKUP('Données projet'!$B$11,Paramètres!$A$1:$I$89,3,0)*VLOOKUP('Données projet'!$B$11,Paramètres!$A$1:$I$89,5,0)</f>
        <v>125.50612750000001</v>
      </c>
      <c r="BF62" s="14">
        <f t="shared" si="37"/>
        <v>32.955840831919758</v>
      </c>
      <c r="BG62" s="22">
        <f t="shared" si="7"/>
        <v>275.98792817809357</v>
      </c>
      <c r="BH62" s="62">
        <f t="shared" si="8"/>
        <v>569.32126151142688</v>
      </c>
      <c r="BI62" s="62">
        <f ca="1">AVERAGE(OFFSET($BH$3,0,0,'Données projet'!$E$11+1,1))-AVERAGE(OFFSET($H$3,0,0,'Données projet'!$E$11+1,1))</f>
        <v>255.64417186544995</v>
      </c>
      <c r="BJ62" s="62">
        <f t="shared" si="38"/>
        <v>165.41802783289376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9.0143801993088477</v>
      </c>
      <c r="BQ62" s="23">
        <f>EXP(-LN(2)/25)*BQ61+(1-EXP(-LN(2)/25))/(LN(2)/25)*Calculateur!BL62*Calculateur!BN62*VLOOKUP('Données projet'!$B$11,Paramètres!$A$1:$I$89,3,0)*0.475*44/12</f>
        <v>19.884942783837023</v>
      </c>
      <c r="BR62" s="23">
        <f>EXP(-LN(2)/2)*BR61+(1-EXP(-LN(2)/2))/(LN(2)/2)*BL62*BO62*VLOOKUP('Données projet'!$B$11,Paramètres!$A$1:$I$89,3,0)*0.475*44/12</f>
        <v>12.734741439950064</v>
      </c>
      <c r="BS62" s="24">
        <f t="shared" si="9"/>
        <v>41.634064423095936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17</v>
      </c>
      <c r="BY62" s="13">
        <f>IF('Données projet'!$A$114&gt;35,BY61+BX62-CG61,IF(A62&lt;'Données projet'!$A$114,$BV$205^A62,IF(A62='Données projet'!$A$114,'Données projet'!$B$114,BY61+BX62-CG61)))</f>
        <v>700.99999999999989</v>
      </c>
      <c r="BZ62" s="14">
        <f>BY62*VLOOKUP('Données projet'!$B$12,Paramètres!$A$1:$I$89,3,0)*VLOOKUP('Données projet'!$B$12,Paramètres!$A$1:$I$89,5,0)</f>
        <v>391.85899999999992</v>
      </c>
      <c r="CA62" s="14">
        <f t="shared" si="39"/>
        <v>90.124232440176513</v>
      </c>
      <c r="CB62" s="22">
        <f t="shared" si="10"/>
        <v>839.45412983330732</v>
      </c>
      <c r="CC62" s="62">
        <f t="shared" si="11"/>
        <v>1132.7874631666407</v>
      </c>
      <c r="CD62" s="62">
        <f ca="1">AVERAGE(OFFSET($CC$3,0,0,'Données projet'!$E$12+1,1))-AVERAGE(OFFSET($H$3,0,0,'Données projet'!$E$12+1,1))</f>
        <v>465.49436272491818</v>
      </c>
      <c r="CE62" s="62">
        <f t="shared" si="40"/>
        <v>494.36941732405256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53.730212662706045</v>
      </c>
      <c r="CL62" s="23">
        <f>EXP(-LN(2)/25)*CL61+(1-EXP(-LN(2)/25))/(LN(2)/25)*Calculateur!CG62*Calculateur!CI62*VLOOKUP('Données projet'!$B$12,Paramètres!$A$1:$I$89,3,0)*0.475*44/12</f>
        <v>30.787543390620286</v>
      </c>
      <c r="CM62" s="23">
        <f>EXP(-LN(2)/2)*CM61+(1-EXP(-LN(2)/2))/(LN(2)/2)*CG62*CJ62*VLOOKUP('Données projet'!$B$12,Paramètres!$A$1:$I$89,3,0)*0.475*44/12</f>
        <v>1.8372962303517588</v>
      </c>
      <c r="CN62" s="24">
        <f t="shared" si="12"/>
        <v>86.355052283678091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15.602999999999998</v>
      </c>
      <c r="CT62" s="13">
        <f>IF('Données projet'!$A$140&gt;35,CT61+CS62-DB61,IF(A62&lt;'Données projet'!$A$140,$CQ$205^A62,IF(A62='Données projet'!$A$140,'Données projet'!$B$140,CT61+CS62-DB61)))</f>
        <v>521.13900000000001</v>
      </c>
      <c r="CU62" s="18">
        <f>CT62*VLOOKUP('Données projet'!$B$13,Paramètres!$A$1:$I$89,3,0)*VLOOKUP('Données projet'!$B$13,Paramètres!$A$1:$I$89,5,0)</f>
        <v>311.64112200000005</v>
      </c>
      <c r="CV62" s="14">
        <f t="shared" si="41"/>
        <v>73.611456373141493</v>
      </c>
      <c r="CW62" s="22">
        <f t="shared" si="13"/>
        <v>670.98157399988816</v>
      </c>
      <c r="CX62" s="62">
        <f t="shared" si="14"/>
        <v>964.31490733322153</v>
      </c>
      <c r="CY62" s="62">
        <f ca="1">AVERAGE(OFFSET($CX$3,0,0,'Données projet'!$E$13+1,1))-AVERAGE(OFFSET($H$3,0,0,'Données projet'!$E$13+1,1))</f>
        <v>361.46923697840384</v>
      </c>
      <c r="CZ62" s="62">
        <f t="shared" si="42"/>
        <v>302.25424592654673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46.354037590983367</v>
      </c>
      <c r="DG62" s="23">
        <f>EXP(-LN(2)/25)*DG61+(1-EXP(-LN(2)/25))/(LN(2)/25)*Calculateur!DB62*Calculateur!DD62*VLOOKUP('Données projet'!$B$13,Paramètres!$A$1:$I$89,3,0)*0.475*44/12</f>
        <v>22.515637026822134</v>
      </c>
      <c r="DH62" s="23">
        <f>EXP(-LN(2)/2)*DH61+(1-EXP(-LN(2)/2))/(LN(2)/2)*DB62*DE62*VLOOKUP('Données projet'!$B$13,Paramètres!$A$1:$I$89,3,0)*0.475*44/12</f>
        <v>3.4915807949062727</v>
      </c>
      <c r="DI62" s="24">
        <f t="shared" si="15"/>
        <v>72.36125541271177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651</v>
      </c>
      <c r="L63" s="13">
        <f>VLOOKUP(A63,'Données projet'!$A$35:$I$55,9,0)</f>
        <v>17.600000000000001</v>
      </c>
      <c r="M63" s="13">
        <f t="array" ref="M63">INDEX(L:L,MIN(IF(ISNUMBER(L63:L259),ROW(L63:L259),"")))</f>
        <v>17.600000000000001</v>
      </c>
      <c r="N63" s="14">
        <f>IF('Données projet'!$A$36&gt;35,N62+M63-V62,IF(A63&lt;'Données projet'!$A$36,$K$205^A63,IF(A63='Données projet'!$A$36,'Données projet'!$B$36,N62+M63-V62)))</f>
        <v>651</v>
      </c>
      <c r="O63" s="14">
        <f>N63*VLOOKUP('Données projet'!$B$9,Paramètres!$A$1:$I$89,3,0)*VLOOKUP('Données projet'!$B$9,Paramètres!$A$1:$I$89,5,0)</f>
        <v>363.90900000000005</v>
      </c>
      <c r="P63" s="14">
        <f t="shared" si="33"/>
        <v>84.419990669257871</v>
      </c>
      <c r="Q63" s="22">
        <f t="shared" si="53"/>
        <v>780.8396587489575</v>
      </c>
      <c r="R63" s="62">
        <f t="shared" si="0"/>
        <v>1074.1729920822909</v>
      </c>
      <c r="S63" s="62">
        <f ca="1">AVERAGE(OFFSET($R$3,0,0,'Données projet'!$E$9+1,1))-AVERAGE(OFFSET($H$3,0,0,'Données projet'!$E$9+1,1))</f>
        <v>389.80719836281679</v>
      </c>
      <c r="T63" s="62">
        <f t="shared" si="34"/>
        <v>399.58193819355591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49</v>
      </c>
      <c r="W63" s="17">
        <f>IF(ISNA(VLOOKUP(A63,'Données projet'!$A$35:$I$55,5,0)),0%,VLOOKUP(A63,'Données projet'!$A$35:$I$55,5,0)*VLOOKUP('Données projet'!$B$9,Paramètres!$A$1:$I$89,7,0))</f>
        <v>0.33</v>
      </c>
      <c r="X63" s="17">
        <f>IF(ISNA(VLOOKUP(A63,'Données projet'!$A$35:$I$55,6,0)),0%,VLOOKUP(A63,'Données projet'!$A$35:$I$55,6,0)*VLOOKUP('Données projet'!$B$9,Paramètres!$A$1:$I$89,7,0))</f>
        <v>0.12100000000000001</v>
      </c>
      <c r="Y63" s="17">
        <f>IF(ISNA(VLOOKUP(A63,'Données projet'!$A$35:$I$55,7,0)),0%,VLOOKUP(A63,'Données projet'!$A$35:$I$55,7,0))</f>
        <v>0.18</v>
      </c>
      <c r="Z63" s="23">
        <f>EXP(-LN(2)/35)*Z62+(1-EXP(-LN(2)/35))/(LN(2)/35)*V63*W63*VLOOKUP('Données projet'!$B$9,Paramètres!$A$1:$I$89,3,0)*0.475*44/12</f>
        <v>59.451441677659417</v>
      </c>
      <c r="AA63" s="23">
        <f>EXP(-LN(2)/25)*AA62+(1-EXP(-LN(2)/25))/(LN(2)/25)*Calculateur!V63*Calculateur!X63*VLOOKUP('Données projet'!$B$9,Paramètres!$A$1:$I$89,3,0)*0.475*44/12</f>
        <v>29.507998089073716</v>
      </c>
      <c r="AB63" s="23">
        <f>EXP(-LN(2)/2)*AB62+(1-EXP(-LN(2)/2))/(LN(2)/2)*V63*Y63*VLOOKUP('Données projet'!$B$9,Paramètres!$A$1:$I$89,3,0)*0.475*44/12</f>
        <v>6.8711443248468571</v>
      </c>
      <c r="AC63" s="24">
        <f t="shared" si="3"/>
        <v>95.830584091579993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440.94</v>
      </c>
      <c r="AG63" s="13">
        <f>VLOOKUP(A63,'Données projet'!$A$61:$I$81,9,0)</f>
        <v>14.12</v>
      </c>
      <c r="AH63" s="13">
        <f t="array" ref="AH63">INDEX(AG:AG,MIN(IF(ISNUMBER(AG63:AG259),ROW(AG63:AG259),"")))</f>
        <v>14.12</v>
      </c>
      <c r="AI63" s="14">
        <f>IF('Données projet'!$A$62&gt;35,AI62+AH63-AQ62,IF(A63&lt;'Données projet'!$A$62,$AF$205^A63,IF(A63='Données projet'!$A$62,'Données projet'!$B$62,AI62+AH63-AQ62)))</f>
        <v>440.94000000000023</v>
      </c>
      <c r="AJ63" s="14">
        <f>AI63*VLOOKUP('Données projet'!$B$10,Paramètres!$A$1:$I$89,3,0)*VLOOKUP('Données projet'!$B$10,Paramètres!$A$1:$I$89,5,0)</f>
        <v>263.68212000000017</v>
      </c>
      <c r="AK63" s="14">
        <f t="shared" si="35"/>
        <v>63.506613606650063</v>
      </c>
      <c r="AL63" s="22">
        <f t="shared" si="4"/>
        <v>569.85371103158241</v>
      </c>
      <c r="AM63" s="62">
        <f t="shared" si="5"/>
        <v>863.18704436491566</v>
      </c>
      <c r="AN63" s="62">
        <f ca="1">AVERAGE(OFFSET($AM$3,0,0,'Données projet'!$E$10+1,1))-AVERAGE(OFFSET($H$3,0,0,'Données projet'!$E$10+1,1))</f>
        <v>269.90083987531233</v>
      </c>
      <c r="AO63" s="62">
        <f t="shared" si="36"/>
        <v>183.4515835513518</v>
      </c>
      <c r="AP63" s="16">
        <f>IF(ISNA(VLOOKUP(A63,'Données projet'!$A$61:$I$81,3,0)),0,VLOOKUP(A63,'Données projet'!$A$61:$I$81,3,0))</f>
        <v>6</v>
      </c>
      <c r="AQ63" s="16">
        <f>IF(ISNA(VLOOKUP(A63,'Données projet'!$A$61:$I$81,4,0)),0,VLOOKUP(A63,'Données projet'!$A$61:$I$81,4,0))</f>
        <v>69.849999999999994</v>
      </c>
      <c r="AR63" s="17">
        <f>IF(ISNA(VLOOKUP(A63,'Données projet'!$A$61:$I$81,5,0)),0%,VLOOKUP(A63,'Données projet'!$A$61:$I$81,5,0)*VLOOKUP('Données projet'!$B$10,Paramètres!$A$1:$I$89,7,0))</f>
        <v>0.22500000000000001</v>
      </c>
      <c r="AS63" s="17">
        <f>IF(ISNA(VLOOKUP(A63,'Données projet'!$A$61:$I$81,6,0)),0%,VLOOKUP(A63,'Données projet'!$A$61:$I$81,6,0)*VLOOKUP('Données projet'!$B$10,Paramètres!$A$1:$I$89,7,0))</f>
        <v>0.12600000000000003</v>
      </c>
      <c r="AT63" s="17">
        <f>IF(ISNA(VLOOKUP(A63,'Données projet'!$A$61:$I$81,7,0)),0%,VLOOKUP(A63,'Données projet'!$A$61:$I$81,7,0))</f>
        <v>0.22</v>
      </c>
      <c r="AU63" s="23">
        <f>EXP(-LN(2)/35)*AU62+(1-EXP(-LN(2)/35))/(LN(2)/35)*AQ63*AR63*VLOOKUP('Données projet'!$B$10,Paramètres!$A$1:$I$89,3,0)*0.475*44/12</f>
        <v>38.606637557839569</v>
      </c>
      <c r="AV63" s="23">
        <f>EXP(-LN(2)/25)*AV62+(1-EXP(-LN(2)/25))/(LN(2)/25)*Calculateur!AQ63*Calculateur!AS63*VLOOKUP('Données projet'!$B$10,Paramètres!$A$1:$I$89,3,0)*0.475*44/12</f>
        <v>25.039463141150151</v>
      </c>
      <c r="AW63" s="23">
        <f>EXP(-LN(2)/2)*AW62+(1-EXP(-LN(2)/2))/(LN(2)/2)*AQ63*AT63*VLOOKUP('Données projet'!$B$10,Paramètres!$A$1:$I$89,3,0)*0.475*44/12</f>
        <v>10.749781456802417</v>
      </c>
      <c r="AX63" s="23">
        <f t="shared" si="6"/>
        <v>74.395882155792137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15.948750000000004</v>
      </c>
      <c r="BD63" s="13">
        <f>IF('Données projet'!$A$88&gt;35,BD62+BC63-BL62,IF(A63&lt;'Données projet'!$A$88,$BA$205^A63,IF(A63='Données projet'!$A$88,'Données projet'!$B$88,BD62+BC63-BL62)))</f>
        <v>276.87625000000003</v>
      </c>
      <c r="BE63" s="14">
        <f>BD63*VLOOKUP('Données projet'!$B$11,Paramètres!$A$1:$I$89,3,0)*VLOOKUP('Données projet'!$B$11,Paramètres!$A$1:$I$89,5,0)</f>
        <v>133.17747625000001</v>
      </c>
      <c r="BF63" s="14">
        <f t="shared" si="37"/>
        <v>34.729545726478321</v>
      </c>
      <c r="BG63" s="22">
        <f t="shared" si="7"/>
        <v>292.43806327569973</v>
      </c>
      <c r="BH63" s="62">
        <f t="shared" si="8"/>
        <v>585.77139660903299</v>
      </c>
      <c r="BI63" s="62">
        <f ca="1">AVERAGE(OFFSET($BH$3,0,0,'Données projet'!$E$11+1,1))-AVERAGE(OFFSET($H$3,0,0,'Données projet'!$E$11+1,1))</f>
        <v>255.64417186544995</v>
      </c>
      <c r="BJ63" s="62">
        <f t="shared" si="38"/>
        <v>165.41802783289376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8.837613701829417</v>
      </c>
      <c r="BQ63" s="23">
        <f>EXP(-LN(2)/25)*BQ62+(1-EXP(-LN(2)/25))/(LN(2)/25)*Calculateur!BL63*Calculateur!BN63*VLOOKUP('Données projet'!$B$11,Paramètres!$A$1:$I$89,3,0)*0.475*44/12</f>
        <v>19.341187977709307</v>
      </c>
      <c r="BR63" s="23">
        <f>EXP(-LN(2)/2)*BR62+(1-EXP(-LN(2)/2))/(LN(2)/2)*BL63*BO63*VLOOKUP('Données projet'!$B$11,Paramètres!$A$1:$I$89,3,0)*0.475*44/12</f>
        <v>9.0048220288460286</v>
      </c>
      <c r="BS63" s="24">
        <f t="shared" si="9"/>
        <v>37.183623708384751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718</v>
      </c>
      <c r="BW63" s="13">
        <f>VLOOKUP(A63,'Données projet'!$A$113:$I$133,9,0)</f>
        <v>17</v>
      </c>
      <c r="BX63" s="13">
        <f t="array" ref="BX63">INDEX(BW:BW,MIN(IF(ISNUMBER(BW63:BW259),ROW(BW63:BW259),"")))</f>
        <v>17</v>
      </c>
      <c r="BY63" s="13">
        <f>IF('Données projet'!$A$114&gt;35,BY62+BX63-CG62,IF(A63&lt;'Données projet'!$A$114,$BV$205^A63,IF(A63='Données projet'!$A$114,'Données projet'!$B$114,BY62+BX63-CG62)))</f>
        <v>717.99999999999989</v>
      </c>
      <c r="BZ63" s="14">
        <f>BY63*VLOOKUP('Données projet'!$B$12,Paramètres!$A$1:$I$89,3,0)*VLOOKUP('Données projet'!$B$12,Paramètres!$A$1:$I$89,5,0)</f>
        <v>401.36199999999997</v>
      </c>
      <c r="CA63" s="14">
        <f t="shared" si="39"/>
        <v>92.052735168600762</v>
      </c>
      <c r="CB63" s="22">
        <f t="shared" si="10"/>
        <v>859.3639970853128</v>
      </c>
      <c r="CC63" s="62">
        <f t="shared" si="11"/>
        <v>1152.6973304186461</v>
      </c>
      <c r="CD63" s="62">
        <f ca="1">AVERAGE(OFFSET($CC$3,0,0,'Données projet'!$E$12+1,1))-AVERAGE(OFFSET($H$3,0,0,'Données projet'!$E$12+1,1))</f>
        <v>465.49436272491818</v>
      </c>
      <c r="CE63" s="62">
        <f t="shared" si="40"/>
        <v>494.36941732405256</v>
      </c>
      <c r="CF63" s="16">
        <f>IF(ISNA(VLOOKUP(A63,'Données projet'!$A$113:$I$133,3,0)),0,VLOOKUP(A63,'Données projet'!$A$113:$I$133,3,0))</f>
        <v>10</v>
      </c>
      <c r="CG63" s="16">
        <f>IF(ISNA(VLOOKUP(A63,'Données projet'!$A$113:$I$133,4,0)),0,VLOOKUP(A63,'Données projet'!$A$113:$I$133,4,0))</f>
        <v>45</v>
      </c>
      <c r="CH63" s="17">
        <f>IF(ISNA(VLOOKUP(A63,'Données projet'!$A$113:$I$133,5,0)),0%,VLOOKUP(A63,'Données projet'!$A$113:$I$133,5,0)*VLOOKUP('Données projet'!$B$12,Paramètres!$A$1:$I$89,7,0))</f>
        <v>0.33</v>
      </c>
      <c r="CI63" s="17">
        <f>IF(ISNA(VLOOKUP(A63,'Données projet'!$A$113:$I$133,6,0)),0%,VLOOKUP(A63,'Données projet'!$A$113:$I$133,6,0)*VLOOKUP('Données projet'!$B$12,Paramètres!$A$1:$I$89,7,0))</f>
        <v>0.12100000000000001</v>
      </c>
      <c r="CJ63" s="17">
        <f>IF(ISNA(VLOOKUP(A63,'Données projet'!$A$113:$I$133,7,0)),0%,VLOOKUP(A63,'Données projet'!$A$113:$I$133,7,0))</f>
        <v>0.18</v>
      </c>
      <c r="CK63" s="23">
        <f>EXP(-LN(2)/35)*CK62+(1-EXP(-LN(2)/35))/(LN(2)/35)*CG63*CH63*VLOOKUP('Données projet'!$B$12,Paramètres!$A$1:$I$89,3,0)*0.475*44/12</f>
        <v>63.688606493856057</v>
      </c>
      <c r="CL63" s="23">
        <f>EXP(-LN(2)/25)*CL62+(1-EXP(-LN(2)/25))/(LN(2)/25)*Calculateur!CG63*Calculateur!CI63*VLOOKUP('Données projet'!$B$12,Paramètres!$A$1:$I$89,3,0)*0.475*44/12</f>
        <v>33.967495481792085</v>
      </c>
      <c r="CM63" s="23">
        <f>EXP(-LN(2)/2)*CM62+(1-EXP(-LN(2)/2))/(LN(2)/2)*CG63*CJ63*VLOOKUP('Données projet'!$B$12,Paramètres!$A$1:$I$89,3,0)*0.475*44/12</f>
        <v>6.4257992435002942</v>
      </c>
      <c r="CN63" s="24">
        <f t="shared" si="12"/>
        <v>104.08190121914843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15.602999999999998</v>
      </c>
      <c r="CT63" s="13">
        <f>IF('Données projet'!$A$140&gt;35,CT62+CS63-DB62,IF(A63&lt;'Données projet'!$A$140,$CQ$205^A63,IF(A63='Données projet'!$A$140,'Données projet'!$B$140,CT62+CS63-DB62)))</f>
        <v>536.74199999999996</v>
      </c>
      <c r="CU63" s="18">
        <f>CT63*VLOOKUP('Données projet'!$B$13,Paramètres!$A$1:$I$89,3,0)*VLOOKUP('Données projet'!$B$13,Paramètres!$A$1:$I$89,5,0)</f>
        <v>320.97171600000001</v>
      </c>
      <c r="CV63" s="14">
        <f t="shared" si="41"/>
        <v>75.555502382460148</v>
      </c>
      <c r="CW63" s="22">
        <f t="shared" si="13"/>
        <v>690.61823868278464</v>
      </c>
      <c r="CX63" s="62">
        <f t="shared" si="14"/>
        <v>983.95157201611801</v>
      </c>
      <c r="CY63" s="62">
        <f ca="1">AVERAGE(OFFSET($CX$3,0,0,'Données projet'!$E$13+1,1))-AVERAGE(OFFSET($H$3,0,0,'Données projet'!$E$13+1,1))</f>
        <v>361.46923697840384</v>
      </c>
      <c r="CZ63" s="62">
        <f t="shared" si="42"/>
        <v>302.25424592654673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45.44506318699537</v>
      </c>
      <c r="DG63" s="23">
        <f>EXP(-LN(2)/25)*DG62+(1-EXP(-LN(2)/25))/(LN(2)/25)*Calculateur!DB63*Calculateur!DD63*VLOOKUP('Données projet'!$B$13,Paramètres!$A$1:$I$89,3,0)*0.475*44/12</f>
        <v>21.899945748277791</v>
      </c>
      <c r="DH63" s="23">
        <f>EXP(-LN(2)/2)*DH62+(1-EXP(-LN(2)/2))/(LN(2)/2)*DB63*DE63*VLOOKUP('Données projet'!$B$13,Paramètres!$A$1:$I$89,3,0)*0.475*44/12</f>
        <v>2.4689204571389416</v>
      </c>
      <c r="DI63" s="24">
        <f t="shared" si="15"/>
        <v>69.813929392412092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16.8</v>
      </c>
      <c r="N64" s="14">
        <f>IF('Données projet'!$A$36&gt;35,N63+M64-V63,IF(A64&lt;'Données projet'!$A$36,$K$205^A64,IF(A64='Données projet'!$A$36,'Données projet'!$B$36,N63+M64-V63)))</f>
        <v>618.79999999999995</v>
      </c>
      <c r="O64" s="14">
        <f>N64*VLOOKUP('Données projet'!$B$9,Paramètres!$A$1:$I$89,3,0)*VLOOKUP('Données projet'!$B$9,Paramètres!$A$1:$I$89,5,0)</f>
        <v>345.9092</v>
      </c>
      <c r="P64" s="14">
        <f t="shared" si="33"/>
        <v>80.719597531747937</v>
      </c>
      <c r="Q64" s="22">
        <f t="shared" si="53"/>
        <v>743.04515570112756</v>
      </c>
      <c r="R64" s="62">
        <f t="shared" si="0"/>
        <v>1036.3784890344609</v>
      </c>
      <c r="S64" s="62">
        <f ca="1">AVERAGE(OFFSET($R$3,0,0,'Données projet'!$E$9+1,1))-AVERAGE(OFFSET($H$3,0,0,'Données projet'!$E$9+1,1))</f>
        <v>389.80719836281679</v>
      </c>
      <c r="T64" s="62">
        <f t="shared" si="34"/>
        <v>399.58193819355591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58.285635168159388</v>
      </c>
      <c r="AA64" s="23">
        <f>EXP(-LN(2)/25)*AA63+(1-EXP(-LN(2)/25))/(LN(2)/25)*Calculateur!V64*Calculateur!X64*VLOOKUP('Données projet'!$B$9,Paramètres!$A$1:$I$89,3,0)*0.475*44/12</f>
        <v>28.701100329569819</v>
      </c>
      <c r="AB64" s="23">
        <f>EXP(-LN(2)/2)*AB63+(1-EXP(-LN(2)/2))/(LN(2)/2)*V64*Y64*VLOOKUP('Données projet'!$B$9,Paramètres!$A$1:$I$89,3,0)*0.475*44/12</f>
        <v>4.8586327466106747</v>
      </c>
      <c r="AC64" s="24">
        <f t="shared" si="3"/>
        <v>91.84536824433988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11.896999999999997</v>
      </c>
      <c r="AI64" s="14">
        <f>IF('Données projet'!$A$62&gt;35,AI63+AH64-AQ63,IF(A64&lt;'Données projet'!$A$62,$AF$205^A64,IF(A64='Données projet'!$A$62,'Données projet'!$B$62,AI63+AH64-AQ63)))</f>
        <v>382.98700000000019</v>
      </c>
      <c r="AJ64" s="14">
        <f>AI64*VLOOKUP('Données projet'!$B$10,Paramètres!$A$1:$I$89,3,0)*VLOOKUP('Données projet'!$B$10,Paramètres!$A$1:$I$89,5,0)</f>
        <v>229.02622600000012</v>
      </c>
      <c r="AK64" s="14">
        <f t="shared" si="35"/>
        <v>56.072076861881605</v>
      </c>
      <c r="AL64" s="22">
        <f t="shared" si="4"/>
        <v>496.54621081777736</v>
      </c>
      <c r="AM64" s="62">
        <f t="shared" si="5"/>
        <v>789.87954415111062</v>
      </c>
      <c r="AN64" s="62">
        <f ca="1">AVERAGE(OFFSET($AM$3,0,0,'Données projet'!$E$10+1,1))-AVERAGE(OFFSET($H$3,0,0,'Données projet'!$E$10+1,1))</f>
        <v>269.90083987531233</v>
      </c>
      <c r="AO64" s="62">
        <f t="shared" si="36"/>
        <v>183.4515835513518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37.849584943054104</v>
      </c>
      <c r="AV64" s="23">
        <f>EXP(-LN(2)/25)*AV63+(1-EXP(-LN(2)/25))/(LN(2)/25)*Calculateur!AQ64*Calculateur!AS64*VLOOKUP('Données projet'!$B$10,Paramètres!$A$1:$I$89,3,0)*0.475*44/12</f>
        <v>24.354757704787261</v>
      </c>
      <c r="AW64" s="23">
        <f>EXP(-LN(2)/2)*AW63+(1-EXP(-LN(2)/2))/(LN(2)/2)*AQ64*AT64*VLOOKUP('Données projet'!$B$10,Paramètres!$A$1:$I$89,3,0)*0.475*44/12</f>
        <v>7.6012433643783934</v>
      </c>
      <c r="AX64" s="23">
        <f t="shared" si="6"/>
        <v>69.805586012219763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15.948750000000004</v>
      </c>
      <c r="BD64" s="13">
        <f>IF('Données projet'!$A$88&gt;35,BD63+BC64-BL63,IF(A64&lt;'Données projet'!$A$88,$BA$205^A64,IF(A64='Données projet'!$A$88,'Données projet'!$B$88,BD63+BC64-BL63)))</f>
        <v>292.82500000000005</v>
      </c>
      <c r="BE64" s="14">
        <f>BD64*VLOOKUP('Données projet'!$B$11,Paramètres!$A$1:$I$89,3,0)*VLOOKUP('Données projet'!$B$11,Paramètres!$A$1:$I$89,5,0)</f>
        <v>140.84882500000003</v>
      </c>
      <c r="BF64" s="14">
        <f t="shared" si="37"/>
        <v>36.491390920551282</v>
      </c>
      <c r="BG64" s="22">
        <f t="shared" si="7"/>
        <v>308.86754272829347</v>
      </c>
      <c r="BH64" s="62">
        <f t="shared" si="8"/>
        <v>602.20087606162679</v>
      </c>
      <c r="BI64" s="62">
        <f ca="1">AVERAGE(OFFSET($BH$3,0,0,'Données projet'!$E$11+1,1))-AVERAGE(OFFSET($H$3,0,0,'Données projet'!$E$11+1,1))</f>
        <v>255.64417186544995</v>
      </c>
      <c r="BJ64" s="62">
        <f t="shared" si="38"/>
        <v>165.41802783289376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8.6643134875486414</v>
      </c>
      <c r="BQ64" s="23">
        <f>EXP(-LN(2)/25)*BQ63+(1-EXP(-LN(2)/25))/(LN(2)/25)*Calculateur!BL64*Calculateur!BN64*VLOOKUP('Données projet'!$B$11,Paramètres!$A$1:$I$89,3,0)*0.475*44/12</f>
        <v>18.812302175349974</v>
      </c>
      <c r="BR64" s="23">
        <f>EXP(-LN(2)/2)*BR63+(1-EXP(-LN(2)/2))/(LN(2)/2)*BL64*BO64*VLOOKUP('Données projet'!$B$11,Paramètres!$A$1:$I$89,3,0)*0.475*44/12</f>
        <v>6.3673707199750318</v>
      </c>
      <c r="BS64" s="24">
        <f t="shared" si="9"/>
        <v>33.843986382873652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16.399999999999999</v>
      </c>
      <c r="BY64" s="13">
        <f>IF('Données projet'!$A$114&gt;35,BY63+BX64-CG63,IF(A64&lt;'Données projet'!$A$114,$BV$205^A64,IF(A64='Données projet'!$A$114,'Données projet'!$B$114,BY63+BX64-CG63)))</f>
        <v>689.39999999999986</v>
      </c>
      <c r="BZ64" s="14">
        <f>BY64*VLOOKUP('Données projet'!$B$12,Paramètres!$A$1:$I$89,3,0)*VLOOKUP('Données projet'!$B$12,Paramètres!$A$1:$I$89,5,0)</f>
        <v>385.37459999999993</v>
      </c>
      <c r="CA64" s="14">
        <f t="shared" si="39"/>
        <v>88.805192600445807</v>
      </c>
      <c r="CB64" s="22">
        <f t="shared" si="10"/>
        <v>825.8631387791097</v>
      </c>
      <c r="CC64" s="62">
        <f t="shared" si="11"/>
        <v>1119.196472112443</v>
      </c>
      <c r="CD64" s="62">
        <f ca="1">AVERAGE(OFFSET($CC$3,0,0,'Données projet'!$E$12+1,1))-AVERAGE(OFFSET($H$3,0,0,'Données projet'!$E$12+1,1))</f>
        <v>465.49436272491818</v>
      </c>
      <c r="CE64" s="62">
        <f t="shared" si="40"/>
        <v>494.36941732405256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62.439711766725758</v>
      </c>
      <c r="CL64" s="23">
        <f>EXP(-LN(2)/25)*CL63+(1-EXP(-LN(2)/25))/(LN(2)/25)*Calculateur!CG64*Calculateur!CI64*VLOOKUP('Données projet'!$B$12,Paramètres!$A$1:$I$89,3,0)*0.475*44/12</f>
        <v>33.038652531569525</v>
      </c>
      <c r="CM64" s="23">
        <f>EXP(-LN(2)/2)*CM63+(1-EXP(-LN(2)/2))/(LN(2)/2)*CG64*CJ64*VLOOKUP('Données projet'!$B$12,Paramètres!$A$1:$I$89,3,0)*0.475*44/12</f>
        <v>4.5437262196224451</v>
      </c>
      <c r="CN64" s="24">
        <f t="shared" si="12"/>
        <v>100.02209051791772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15.602999999999998</v>
      </c>
      <c r="CT64" s="13">
        <f>IF('Données projet'!$A$140&gt;35,CT63+CS64-DB63,IF(A64&lt;'Données projet'!$A$140,$CQ$205^A64,IF(A64='Données projet'!$A$140,'Données projet'!$B$140,CT63+CS64-DB63)))</f>
        <v>552.34499999999991</v>
      </c>
      <c r="CU64" s="18">
        <f>CT64*VLOOKUP('Données projet'!$B$13,Paramètres!$A$1:$I$89,3,0)*VLOOKUP('Données projet'!$B$13,Paramètres!$A$1:$I$89,5,0)</f>
        <v>330.30230999999998</v>
      </c>
      <c r="CV64" s="14">
        <f t="shared" si="41"/>
        <v>77.492980407216848</v>
      </c>
      <c r="CW64" s="22">
        <f t="shared" si="13"/>
        <v>710.24346412590251</v>
      </c>
      <c r="CX64" s="62">
        <f t="shared" si="14"/>
        <v>1003.5767974592359</v>
      </c>
      <c r="CY64" s="62">
        <f ca="1">AVERAGE(OFFSET($CX$3,0,0,'Données projet'!$E$13+1,1))-AVERAGE(OFFSET($H$3,0,0,'Données projet'!$E$13+1,1))</f>
        <v>361.46923697840384</v>
      </c>
      <c r="CZ64" s="62">
        <f t="shared" si="42"/>
        <v>302.25424592654673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44.553913216649939</v>
      </c>
      <c r="DG64" s="23">
        <f>EXP(-LN(2)/25)*DG63+(1-EXP(-LN(2)/25))/(LN(2)/25)*Calculateur!DB64*Calculateur!DD64*VLOOKUP('Données projet'!$B$13,Paramètres!$A$1:$I$89,3,0)*0.475*44/12</f>
        <v>21.301090580123041</v>
      </c>
      <c r="DH64" s="23">
        <f>EXP(-LN(2)/2)*DH63+(1-EXP(-LN(2)/2))/(LN(2)/2)*DB64*DE64*VLOOKUP('Données projet'!$B$13,Paramètres!$A$1:$I$89,3,0)*0.475*44/12</f>
        <v>1.7457903974531366</v>
      </c>
      <c r="DI64" s="24">
        <f t="shared" si="15"/>
        <v>67.600794194226111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16.8</v>
      </c>
      <c r="N65" s="14">
        <f>IF('Données projet'!$A$36&gt;35,N64+M65-V64,IF(A65&lt;'Données projet'!$A$36,$K$205^A65,IF(A65='Données projet'!$A$36,'Données projet'!$B$36,N64+M65-V64)))</f>
        <v>635.59999999999991</v>
      </c>
      <c r="O65" s="14">
        <f>N65*VLOOKUP('Données projet'!$B$9,Paramètres!$A$1:$I$89,3,0)*VLOOKUP('Données projet'!$B$9,Paramètres!$A$1:$I$89,5,0)</f>
        <v>355.30039999999991</v>
      </c>
      <c r="P65" s="14">
        <f t="shared" si="33"/>
        <v>82.652962077996094</v>
      </c>
      <c r="Q65" s="22">
        <f t="shared" si="53"/>
        <v>762.76877228584306</v>
      </c>
      <c r="R65" s="62">
        <f t="shared" si="0"/>
        <v>1056.1021056191764</v>
      </c>
      <c r="S65" s="62">
        <f ca="1">AVERAGE(OFFSET($R$3,0,0,'Données projet'!$E$9+1,1))-AVERAGE(OFFSET($H$3,0,0,'Données projet'!$E$9+1,1))</f>
        <v>389.80719836281679</v>
      </c>
      <c r="T65" s="62">
        <f t="shared" si="34"/>
        <v>399.58193819355591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57.142689413238891</v>
      </c>
      <c r="AA65" s="23">
        <f>EXP(-LN(2)/25)*AA64+(1-EXP(-LN(2)/25))/(LN(2)/25)*Calculateur!V65*Calculateur!X65*VLOOKUP('Données projet'!$B$9,Paramètres!$A$1:$I$89,3,0)*0.475*44/12</f>
        <v>27.916267231732462</v>
      </c>
      <c r="AB65" s="23">
        <f>EXP(-LN(2)/2)*AB64+(1-EXP(-LN(2)/2))/(LN(2)/2)*V65*Y65*VLOOKUP('Données projet'!$B$9,Paramètres!$A$1:$I$89,3,0)*0.475*44/12</f>
        <v>3.435572162423429</v>
      </c>
      <c r="AC65" s="24">
        <f t="shared" si="3"/>
        <v>88.494528807394772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11.896999999999997</v>
      </c>
      <c r="AI65" s="14">
        <f>IF('Données projet'!$A$62&gt;35,AI64+AH65-AQ64,IF(A65&lt;'Données projet'!$A$62,$AF$205^A65,IF(A65='Données projet'!$A$62,'Données projet'!$B$62,AI64+AH65-AQ64)))</f>
        <v>394.88400000000019</v>
      </c>
      <c r="AJ65" s="14">
        <f>AI65*VLOOKUP('Données projet'!$B$10,Paramètres!$A$1:$I$89,3,0)*VLOOKUP('Données projet'!$B$10,Paramètres!$A$1:$I$89,5,0)</f>
        <v>236.14063200000015</v>
      </c>
      <c r="AK65" s="14">
        <f t="shared" si="35"/>
        <v>57.608386833134347</v>
      </c>
      <c r="AL65" s="22">
        <f t="shared" si="4"/>
        <v>511.61287446770933</v>
      </c>
      <c r="AM65" s="62">
        <f t="shared" si="5"/>
        <v>804.94620780104265</v>
      </c>
      <c r="AN65" s="62">
        <f ca="1">AVERAGE(OFFSET($AM$3,0,0,'Données projet'!$E$10+1,1))-AVERAGE(OFFSET($H$3,0,0,'Données projet'!$E$10+1,1))</f>
        <v>269.90083987531233</v>
      </c>
      <c r="AO65" s="62">
        <f t="shared" si="36"/>
        <v>183.4515835513518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37.10737766828808</v>
      </c>
      <c r="AV65" s="23">
        <f>EXP(-LN(2)/25)*AV64+(1-EXP(-LN(2)/25))/(LN(2)/25)*Calculateur!AQ65*Calculateur!AS65*VLOOKUP('Données projet'!$B$10,Paramètres!$A$1:$I$89,3,0)*0.475*44/12</f>
        <v>23.68877557458881</v>
      </c>
      <c r="AW65" s="23">
        <f>EXP(-LN(2)/2)*AW64+(1-EXP(-LN(2)/2))/(LN(2)/2)*AQ65*AT65*VLOOKUP('Données projet'!$B$10,Paramètres!$A$1:$I$89,3,0)*0.475*44/12</f>
        <v>5.3748907284012093</v>
      </c>
      <c r="AX65" s="23">
        <f t="shared" si="6"/>
        <v>66.171043971278095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15.948750000000004</v>
      </c>
      <c r="BD65" s="13">
        <f>IF('Données projet'!$A$88&gt;35,BD64+BC65-BL64,IF(A65&lt;'Données projet'!$A$88,$BA$205^A65,IF(A65='Données projet'!$A$88,'Données projet'!$B$88,BD64+BC65-BL64)))</f>
        <v>308.77375000000006</v>
      </c>
      <c r="BE65" s="14">
        <f>BD65*VLOOKUP('Données projet'!$B$11,Paramètres!$A$1:$I$89,3,0)*VLOOKUP('Données projet'!$B$11,Paramètres!$A$1:$I$89,5,0)</f>
        <v>148.52017375000003</v>
      </c>
      <c r="BF65" s="14">
        <f t="shared" si="37"/>
        <v>38.242095990924355</v>
      </c>
      <c r="BG65" s="22">
        <f t="shared" si="7"/>
        <v>325.27761979877658</v>
      </c>
      <c r="BH65" s="62">
        <f t="shared" si="8"/>
        <v>618.6109531321099</v>
      </c>
      <c r="BI65" s="62">
        <f ca="1">AVERAGE(OFFSET($BH$3,0,0,'Données projet'!$E$11+1,1))-AVERAGE(OFFSET($H$3,0,0,'Données projet'!$E$11+1,1))</f>
        <v>255.64417186544995</v>
      </c>
      <c r="BJ65" s="62">
        <f t="shared" si="38"/>
        <v>165.41802783289376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8.494411584767219</v>
      </c>
      <c r="BQ65" s="23">
        <f>EXP(-LN(2)/25)*BQ64+(1-EXP(-LN(2)/25))/(LN(2)/25)*Calculateur!BL65*Calculateur!BN65*VLOOKUP('Données projet'!$B$11,Paramètres!$A$1:$I$89,3,0)*0.475*44/12</f>
        <v>18.297878783069052</v>
      </c>
      <c r="BR65" s="23">
        <f>EXP(-LN(2)/2)*BR64+(1-EXP(-LN(2)/2))/(LN(2)/2)*BL65*BO65*VLOOKUP('Données projet'!$B$11,Paramètres!$A$1:$I$89,3,0)*0.475*44/12</f>
        <v>4.5024110144230143</v>
      </c>
      <c r="BS65" s="24">
        <f t="shared" si="9"/>
        <v>31.294701382259287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16.399999999999999</v>
      </c>
      <c r="BY65" s="13">
        <f>IF('Données projet'!$A$114&gt;35,BY64+BX65-CG64,IF(A65&lt;'Données projet'!$A$114,$BV$205^A65,IF(A65='Données projet'!$A$114,'Données projet'!$B$114,BY64+BX65-CG64)))</f>
        <v>705.79999999999984</v>
      </c>
      <c r="BZ65" s="14">
        <f>BY65*VLOOKUP('Données projet'!$B$12,Paramètres!$A$1:$I$89,3,0)*VLOOKUP('Données projet'!$B$12,Paramètres!$A$1:$I$89,5,0)</f>
        <v>394.54219999999992</v>
      </c>
      <c r="CA65" s="14">
        <f t="shared" si="39"/>
        <v>90.669296864670571</v>
      </c>
      <c r="CB65" s="22">
        <f t="shared" si="10"/>
        <v>845.0766903726344</v>
      </c>
      <c r="CC65" s="62">
        <f t="shared" si="11"/>
        <v>1138.4100237059677</v>
      </c>
      <c r="CD65" s="62">
        <f ca="1">AVERAGE(OFFSET($CC$3,0,0,'Données projet'!$E$12+1,1))-AVERAGE(OFFSET($H$3,0,0,'Données projet'!$E$12+1,1))</f>
        <v>465.49436272491818</v>
      </c>
      <c r="CE65" s="62">
        <f t="shared" si="40"/>
        <v>494.36941732405256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61.215307103443912</v>
      </c>
      <c r="CL65" s="23">
        <f>EXP(-LN(2)/25)*CL64+(1-EXP(-LN(2)/25))/(LN(2)/25)*Calculateur!CG65*Calculateur!CI65*VLOOKUP('Données projet'!$B$12,Paramètres!$A$1:$I$89,3,0)*0.475*44/12</f>
        <v>32.135208840666529</v>
      </c>
      <c r="CM65" s="23">
        <f>EXP(-LN(2)/2)*CM64+(1-EXP(-LN(2)/2))/(LN(2)/2)*CG65*CJ65*VLOOKUP('Données projet'!$B$12,Paramètres!$A$1:$I$89,3,0)*0.475*44/12</f>
        <v>3.2128996217501471</v>
      </c>
      <c r="CN65" s="24">
        <f t="shared" si="12"/>
        <v>96.563415565860595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15.602999999999998</v>
      </c>
      <c r="CT65" s="13">
        <f>IF('Données projet'!$A$140&gt;35,CT64+CS65-DB64,IF(A65&lt;'Données projet'!$A$140,$CQ$205^A65,IF(A65='Données projet'!$A$140,'Données projet'!$B$140,CT64+CS65-DB64)))</f>
        <v>567.94799999999987</v>
      </c>
      <c r="CU65" s="18">
        <f>CT65*VLOOKUP('Données projet'!$B$13,Paramètres!$A$1:$I$89,3,0)*VLOOKUP('Données projet'!$B$13,Paramètres!$A$1:$I$89,5,0)</f>
        <v>339.63290399999994</v>
      </c>
      <c r="CV65" s="14">
        <f t="shared" si="41"/>
        <v>79.424097296144211</v>
      </c>
      <c r="CW65" s="22">
        <f t="shared" si="13"/>
        <v>729.85761059078425</v>
      </c>
      <c r="CX65" s="62">
        <f t="shared" si="14"/>
        <v>1023.1909439241176</v>
      </c>
      <c r="CY65" s="62">
        <f ca="1">AVERAGE(OFFSET($CX$3,0,0,'Données projet'!$E$13+1,1))-AVERAGE(OFFSET($H$3,0,0,'Données projet'!$E$13+1,1))</f>
        <v>361.46923697840384</v>
      </c>
      <c r="CZ65" s="62">
        <f t="shared" si="42"/>
        <v>302.25424592654673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43.68023815367517</v>
      </c>
      <c r="DG65" s="23">
        <f>EXP(-LN(2)/25)*DG64+(1-EXP(-LN(2)/25))/(LN(2)/25)*Calculateur!DB65*Calculateur!DD65*VLOOKUP('Données projet'!$B$13,Paramètres!$A$1:$I$89,3,0)*0.475*44/12</f>
        <v>20.718611138033907</v>
      </c>
      <c r="DH65" s="23">
        <f>EXP(-LN(2)/2)*DH64+(1-EXP(-LN(2)/2))/(LN(2)/2)*DB65*DE65*VLOOKUP('Données projet'!$B$13,Paramètres!$A$1:$I$89,3,0)*0.475*44/12</f>
        <v>1.234460228569471</v>
      </c>
      <c r="DI65" s="24">
        <f t="shared" si="15"/>
        <v>65.633309520278544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16.8</v>
      </c>
      <c r="N66" s="14">
        <f>IF('Données projet'!$A$36&gt;35,N65+M66-V65,IF(A66&lt;'Données projet'!$A$36,$K$205^A66,IF(A66='Données projet'!$A$36,'Données projet'!$B$36,N65+M66-V65)))</f>
        <v>652.39999999999986</v>
      </c>
      <c r="O66" s="14">
        <f>N66*VLOOKUP('Données projet'!$B$9,Paramètres!$A$1:$I$89,3,0)*VLOOKUP('Données projet'!$B$9,Paramètres!$A$1:$I$89,5,0)</f>
        <v>364.69159999999994</v>
      </c>
      <c r="P66" s="14">
        <f t="shared" si="33"/>
        <v>84.580386744525228</v>
      </c>
      <c r="Q66" s="22">
        <f t="shared" si="53"/>
        <v>782.48204358004796</v>
      </c>
      <c r="R66" s="62">
        <f t="shared" si="0"/>
        <v>1075.8153769133812</v>
      </c>
      <c r="S66" s="62">
        <f ca="1">AVERAGE(OFFSET($R$3,0,0,'Données projet'!$E$9+1,1))-AVERAGE(OFFSET($H$3,0,0,'Données projet'!$E$9+1,1))</f>
        <v>389.80719836281679</v>
      </c>
      <c r="T66" s="62">
        <f t="shared" si="34"/>
        <v>399.58193819355591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56.022156127444312</v>
      </c>
      <c r="AA66" s="23">
        <f>EXP(-LN(2)/25)*AA65+(1-EXP(-LN(2)/25))/(LN(2)/25)*Calculateur!V66*Calculateur!X66*VLOOKUP('Données projet'!$B$9,Paramètres!$A$1:$I$89,3,0)*0.475*44/12</f>
        <v>27.152895436228047</v>
      </c>
      <c r="AB66" s="23">
        <f>EXP(-LN(2)/2)*AB65+(1-EXP(-LN(2)/2))/(LN(2)/2)*V66*Y66*VLOOKUP('Données projet'!$B$9,Paramètres!$A$1:$I$89,3,0)*0.475*44/12</f>
        <v>2.4293163733053378</v>
      </c>
      <c r="AC66" s="24">
        <f t="shared" si="3"/>
        <v>85.604367936977695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11.896999999999997</v>
      </c>
      <c r="AI66" s="14">
        <f>IF('Données projet'!$A$62&gt;35,AI65+AH66-AQ65,IF(A66&lt;'Données projet'!$A$62,$AF$205^A66,IF(A66='Données projet'!$A$62,'Données projet'!$B$62,AI65+AH66-AQ65)))</f>
        <v>406.78100000000018</v>
      </c>
      <c r="AJ66" s="14">
        <f>AI66*VLOOKUP('Données projet'!$B$10,Paramètres!$A$1:$I$89,3,0)*VLOOKUP('Données projet'!$B$10,Paramètres!$A$1:$I$89,5,0)</f>
        <v>243.25503800000013</v>
      </c>
      <c r="AK66" s="14">
        <f t="shared" si="35"/>
        <v>59.139317725784991</v>
      </c>
      <c r="AL66" s="22">
        <f t="shared" si="4"/>
        <v>526.6701695557424</v>
      </c>
      <c r="AM66" s="62">
        <f t="shared" si="5"/>
        <v>820.00350288907566</v>
      </c>
      <c r="AN66" s="62">
        <f ca="1">AVERAGE(OFFSET($AM$3,0,0,'Données projet'!$E$10+1,1))-AVERAGE(OFFSET($H$3,0,0,'Données projet'!$E$10+1,1))</f>
        <v>269.90083987531233</v>
      </c>
      <c r="AO66" s="62">
        <f t="shared" si="36"/>
        <v>183.4515835513518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36.379724625478481</v>
      </c>
      <c r="AV66" s="23">
        <f>EXP(-LN(2)/25)*AV65+(1-EXP(-LN(2)/25))/(LN(2)/25)*Calculateur!AQ66*Calculateur!AS66*VLOOKUP('Données projet'!$B$10,Paramètres!$A$1:$I$89,3,0)*0.475*44/12</f>
        <v>23.041004760763112</v>
      </c>
      <c r="AW66" s="23">
        <f>EXP(-LN(2)/2)*AW65+(1-EXP(-LN(2)/2))/(LN(2)/2)*AQ66*AT66*VLOOKUP('Données projet'!$B$10,Paramètres!$A$1:$I$89,3,0)*0.475*44/12</f>
        <v>3.8006216821891972</v>
      </c>
      <c r="AX66" s="23">
        <f t="shared" si="6"/>
        <v>63.221351068430785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15.948750000000004</v>
      </c>
      <c r="BD66" s="13">
        <f>IF('Données projet'!$A$88&gt;35,BD65+BC66-BL65,IF(A66&lt;'Données projet'!$A$88,$BA$205^A66,IF(A66='Données projet'!$A$88,'Données projet'!$B$88,BD65+BC66-BL65)))</f>
        <v>324.72250000000008</v>
      </c>
      <c r="BE66" s="14">
        <f>BD66*VLOOKUP('Données projet'!$B$11,Paramètres!$A$1:$I$89,3,0)*VLOOKUP('Données projet'!$B$11,Paramètres!$A$1:$I$89,5,0)</f>
        <v>156.19152250000005</v>
      </c>
      <c r="BF66" s="14">
        <f t="shared" si="37"/>
        <v>39.982301980752794</v>
      </c>
      <c r="BG66" s="22">
        <f t="shared" si="7"/>
        <v>341.66941097064449</v>
      </c>
      <c r="BH66" s="62">
        <f t="shared" si="8"/>
        <v>635.00274430397781</v>
      </c>
      <c r="BI66" s="62">
        <f ca="1">AVERAGE(OFFSET($BH$3,0,0,'Données projet'!$E$11+1,1))-AVERAGE(OFFSET($H$3,0,0,'Données projet'!$E$11+1,1))</f>
        <v>255.64417186544995</v>
      </c>
      <c r="BJ66" s="62">
        <f t="shared" si="38"/>
        <v>165.41802783289376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8.3278413546694114</v>
      </c>
      <c r="BQ66" s="23">
        <f>EXP(-LN(2)/25)*BQ65+(1-EXP(-LN(2)/25))/(LN(2)/25)*Calculateur!BL66*Calculateur!BN66*VLOOKUP('Données projet'!$B$11,Paramètres!$A$1:$I$89,3,0)*0.475*44/12</f>
        <v>17.797522325502403</v>
      </c>
      <c r="BR66" s="23">
        <f>EXP(-LN(2)/2)*BR65+(1-EXP(-LN(2)/2))/(LN(2)/2)*BL66*BO66*VLOOKUP('Données projet'!$B$11,Paramètres!$A$1:$I$89,3,0)*0.475*44/12</f>
        <v>3.1836853599875159</v>
      </c>
      <c r="BS66" s="24">
        <f t="shared" si="9"/>
        <v>29.30904904015933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16.399999999999999</v>
      </c>
      <c r="BY66" s="13">
        <f>IF('Données projet'!$A$114&gt;35,BY65+BX66-CG65,IF(A66&lt;'Données projet'!$A$114,$BV$205^A66,IF(A66='Données projet'!$A$114,'Données projet'!$B$114,BY65+BX66-CG65)))</f>
        <v>722.19999999999982</v>
      </c>
      <c r="BZ66" s="14">
        <f>BY66*VLOOKUP('Données projet'!$B$12,Paramètres!$A$1:$I$89,3,0)*VLOOKUP('Données projet'!$B$12,Paramètres!$A$1:$I$89,5,0)</f>
        <v>403.70979999999992</v>
      </c>
      <c r="CA66" s="14">
        <f t="shared" si="39"/>
        <v>92.528365664842099</v>
      </c>
      <c r="CB66" s="22">
        <f t="shared" si="10"/>
        <v>864.28147186626654</v>
      </c>
      <c r="CC66" s="62">
        <f t="shared" si="11"/>
        <v>1157.6148051995999</v>
      </c>
      <c r="CD66" s="62">
        <f ca="1">AVERAGE(OFFSET($CC$3,0,0,'Données projet'!$E$12+1,1))-AVERAGE(OFFSET($H$3,0,0,'Données projet'!$E$12+1,1))</f>
        <v>465.49436272491818</v>
      </c>
      <c r="CE66" s="62">
        <f t="shared" si="40"/>
        <v>494.36941732405256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60.014912268795925</v>
      </c>
      <c r="CL66" s="23">
        <f>EXP(-LN(2)/25)*CL65+(1-EXP(-LN(2)/25))/(LN(2)/25)*Calculateur!CG66*Calculateur!CI66*VLOOKUP('Données projet'!$B$12,Paramètres!$A$1:$I$89,3,0)*0.475*44/12</f>
        <v>31.256469865001314</v>
      </c>
      <c r="CM66" s="23">
        <f>EXP(-LN(2)/2)*CM65+(1-EXP(-LN(2)/2))/(LN(2)/2)*CG66*CJ66*VLOOKUP('Données projet'!$B$12,Paramètres!$A$1:$I$89,3,0)*0.475*44/12</f>
        <v>2.2718631098112225</v>
      </c>
      <c r="CN66" s="24">
        <f t="shared" si="12"/>
        <v>93.543245243608453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15.602999999999998</v>
      </c>
      <c r="CT66" s="13">
        <f>IF('Données projet'!$A$140&gt;35,CT65+CS66-DB65,IF(A66&lt;'Données projet'!$A$140,$CQ$205^A66,IF(A66='Données projet'!$A$140,'Données projet'!$B$140,CT65+CS66-DB65)))</f>
        <v>583.55099999999982</v>
      </c>
      <c r="CU66" s="18">
        <f>CT66*VLOOKUP('Données projet'!$B$13,Paramètres!$A$1:$I$89,3,0)*VLOOKUP('Données projet'!$B$13,Paramètres!$A$1:$I$89,5,0)</f>
        <v>348.9634979999999</v>
      </c>
      <c r="CV66" s="14">
        <f t="shared" si="41"/>
        <v>81.34904788581558</v>
      </c>
      <c r="CW66" s="22">
        <f t="shared" si="13"/>
        <v>749.46101741779523</v>
      </c>
      <c r="CX66" s="62">
        <f t="shared" si="14"/>
        <v>1042.7943507511286</v>
      </c>
      <c r="CY66" s="62">
        <f ca="1">AVERAGE(OFFSET($CX$3,0,0,'Données projet'!$E$13+1,1))-AVERAGE(OFFSET($H$3,0,0,'Données projet'!$E$13+1,1))</f>
        <v>361.46923697840384</v>
      </c>
      <c r="CZ66" s="62">
        <f t="shared" si="42"/>
        <v>302.25424592654673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42.823695325796166</v>
      </c>
      <c r="DG66" s="23">
        <f>EXP(-LN(2)/25)*DG65+(1-EXP(-LN(2)/25))/(LN(2)/25)*Calculateur!DB66*Calculateur!DD66*VLOOKUP('Données projet'!$B$13,Paramètres!$A$1:$I$89,3,0)*0.475*44/12</f>
        <v>20.152059626919964</v>
      </c>
      <c r="DH66" s="23">
        <f>EXP(-LN(2)/2)*DH65+(1-EXP(-LN(2)/2))/(LN(2)/2)*DB66*DE66*VLOOKUP('Données projet'!$B$13,Paramètres!$A$1:$I$89,3,0)*0.475*44/12</f>
        <v>0.8728951987265684</v>
      </c>
      <c r="DI66" s="24">
        <f t="shared" si="15"/>
        <v>63.848650151442698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16.8</v>
      </c>
      <c r="N67" s="14">
        <f>IF('Données projet'!$A$36&gt;35,N66+M67-V66,IF(A67&lt;'Données projet'!$A$36,$K$205^A67,IF(A67='Données projet'!$A$36,'Données projet'!$B$36,N66+M67-V66)))</f>
        <v>669.19999999999982</v>
      </c>
      <c r="O67" s="14">
        <f>N67*VLOOKUP('Données projet'!$B$9,Paramètres!$A$1:$I$89,3,0)*VLOOKUP('Données projet'!$B$9,Paramètres!$A$1:$I$89,5,0)</f>
        <v>374.08279999999991</v>
      </c>
      <c r="P67" s="14">
        <f t="shared" si="33"/>
        <v>86.502042076430854</v>
      </c>
      <c r="Q67" s="22">
        <f t="shared" ref="Q67:Q98" si="54">(O67+P67)*0.475*44/12</f>
        <v>802.18526661645012</v>
      </c>
      <c r="R67" s="62">
        <f t="shared" ref="R67:R130" si="55">Q67+(I67+J67)*44/12</f>
        <v>1095.5185999497835</v>
      </c>
      <c r="S67" s="62">
        <f ca="1">AVERAGE(OFFSET($R$3,0,0,'Données projet'!$E$9+1,1))-AVERAGE(OFFSET($H$3,0,0,'Données projet'!$E$9+1,1))</f>
        <v>389.80719836281679</v>
      </c>
      <c r="T67" s="62">
        <f t="shared" si="34"/>
        <v>399.58193819355591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54.923595815926348</v>
      </c>
      <c r="AA67" s="23">
        <f>EXP(-LN(2)/25)*AA66+(1-EXP(-LN(2)/25))/(LN(2)/25)*Calculateur!V67*Calculateur!X67*VLOOKUP('Données projet'!$B$9,Paramètres!$A$1:$I$89,3,0)*0.475*44/12</f>
        <v>26.410398082615679</v>
      </c>
      <c r="AB67" s="23">
        <f>EXP(-LN(2)/2)*AB66+(1-EXP(-LN(2)/2))/(LN(2)/2)*V67*Y67*VLOOKUP('Données projet'!$B$9,Paramètres!$A$1:$I$89,3,0)*0.475*44/12</f>
        <v>1.7177860812117147</v>
      </c>
      <c r="AC67" s="24">
        <f t="shared" si="3"/>
        <v>83.051779979753732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11.896999999999997</v>
      </c>
      <c r="AI67" s="14">
        <f>IF('Données projet'!$A$62&gt;35,AI66+AH67-AQ66,IF(A67&lt;'Données projet'!$A$62,$AF$205^A67,IF(A67='Données projet'!$A$62,'Données projet'!$B$62,AI66+AH67-AQ66)))</f>
        <v>418.67800000000017</v>
      </c>
      <c r="AJ67" s="14">
        <f>AI67*VLOOKUP('Données projet'!$B$10,Paramètres!$A$1:$I$89,3,0)*VLOOKUP('Données projet'!$B$10,Paramètres!$A$1:$I$89,5,0)</f>
        <v>250.36944400000013</v>
      </c>
      <c r="AK67" s="14">
        <f t="shared" si="35"/>
        <v>60.665044924256527</v>
      </c>
      <c r="AL67" s="22">
        <f t="shared" si="4"/>
        <v>541.71840154308029</v>
      </c>
      <c r="AM67" s="62">
        <f t="shared" si="5"/>
        <v>835.05173487641355</v>
      </c>
      <c r="AN67" s="62">
        <f ca="1">AVERAGE(OFFSET($AM$3,0,0,'Données projet'!$E$10+1,1))-AVERAGE(OFFSET($H$3,0,0,'Données projet'!$E$10+1,1))</f>
        <v>269.90083987531233</v>
      </c>
      <c r="AO67" s="62">
        <f t="shared" si="36"/>
        <v>183.4515835513518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35.666340415013842</v>
      </c>
      <c r="AV67" s="23">
        <f>EXP(-LN(2)/25)*AV66+(1-EXP(-LN(2)/25))/(LN(2)/25)*Calculateur!AQ67*Calculateur!AS67*VLOOKUP('Données projet'!$B$10,Paramètres!$A$1:$I$89,3,0)*0.475*44/12</f>
        <v>22.410947273906267</v>
      </c>
      <c r="AW67" s="23">
        <f>EXP(-LN(2)/2)*AW66+(1-EXP(-LN(2)/2))/(LN(2)/2)*AQ67*AT67*VLOOKUP('Données projet'!$B$10,Paramètres!$A$1:$I$89,3,0)*0.475*44/12</f>
        <v>2.6874453642006051</v>
      </c>
      <c r="AX67" s="23">
        <f t="shared" si="6"/>
        <v>60.764733053120715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15.948750000000004</v>
      </c>
      <c r="BD67" s="13">
        <f>IF('Données projet'!$A$88&gt;35,BD66+BC67-BL66,IF(A67&lt;'Données projet'!$A$88,$BA$205^A67,IF(A67='Données projet'!$A$88,'Données projet'!$B$88,BD66+BC67-BL66)))</f>
        <v>340.6712500000001</v>
      </c>
      <c r="BE67" s="14">
        <f>BD67*VLOOKUP('Données projet'!$B$11,Paramètres!$A$1:$I$89,3,0)*VLOOKUP('Données projet'!$B$11,Paramètres!$A$1:$I$89,5,0)</f>
        <v>163.86287125000007</v>
      </c>
      <c r="BF67" s="14">
        <f t="shared" si="37"/>
        <v>41.712583406052744</v>
      </c>
      <c r="BG67" s="22">
        <f t="shared" si="7"/>
        <v>358.04391685929198</v>
      </c>
      <c r="BH67" s="62">
        <f t="shared" si="8"/>
        <v>651.3772501926253</v>
      </c>
      <c r="BI67" s="62">
        <f ca="1">AVERAGE(OFFSET($BH$3,0,0,'Données projet'!$E$11+1,1))-AVERAGE(OFFSET($H$3,0,0,'Données projet'!$E$11+1,1))</f>
        <v>255.64417186544995</v>
      </c>
      <c r="BJ67" s="62">
        <f t="shared" si="38"/>
        <v>165.41802783289376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8.1645374651860134</v>
      </c>
      <c r="BQ67" s="23">
        <f>EXP(-LN(2)/25)*BQ66+(1-EXP(-LN(2)/25))/(LN(2)/25)*Calculateur!BL67*Calculateur!BN67*VLOOKUP('Données projet'!$B$11,Paramètres!$A$1:$I$89,3,0)*0.475*44/12</f>
        <v>17.310848141580518</v>
      </c>
      <c r="BR67" s="23">
        <f>EXP(-LN(2)/2)*BR66+(1-EXP(-LN(2)/2))/(LN(2)/2)*BL67*BO67*VLOOKUP('Données projet'!$B$11,Paramètres!$A$1:$I$89,3,0)*0.475*44/12</f>
        <v>2.2512055072115071</v>
      </c>
      <c r="BS67" s="24">
        <f t="shared" si="9"/>
        <v>27.726591113978039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16.399999999999999</v>
      </c>
      <c r="BY67" s="13">
        <f>IF('Données projet'!$A$114&gt;35,BY66+BX67-CG66,IF(A67&lt;'Données projet'!$A$114,$BV$205^A67,IF(A67='Données projet'!$A$114,'Données projet'!$B$114,BY66+BX67-CG66)))</f>
        <v>738.5999999999998</v>
      </c>
      <c r="BZ67" s="14">
        <f>BY67*VLOOKUP('Données projet'!$B$12,Paramètres!$A$1:$I$89,3,0)*VLOOKUP('Données projet'!$B$12,Paramètres!$A$1:$I$89,5,0)</f>
        <v>412.87739999999991</v>
      </c>
      <c r="CA67" s="14">
        <f t="shared" si="39"/>
        <v>94.382526511850514</v>
      </c>
      <c r="CB67" s="22">
        <f t="shared" si="10"/>
        <v>883.47770534147287</v>
      </c>
      <c r="CC67" s="62">
        <f t="shared" si="11"/>
        <v>1176.8110386748062</v>
      </c>
      <c r="CD67" s="62">
        <f ca="1">AVERAGE(OFFSET($CC$3,0,0,'Données projet'!$E$12+1,1))-AVERAGE(OFFSET($H$3,0,0,'Données projet'!$E$12+1,1))</f>
        <v>465.49436272491818</v>
      </c>
      <c r="CE67" s="62">
        <f t="shared" si="40"/>
        <v>494.36941732405256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58.838056444686828</v>
      </c>
      <c r="CL67" s="23">
        <f>EXP(-LN(2)/25)*CL66+(1-EXP(-LN(2)/25))/(LN(2)/25)*Calculateur!CG67*Calculateur!CI67*VLOOKUP('Données projet'!$B$12,Paramètres!$A$1:$I$89,3,0)*0.475*44/12</f>
        <v>30.40176005283654</v>
      </c>
      <c r="CM67" s="23">
        <f>EXP(-LN(2)/2)*CM66+(1-EXP(-LN(2)/2))/(LN(2)/2)*CG67*CJ67*VLOOKUP('Données projet'!$B$12,Paramètres!$A$1:$I$89,3,0)*0.475*44/12</f>
        <v>1.6064498108750735</v>
      </c>
      <c r="CN67" s="24">
        <f t="shared" si="12"/>
        <v>90.846266308398441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15.602999999999998</v>
      </c>
      <c r="CT67" s="13">
        <f>IF('Données projet'!$A$140&gt;35,CT66+CS67-DB66,IF(A67&lt;'Données projet'!$A$140,$CQ$205^A67,IF(A67='Données projet'!$A$140,'Données projet'!$B$140,CT66+CS67-DB66)))</f>
        <v>599.15399999999977</v>
      </c>
      <c r="CU67" s="18">
        <f>CT67*VLOOKUP('Données projet'!$B$13,Paramètres!$A$1:$I$89,3,0)*VLOOKUP('Données projet'!$B$13,Paramètres!$A$1:$I$89,5,0)</f>
        <v>358.29409199999986</v>
      </c>
      <c r="CV67" s="14">
        <f t="shared" si="41"/>
        <v>83.268016000500722</v>
      </c>
      <c r="CW67" s="22">
        <f t="shared" si="13"/>
        <v>769.05400476753857</v>
      </c>
      <c r="CX67" s="62">
        <f t="shared" si="14"/>
        <v>1062.3873381008718</v>
      </c>
      <c r="CY67" s="62">
        <f ca="1">AVERAGE(OFFSET($CX$3,0,0,'Données projet'!$E$13+1,1))-AVERAGE(OFFSET($H$3,0,0,'Données projet'!$E$13+1,1))</f>
        <v>361.46923697840384</v>
      </c>
      <c r="CZ67" s="62">
        <f t="shared" si="42"/>
        <v>302.25424592654673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41.983948780332327</v>
      </c>
      <c r="DG67" s="23">
        <f>EXP(-LN(2)/25)*DG66+(1-EXP(-LN(2)/25))/(LN(2)/25)*Calculateur!DB67*Calculateur!DD67*VLOOKUP('Données projet'!$B$13,Paramètres!$A$1:$I$89,3,0)*0.475*44/12</f>
        <v>19.60100049667108</v>
      </c>
      <c r="DH67" s="23">
        <f>EXP(-LN(2)/2)*DH66+(1-EXP(-LN(2)/2))/(LN(2)/2)*DB67*DE67*VLOOKUP('Données projet'!$B$13,Paramètres!$A$1:$I$89,3,0)*0.475*44/12</f>
        <v>0.61723011428473551</v>
      </c>
      <c r="DI67" s="24">
        <f t="shared" si="15"/>
        <v>62.202179391288141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686</v>
      </c>
      <c r="L68" s="13">
        <f>VLOOKUP(A68,'Données projet'!$A$35:$I$55,9,0)</f>
        <v>16.8</v>
      </c>
      <c r="M68" s="13">
        <f t="array" ref="M68">INDEX(L:L,MIN(IF(ISNUMBER(L68:L264),ROW(L68:L264),"")))</f>
        <v>16.8</v>
      </c>
      <c r="N68" s="14">
        <f>IF('Données projet'!$A$36&gt;35,N67+M68-V67,IF(A68&lt;'Données projet'!$A$36,$K$205^A68,IF(A68='Données projet'!$A$36,'Données projet'!$B$36,N67+M68-V67)))</f>
        <v>685.99999999999977</v>
      </c>
      <c r="O68" s="14">
        <f>N68*VLOOKUP('Données projet'!$B$9,Paramètres!$A$1:$I$89,3,0)*VLOOKUP('Données projet'!$B$9,Paramètres!$A$1:$I$89,5,0)</f>
        <v>383.47399999999988</v>
      </c>
      <c r="P68" s="14">
        <f t="shared" si="33"/>
        <v>88.418089567872116</v>
      </c>
      <c r="Q68" s="22">
        <f t="shared" si="54"/>
        <v>821.87872266404372</v>
      </c>
      <c r="R68" s="62">
        <f t="shared" si="55"/>
        <v>1115.2120559973771</v>
      </c>
      <c r="S68" s="62">
        <f ca="1">AVERAGE(OFFSET($R$3,0,0,'Données projet'!$E$9+1,1))-AVERAGE(OFFSET($H$3,0,0,'Données projet'!$E$9+1,1))</f>
        <v>389.80719836281679</v>
      </c>
      <c r="T68" s="62">
        <f t="shared" si="34"/>
        <v>399.58193819355591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46</v>
      </c>
      <c r="W68" s="17">
        <f>IF(ISNA(VLOOKUP(A68,'Données projet'!$A$35:$I$55,5,0)),0%,VLOOKUP(A68,'Données projet'!$A$35:$I$55,5,0)*VLOOKUP('Données projet'!$B$9,Paramètres!$A$1:$I$89,7,0))</f>
        <v>0.33</v>
      </c>
      <c r="X68" s="17">
        <f>IF(ISNA(VLOOKUP(A68,'Données projet'!$A$35:$I$55,6,0)),0%,VLOOKUP(A68,'Données projet'!$A$35:$I$55,6,0)*VLOOKUP('Données projet'!$B$9,Paramètres!$A$1:$I$89,7,0))</f>
        <v>0.12100000000000001</v>
      </c>
      <c r="Y68" s="17">
        <f>IF(ISNA(VLOOKUP(A68,'Données projet'!$A$35:$I$55,7,0)),0%,VLOOKUP(A68,'Données projet'!$A$35:$I$55,7,0))</f>
        <v>0.18</v>
      </c>
      <c r="Z68" s="23">
        <f>EXP(-LN(2)/35)*Z67+(1-EXP(-LN(2)/35))/(LN(2)/35)*V68*W68*VLOOKUP('Données projet'!$B$9,Paramètres!$A$1:$I$89,3,0)*0.475*44/12</f>
        <v>65.103299476428489</v>
      </c>
      <c r="AA68" s="23">
        <f>EXP(-LN(2)/25)*AA67+(1-EXP(-LN(2)/25))/(LN(2)/25)*Calculateur!V68*Calculateur!X68*VLOOKUP('Données projet'!$B$9,Paramètres!$A$1:$I$89,3,0)*0.475*44/12</f>
        <v>29.799417644290816</v>
      </c>
      <c r="AB68" s="23">
        <f>EXP(-LN(2)/2)*AB67+(1-EXP(-LN(2)/2))/(LN(2)/2)*V68*Y68*VLOOKUP('Données projet'!$B$9,Paramètres!$A$1:$I$89,3,0)*0.475*44/12</f>
        <v>6.4552180203998653</v>
      </c>
      <c r="AC68" s="24">
        <f t="shared" ref="AC68:AC131" si="57">SUM(Z68:AB68)</f>
        <v>101.35793514111917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11.896999999999997</v>
      </c>
      <c r="AI68" s="14">
        <f>IF('Données projet'!$A$62&gt;35,AI67+AH68-AQ67,IF(A68&lt;'Données projet'!$A$62,$AF$205^A68,IF(A68='Données projet'!$A$62,'Données projet'!$B$62,AI67+AH68-AQ67)))</f>
        <v>430.57500000000016</v>
      </c>
      <c r="AJ68" s="14">
        <f>AI68*VLOOKUP('Données projet'!$B$10,Paramètres!$A$1:$I$89,3,0)*VLOOKUP('Données projet'!$B$10,Paramètres!$A$1:$I$89,5,0)</f>
        <v>257.48385000000013</v>
      </c>
      <c r="AK68" s="14">
        <f t="shared" si="35"/>
        <v>62.185733278690435</v>
      </c>
      <c r="AL68" s="22">
        <f t="shared" ref="AL68:AL131" si="58">(AJ68+AK68)*0.475*44/12</f>
        <v>556.7578575437193</v>
      </c>
      <c r="AM68" s="62">
        <f t="shared" ref="AM68:AM131" si="59">AL68+(AD68+AE68)*44/12</f>
        <v>850.09119087705267</v>
      </c>
      <c r="AN68" s="62">
        <f ca="1">AVERAGE(OFFSET($AM$3,0,0,'Données projet'!$E$10+1,1))-AVERAGE(OFFSET($H$3,0,0,'Données projet'!$E$10+1,1))</f>
        <v>269.90083987531233</v>
      </c>
      <c r="AO68" s="62">
        <f t="shared" si="36"/>
        <v>183.4515835513518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34.966945233795016</v>
      </c>
      <c r="AV68" s="23">
        <f>EXP(-LN(2)/25)*AV67+(1-EXP(-LN(2)/25))/(LN(2)/25)*Calculateur!AQ68*Calculateur!AS68*VLOOKUP('Données projet'!$B$10,Paramètres!$A$1:$I$89,3,0)*0.475*44/12</f>
        <v>21.798118742160803</v>
      </c>
      <c r="AW68" s="23">
        <f>EXP(-LN(2)/2)*AW67+(1-EXP(-LN(2)/2))/(LN(2)/2)*AQ68*AT68*VLOOKUP('Données projet'!$B$10,Paramètres!$A$1:$I$89,3,0)*0.475*44/12</f>
        <v>1.900310841094599</v>
      </c>
      <c r="AX68" s="23">
        <f t="shared" ref="AX68:AX131" si="60">SUM(AU68:AW68)</f>
        <v>58.66537481705042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356.62</v>
      </c>
      <c r="BB68" s="13">
        <f>VLOOKUP(A68,'Données projet'!$A$87:$I$107,9,0)</f>
        <v>15.948750000000004</v>
      </c>
      <c r="BC68" s="13">
        <f t="array" ref="BC68">INDEX(BB:BB,MIN(IF(ISNUMBER(BB68:BB264),ROW(BB68:BB264),"")))</f>
        <v>15.948750000000004</v>
      </c>
      <c r="BD68" s="13">
        <f>IF('Données projet'!$A$88&gt;35,BD67+BC68-BL67,IF(A68&lt;'Données projet'!$A$88,$BA$205^A68,IF(A68='Données projet'!$A$88,'Données projet'!$B$88,BD67+BC68-BL67)))</f>
        <v>356.62000000000012</v>
      </c>
      <c r="BE68" s="14">
        <f>BD68*VLOOKUP('Données projet'!$B$11,Paramètres!$A$1:$I$89,3,0)*VLOOKUP('Données projet'!$B$11,Paramètres!$A$1:$I$89,5,0)</f>
        <v>171.53422000000009</v>
      </c>
      <c r="BF68" s="14">
        <f t="shared" si="37"/>
        <v>43.433457950178763</v>
      </c>
      <c r="BG68" s="22">
        <f t="shared" ref="BG68:BG131" si="61">(BE68+BF68)*0.475*44/12</f>
        <v>374.40203909656151</v>
      </c>
      <c r="BH68" s="62">
        <f t="shared" ref="BH68:BH131" si="62">BG68+(AY68+AZ68)*44/12</f>
        <v>667.73537242989482</v>
      </c>
      <c r="BI68" s="62">
        <f ca="1">AVERAGE(OFFSET($BH$3,0,0,'Données projet'!$E$11+1,1))-AVERAGE(OFFSET($H$3,0,0,'Données projet'!$E$11+1,1))</f>
        <v>255.64417186544995</v>
      </c>
      <c r="BJ68" s="62">
        <f t="shared" si="38"/>
        <v>165.41802783289376</v>
      </c>
      <c r="BK68" s="16">
        <f>IF(ISNA(VLOOKUP(A68,'Données projet'!$A$87:$I$107,3,0)),0,VLOOKUP(A68,'Données projet'!$A$87:$I$107,3,0))</f>
        <v>2</v>
      </c>
      <c r="BL68" s="16">
        <f>IF(ISNA(VLOOKUP(A68,'Données projet'!$A$87:$I$107,4,0)),0,VLOOKUP(A68,'Données projet'!$A$87:$I$107,4,0))</f>
        <v>86.06</v>
      </c>
      <c r="BM68" s="17">
        <f>IF(ISNA(VLOOKUP(A68,'Données projet'!$A$87:$I$107,5,0)),0%,VLOOKUP(A68,'Données projet'!$A$87:$I$107,5,0)*VLOOKUP('Données projet'!$B$11,Paramètres!$A$1:$I$89,7,0))</f>
        <v>0.22000000000000003</v>
      </c>
      <c r="BN68" s="17">
        <f>IF(ISNA(VLOOKUP(A68,'Données projet'!$A$87:$I$107,6,0)),0%,VLOOKUP(A68,'Données projet'!$A$87:$I$107,6,0)*VLOOKUP('Données projet'!$B$11,Paramètres!$A$1:$I$89,7,0))</f>
        <v>0.18700000000000003</v>
      </c>
      <c r="BO68" s="17">
        <f>IF(ISNA(VLOOKUP(A68,'Données projet'!$A$87:$I$107,7,0)),0%,VLOOKUP(A68,'Données projet'!$A$87:$I$107,7,0))</f>
        <v>0.26</v>
      </c>
      <c r="BP68" s="23">
        <f>EXP(-LN(2)/35)*BP67+(1-EXP(-LN(2)/35))/(LN(2)/35)*BL68*BM68*VLOOKUP('Données projet'!$B$11,Paramètres!$A$1:$I$89,3,0)*0.475*44/12</f>
        <v>20.085284846426969</v>
      </c>
      <c r="BQ68" s="23">
        <f>EXP(-LN(2)/25)*BQ67+(1-EXP(-LN(2)/25))/(LN(2)/25)*Calculateur!BL68*Calculateur!BN68*VLOOKUP('Données projet'!$B$11,Paramètres!$A$1:$I$89,3,0)*0.475*44/12</f>
        <v>27.065771852947265</v>
      </c>
      <c r="BR68" s="23">
        <f>EXP(-LN(2)/2)*BR67+(1-EXP(-LN(2)/2))/(LN(2)/2)*BL68*BO68*VLOOKUP('Données projet'!$B$11,Paramètres!$A$1:$I$89,3,0)*0.475*44/12</f>
        <v>13.777678015326224</v>
      </c>
      <c r="BS68" s="24">
        <f t="shared" ref="BS68:BS131" si="63">SUM(BP68:BR68)</f>
        <v>60.928734714700461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755</v>
      </c>
      <c r="BW68" s="13">
        <f>VLOOKUP(A68,'Données projet'!$A$113:$I$133,9,0)</f>
        <v>16.399999999999999</v>
      </c>
      <c r="BX68" s="13">
        <f t="array" ref="BX68">INDEX(BW:BW,MIN(IF(ISNUMBER(BW68:BW264),ROW(BW68:BW264),"")))</f>
        <v>16.399999999999999</v>
      </c>
      <c r="BY68" s="13">
        <f>IF('Données projet'!$A$114&gt;35,BY67+BX68-CG67,IF(A68&lt;'Données projet'!$A$114,$BV$205^A68,IF(A68='Données projet'!$A$114,'Données projet'!$B$114,BY67+BX68-CG67)))</f>
        <v>754.99999999999977</v>
      </c>
      <c r="BZ68" s="14">
        <f>BY68*VLOOKUP('Données projet'!$B$12,Paramètres!$A$1:$I$89,3,0)*VLOOKUP('Données projet'!$B$12,Paramètres!$A$1:$I$89,5,0)</f>
        <v>422.0449999999999</v>
      </c>
      <c r="CA68" s="14">
        <f t="shared" si="39"/>
        <v>96.231900930736671</v>
      </c>
      <c r="CB68" s="22">
        <f t="shared" ref="CB68:CB131" si="64">(BZ68+CA68)*0.475*44/12</f>
        <v>902.66560245436619</v>
      </c>
      <c r="CC68" s="62">
        <f t="shared" ref="CC68:CC131" si="65">CB68+(BT68+BU68)*44/12</f>
        <v>1195.9989357876996</v>
      </c>
      <c r="CD68" s="62">
        <f ca="1">AVERAGE(OFFSET($CC$3,0,0,'Données projet'!$E$12+1,1))-AVERAGE(OFFSET($H$3,0,0,'Données projet'!$E$12+1,1))</f>
        <v>465.49436272491818</v>
      </c>
      <c r="CE68" s="62">
        <f t="shared" si="40"/>
        <v>494.36941732405256</v>
      </c>
      <c r="CF68" s="16">
        <f>IF(ISNA(VLOOKUP(A68,'Données projet'!$A$113:$I$133,3,0)),0,VLOOKUP(A68,'Données projet'!$A$113:$I$133,3,0))</f>
        <v>11</v>
      </c>
      <c r="CG68" s="16">
        <f>IF(ISNA(VLOOKUP(A68,'Données projet'!$A$113:$I$133,4,0)),0,VLOOKUP(A68,'Données projet'!$A$113:$I$133,4,0))</f>
        <v>46</v>
      </c>
      <c r="CH68" s="17">
        <f>IF(ISNA(VLOOKUP(A68,'Données projet'!$A$113:$I$133,5,0)),0%,VLOOKUP(A68,'Données projet'!$A$113:$I$133,5,0)*VLOOKUP('Données projet'!$B$12,Paramètres!$A$1:$I$89,7,0))</f>
        <v>0.33</v>
      </c>
      <c r="CI68" s="17">
        <f>IF(ISNA(VLOOKUP(A68,'Données projet'!$A$113:$I$133,6,0)),0%,VLOOKUP(A68,'Données projet'!$A$113:$I$133,6,0)*VLOOKUP('Données projet'!$B$12,Paramètres!$A$1:$I$89,7,0))</f>
        <v>0.12100000000000001</v>
      </c>
      <c r="CJ68" s="17">
        <f>IF(ISNA(VLOOKUP(A68,'Données projet'!$A$113:$I$133,7,0)),0%,VLOOKUP(A68,'Données projet'!$A$113:$I$133,7,0))</f>
        <v>0.18</v>
      </c>
      <c r="CK68" s="23">
        <f>EXP(-LN(2)/35)*CK67+(1-EXP(-LN(2)/35))/(LN(2)/35)*CG68*CH68*VLOOKUP('Données projet'!$B$12,Paramètres!$A$1:$I$89,3,0)*0.475*44/12</f>
        <v>68.940999919844202</v>
      </c>
      <c r="CL68" s="23">
        <f>EXP(-LN(2)/25)*CL67+(1-EXP(-LN(2)/25))/(LN(2)/25)*Calculateur!CG68*Calculateur!CI68*VLOOKUP('Données projet'!$B$12,Paramètres!$A$1:$I$89,3,0)*0.475*44/12</f>
        <v>33.681635611539384</v>
      </c>
      <c r="CM68" s="23">
        <f>EXP(-LN(2)/2)*CM67+(1-EXP(-LN(2)/2))/(LN(2)/2)*CG68*CJ68*VLOOKUP('Données projet'!$B$12,Paramètres!$A$1:$I$89,3,0)*0.475*44/12</f>
        <v>6.3764913886528083</v>
      </c>
      <c r="CN68" s="24">
        <f t="shared" ref="CN68:CN131" si="66">SUM(CK68:CM68)</f>
        <v>108.9991269200364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15.602999999999998</v>
      </c>
      <c r="CT68" s="13">
        <f>IF('Données projet'!$A$140&gt;35,CT67+CS68-DB67,IF(A68&lt;'Données projet'!$A$140,$CQ$205^A68,IF(A68='Données projet'!$A$140,'Données projet'!$B$140,CT67+CS68-DB67)))</f>
        <v>614.75699999999972</v>
      </c>
      <c r="CU68" s="18">
        <f>CT68*VLOOKUP('Données projet'!$B$13,Paramètres!$A$1:$I$89,3,0)*VLOOKUP('Données projet'!$B$13,Paramètres!$A$1:$I$89,5,0)</f>
        <v>367.62468599999988</v>
      </c>
      <c r="CV68" s="14">
        <f t="shared" si="41"/>
        <v>85.181175344938808</v>
      </c>
      <c r="CW68" s="22">
        <f t="shared" ref="CW68:CW131" si="67">(CU68+CV68)*0.475*44/12</f>
        <v>788.63687517576818</v>
      </c>
      <c r="CX68" s="62">
        <f t="shared" ref="CX68:CX131" si="68">CW68+(CO68+CP68)*44/12</f>
        <v>1081.9702085091014</v>
      </c>
      <c r="CY68" s="62">
        <f ca="1">AVERAGE(OFFSET($CX$3,0,0,'Données projet'!$E$13+1,1))-AVERAGE(OFFSET($H$3,0,0,'Données projet'!$E$13+1,1))</f>
        <v>361.46923697840384</v>
      </c>
      <c r="CZ68" s="62">
        <f t="shared" si="42"/>
        <v>302.25424592654673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41.160669152430216</v>
      </c>
      <c r="DG68" s="23">
        <f>EXP(-LN(2)/25)*DG67+(1-EXP(-LN(2)/25))/(LN(2)/25)*Calculateur!DB68*Calculateur!DD68*VLOOKUP('Données projet'!$B$13,Paramètres!$A$1:$I$89,3,0)*0.475*44/12</f>
        <v>19.065010107317793</v>
      </c>
      <c r="DH68" s="23">
        <f>EXP(-LN(2)/2)*DH67+(1-EXP(-LN(2)/2))/(LN(2)/2)*DB68*DE68*VLOOKUP('Données projet'!$B$13,Paramètres!$A$1:$I$89,3,0)*0.475*44/12</f>
        <v>0.4364475993632842</v>
      </c>
      <c r="DI68" s="24">
        <f t="shared" ref="DI68:DI131" si="69">SUM(DF68:DH68)</f>
        <v>60.662126859111289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15.8</v>
      </c>
      <c r="N69" s="14">
        <f>IF('Données projet'!$A$36&gt;35,N68+M69-V68,IF(A69&lt;'Données projet'!$A$36,$K$205^A69,IF(A69='Données projet'!$A$36,'Données projet'!$B$36,N68+M69-V68)))</f>
        <v>655.79999999999973</v>
      </c>
      <c r="O69" s="14">
        <f>N69*VLOOKUP('Données projet'!$B$9,Paramètres!$A$1:$I$89,3,0)*VLOOKUP('Données projet'!$B$9,Paramètres!$A$1:$I$89,5,0)</f>
        <v>366.59219999999982</v>
      </c>
      <c r="P69" s="14">
        <f t="shared" ref="P69:P132" si="87">EXP(-1.0587+0.8836*LN(O69)+0.284)</f>
        <v>84.969753481055022</v>
      </c>
      <c r="Q69" s="22">
        <f t="shared" si="54"/>
        <v>786.47040231283711</v>
      </c>
      <c r="R69" s="62">
        <f t="shared" si="55"/>
        <v>1079.8037356461705</v>
      </c>
      <c r="S69" s="62">
        <f ca="1">AVERAGE(OFFSET($R$3,0,0,'Données projet'!$E$9+1,1))-AVERAGE(OFFSET($H$3,0,0,'Données projet'!$E$9+1,1))</f>
        <v>389.80719836281679</v>
      </c>
      <c r="T69" s="62">
        <f t="shared" ref="T69:T132" si="88">$T$3</f>
        <v>399.58193819355591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63.82666348278746</v>
      </c>
      <c r="AA69" s="23">
        <f>EXP(-LN(2)/25)*AA68+(1-EXP(-LN(2)/25))/(LN(2)/25)*Calculateur!V69*Calculateur!X69*VLOOKUP('Données projet'!$B$9,Paramètres!$A$1:$I$89,3,0)*0.475*44/12</f>
        <v>28.984551001724416</v>
      </c>
      <c r="AB69" s="23">
        <f>EXP(-LN(2)/2)*AB68+(1-EXP(-LN(2)/2))/(LN(2)/2)*V69*Y69*VLOOKUP('Données projet'!$B$9,Paramètres!$A$1:$I$89,3,0)*0.475*44/12</f>
        <v>4.5645284362623464</v>
      </c>
      <c r="AC69" s="24">
        <f t="shared" si="57"/>
        <v>97.375742920774229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11.896999999999997</v>
      </c>
      <c r="AI69" s="14">
        <f>IF('Données projet'!$A$62&gt;35,AI68+AH69-AQ68,IF(A69&lt;'Données projet'!$A$62,$AF$205^A69,IF(A69='Données projet'!$A$62,'Données projet'!$B$62,AI68+AH69-AQ68)))</f>
        <v>442.47200000000015</v>
      </c>
      <c r="AJ69" s="14">
        <f>AI69*VLOOKUP('Données projet'!$B$10,Paramètres!$A$1:$I$89,3,0)*VLOOKUP('Données projet'!$B$10,Paramètres!$A$1:$I$89,5,0)</f>
        <v>264.59825600000011</v>
      </c>
      <c r="AK69" s="14">
        <f t="shared" ref="AK69:AK132" si="89">EXP(-1.0587+0.8836*LN(AJ69)+0.284)</f>
        <v>63.701538011039567</v>
      </c>
      <c r="AL69" s="22">
        <f t="shared" si="58"/>
        <v>571.78880790256073</v>
      </c>
      <c r="AM69" s="62">
        <f t="shared" si="59"/>
        <v>865.12214123589411</v>
      </c>
      <c r="AN69" s="62">
        <f ca="1">AVERAGE(OFFSET($AM$3,0,0,'Données projet'!$E$10+1,1))-AVERAGE(OFFSET($H$3,0,0,'Données projet'!$E$10+1,1))</f>
        <v>269.90083987531233</v>
      </c>
      <c r="AO69" s="62">
        <f t="shared" ref="AO69:AO132" si="90">$AO$3</f>
        <v>183.4515835513518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34.281264765490953</v>
      </c>
      <c r="AV69" s="23">
        <f>EXP(-LN(2)/25)*AV68+(1-EXP(-LN(2)/25))/(LN(2)/25)*Calculateur!AQ69*Calculateur!AS69*VLOOKUP('Données projet'!$B$10,Paramètres!$A$1:$I$89,3,0)*0.475*44/12</f>
        <v>21.20204803884317</v>
      </c>
      <c r="AW69" s="23">
        <f>EXP(-LN(2)/2)*AW68+(1-EXP(-LN(2)/2))/(LN(2)/2)*AQ69*AT69*VLOOKUP('Données projet'!$B$10,Paramètres!$A$1:$I$89,3,0)*0.475*44/12</f>
        <v>1.3437226821003028</v>
      </c>
      <c r="AX69" s="23">
        <f t="shared" si="60"/>
        <v>56.827035486434418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15.696249999999999</v>
      </c>
      <c r="BD69" s="13">
        <f>IF('Données projet'!$A$88&gt;35,BD68+BC69-BL68,IF(A69&lt;'Données projet'!$A$88,$BA$205^A69,IF(A69='Données projet'!$A$88,'Données projet'!$B$88,BD68+BC69-BL68)))</f>
        <v>286.25625000000014</v>
      </c>
      <c r="BE69" s="14">
        <f>BD69*VLOOKUP('Données projet'!$B$11,Paramètres!$A$1:$I$89,3,0)*VLOOKUP('Données projet'!$B$11,Paramètres!$A$1:$I$89,5,0)</f>
        <v>137.68925625000008</v>
      </c>
      <c r="BF69" s="14">
        <f t="shared" ref="BF69:BF132" si="91">EXP(-1.0587+0.8836*LN(BE69)+0.284)</f>
        <v>35.767134892447309</v>
      </c>
      <c r="BG69" s="22">
        <f t="shared" si="61"/>
        <v>302.10321457309584</v>
      </c>
      <c r="BH69" s="62">
        <f t="shared" si="62"/>
        <v>595.43654790642915</v>
      </c>
      <c r="BI69" s="62">
        <f ca="1">AVERAGE(OFFSET($BH$3,0,0,'Données projet'!$E$11+1,1))-AVERAGE(OFFSET($H$3,0,0,'Données projet'!$E$11+1,1))</f>
        <v>255.64417186544995</v>
      </c>
      <c r="BJ69" s="62">
        <f t="shared" ref="BJ69:BJ132" si="92">$BJ$3</f>
        <v>165.41802783289376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19.691424661402625</v>
      </c>
      <c r="BQ69" s="23">
        <f>EXP(-LN(2)/25)*BQ68+(1-EXP(-LN(2)/25))/(LN(2)/25)*Calculateur!BL69*Calculateur!BN69*VLOOKUP('Données projet'!$B$11,Paramètres!$A$1:$I$89,3,0)*0.475*44/12</f>
        <v>26.325656898301339</v>
      </c>
      <c r="BR69" s="23">
        <f>EXP(-LN(2)/2)*BR68+(1-EXP(-LN(2)/2))/(LN(2)/2)*BL69*BO69*VLOOKUP('Données projet'!$B$11,Paramètres!$A$1:$I$89,3,0)*0.475*44/12</f>
        <v>9.7422895536419869</v>
      </c>
      <c r="BS69" s="24">
        <f t="shared" si="63"/>
        <v>55.759371113345956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15.2</v>
      </c>
      <c r="BY69" s="13">
        <f>IF('Données projet'!$A$114&gt;35,BY68+BX69-CG68,IF(A69&lt;'Données projet'!$A$114,$BV$205^A69,IF(A69='Données projet'!$A$114,'Données projet'!$B$114,BY68+BX69-CG68)))</f>
        <v>724.19999999999982</v>
      </c>
      <c r="BZ69" s="14">
        <f>BY69*VLOOKUP('Données projet'!$B$12,Paramètres!$A$1:$I$89,3,0)*VLOOKUP('Données projet'!$B$12,Paramètres!$A$1:$I$89,5,0)</f>
        <v>404.82779999999985</v>
      </c>
      <c r="CA69" s="14">
        <f t="shared" ref="CA69:CA132" si="93">EXP(-1.0587+0.8836*LN(BZ69)+0.284)</f>
        <v>92.75474312308576</v>
      </c>
      <c r="CB69" s="22">
        <f t="shared" si="64"/>
        <v>866.62292927270744</v>
      </c>
      <c r="CC69" s="62">
        <f t="shared" si="65"/>
        <v>1159.9562626060408</v>
      </c>
      <c r="CD69" s="62">
        <f ca="1">AVERAGE(OFFSET($CC$3,0,0,'Données projet'!$E$12+1,1))-AVERAGE(OFFSET($H$3,0,0,'Données projet'!$E$12+1,1))</f>
        <v>465.49436272491818</v>
      </c>
      <c r="CE69" s="62">
        <f t="shared" ref="CE69:CE132" si="94">$CE$3</f>
        <v>494.36941732405256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67.589108961273936</v>
      </c>
      <c r="CL69" s="23">
        <f>EXP(-LN(2)/25)*CL68+(1-EXP(-LN(2)/25))/(LN(2)/25)*Calculateur!CG69*Calculateur!CI69*VLOOKUP('Données projet'!$B$12,Paramètres!$A$1:$I$89,3,0)*0.475*44/12</f>
        <v>32.760609514501603</v>
      </c>
      <c r="CM69" s="23">
        <f>EXP(-LN(2)/2)*CM68+(1-EXP(-LN(2)/2))/(LN(2)/2)*CG69*CJ69*VLOOKUP('Données projet'!$B$12,Paramètres!$A$1:$I$89,3,0)*0.475*44/12</f>
        <v>4.5088603010940265</v>
      </c>
      <c r="CN69" s="24">
        <f t="shared" si="66"/>
        <v>104.85857877686958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>
        <f>VLOOKUP(A69,'Données projet'!$A$139:$I$159,2,0)</f>
        <v>630.36</v>
      </c>
      <c r="CR69" s="13">
        <f>VLOOKUP(A69,'Données projet'!$A$139:$I$159,9,0)</f>
        <v>15.602999999999998</v>
      </c>
      <c r="CS69" s="13">
        <f t="array" ref="CS69">INDEX(CR:CR,MIN(IF(ISNUMBER(CR69:CR265),ROW(CR69:CR265),"")))</f>
        <v>15.602999999999998</v>
      </c>
      <c r="CT69" s="13">
        <f>IF('Données projet'!$A$140&gt;35,CT68+CS69-DB68,IF(A69&lt;'Données projet'!$A$140,$CQ$205^A69,IF(A69='Données projet'!$A$140,'Données projet'!$B$140,CT68+CS69-DB68)))</f>
        <v>630.35999999999967</v>
      </c>
      <c r="CU69" s="18">
        <f>CT69*VLOOKUP('Données projet'!$B$13,Paramètres!$A$1:$I$89,3,0)*VLOOKUP('Données projet'!$B$13,Paramètres!$A$1:$I$89,5,0)</f>
        <v>376.95527999999985</v>
      </c>
      <c r="CV69" s="14">
        <f t="shared" ref="CV69:CV132" si="95">EXP(-1.0587+0.8836*LN(CU69)+0.284)</f>
        <v>87.088690303924849</v>
      </c>
      <c r="CW69" s="22">
        <f t="shared" si="67"/>
        <v>808.20991494600219</v>
      </c>
      <c r="CX69" s="62">
        <f t="shared" si="68"/>
        <v>1101.5432482793356</v>
      </c>
      <c r="CY69" s="62">
        <f ca="1">AVERAGE(OFFSET($CX$3,0,0,'Données projet'!$E$13+1,1))-AVERAGE(OFFSET($H$3,0,0,'Données projet'!$E$13+1,1))</f>
        <v>361.46923697840384</v>
      </c>
      <c r="CZ69" s="62">
        <f t="shared" ref="CZ69:CZ132" si="96">$CZ$3</f>
        <v>302.25424592654673</v>
      </c>
      <c r="DA69" s="16">
        <f>IF(ISNA(VLOOKUP(A69,'Données projet'!$A$139:$I$159,3,0)),0,VLOOKUP(A69,'Données projet'!$A$139:$I$159,3,0))</f>
        <v>7</v>
      </c>
      <c r="DB69" s="16">
        <f>IF(ISNA(VLOOKUP(A69,'Données projet'!$A$139:$I$159,4,0)),0,VLOOKUP(A69,'Données projet'!$A$139:$I$159,4,0))</f>
        <v>87.84</v>
      </c>
      <c r="DC69" s="17">
        <f>IF(ISNA(VLOOKUP(A69,'Données projet'!$A$139:$I$159,5,0)),0%,VLOOKUP(A69,'Données projet'!$A$139:$I$159,5,0)*VLOOKUP('Données projet'!$B$13,Paramètres!$A$1:$I$89,7,0))</f>
        <v>0.27</v>
      </c>
      <c r="DD69" s="17">
        <f>IF(ISNA(VLOOKUP(A69,'Données projet'!$A$139:$I$159,6,0)),0%,VLOOKUP(A69,'Données projet'!$A$139:$I$159,6,0)*VLOOKUP('Données projet'!$B$13,Paramètres!$A$1:$I$89,7,0))</f>
        <v>9.9000000000000005E-2</v>
      </c>
      <c r="DE69" s="17">
        <f>IF(ISNA(VLOOKUP(A69,'Données projet'!$A$139:$I$159,7,0)),0%,VLOOKUP(A69,'Données projet'!$A$139:$I$159,7,0))</f>
        <v>0.18</v>
      </c>
      <c r="DF69" s="23">
        <f>EXP(-LN(2)/35)*DF68+(1-EXP(-LN(2)/35))/(LN(2)/35)*DB69*DC69*VLOOKUP('Données projet'!$B$13,Paramètres!$A$1:$I$89,3,0)*0.475*44/12</f>
        <v>59.16772813418784</v>
      </c>
      <c r="DG69" s="23">
        <f>EXP(-LN(2)/25)*DG68+(1-EXP(-LN(2)/25))/(LN(2)/25)*Calculateur!DB69*Calculateur!DD69*VLOOKUP('Données projet'!$B$13,Paramètres!$A$1:$I$89,3,0)*0.475*44/12</f>
        <v>25.415052249995959</v>
      </c>
      <c r="DH69" s="23">
        <f>EXP(-LN(2)/2)*DH68+(1-EXP(-LN(2)/2))/(LN(2)/2)*DB69*DE69*VLOOKUP('Données projet'!$B$13,Paramètres!$A$1:$I$89,3,0)*0.475*44/12</f>
        <v>11.013981936127342</v>
      </c>
      <c r="DI69" s="24">
        <f t="shared" si="69"/>
        <v>95.596762320311129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15.8</v>
      </c>
      <c r="N70" s="14">
        <f>IF('Données projet'!$A$36&gt;35,N69+M70-V69,IF(A70&lt;'Données projet'!$A$36,$K$205^A70,IF(A70='Données projet'!$A$36,'Données projet'!$B$36,N69+M70-V69)))</f>
        <v>671.59999999999968</v>
      </c>
      <c r="O70" s="14">
        <f>N70*VLOOKUP('Données projet'!$B$9,Paramètres!$A$1:$I$89,3,0)*VLOOKUP('Données projet'!$B$9,Paramètres!$A$1:$I$89,5,0)</f>
        <v>375.42439999999982</v>
      </c>
      <c r="P70" s="14">
        <f t="shared" si="87"/>
        <v>86.776102824676812</v>
      </c>
      <c r="Q70" s="22">
        <f t="shared" si="54"/>
        <v>804.99920908631168</v>
      </c>
      <c r="R70" s="62">
        <f t="shared" si="55"/>
        <v>1098.3325424196451</v>
      </c>
      <c r="S70" s="62">
        <f ca="1">AVERAGE(OFFSET($R$3,0,0,'Données projet'!$E$9+1,1))-AVERAGE(OFFSET($H$3,0,0,'Données projet'!$E$9+1,1))</f>
        <v>389.80719836281679</v>
      </c>
      <c r="T70" s="62">
        <f t="shared" si="88"/>
        <v>399.58193819355591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62.575061542310664</v>
      </c>
      <c r="AA70" s="23">
        <f>EXP(-LN(2)/25)*AA69+(1-EXP(-LN(2)/25))/(LN(2)/25)*Calculateur!V70*Calculateur!X70*VLOOKUP('Données projet'!$B$9,Paramètres!$A$1:$I$89,3,0)*0.475*44/12</f>
        <v>28.191966930350969</v>
      </c>
      <c r="AB70" s="23">
        <f>EXP(-LN(2)/2)*AB69+(1-EXP(-LN(2)/2))/(LN(2)/2)*V70*Y70*VLOOKUP('Données projet'!$B$9,Paramètres!$A$1:$I$89,3,0)*0.475*44/12</f>
        <v>3.2276090101999331</v>
      </c>
      <c r="AC70" s="24">
        <f t="shared" si="57"/>
        <v>93.994637482861563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11.896999999999997</v>
      </c>
      <c r="AI70" s="14">
        <f>IF('Données projet'!$A$62&gt;35,AI69+AH70-AQ69,IF(A70&lt;'Données projet'!$A$62,$AF$205^A70,IF(A70='Données projet'!$A$62,'Données projet'!$B$62,AI69+AH70-AQ69)))</f>
        <v>454.36900000000014</v>
      </c>
      <c r="AJ70" s="14">
        <f>AI70*VLOOKUP('Données projet'!$B$10,Paramètres!$A$1:$I$89,3,0)*VLOOKUP('Données projet'!$B$10,Paramètres!$A$1:$I$89,5,0)</f>
        <v>271.71266200000014</v>
      </c>
      <c r="AK70" s="14">
        <f t="shared" si="89"/>
        <v>65.212605520968935</v>
      </c>
      <c r="AL70" s="22">
        <f t="shared" si="58"/>
        <v>586.81150759902118</v>
      </c>
      <c r="AM70" s="62">
        <f t="shared" si="59"/>
        <v>880.14484093235455</v>
      </c>
      <c r="AN70" s="62">
        <f ca="1">AVERAGE(OFFSET($AM$3,0,0,'Données projet'!$E$10+1,1))-AVERAGE(OFFSET($H$3,0,0,'Données projet'!$E$10+1,1))</f>
        <v>269.90083987531233</v>
      </c>
      <c r="AO70" s="62">
        <f t="shared" si="90"/>
        <v>183.4515835513518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33.609030072946538</v>
      </c>
      <c r="AV70" s="23">
        <f>EXP(-LN(2)/25)*AV69+(1-EXP(-LN(2)/25))/(LN(2)/25)*Calculateur!AQ70*Calculateur!AS70*VLOOKUP('Données projet'!$B$10,Paramètres!$A$1:$I$89,3,0)*0.475*44/12</f>
        <v>20.622276920253753</v>
      </c>
      <c r="AW70" s="23">
        <f>EXP(-LN(2)/2)*AW69+(1-EXP(-LN(2)/2))/(LN(2)/2)*AQ70*AT70*VLOOKUP('Données projet'!$B$10,Paramètres!$A$1:$I$89,3,0)*0.475*44/12</f>
        <v>0.95015542054729962</v>
      </c>
      <c r="AX70" s="23">
        <f t="shared" si="60"/>
        <v>55.181462413747589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15.696249999999999</v>
      </c>
      <c r="BD70" s="13">
        <f>IF('Données projet'!$A$88&gt;35,BD69+BC70-BL69,IF(A70&lt;'Données projet'!$A$88,$BA$205^A70,IF(A70='Données projet'!$A$88,'Données projet'!$B$88,BD69+BC70-BL69)))</f>
        <v>301.95250000000016</v>
      </c>
      <c r="BE70" s="14">
        <f>BD70*VLOOKUP('Données projet'!$B$11,Paramètres!$A$1:$I$89,3,0)*VLOOKUP('Données projet'!$B$11,Paramètres!$A$1:$I$89,5,0)</f>
        <v>145.23915250000007</v>
      </c>
      <c r="BF70" s="14">
        <f t="shared" si="91"/>
        <v>37.494643401902835</v>
      </c>
      <c r="BG70" s="22">
        <f t="shared" si="61"/>
        <v>318.26136119581423</v>
      </c>
      <c r="BH70" s="62">
        <f t="shared" si="62"/>
        <v>611.59469452914755</v>
      </c>
      <c r="BI70" s="62">
        <f ca="1">AVERAGE(OFFSET($BH$3,0,0,'Données projet'!$E$11+1,1))-AVERAGE(OFFSET($H$3,0,0,'Données projet'!$E$11+1,1))</f>
        <v>255.64417186544995</v>
      </c>
      <c r="BJ70" s="62">
        <f t="shared" si="92"/>
        <v>165.41802783289376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19.305287834375616</v>
      </c>
      <c r="BQ70" s="23">
        <f>EXP(-LN(2)/25)*BQ69+(1-EXP(-LN(2)/25))/(LN(2)/25)*Calculateur!BL70*Calculateur!BN70*VLOOKUP('Données projet'!$B$11,Paramètres!$A$1:$I$89,3,0)*0.475*44/12</f>
        <v>25.605780426011162</v>
      </c>
      <c r="BR70" s="23">
        <f>EXP(-LN(2)/2)*BR69+(1-EXP(-LN(2)/2))/(LN(2)/2)*BL70*BO70*VLOOKUP('Données projet'!$B$11,Paramètres!$A$1:$I$89,3,0)*0.475*44/12</f>
        <v>6.8888390076631127</v>
      </c>
      <c r="BS70" s="24">
        <f t="shared" si="63"/>
        <v>51.799907268049893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15.2</v>
      </c>
      <c r="BY70" s="13">
        <f>IF('Données projet'!$A$114&gt;35,BY69+BX70-CG69,IF(A70&lt;'Données projet'!$A$114,$BV$205^A70,IF(A70='Données projet'!$A$114,'Données projet'!$B$114,BY69+BX70-CG69)))</f>
        <v>739.39999999999986</v>
      </c>
      <c r="BZ70" s="14">
        <f>BY70*VLOOKUP('Données projet'!$B$12,Paramètres!$A$1:$I$89,3,0)*VLOOKUP('Données projet'!$B$12,Paramètres!$A$1:$I$89,5,0)</f>
        <v>413.32459999999998</v>
      </c>
      <c r="CA70" s="14">
        <f t="shared" si="93"/>
        <v>94.472849983701352</v>
      </c>
      <c r="CB70" s="22">
        <f t="shared" si="64"/>
        <v>884.41389205494636</v>
      </c>
      <c r="CC70" s="62">
        <f t="shared" si="65"/>
        <v>1177.7472253882797</v>
      </c>
      <c r="CD70" s="62">
        <f ca="1">AVERAGE(OFFSET($CC$3,0,0,'Données projet'!$E$12+1,1))-AVERAGE(OFFSET($H$3,0,0,'Données projet'!$E$12+1,1))</f>
        <v>465.49436272491818</v>
      </c>
      <c r="CE70" s="62">
        <f t="shared" si="94"/>
        <v>494.36941732405256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66.263727759829166</v>
      </c>
      <c r="CL70" s="23">
        <f>EXP(-LN(2)/25)*CL69+(1-EXP(-LN(2)/25))/(LN(2)/25)*Calculateur!CG70*Calculateur!CI70*VLOOKUP('Données projet'!$B$12,Paramètres!$A$1:$I$89,3,0)*0.475*44/12</f>
        <v>31.864768924521979</v>
      </c>
      <c r="CM70" s="23">
        <f>EXP(-LN(2)/2)*CM69+(1-EXP(-LN(2)/2))/(LN(2)/2)*CG70*CJ70*VLOOKUP('Données projet'!$B$12,Paramètres!$A$1:$I$89,3,0)*0.475*44/12</f>
        <v>3.1882456943264046</v>
      </c>
      <c r="CN70" s="24">
        <f t="shared" si="66"/>
        <v>101.31674237867756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12.905000000000006</v>
      </c>
      <c r="CT70" s="13">
        <f>IF('Données projet'!$A$140&gt;35,CT69+CS70-DB69,IF(A70&lt;'Données projet'!$A$140,$CQ$205^A70,IF(A70='Données projet'!$A$140,'Données projet'!$B$140,CT69+CS70-DB69)))</f>
        <v>555.42499999999961</v>
      </c>
      <c r="CU70" s="18">
        <f>CT70*VLOOKUP('Données projet'!$B$13,Paramètres!$A$1:$I$89,3,0)*VLOOKUP('Données projet'!$B$13,Paramètres!$A$1:$I$89,5,0)</f>
        <v>332.1441499999998</v>
      </c>
      <c r="CV70" s="14">
        <f t="shared" si="95"/>
        <v>77.874676474702113</v>
      </c>
      <c r="CW70" s="22">
        <f t="shared" si="67"/>
        <v>714.1161227767725</v>
      </c>
      <c r="CX70" s="62">
        <f t="shared" si="68"/>
        <v>1007.4494561101058</v>
      </c>
      <c r="CY70" s="62">
        <f ca="1">AVERAGE(OFFSET($CX$3,0,0,'Données projet'!$E$13+1,1))-AVERAGE(OFFSET($H$3,0,0,'Données projet'!$E$13+1,1))</f>
        <v>361.46923697840384</v>
      </c>
      <c r="CZ70" s="62">
        <f t="shared" si="96"/>
        <v>302.25424592654673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58.007485074227112</v>
      </c>
      <c r="DG70" s="23">
        <f>EXP(-LN(2)/25)*DG69+(1-EXP(-LN(2)/25))/(LN(2)/25)*Calculateur!DB70*Calculateur!DD70*VLOOKUP('Données projet'!$B$13,Paramètres!$A$1:$I$89,3,0)*0.475*44/12</f>
        <v>24.72007630970031</v>
      </c>
      <c r="DH70" s="23">
        <f>EXP(-LN(2)/2)*DH69+(1-EXP(-LN(2)/2))/(LN(2)/2)*DB70*DE70*VLOOKUP('Données projet'!$B$13,Paramètres!$A$1:$I$89,3,0)*0.475*44/12</f>
        <v>7.7880613149017837</v>
      </c>
      <c r="DI70" s="24">
        <f t="shared" si="69"/>
        <v>90.515622698829205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15.8</v>
      </c>
      <c r="N71" s="14">
        <f>IF('Données projet'!$A$36&gt;35,N70+M71-V70,IF(A71&lt;'Données projet'!$A$36,$K$205^A71,IF(A71='Données projet'!$A$36,'Données projet'!$B$36,N70+M71-V70)))</f>
        <v>687.39999999999964</v>
      </c>
      <c r="O71" s="14">
        <f>N71*VLOOKUP('Données projet'!$B$9,Paramètres!$A$1:$I$89,3,0)*VLOOKUP('Données projet'!$B$9,Paramètres!$A$1:$I$89,5,0)</f>
        <v>384.25659999999976</v>
      </c>
      <c r="P71" s="14">
        <f t="shared" si="87"/>
        <v>88.577511917871689</v>
      </c>
      <c r="Q71" s="22">
        <f t="shared" si="54"/>
        <v>823.51941159029275</v>
      </c>
      <c r="R71" s="62">
        <f t="shared" si="55"/>
        <v>1116.852744923626</v>
      </c>
      <c r="S71" s="62">
        <f ca="1">AVERAGE(OFFSET($R$3,0,0,'Données projet'!$E$9+1,1))-AVERAGE(OFFSET($H$3,0,0,'Données projet'!$E$9+1,1))</f>
        <v>389.80719836281679</v>
      </c>
      <c r="T71" s="62">
        <f t="shared" si="88"/>
        <v>399.58193819355591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61.34800275248481</v>
      </c>
      <c r="AA71" s="23">
        <f>EXP(-LN(2)/25)*AA70+(1-EXP(-LN(2)/25))/(LN(2)/25)*Calculateur!V71*Calculateur!X71*VLOOKUP('Données projet'!$B$9,Paramètres!$A$1:$I$89,3,0)*0.475*44/12</f>
        <v>27.421056112089413</v>
      </c>
      <c r="AB71" s="23">
        <f>EXP(-LN(2)/2)*AB70+(1-EXP(-LN(2)/2))/(LN(2)/2)*V71*Y71*VLOOKUP('Données projet'!$B$9,Paramètres!$A$1:$I$89,3,0)*0.475*44/12</f>
        <v>2.2822642181311736</v>
      </c>
      <c r="AC71" s="24">
        <f t="shared" si="57"/>
        <v>91.051323082705395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11.896999999999997</v>
      </c>
      <c r="AI71" s="14">
        <f>IF('Données projet'!$A$62&gt;35,AI70+AH71-AQ70,IF(A71&lt;'Données projet'!$A$62,$AF$205^A71,IF(A71='Données projet'!$A$62,'Données projet'!$B$62,AI70+AH71-AQ70)))</f>
        <v>466.26600000000013</v>
      </c>
      <c r="AJ71" s="14">
        <f>AI71*VLOOKUP('Données projet'!$B$10,Paramètres!$A$1:$I$89,3,0)*VLOOKUP('Données projet'!$B$10,Paramètres!$A$1:$I$89,5,0)</f>
        <v>278.82706800000011</v>
      </c>
      <c r="AK71" s="14">
        <f t="shared" si="89"/>
        <v>66.719074104976841</v>
      </c>
      <c r="AL71" s="22">
        <f t="shared" si="58"/>
        <v>601.82619749950163</v>
      </c>
      <c r="AM71" s="62">
        <f t="shared" si="59"/>
        <v>895.15953083283489</v>
      </c>
      <c r="AN71" s="62">
        <f ca="1">AVERAGE(OFFSET($AM$3,0,0,'Données projet'!$E$10+1,1))-AVERAGE(OFFSET($H$3,0,0,'Données projet'!$E$10+1,1))</f>
        <v>269.90083987531233</v>
      </c>
      <c r="AO71" s="62">
        <f t="shared" si="90"/>
        <v>183.4515835513518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32.949977492700242</v>
      </c>
      <c r="AV71" s="23">
        <f>EXP(-LN(2)/25)*AV70+(1-EXP(-LN(2)/25))/(LN(2)/25)*Calculateur!AQ71*Calculateur!AS71*VLOOKUP('Données projet'!$B$10,Paramètres!$A$1:$I$89,3,0)*0.475*44/12</f>
        <v>20.058359673391003</v>
      </c>
      <c r="AW71" s="23">
        <f>EXP(-LN(2)/2)*AW70+(1-EXP(-LN(2)/2))/(LN(2)/2)*AQ71*AT71*VLOOKUP('Données projet'!$B$10,Paramètres!$A$1:$I$89,3,0)*0.475*44/12</f>
        <v>0.67186134105015149</v>
      </c>
      <c r="AX71" s="23">
        <f t="shared" si="60"/>
        <v>53.680198507141398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15.696249999999999</v>
      </c>
      <c r="BD71" s="13">
        <f>IF('Données projet'!$A$88&gt;35,BD70+BC71-BL70,IF(A71&lt;'Données projet'!$A$88,$BA$205^A71,IF(A71='Données projet'!$A$88,'Données projet'!$B$88,BD70+BC71-BL70)))</f>
        <v>317.64875000000018</v>
      </c>
      <c r="BE71" s="14">
        <f>BD71*VLOOKUP('Données projet'!$B$11,Paramètres!$A$1:$I$89,3,0)*VLOOKUP('Données projet'!$B$11,Paramètres!$A$1:$I$89,5,0)</f>
        <v>152.78904875000009</v>
      </c>
      <c r="BF71" s="14">
        <f t="shared" si="91"/>
        <v>39.211725766813167</v>
      </c>
      <c r="BG71" s="22">
        <f t="shared" si="61"/>
        <v>334.40134895011641</v>
      </c>
      <c r="BH71" s="62">
        <f t="shared" si="62"/>
        <v>627.73468228344973</v>
      </c>
      <c r="BI71" s="62">
        <f ca="1">AVERAGE(OFFSET($BH$3,0,0,'Données projet'!$E$11+1,1))-AVERAGE(OFFSET($H$3,0,0,'Données projet'!$E$11+1,1))</f>
        <v>255.64417186544995</v>
      </c>
      <c r="BJ71" s="62">
        <f t="shared" si="92"/>
        <v>165.41802783289376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18.926722915006398</v>
      </c>
      <c r="BQ71" s="23">
        <f>EXP(-LN(2)/25)*BQ70+(1-EXP(-LN(2)/25))/(LN(2)/25)*Calculateur!BL71*Calculateur!BN71*VLOOKUP('Données projet'!$B$11,Paramètres!$A$1:$I$89,3,0)*0.475*44/12</f>
        <v>24.905589013712415</v>
      </c>
      <c r="BR71" s="23">
        <f>EXP(-LN(2)/2)*BR70+(1-EXP(-LN(2)/2))/(LN(2)/2)*BL71*BO71*VLOOKUP('Données projet'!$B$11,Paramètres!$A$1:$I$89,3,0)*0.475*44/12</f>
        <v>4.8711447768209943</v>
      </c>
      <c r="BS71" s="24">
        <f t="shared" si="63"/>
        <v>48.703456705539807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15.2</v>
      </c>
      <c r="BY71" s="13">
        <f>IF('Données projet'!$A$114&gt;35,BY70+BX71-CG70,IF(A71&lt;'Données projet'!$A$114,$BV$205^A71,IF(A71='Données projet'!$A$114,'Données projet'!$B$114,BY70+BX71-CG70)))</f>
        <v>754.59999999999991</v>
      </c>
      <c r="BZ71" s="14">
        <f>BY71*VLOOKUP('Données projet'!$B$12,Paramètres!$A$1:$I$89,3,0)*VLOOKUP('Données projet'!$B$12,Paramètres!$A$1:$I$89,5,0)</f>
        <v>421.82139999999993</v>
      </c>
      <c r="CA71" s="14">
        <f t="shared" si="93"/>
        <v>96.186850265811003</v>
      </c>
      <c r="CB71" s="22">
        <f t="shared" si="64"/>
        <v>902.19770254628736</v>
      </c>
      <c r="CC71" s="62">
        <f t="shared" si="65"/>
        <v>1195.5310358796207</v>
      </c>
      <c r="CD71" s="62">
        <f ca="1">AVERAGE(OFFSET($CC$3,0,0,'Données projet'!$E$12+1,1))-AVERAGE(OFFSET($H$3,0,0,'Données projet'!$E$12+1,1))</f>
        <v>465.49436272491818</v>
      </c>
      <c r="CE71" s="62">
        <f t="shared" si="94"/>
        <v>494.36941732405256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64.964336475342009</v>
      </c>
      <c r="CL71" s="23">
        <f>EXP(-LN(2)/25)*CL70+(1-EXP(-LN(2)/25))/(LN(2)/25)*Calculateur!CG71*Calculateur!CI71*VLOOKUP('Données projet'!$B$12,Paramètres!$A$1:$I$89,3,0)*0.475*44/12</f>
        <v>30.993425142585554</v>
      </c>
      <c r="CM71" s="23">
        <f>EXP(-LN(2)/2)*CM70+(1-EXP(-LN(2)/2))/(LN(2)/2)*CG71*CJ71*VLOOKUP('Données projet'!$B$12,Paramètres!$A$1:$I$89,3,0)*0.475*44/12</f>
        <v>2.2544301505470132</v>
      </c>
      <c r="CN71" s="24">
        <f t="shared" si="66"/>
        <v>98.212191768474568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12.905000000000006</v>
      </c>
      <c r="CT71" s="13">
        <f>IF('Données projet'!$A$140&gt;35,CT70+CS71-DB70,IF(A71&lt;'Données projet'!$A$140,$CQ$205^A71,IF(A71='Données projet'!$A$140,'Données projet'!$B$140,CT70+CS71-DB70)))</f>
        <v>568.32999999999959</v>
      </c>
      <c r="CU71" s="18">
        <f>CT71*VLOOKUP('Données projet'!$B$13,Paramètres!$A$1:$I$89,3,0)*VLOOKUP('Données projet'!$B$13,Paramètres!$A$1:$I$89,5,0)</f>
        <v>339.86133999999981</v>
      </c>
      <c r="CV71" s="14">
        <f t="shared" si="95"/>
        <v>79.47129770781693</v>
      </c>
      <c r="CW71" s="22">
        <f t="shared" si="67"/>
        <v>730.33767734111404</v>
      </c>
      <c r="CX71" s="62">
        <f t="shared" si="68"/>
        <v>1023.6710106744474</v>
      </c>
      <c r="CY71" s="62">
        <f ca="1">AVERAGE(OFFSET($CX$3,0,0,'Données projet'!$E$13+1,1))-AVERAGE(OFFSET($H$3,0,0,'Données projet'!$E$13+1,1))</f>
        <v>361.46923697840384</v>
      </c>
      <c r="CZ71" s="62">
        <f t="shared" si="96"/>
        <v>302.25424592654673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56.869993672993822</v>
      </c>
      <c r="DG71" s="23">
        <f>EXP(-LN(2)/25)*DG70+(1-EXP(-LN(2)/25))/(LN(2)/25)*Calculateur!DB71*Calculateur!DD71*VLOOKUP('Données projet'!$B$13,Paramètres!$A$1:$I$89,3,0)*0.475*44/12</f>
        <v>24.044104523039241</v>
      </c>
      <c r="DH71" s="23">
        <f>EXP(-LN(2)/2)*DH70+(1-EXP(-LN(2)/2))/(LN(2)/2)*DB71*DE71*VLOOKUP('Données projet'!$B$13,Paramètres!$A$1:$I$89,3,0)*0.475*44/12</f>
        <v>5.5069909680636719</v>
      </c>
      <c r="DI71" s="24">
        <f t="shared" si="69"/>
        <v>86.421089164096742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15.8</v>
      </c>
      <c r="N72" s="14">
        <f>IF('Données projet'!$A$36&gt;35,N71+M72-V71,IF(A72&lt;'Données projet'!$A$36,$K$205^A72,IF(A72='Données projet'!$A$36,'Données projet'!$B$36,N71+M72-V71)))</f>
        <v>703.19999999999959</v>
      </c>
      <c r="O72" s="14">
        <f>N72*VLOOKUP('Données projet'!$B$9,Paramètres!$A$1:$I$89,3,0)*VLOOKUP('Données projet'!$B$9,Paramètres!$A$1:$I$89,5,0)</f>
        <v>393.08879999999976</v>
      </c>
      <c r="P72" s="14">
        <f t="shared" si="87"/>
        <v>90.374107383699567</v>
      </c>
      <c r="Q72" s="22">
        <f t="shared" si="54"/>
        <v>842.03123035994292</v>
      </c>
      <c r="R72" s="62">
        <f t="shared" si="55"/>
        <v>1135.3645636932763</v>
      </c>
      <c r="S72" s="62">
        <f ca="1">AVERAGE(OFFSET($R$3,0,0,'Données projet'!$E$9+1,1))-AVERAGE(OFFSET($H$3,0,0,'Données projet'!$E$9+1,1))</f>
        <v>389.80719836281679</v>
      </c>
      <c r="T72" s="62">
        <f t="shared" si="88"/>
        <v>399.58193819355591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60.145005837095482</v>
      </c>
      <c r="AA72" s="23">
        <f>EXP(-LN(2)/25)*AA71+(1-EXP(-LN(2)/25))/(LN(2)/25)*Calculateur!V72*Calculateur!X72*VLOOKUP('Données projet'!$B$9,Paramètres!$A$1:$I$89,3,0)*0.475*44/12</f>
        <v>26.671225890693659</v>
      </c>
      <c r="AB72" s="23">
        <f>EXP(-LN(2)/2)*AB71+(1-EXP(-LN(2)/2))/(LN(2)/2)*V72*Y72*VLOOKUP('Données projet'!$B$9,Paramètres!$A$1:$I$89,3,0)*0.475*44/12</f>
        <v>1.613804505099967</v>
      </c>
      <c r="AC72" s="24">
        <f t="shared" si="57"/>
        <v>88.430036232889108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11.896999999999997</v>
      </c>
      <c r="AI72" s="14">
        <f>IF('Données projet'!$A$62&gt;35,AI71+AH72-AQ71,IF(A72&lt;'Données projet'!$A$62,$AF$205^A72,IF(A72='Données projet'!$A$62,'Données projet'!$B$62,AI71+AH72-AQ71)))</f>
        <v>478.16300000000012</v>
      </c>
      <c r="AJ72" s="14">
        <f>AI72*VLOOKUP('Données projet'!$B$10,Paramètres!$A$1:$I$89,3,0)*VLOOKUP('Données projet'!$B$10,Paramètres!$A$1:$I$89,5,0)</f>
        <v>285.94147400000008</v>
      </c>
      <c r="AK72" s="14">
        <f t="shared" si="89"/>
        <v>68.221074600056156</v>
      </c>
      <c r="AL72" s="22">
        <f t="shared" si="58"/>
        <v>616.83310547843132</v>
      </c>
      <c r="AM72" s="62">
        <f t="shared" si="59"/>
        <v>910.16643881176469</v>
      </c>
      <c r="AN72" s="62">
        <f ca="1">AVERAGE(OFFSET($AM$3,0,0,'Données projet'!$E$10+1,1))-AVERAGE(OFFSET($H$3,0,0,'Données projet'!$E$10+1,1))</f>
        <v>269.90083987531233</v>
      </c>
      <c r="AO72" s="62">
        <f t="shared" si="90"/>
        <v>183.4515835513518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32.303848531570196</v>
      </c>
      <c r="AV72" s="23">
        <f>EXP(-LN(2)/25)*AV71+(1-EXP(-LN(2)/25))/(LN(2)/25)*Calculateur!AQ72*Calculateur!AS72*VLOOKUP('Données projet'!$B$10,Paramètres!$A$1:$I$89,3,0)*0.475*44/12</f>
        <v>19.509862773298835</v>
      </c>
      <c r="AW72" s="23">
        <f>EXP(-LN(2)/2)*AW71+(1-EXP(-LN(2)/2))/(LN(2)/2)*AQ72*AT72*VLOOKUP('Données projet'!$B$10,Paramètres!$A$1:$I$89,3,0)*0.475*44/12</f>
        <v>0.47507771027364987</v>
      </c>
      <c r="AX72" s="23">
        <f t="shared" si="60"/>
        <v>52.288789015142683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15.696249999999999</v>
      </c>
      <c r="BD72" s="13">
        <f>IF('Données projet'!$A$88&gt;35,BD71+BC72-BL71,IF(A72&lt;'Données projet'!$A$88,$BA$205^A72,IF(A72='Données projet'!$A$88,'Données projet'!$B$88,BD71+BC72-BL71)))</f>
        <v>333.3450000000002</v>
      </c>
      <c r="BE72" s="14">
        <f>BD72*VLOOKUP('Données projet'!$B$11,Paramètres!$A$1:$I$89,3,0)*VLOOKUP('Données projet'!$B$11,Paramètres!$A$1:$I$89,5,0)</f>
        <v>160.33894500000008</v>
      </c>
      <c r="BF72" s="14">
        <f t="shared" si="91"/>
        <v>40.918955979362103</v>
      </c>
      <c r="BG72" s="22">
        <f t="shared" si="61"/>
        <v>350.52417753905576</v>
      </c>
      <c r="BH72" s="62">
        <f t="shared" si="62"/>
        <v>643.85751087238907</v>
      </c>
      <c r="BI72" s="62">
        <f ca="1">AVERAGE(OFFSET($BH$3,0,0,'Données projet'!$E$11+1,1))-AVERAGE(OFFSET($H$3,0,0,'Données projet'!$E$11+1,1))</f>
        <v>255.64417186544995</v>
      </c>
      <c r="BJ72" s="62">
        <f t="shared" si="92"/>
        <v>165.41802783289376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18.55558142280421</v>
      </c>
      <c r="BQ72" s="23">
        <f>EXP(-LN(2)/25)*BQ71+(1-EXP(-LN(2)/25))/(LN(2)/25)*Calculateur!BL72*Calculateur!BN72*VLOOKUP('Données projet'!$B$11,Paramètres!$A$1:$I$89,3,0)*0.475*44/12</f>
        <v>24.224544372404445</v>
      </c>
      <c r="BR72" s="23">
        <f>EXP(-LN(2)/2)*BR71+(1-EXP(-LN(2)/2))/(LN(2)/2)*BL72*BO72*VLOOKUP('Données projet'!$B$11,Paramètres!$A$1:$I$89,3,0)*0.475*44/12</f>
        <v>3.4444195038315568</v>
      </c>
      <c r="BS72" s="24">
        <f t="shared" si="63"/>
        <v>46.224545299040209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15.2</v>
      </c>
      <c r="BY72" s="13">
        <f>IF('Données projet'!$A$114&gt;35,BY71+BX72-CG71,IF(A72&lt;'Données projet'!$A$114,$BV$205^A72,IF(A72='Données projet'!$A$114,'Données projet'!$B$114,BY71+BX72-CG71)))</f>
        <v>769.8</v>
      </c>
      <c r="BZ72" s="14">
        <f>BY72*VLOOKUP('Données projet'!$B$12,Paramètres!$A$1:$I$89,3,0)*VLOOKUP('Données projet'!$B$12,Paramètres!$A$1:$I$89,5,0)</f>
        <v>430.31819999999993</v>
      </c>
      <c r="CA72" s="14">
        <f t="shared" si="93"/>
        <v>97.89683622166929</v>
      </c>
      <c r="CB72" s="22">
        <f t="shared" si="64"/>
        <v>919.97452141940721</v>
      </c>
      <c r="CC72" s="62">
        <f t="shared" si="65"/>
        <v>1213.3078547527405</v>
      </c>
      <c r="CD72" s="62">
        <f ca="1">AVERAGE(OFFSET($CC$3,0,0,'Données projet'!$E$12+1,1))-AVERAGE(OFFSET($H$3,0,0,'Données projet'!$E$12+1,1))</f>
        <v>465.49436272491818</v>
      </c>
      <c r="CE72" s="62">
        <f t="shared" si="94"/>
        <v>494.36941732405256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63.690425461393225</v>
      </c>
      <c r="CL72" s="23">
        <f>EXP(-LN(2)/25)*CL71+(1-EXP(-LN(2)/25))/(LN(2)/25)*Calculateur!CG72*Calculateur!CI72*VLOOKUP('Données projet'!$B$12,Paramètres!$A$1:$I$89,3,0)*0.475*44/12</f>
        <v>30.145908302188161</v>
      </c>
      <c r="CM72" s="23">
        <f>EXP(-LN(2)/2)*CM71+(1-EXP(-LN(2)/2))/(LN(2)/2)*CG72*CJ72*VLOOKUP('Données projet'!$B$12,Paramètres!$A$1:$I$89,3,0)*0.475*44/12</f>
        <v>1.5941228471632023</v>
      </c>
      <c r="CN72" s="24">
        <f t="shared" si="66"/>
        <v>95.430456610744599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12.905000000000006</v>
      </c>
      <c r="CT72" s="13">
        <f>IF('Données projet'!$A$140&gt;35,CT71+CS72-DB71,IF(A72&lt;'Données projet'!$A$140,$CQ$205^A72,IF(A72='Données projet'!$A$140,'Données projet'!$B$140,CT71+CS72-DB71)))</f>
        <v>581.23499999999956</v>
      </c>
      <c r="CU72" s="18">
        <f>CT72*VLOOKUP('Données projet'!$B$13,Paramètres!$A$1:$I$89,3,0)*VLOOKUP('Données projet'!$B$13,Paramètres!$A$1:$I$89,5,0)</f>
        <v>347.57852999999977</v>
      </c>
      <c r="CV72" s="14">
        <f t="shared" si="95"/>
        <v>81.063704131490269</v>
      </c>
      <c r="CW72" s="22">
        <f t="shared" si="67"/>
        <v>746.55189111234506</v>
      </c>
      <c r="CX72" s="62">
        <f t="shared" si="68"/>
        <v>1039.8852244456784</v>
      </c>
      <c r="CY72" s="62">
        <f ca="1">AVERAGE(OFFSET($CX$3,0,0,'Données projet'!$E$13+1,1))-AVERAGE(OFFSET($H$3,0,0,'Données projet'!$E$13+1,1))</f>
        <v>361.46923697840384</v>
      </c>
      <c r="CZ72" s="62">
        <f t="shared" si="96"/>
        <v>302.25424592654673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55.754807784337473</v>
      </c>
      <c r="DG72" s="23">
        <f>EXP(-LN(2)/25)*DG71+(1-EXP(-LN(2)/25))/(LN(2)/25)*Calculateur!DB72*Calculateur!DD72*VLOOKUP('Données projet'!$B$13,Paramètres!$A$1:$I$89,3,0)*0.475*44/12</f>
        <v>23.386617220432228</v>
      </c>
      <c r="DH72" s="23">
        <f>EXP(-LN(2)/2)*DH71+(1-EXP(-LN(2)/2))/(LN(2)/2)*DB72*DE72*VLOOKUP('Données projet'!$B$13,Paramètres!$A$1:$I$89,3,0)*0.475*44/12</f>
        <v>3.8940306574508927</v>
      </c>
      <c r="DI72" s="24">
        <f t="shared" si="69"/>
        <v>83.035455662220599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719</v>
      </c>
      <c r="L73" s="13">
        <f>VLOOKUP(A73,'Données projet'!$A$35:$I$55,9,0)</f>
        <v>15.8</v>
      </c>
      <c r="M73" s="13">
        <f t="array" ref="M73">INDEX(L:L,MIN(IF(ISNUMBER(L73:L269),ROW(L73:L269),"")))</f>
        <v>15.8</v>
      </c>
      <c r="N73" s="14">
        <f>IF('Données projet'!$A$36&gt;35,N72+M73-V72,IF(A73&lt;'Données projet'!$A$36,$K$205^A73,IF(A73='Données projet'!$A$36,'Données projet'!$B$36,N72+M73-V72)))</f>
        <v>718.99999999999955</v>
      </c>
      <c r="O73" s="14">
        <f>N73*VLOOKUP('Données projet'!$B$9,Paramètres!$A$1:$I$89,3,0)*VLOOKUP('Données projet'!$B$9,Paramètres!$A$1:$I$89,5,0)</f>
        <v>401.92099999999976</v>
      </c>
      <c r="P73" s="14">
        <f t="shared" si="87"/>
        <v>92.166009830286228</v>
      </c>
      <c r="Q73" s="22">
        <f t="shared" si="54"/>
        <v>860.53487545441476</v>
      </c>
      <c r="R73" s="62">
        <f t="shared" si="55"/>
        <v>1153.868208787748</v>
      </c>
      <c r="S73" s="62">
        <f ca="1">AVERAGE(OFFSET($R$3,0,0,'Données projet'!$E$9+1,1))-AVERAGE(OFFSET($H$3,0,0,'Données projet'!$E$9+1,1))</f>
        <v>389.80719836281679</v>
      </c>
      <c r="T73" s="62">
        <f t="shared" si="88"/>
        <v>399.58193819355591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719</v>
      </c>
      <c r="W73" s="17">
        <f>IF(ISNA(VLOOKUP(A73,'Données projet'!$A$35:$I$55,5,0)),0%,VLOOKUP(A73,'Données projet'!$A$35:$I$55,5,0)*VLOOKUP('Données projet'!$B$9,Paramètres!$A$1:$I$89,7,0))</f>
        <v>0.38500000000000001</v>
      </c>
      <c r="X73" s="17">
        <f>IF(ISNA(VLOOKUP(A73,'Données projet'!$A$35:$I$55,6,0)),0%,VLOOKUP(A73,'Données projet'!$A$35:$I$55,6,0)*VLOOKUP('Données projet'!$B$9,Paramètres!$A$1:$I$89,7,0))</f>
        <v>9.3500000000000014E-2</v>
      </c>
      <c r="Y73" s="17">
        <f>IF(ISNA(VLOOKUP(A73,'Données projet'!$A$35:$I$55,7,0)),0%,VLOOKUP(A73,'Données projet'!$A$35:$I$55,7,0))</f>
        <v>0.13</v>
      </c>
      <c r="Z73" s="23">
        <f>EXP(-LN(2)/35)*Z72+(1-EXP(-LN(2)/35))/(LN(2)/35)*V73*W73*VLOOKUP('Données projet'!$B$9,Paramètres!$A$1:$I$89,3,0)*0.475*44/12</f>
        <v>264.2376322679267</v>
      </c>
      <c r="AA73" s="23">
        <f>EXP(-LN(2)/25)*AA72+(1-EXP(-LN(2)/25))/(LN(2)/25)*Calculateur!V73*Calculateur!X73*VLOOKUP('Données projet'!$B$9,Paramètres!$A$1:$I$89,3,0)*0.475*44/12</f>
        <v>75.597393883409183</v>
      </c>
      <c r="AB73" s="23">
        <f>EXP(-LN(2)/2)*AB72+(1-EXP(-LN(2)/2))/(LN(2)/2)*V73*Y73*VLOOKUP('Données projet'!$B$9,Paramètres!$A$1:$I$89,3,0)*0.475*44/12</f>
        <v>60.299963952103084</v>
      </c>
      <c r="AC73" s="24">
        <f t="shared" si="57"/>
        <v>400.13499010343901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490.06</v>
      </c>
      <c r="AG73" s="13">
        <f>VLOOKUP(A73,'Données projet'!$A$61:$I$81,9,0)</f>
        <v>11.896999999999997</v>
      </c>
      <c r="AH73" s="13">
        <f t="array" ref="AH73">INDEX(AG:AG,MIN(IF(ISNUMBER(AG73:AG269),ROW(AG73:AG269),"")))</f>
        <v>11.896999999999997</v>
      </c>
      <c r="AI73" s="14">
        <f>IF('Données projet'!$A$62&gt;35,AI72+AH73-AQ72,IF(A73&lt;'Données projet'!$A$62,$AF$205^A73,IF(A73='Données projet'!$A$62,'Données projet'!$B$62,AI72+AH73-AQ72)))</f>
        <v>490.06000000000012</v>
      </c>
      <c r="AJ73" s="14">
        <f>AI73*VLOOKUP('Données projet'!$B$10,Paramètres!$A$1:$I$89,3,0)*VLOOKUP('Données projet'!$B$10,Paramètres!$A$1:$I$89,5,0)</f>
        <v>293.05588000000012</v>
      </c>
      <c r="AK73" s="14">
        <f t="shared" si="89"/>
        <v>69.718730961493122</v>
      </c>
      <c r="AL73" s="22">
        <f t="shared" si="58"/>
        <v>631.83244742460067</v>
      </c>
      <c r="AM73" s="62">
        <f t="shared" si="59"/>
        <v>925.16578075793404</v>
      </c>
      <c r="AN73" s="62">
        <f ca="1">AVERAGE(OFFSET($AM$3,0,0,'Données projet'!$E$10+1,1))-AVERAGE(OFFSET($H$3,0,0,'Données projet'!$E$10+1,1))</f>
        <v>269.90083987531233</v>
      </c>
      <c r="AO73" s="62">
        <f t="shared" si="90"/>
        <v>183.4515835513518</v>
      </c>
      <c r="AP73" s="16">
        <f>IF(ISNA(VLOOKUP(A73,'Données projet'!$A$61:$I$81,3,0)),0,VLOOKUP(A73,'Données projet'!$A$61:$I$81,3,0))</f>
        <v>7</v>
      </c>
      <c r="AQ73" s="16">
        <f>IF(ISNA(VLOOKUP(A73,'Données projet'!$A$61:$I$81,4,0)),0,VLOOKUP(A73,'Données projet'!$A$61:$I$81,4,0))</f>
        <v>67.88</v>
      </c>
      <c r="AR73" s="17">
        <f>IF(ISNA(VLOOKUP(A73,'Données projet'!$A$61:$I$81,5,0)),0%,VLOOKUP(A73,'Données projet'!$A$61:$I$81,5,0)*VLOOKUP('Données projet'!$B$10,Paramètres!$A$1:$I$89,7,0))</f>
        <v>0.27</v>
      </c>
      <c r="AS73" s="17">
        <f>IF(ISNA(VLOOKUP(A73,'Données projet'!$A$61:$I$81,6,0)),0%,VLOOKUP(A73,'Données projet'!$A$61:$I$81,6,0)*VLOOKUP('Données projet'!$B$10,Paramètres!$A$1:$I$89,7,0))</f>
        <v>9.9000000000000005E-2</v>
      </c>
      <c r="AT73" s="17">
        <f>IF(ISNA(VLOOKUP(A73,'Données projet'!$A$61:$I$81,7,0)),0%,VLOOKUP(A73,'Données projet'!$A$61:$I$81,7,0))</f>
        <v>0.18</v>
      </c>
      <c r="AU73" s="23">
        <f>EXP(-LN(2)/35)*AU72+(1-EXP(-LN(2)/35))/(LN(2)/35)*AQ73*AR73*VLOOKUP('Données projet'!$B$10,Paramètres!$A$1:$I$89,3,0)*0.475*44/12</f>
        <v>46.209409907949357</v>
      </c>
      <c r="AV73" s="23">
        <f>EXP(-LN(2)/25)*AV72+(1-EXP(-LN(2)/25))/(LN(2)/25)*Calculateur!AQ73*Calculateur!AS73*VLOOKUP('Données projet'!$B$10,Paramètres!$A$1:$I$89,3,0)*0.475*44/12</f>
        <v>24.286348525995994</v>
      </c>
      <c r="AW73" s="23">
        <f>EXP(-LN(2)/2)*AW72+(1-EXP(-LN(2)/2))/(LN(2)/2)*AQ73*AT73*VLOOKUP('Données projet'!$B$10,Paramètres!$A$1:$I$89,3,0)*0.475*44/12</f>
        <v>8.6087027987753029</v>
      </c>
      <c r="AX73" s="23">
        <f t="shared" si="60"/>
        <v>79.104461232720652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15.696249999999999</v>
      </c>
      <c r="BD73" s="13">
        <f>IF('Données projet'!$A$88&gt;35,BD72+BC73-BL72,IF(A73&lt;'Données projet'!$A$88,$BA$205^A73,IF(A73='Données projet'!$A$88,'Données projet'!$B$88,BD72+BC73-BL72)))</f>
        <v>349.04125000000022</v>
      </c>
      <c r="BE73" s="14">
        <f>BD73*VLOOKUP('Données projet'!$B$11,Paramètres!$A$1:$I$89,3,0)*VLOOKUP('Données projet'!$B$11,Paramètres!$A$1:$I$89,5,0)</f>
        <v>167.88884125000013</v>
      </c>
      <c r="BF73" s="14">
        <f t="shared" si="91"/>
        <v>42.6168509218042</v>
      </c>
      <c r="BG73" s="22">
        <f t="shared" si="61"/>
        <v>366.63074719922588</v>
      </c>
      <c r="BH73" s="62">
        <f t="shared" si="62"/>
        <v>659.96408053255914</v>
      </c>
      <c r="BI73" s="62">
        <f ca="1">AVERAGE(OFFSET($BH$3,0,0,'Données projet'!$E$11+1,1))-AVERAGE(OFFSET($H$3,0,0,'Données projet'!$E$11+1,1))</f>
        <v>255.64417186544995</v>
      </c>
      <c r="BJ73" s="62">
        <f t="shared" si="92"/>
        <v>165.41802783289376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18.191717788890148</v>
      </c>
      <c r="BQ73" s="23">
        <f>EXP(-LN(2)/25)*BQ72+(1-EXP(-LN(2)/25))/(LN(2)/25)*Calculateur!BL73*Calculateur!BN73*VLOOKUP('Données projet'!$B$11,Paramètres!$A$1:$I$89,3,0)*0.475*44/12</f>
        <v>23.562122932627624</v>
      </c>
      <c r="BR73" s="23">
        <f>EXP(-LN(2)/2)*BR72+(1-EXP(-LN(2)/2))/(LN(2)/2)*BL73*BO73*VLOOKUP('Données projet'!$B$11,Paramètres!$A$1:$I$89,3,0)*0.475*44/12</f>
        <v>2.4355723884104976</v>
      </c>
      <c r="BS73" s="24">
        <f t="shared" si="63"/>
        <v>44.189413109928275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785</v>
      </c>
      <c r="BW73" s="13">
        <f>VLOOKUP(A73,'Données projet'!$A$113:$I$133,9,0)</f>
        <v>15.2</v>
      </c>
      <c r="BX73" s="13">
        <f t="array" ref="BX73">INDEX(BW:BW,MIN(IF(ISNUMBER(BW73:BW269),ROW(BW73:BW269),"")))</f>
        <v>15.2</v>
      </c>
      <c r="BY73" s="13">
        <f>IF('Données projet'!$A$114&gt;35,BY72+BX73-CG72,IF(A73&lt;'Données projet'!$A$114,$BV$205^A73,IF(A73='Données projet'!$A$114,'Données projet'!$B$114,BY72+BX73-CG72)))</f>
        <v>785</v>
      </c>
      <c r="BZ73" s="14">
        <f>BY73*VLOOKUP('Données projet'!$B$12,Paramètres!$A$1:$I$89,3,0)*VLOOKUP('Données projet'!$B$12,Paramètres!$A$1:$I$89,5,0)</f>
        <v>438.81500000000005</v>
      </c>
      <c r="CA73" s="14">
        <f t="shared" si="93"/>
        <v>99.602896252065023</v>
      </c>
      <c r="CB73" s="22">
        <f t="shared" si="64"/>
        <v>937.74450263901326</v>
      </c>
      <c r="CC73" s="62">
        <f t="shared" si="65"/>
        <v>1231.0778359723465</v>
      </c>
      <c r="CD73" s="62">
        <f ca="1">AVERAGE(OFFSET($CC$3,0,0,'Données projet'!$E$12+1,1))-AVERAGE(OFFSET($H$3,0,0,'Données projet'!$E$12+1,1))</f>
        <v>465.49436272491818</v>
      </c>
      <c r="CE73" s="62">
        <f t="shared" si="94"/>
        <v>494.36941732405256</v>
      </c>
      <c r="CF73" s="16">
        <f>IF(ISNA(VLOOKUP(A73,'Données projet'!$A$113:$I$133,3,0)),0,VLOOKUP(A73,'Données projet'!$A$113:$I$133,3,0))</f>
        <v>12</v>
      </c>
      <c r="CG73" s="16">
        <f>IF(ISNA(VLOOKUP(A73,'Données projet'!$A$113:$I$133,4,0)),0,VLOOKUP(A73,'Données projet'!$A$113:$I$133,4,0))</f>
        <v>785</v>
      </c>
      <c r="CH73" s="17">
        <f>IF(ISNA(VLOOKUP(A73,'Données projet'!$A$113:$I$133,5,0)),0%,VLOOKUP(A73,'Données projet'!$A$113:$I$133,5,0)*VLOOKUP('Données projet'!$B$12,Paramètres!$A$1:$I$89,7,0))</f>
        <v>0.38500000000000001</v>
      </c>
      <c r="CI73" s="17">
        <f>IF(ISNA(VLOOKUP(A73,'Données projet'!$A$113:$I$133,6,0)),0%,VLOOKUP(A73,'Données projet'!$A$113:$I$133,6,0)*VLOOKUP('Données projet'!$B$12,Paramètres!$A$1:$I$89,7,0))</f>
        <v>9.3500000000000014E-2</v>
      </c>
      <c r="CJ73" s="17">
        <f>IF(ISNA(VLOOKUP(A73,'Données projet'!$A$113:$I$133,7,0)),0%,VLOOKUP(A73,'Données projet'!$A$113:$I$133,7,0))</f>
        <v>0.13</v>
      </c>
      <c r="CK73" s="23">
        <f>EXP(-LN(2)/35)*CK72+(1-EXP(-LN(2)/35))/(LN(2)/35)*CG73*CH73*VLOOKUP('Données projet'!$B$12,Paramètres!$A$1:$I$89,3,0)*0.475*44/12</f>
        <v>286.55630194819418</v>
      </c>
      <c r="CL73" s="23">
        <f>EXP(-LN(2)/25)*CL72+(1-EXP(-LN(2)/25))/(LN(2)/25)*Calculateur!CG73*Calculateur!CI73*VLOOKUP('Données projet'!$B$12,Paramètres!$A$1:$I$89,3,0)*0.475*44/12</f>
        <v>83.535145217101928</v>
      </c>
      <c r="CM73" s="23">
        <f>EXP(-LN(2)/2)*CM72+(1-EXP(-LN(2)/2))/(LN(2)/2)*CG73*CJ73*VLOOKUP('Données projet'!$B$12,Paramètres!$A$1:$I$89,3,0)*0.475*44/12</f>
        <v>65.716482108353418</v>
      </c>
      <c r="CN73" s="24">
        <f t="shared" si="66"/>
        <v>435.80792927364956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12.905000000000006</v>
      </c>
      <c r="CT73" s="13">
        <f>IF('Données projet'!$A$140&gt;35,CT72+CS73-DB72,IF(A73&lt;'Données projet'!$A$140,$CQ$205^A73,IF(A73='Données projet'!$A$140,'Données projet'!$B$140,CT72+CS73-DB72)))</f>
        <v>594.13999999999953</v>
      </c>
      <c r="CU73" s="18">
        <f>CT73*VLOOKUP('Données projet'!$B$13,Paramètres!$A$1:$I$89,3,0)*VLOOKUP('Données projet'!$B$13,Paramètres!$A$1:$I$89,5,0)</f>
        <v>355.29571999999979</v>
      </c>
      <c r="CV73" s="14">
        <f t="shared" si="95"/>
        <v>82.652000101150165</v>
      </c>
      <c r="CW73" s="22">
        <f t="shared" si="67"/>
        <v>762.75894584283617</v>
      </c>
      <c r="CX73" s="62">
        <f t="shared" si="68"/>
        <v>1056.0922791761695</v>
      </c>
      <c r="CY73" s="62">
        <f ca="1">AVERAGE(OFFSET($CX$3,0,0,'Données projet'!$E$13+1,1))-AVERAGE(OFFSET($H$3,0,0,'Données projet'!$E$13+1,1))</f>
        <v>361.46923697840384</v>
      </c>
      <c r="CZ73" s="62">
        <f t="shared" si="96"/>
        <v>302.25424592654673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54.66149001076144</v>
      </c>
      <c r="DG73" s="23">
        <f>EXP(-LN(2)/25)*DG72+(1-EXP(-LN(2)/25))/(LN(2)/25)*Calculateur!DB73*Calculateur!DD73*VLOOKUP('Données projet'!$B$13,Paramètres!$A$1:$I$89,3,0)*0.475*44/12</f>
        <v>22.747108942690762</v>
      </c>
      <c r="DH73" s="23">
        <f>EXP(-LN(2)/2)*DH72+(1-EXP(-LN(2)/2))/(LN(2)/2)*DB73*DE73*VLOOKUP('Données projet'!$B$13,Paramètres!$A$1:$I$89,3,0)*0.475*44/12</f>
        <v>2.7534954840318364</v>
      </c>
      <c r="DI73" s="24">
        <f t="shared" si="69"/>
        <v>80.162094437484029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-4.5474735088646412E-13</v>
      </c>
      <c r="O74" s="14">
        <f>N74*VLOOKUP('Données projet'!$B$9,Paramètres!$A$1:$I$89,3,0)*VLOOKUP('Données projet'!$B$9,Paramètres!$A$1:$I$89,5,0)</f>
        <v>-2.5420376914553347E-13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389.80719836281679</v>
      </c>
      <c r="T74" s="62">
        <f t="shared" si="88"/>
        <v>399.58193819355591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259.05609346819421</v>
      </c>
      <c r="AA74" s="23">
        <f>EXP(-LN(2)/25)*AA73+(1-EXP(-LN(2)/25))/(LN(2)/25)*Calculateur!V74*Calculateur!X74*VLOOKUP('Données projet'!$B$9,Paramètres!$A$1:$I$89,3,0)*0.475*44/12</f>
        <v>73.530179172173192</v>
      </c>
      <c r="AB74" s="23">
        <f>EXP(-LN(2)/2)*AB73+(1-EXP(-LN(2)/2))/(LN(2)/2)*V74*Y74*VLOOKUP('Données projet'!$B$9,Paramètres!$A$1:$I$89,3,0)*0.475*44/12</f>
        <v>42.638513415836464</v>
      </c>
      <c r="AC74" s="24">
        <f t="shared" si="57"/>
        <v>375.22478605620387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9.782</v>
      </c>
      <c r="AI74" s="14">
        <f>IF('Données projet'!$A$62&gt;35,AI73+AH74-AQ73,IF(A74&lt;'Données projet'!$A$62,$AF$205^A74,IF(A74='Données projet'!$A$62,'Données projet'!$B$62,AI73+AH74-AQ73)))</f>
        <v>431.9620000000001</v>
      </c>
      <c r="AJ74" s="14">
        <f>AI74*VLOOKUP('Données projet'!$B$10,Paramètres!$A$1:$I$89,3,0)*VLOOKUP('Données projet'!$B$10,Paramètres!$A$1:$I$89,5,0)</f>
        <v>258.31327600000009</v>
      </c>
      <c r="AK74" s="14">
        <f t="shared" si="89"/>
        <v>62.362700481716175</v>
      </c>
      <c r="AL74" s="22">
        <f t="shared" si="58"/>
        <v>558.51065903898916</v>
      </c>
      <c r="AM74" s="62">
        <f t="shared" si="59"/>
        <v>851.84399237232242</v>
      </c>
      <c r="AN74" s="62">
        <f ca="1">AVERAGE(OFFSET($AM$3,0,0,'Données projet'!$E$10+1,1))-AVERAGE(OFFSET($H$3,0,0,'Données projet'!$E$10+1,1))</f>
        <v>269.90083987531233</v>
      </c>
      <c r="AO74" s="62">
        <f t="shared" si="90"/>
        <v>183.4515835513518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45.303271564611478</v>
      </c>
      <c r="AV74" s="23">
        <f>EXP(-LN(2)/25)*AV73+(1-EXP(-LN(2)/25))/(LN(2)/25)*Calculateur!AQ74*Calculateur!AS74*VLOOKUP('Données projet'!$B$10,Paramètres!$A$1:$I$89,3,0)*0.475*44/12</f>
        <v>23.622237048389071</v>
      </c>
      <c r="AW74" s="23">
        <f>EXP(-LN(2)/2)*AW73+(1-EXP(-LN(2)/2))/(LN(2)/2)*AQ74*AT74*VLOOKUP('Données projet'!$B$10,Paramètres!$A$1:$I$89,3,0)*0.475*44/12</f>
        <v>6.0872721262336276</v>
      </c>
      <c r="AX74" s="23">
        <f t="shared" si="60"/>
        <v>75.012780739234174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15.696249999999999</v>
      </c>
      <c r="BD74" s="13">
        <f>IF('Données projet'!$A$88&gt;35,BD73+BC74-BL73,IF(A74&lt;'Données projet'!$A$88,$BA$205^A74,IF(A74='Données projet'!$A$88,'Données projet'!$B$88,BD73+BC74-BL73)))</f>
        <v>364.73750000000024</v>
      </c>
      <c r="BE74" s="14">
        <f>BD74*VLOOKUP('Données projet'!$B$11,Paramètres!$A$1:$I$89,3,0)*VLOOKUP('Données projet'!$B$11,Paramètres!$A$1:$I$89,5,0)</f>
        <v>175.43873750000012</v>
      </c>
      <c r="BF74" s="14">
        <f t="shared" si="91"/>
        <v>44.305878360360218</v>
      </c>
      <c r="BG74" s="22">
        <f t="shared" si="61"/>
        <v>382.72187262346091</v>
      </c>
      <c r="BH74" s="62">
        <f t="shared" si="62"/>
        <v>676.05520595679423</v>
      </c>
      <c r="BI74" s="62">
        <f ca="1">AVERAGE(OFFSET($BH$3,0,0,'Données projet'!$E$11+1,1))-AVERAGE(OFFSET($H$3,0,0,'Données projet'!$E$11+1,1))</f>
        <v>255.64417186544995</v>
      </c>
      <c r="BJ74" s="62">
        <f t="shared" si="92"/>
        <v>165.41802783289376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17.83498929890224</v>
      </c>
      <c r="BQ74" s="23">
        <f>EXP(-LN(2)/25)*BQ73+(1-EXP(-LN(2)/25))/(LN(2)/25)*Calculateur!BL74*Calculateur!BN74*VLOOKUP('Données projet'!$B$11,Paramètres!$A$1:$I$89,3,0)*0.475*44/12</f>
        <v>22.91781544195673</v>
      </c>
      <c r="BR74" s="23">
        <f>EXP(-LN(2)/2)*BR73+(1-EXP(-LN(2)/2))/(LN(2)/2)*BL74*BO74*VLOOKUP('Données projet'!$B$11,Paramètres!$A$1:$I$89,3,0)*0.475*44/12</f>
        <v>1.7222097519157789</v>
      </c>
      <c r="BS74" s="24">
        <f t="shared" si="63"/>
        <v>42.475014492774747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>
        <f>BY74*VLOOKUP('Données projet'!$B$12,Paramètres!$A$1:$I$89,3,0)*VLOOKUP('Données projet'!$B$12,Paramètres!$A$1:$I$89,5,0)</f>
        <v>0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465.49436272491818</v>
      </c>
      <c r="CE74" s="62">
        <f t="shared" si="94"/>
        <v>494.36941732405256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280.93710764907598</v>
      </c>
      <c r="CL74" s="23">
        <f>EXP(-LN(2)/25)*CL73+(1-EXP(-LN(2)/25))/(LN(2)/25)*Calculateur!CG74*Calculateur!CI74*VLOOKUP('Données projet'!$B$12,Paramètres!$A$1:$I$89,3,0)*0.475*44/12</f>
        <v>81.250872278217912</v>
      </c>
      <c r="CM74" s="23">
        <f>EXP(-LN(2)/2)*CM73+(1-EXP(-LN(2)/2))/(LN(2)/2)*CG74*CJ74*VLOOKUP('Données projet'!$B$12,Paramètres!$A$1:$I$89,3,0)*0.475*44/12</f>
        <v>46.468570134541132</v>
      </c>
      <c r="CN74" s="24">
        <f t="shared" si="66"/>
        <v>408.65655006183505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12.905000000000006</v>
      </c>
      <c r="CT74" s="13">
        <f>IF('Données projet'!$A$140&gt;35,CT73+CS74-DB73,IF(A74&lt;'Données projet'!$A$140,$CQ$205^A74,IF(A74='Données projet'!$A$140,'Données projet'!$B$140,CT73+CS74-DB73)))</f>
        <v>607.0449999999995</v>
      </c>
      <c r="CU74" s="18">
        <f>CT74*VLOOKUP('Données projet'!$B$13,Paramètres!$A$1:$I$89,3,0)*VLOOKUP('Données projet'!$B$13,Paramètres!$A$1:$I$89,5,0)</f>
        <v>363.01290999999975</v>
      </c>
      <c r="CV74" s="14">
        <f t="shared" si="95"/>
        <v>84.236285180015841</v>
      </c>
      <c r="CW74" s="22">
        <f t="shared" si="67"/>
        <v>778.95901493852716</v>
      </c>
      <c r="CX74" s="62">
        <f t="shared" si="68"/>
        <v>1072.2923482718604</v>
      </c>
      <c r="CY74" s="62">
        <f ca="1">AVERAGE(OFFSET($CX$3,0,0,'Données projet'!$E$13+1,1))-AVERAGE(OFFSET($H$3,0,0,'Données projet'!$E$13+1,1))</f>
        <v>361.46923697840384</v>
      </c>
      <c r="CZ74" s="62">
        <f t="shared" si="96"/>
        <v>302.25424592654673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53.589611531867241</v>
      </c>
      <c r="DG74" s="23">
        <f>EXP(-LN(2)/25)*DG73+(1-EXP(-LN(2)/25))/(LN(2)/25)*Calculateur!DB74*Calculateur!DD74*VLOOKUP('Données projet'!$B$13,Paramètres!$A$1:$I$89,3,0)*0.475*44/12</f>
        <v>22.125088052434414</v>
      </c>
      <c r="DH74" s="23">
        <f>EXP(-LN(2)/2)*DH73+(1-EXP(-LN(2)/2))/(LN(2)/2)*DB74*DE74*VLOOKUP('Données projet'!$B$13,Paramètres!$A$1:$I$89,3,0)*0.475*44/12</f>
        <v>1.9470153287254466</v>
      </c>
      <c r="DI74" s="24">
        <f t="shared" si="69"/>
        <v>77.661714913027097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-4.5474735088646412E-13</v>
      </c>
      <c r="O75" s="14">
        <f>N75*VLOOKUP('Données projet'!$B$9,Paramètres!$A$1:$I$89,3,0)*VLOOKUP('Données projet'!$B$9,Paramètres!$A$1:$I$89,5,0)</f>
        <v>-2.5420376914553347E-13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389.80719836281679</v>
      </c>
      <c r="T75" s="62">
        <f t="shared" si="88"/>
        <v>399.58193819355591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253.97616148389787</v>
      </c>
      <c r="AA75" s="23">
        <f>EXP(-LN(2)/25)*AA74+(1-EXP(-LN(2)/25))/(LN(2)/25)*Calculateur!V75*Calculateur!X75*VLOOKUP('Données projet'!$B$9,Paramètres!$A$1:$I$89,3,0)*0.475*44/12</f>
        <v>71.51949255592605</v>
      </c>
      <c r="AB75" s="23">
        <f>EXP(-LN(2)/2)*AB74+(1-EXP(-LN(2)/2))/(LN(2)/2)*V75*Y75*VLOOKUP('Données projet'!$B$9,Paramètres!$A$1:$I$89,3,0)*0.475*44/12</f>
        <v>30.149981976051546</v>
      </c>
      <c r="AC75" s="24">
        <f t="shared" si="57"/>
        <v>355.64563601587548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9.782</v>
      </c>
      <c r="AI75" s="14">
        <f>IF('Données projet'!$A$62&gt;35,AI74+AH75-AQ74,IF(A75&lt;'Données projet'!$A$62,$AF$205^A75,IF(A75='Données projet'!$A$62,'Données projet'!$B$62,AI74+AH75-AQ74)))</f>
        <v>441.74400000000009</v>
      </c>
      <c r="AJ75" s="14">
        <f>AI75*VLOOKUP('Données projet'!$B$10,Paramètres!$A$1:$I$89,3,0)*VLOOKUP('Données projet'!$B$10,Paramètres!$A$1:$I$89,5,0)</f>
        <v>264.16291200000006</v>
      </c>
      <c r="AK75" s="14">
        <f t="shared" si="89"/>
        <v>63.608920560680907</v>
      </c>
      <c r="AL75" s="22">
        <f t="shared" si="58"/>
        <v>570.86927504318601</v>
      </c>
      <c r="AM75" s="62">
        <f t="shared" si="59"/>
        <v>864.20260837651927</v>
      </c>
      <c r="AN75" s="62">
        <f ca="1">AVERAGE(OFFSET($AM$3,0,0,'Données projet'!$E$10+1,1))-AVERAGE(OFFSET($H$3,0,0,'Données projet'!$E$10+1,1))</f>
        <v>269.90083987531233</v>
      </c>
      <c r="AO75" s="62">
        <f t="shared" si="90"/>
        <v>183.4515835513518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44.414902041496639</v>
      </c>
      <c r="AV75" s="23">
        <f>EXP(-LN(2)/25)*AV74+(1-EXP(-LN(2)/25))/(LN(2)/25)*Calculateur!AQ75*Calculateur!AS75*VLOOKUP('Données projet'!$B$10,Paramètres!$A$1:$I$89,3,0)*0.475*44/12</f>
        <v>22.976285734061413</v>
      </c>
      <c r="AW75" s="23">
        <f>EXP(-LN(2)/2)*AW74+(1-EXP(-LN(2)/2))/(LN(2)/2)*AQ75*AT75*VLOOKUP('Données projet'!$B$10,Paramètres!$A$1:$I$89,3,0)*0.475*44/12</f>
        <v>4.3043513993876523</v>
      </c>
      <c r="AX75" s="23">
        <f t="shared" si="60"/>
        <v>71.695539174945708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15.696249999999999</v>
      </c>
      <c r="BD75" s="13">
        <f>IF('Données projet'!$A$88&gt;35,BD74+BC75-BL74,IF(A75&lt;'Données projet'!$A$88,$BA$205^A75,IF(A75='Données projet'!$A$88,'Données projet'!$B$88,BD74+BC75-BL74)))</f>
        <v>380.43375000000026</v>
      </c>
      <c r="BE75" s="14">
        <f>BD75*VLOOKUP('Données projet'!$B$11,Paramètres!$A$1:$I$89,3,0)*VLOOKUP('Données projet'!$B$11,Paramètres!$A$1:$I$89,5,0)</f>
        <v>182.98863375000013</v>
      </c>
      <c r="BF75" s="14">
        <f t="shared" si="91"/>
        <v>45.98646352424926</v>
      </c>
      <c r="BG75" s="22">
        <f t="shared" si="61"/>
        <v>398.79829441931764</v>
      </c>
      <c r="BH75" s="62">
        <f t="shared" si="62"/>
        <v>692.13162775265096</v>
      </c>
      <c r="BI75" s="62">
        <f ca="1">AVERAGE(OFFSET($BH$3,0,0,'Données projet'!$E$11+1,1))-AVERAGE(OFFSET($H$3,0,0,'Données projet'!$E$11+1,1))</f>
        <v>255.64417186544995</v>
      </c>
      <c r="BJ75" s="62">
        <f t="shared" si="92"/>
        <v>165.41802783289376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17.4852560370201</v>
      </c>
      <c r="BQ75" s="23">
        <f>EXP(-LN(2)/25)*BQ74+(1-EXP(-LN(2)/25))/(LN(2)/25)*Calculateur!BL75*Calculateur!BN75*VLOOKUP('Données projet'!$B$11,Paramètres!$A$1:$I$89,3,0)*0.475*44/12</f>
        <v>22.29112657350089</v>
      </c>
      <c r="BR75" s="23">
        <f>EXP(-LN(2)/2)*BR74+(1-EXP(-LN(2)/2))/(LN(2)/2)*BL75*BO75*VLOOKUP('Données projet'!$B$11,Paramètres!$A$1:$I$89,3,0)*0.475*44/12</f>
        <v>1.217786194205249</v>
      </c>
      <c r="BS75" s="24">
        <f t="shared" si="63"/>
        <v>40.994168804726236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>
        <f>BY75*VLOOKUP('Données projet'!$B$12,Paramètres!$A$1:$I$89,3,0)*VLOOKUP('Données projet'!$B$12,Paramètres!$A$1:$I$89,5,0)</f>
        <v>0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465.49436272491818</v>
      </c>
      <c r="CE75" s="62">
        <f t="shared" si="94"/>
        <v>494.36941732405256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275.42810232279339</v>
      </c>
      <c r="CL75" s="23">
        <f>EXP(-LN(2)/25)*CL74+(1-EXP(-LN(2)/25))/(LN(2)/25)*Calculateur!CG75*Calculateur!CI75*VLOOKUP('Données projet'!$B$12,Paramètres!$A$1:$I$89,3,0)*0.475*44/12</f>
        <v>79.02906290297237</v>
      </c>
      <c r="CM75" s="23">
        <f>EXP(-LN(2)/2)*CM74+(1-EXP(-LN(2)/2))/(LN(2)/2)*CG75*CJ75*VLOOKUP('Données projet'!$B$12,Paramètres!$A$1:$I$89,3,0)*0.475*44/12</f>
        <v>32.858241054176716</v>
      </c>
      <c r="CN75" s="24">
        <f t="shared" si="66"/>
        <v>387.31540627994252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12.905000000000006</v>
      </c>
      <c r="CT75" s="13">
        <f>IF('Données projet'!$A$140&gt;35,CT74+CS75-DB74,IF(A75&lt;'Données projet'!$A$140,$CQ$205^A75,IF(A75='Données projet'!$A$140,'Données projet'!$B$140,CT74+CS75-DB74)))</f>
        <v>619.94999999999948</v>
      </c>
      <c r="CU75" s="18">
        <f>CT75*VLOOKUP('Données projet'!$B$13,Paramètres!$A$1:$I$89,3,0)*VLOOKUP('Données projet'!$B$13,Paramètres!$A$1:$I$89,5,0)</f>
        <v>370.73009999999977</v>
      </c>
      <c r="CV75" s="14">
        <f t="shared" si="95"/>
        <v>85.816654456287978</v>
      </c>
      <c r="CW75" s="22">
        <f t="shared" si="67"/>
        <v>795.15226401136772</v>
      </c>
      <c r="CX75" s="62">
        <f t="shared" si="68"/>
        <v>1088.4855973447011</v>
      </c>
      <c r="CY75" s="62">
        <f ca="1">AVERAGE(OFFSET($CX$3,0,0,'Données projet'!$E$13+1,1))-AVERAGE(OFFSET($H$3,0,0,'Données projet'!$E$13+1,1))</f>
        <v>361.46923697840384</v>
      </c>
      <c r="CZ75" s="62">
        <f t="shared" si="96"/>
        <v>302.25424592654673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52.538751936162839</v>
      </c>
      <c r="DG75" s="23">
        <f>EXP(-LN(2)/25)*DG74+(1-EXP(-LN(2)/25))/(LN(2)/25)*Calculateur!DB75*Calculateur!DD75*VLOOKUP('Données projet'!$B$13,Paramètres!$A$1:$I$89,3,0)*0.475*44/12</f>
        <v>21.520076356132783</v>
      </c>
      <c r="DH75" s="23">
        <f>EXP(-LN(2)/2)*DH74+(1-EXP(-LN(2)/2))/(LN(2)/2)*DB75*DE75*VLOOKUP('Données projet'!$B$13,Paramètres!$A$1:$I$89,3,0)*0.475*44/12</f>
        <v>1.3767477420159184</v>
      </c>
      <c r="DI75" s="24">
        <f t="shared" si="69"/>
        <v>75.435576034311552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-4.5474735088646412E-13</v>
      </c>
      <c r="O76" s="14">
        <f>N76*VLOOKUP('Données projet'!$B$9,Paramètres!$A$1:$I$89,3,0)*VLOOKUP('Données projet'!$B$9,Paramètres!$A$1:$I$89,5,0)</f>
        <v>-2.5420376914553347E-13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389.80719836281679</v>
      </c>
      <c r="T76" s="62">
        <f t="shared" si="88"/>
        <v>399.58193819355591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248.99584386736103</v>
      </c>
      <c r="AA76" s="23">
        <f>EXP(-LN(2)/25)*AA75+(1-EXP(-LN(2)/25))/(LN(2)/25)*Calculateur!V76*Calculateur!X76*VLOOKUP('Données projet'!$B$9,Paramètres!$A$1:$I$89,3,0)*0.475*44/12</f>
        <v>69.563788270937593</v>
      </c>
      <c r="AB76" s="23">
        <f>EXP(-LN(2)/2)*AB75+(1-EXP(-LN(2)/2))/(LN(2)/2)*V76*Y76*VLOOKUP('Données projet'!$B$9,Paramètres!$A$1:$I$89,3,0)*0.475*44/12</f>
        <v>21.319256707918232</v>
      </c>
      <c r="AC76" s="24">
        <f t="shared" si="57"/>
        <v>339.87888884621685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9.782</v>
      </c>
      <c r="AI76" s="14">
        <f>IF('Données projet'!$A$62&gt;35,AI75+AH76-AQ75,IF(A76&lt;'Données projet'!$A$62,$AF$205^A76,IF(A76='Données projet'!$A$62,'Données projet'!$B$62,AI75+AH76-AQ75)))</f>
        <v>451.52600000000007</v>
      </c>
      <c r="AJ76" s="14">
        <f>AI76*VLOOKUP('Données projet'!$B$10,Paramètres!$A$1:$I$89,3,0)*VLOOKUP('Données projet'!$B$10,Paramètres!$A$1:$I$89,5,0)</f>
        <v>270.01254800000004</v>
      </c>
      <c r="AK76" s="14">
        <f t="shared" si="89"/>
        <v>64.851932282926271</v>
      </c>
      <c r="AL76" s="22">
        <f t="shared" si="58"/>
        <v>583.22230315943</v>
      </c>
      <c r="AM76" s="62">
        <f t="shared" si="59"/>
        <v>876.55563649276337</v>
      </c>
      <c r="AN76" s="62">
        <f ca="1">AVERAGE(OFFSET($AM$3,0,0,'Données projet'!$E$10+1,1))-AVERAGE(OFFSET($H$3,0,0,'Données projet'!$E$10+1,1))</f>
        <v>269.90083987531233</v>
      </c>
      <c r="AO76" s="62">
        <f t="shared" si="90"/>
        <v>183.4515835513518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43.543952902878182</v>
      </c>
      <c r="AV76" s="23">
        <f>EXP(-LN(2)/25)*AV75+(1-EXP(-LN(2)/25))/(LN(2)/25)*Calculateur!AQ76*Calculateur!AS76*VLOOKUP('Données projet'!$B$10,Paramètres!$A$1:$I$89,3,0)*0.475*44/12</f>
        <v>22.34799799239315</v>
      </c>
      <c r="AW76" s="23">
        <f>EXP(-LN(2)/2)*AW75+(1-EXP(-LN(2)/2))/(LN(2)/2)*AQ76*AT76*VLOOKUP('Données projet'!$B$10,Paramètres!$A$1:$I$89,3,0)*0.475*44/12</f>
        <v>3.0436360631168147</v>
      </c>
      <c r="AX76" s="23">
        <f t="shared" si="60"/>
        <v>68.935586958388157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>
        <f>VLOOKUP(A76,'Données projet'!$A$87:$I$107,2,0)</f>
        <v>396.13</v>
      </c>
      <c r="BB76" s="13">
        <f>VLOOKUP(A76,'Données projet'!$A$87:$I$107,9,0)</f>
        <v>15.696249999999999</v>
      </c>
      <c r="BC76" s="13">
        <f t="array" ref="BC76">INDEX(BB:BB,MIN(IF(ISNUMBER(BB76:BB272),ROW(BB76:BB272),"")))</f>
        <v>15.696249999999999</v>
      </c>
      <c r="BD76" s="13">
        <f>IF('Données projet'!$A$88&gt;35,BD75+BC76-BL75,IF(A76&lt;'Données projet'!$A$88,$BA$205^A76,IF(A76='Données projet'!$A$88,'Données projet'!$B$88,BD75+BC76-BL75)))</f>
        <v>396.13000000000028</v>
      </c>
      <c r="BE76" s="14">
        <f>BD76*VLOOKUP('Données projet'!$B$11,Paramètres!$A$1:$I$89,3,0)*VLOOKUP('Données projet'!$B$11,Paramètres!$A$1:$I$89,5,0)</f>
        <v>190.53853000000015</v>
      </c>
      <c r="BF76" s="14">
        <f t="shared" si="91"/>
        <v>47.658994568361898</v>
      </c>
      <c r="BG76" s="22">
        <f t="shared" si="61"/>
        <v>414.86068862323054</v>
      </c>
      <c r="BH76" s="62">
        <f t="shared" si="62"/>
        <v>708.1940219565638</v>
      </c>
      <c r="BI76" s="62">
        <f ca="1">AVERAGE(OFFSET($BH$3,0,0,'Données projet'!$E$11+1,1))-AVERAGE(OFFSET($H$3,0,0,'Données projet'!$E$11+1,1))</f>
        <v>255.64417186544995</v>
      </c>
      <c r="BJ76" s="62">
        <f t="shared" si="92"/>
        <v>165.41802783289376</v>
      </c>
      <c r="BK76" s="16">
        <f>IF(ISNA(VLOOKUP(A76,'Données projet'!$A$87:$I$107,3,0)),0,VLOOKUP(A76,'Données projet'!$A$87:$I$107,3,0))</f>
        <v>3</v>
      </c>
      <c r="BL76" s="16">
        <f>IF(ISNA(VLOOKUP(A76,'Données projet'!$A$87:$I$107,4,0)),0,VLOOKUP(A76,'Données projet'!$A$87:$I$107,4,0))</f>
        <v>82.53</v>
      </c>
      <c r="BM76" s="17">
        <f>IF(ISNA(VLOOKUP(A76,'Données projet'!$A$87:$I$107,5,0)),0%,VLOOKUP(A76,'Données projet'!$A$87:$I$107,5,0)*VLOOKUP('Données projet'!$B$11,Paramètres!$A$1:$I$89,7,0))</f>
        <v>0.27500000000000002</v>
      </c>
      <c r="BN76" s="17">
        <f>IF(ISNA(VLOOKUP(A76,'Données projet'!$A$87:$I$107,6,0)),0%,VLOOKUP(A76,'Données projet'!$A$87:$I$107,6,0)*VLOOKUP('Données projet'!$B$11,Paramètres!$A$1:$I$89,7,0))</f>
        <v>0.15400000000000003</v>
      </c>
      <c r="BO76" s="17">
        <f>IF(ISNA(VLOOKUP(A76,'Données projet'!$A$87:$I$107,7,0)),0%,VLOOKUP(A76,'Données projet'!$A$87:$I$107,7,0))</f>
        <v>0.22</v>
      </c>
      <c r="BP76" s="23">
        <f>EXP(-LN(2)/35)*BP75+(1-EXP(-LN(2)/35))/(LN(2)/35)*BL76*BM76*VLOOKUP('Données projet'!$B$11,Paramètres!$A$1:$I$89,3,0)*0.475*44/12</f>
        <v>31.62402832130692</v>
      </c>
      <c r="BQ76" s="23">
        <f>EXP(-LN(2)/25)*BQ75+(1-EXP(-LN(2)/25))/(LN(2)/25)*Calculateur!BL76*Calculateur!BN76*VLOOKUP('Données projet'!$B$11,Paramètres!$A$1:$I$89,3,0)*0.475*44/12</f>
        <v>29.759366071730923</v>
      </c>
      <c r="BR76" s="23">
        <f>EXP(-LN(2)/2)*BR75+(1-EXP(-LN(2)/2))/(LN(2)/2)*BL76*BO76*VLOOKUP('Données projet'!$B$11,Paramètres!$A$1:$I$89,3,0)*0.475*44/12</f>
        <v>10.749257052860294</v>
      </c>
      <c r="BS76" s="24">
        <f t="shared" si="63"/>
        <v>72.132651445898148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>
        <f>BY76*VLOOKUP('Données projet'!$B$12,Paramètres!$A$1:$I$89,3,0)*VLOOKUP('Données projet'!$B$12,Paramètres!$A$1:$I$89,5,0)</f>
        <v>0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465.49436272491818</v>
      </c>
      <c r="CE76" s="62">
        <f t="shared" si="94"/>
        <v>494.36941732405256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270.02712523079776</v>
      </c>
      <c r="CL76" s="23">
        <f>EXP(-LN(2)/25)*CL75+(1-EXP(-LN(2)/25))/(LN(2)/25)*Calculateur!CG76*Calculateur!CI76*VLOOKUP('Données projet'!$B$12,Paramètres!$A$1:$I$89,3,0)*0.475*44/12</f>
        <v>76.868009021932792</v>
      </c>
      <c r="CM76" s="23">
        <f>EXP(-LN(2)/2)*CM75+(1-EXP(-LN(2)/2))/(LN(2)/2)*CG76*CJ76*VLOOKUP('Données projet'!$B$12,Paramètres!$A$1:$I$89,3,0)*0.475*44/12</f>
        <v>23.234285067270569</v>
      </c>
      <c r="CN76" s="24">
        <f t="shared" si="66"/>
        <v>370.12941932000109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12.905000000000006</v>
      </c>
      <c r="CT76" s="13">
        <f>IF('Données projet'!$A$140&gt;35,CT75+CS76-DB75,IF(A76&lt;'Données projet'!$A$140,$CQ$205^A76,IF(A76='Données projet'!$A$140,'Données projet'!$B$140,CT75+CS76-DB75)))</f>
        <v>632.85499999999945</v>
      </c>
      <c r="CU76" s="18">
        <f>CT76*VLOOKUP('Données projet'!$B$13,Paramètres!$A$1:$I$89,3,0)*VLOOKUP('Données projet'!$B$13,Paramètres!$A$1:$I$89,5,0)</f>
        <v>378.44728999999967</v>
      </c>
      <c r="CV76" s="14">
        <f t="shared" si="95"/>
        <v>87.393198833182808</v>
      </c>
      <c r="CW76" s="22">
        <f t="shared" si="67"/>
        <v>811.33885138445942</v>
      </c>
      <c r="CX76" s="62">
        <f t="shared" si="68"/>
        <v>1104.6721847177928</v>
      </c>
      <c r="CY76" s="62">
        <f ca="1">AVERAGE(OFFSET($CX$3,0,0,'Données projet'!$E$13+1,1))-AVERAGE(OFFSET($H$3,0,0,'Données projet'!$E$13+1,1))</f>
        <v>361.46923697840384</v>
      </c>
      <c r="CZ76" s="62">
        <f t="shared" si="96"/>
        <v>302.25424592654673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51.508499056169143</v>
      </c>
      <c r="DG76" s="23">
        <f>EXP(-LN(2)/25)*DG75+(1-EXP(-LN(2)/25))/(LN(2)/25)*Calculateur!DB76*Calculateur!DD76*VLOOKUP('Données projet'!$B$13,Paramètres!$A$1:$I$89,3,0)*0.475*44/12</f>
        <v>20.931608736482701</v>
      </c>
      <c r="DH76" s="23">
        <f>EXP(-LN(2)/2)*DH75+(1-EXP(-LN(2)/2))/(LN(2)/2)*DB76*DE76*VLOOKUP('Données projet'!$B$13,Paramètres!$A$1:$I$89,3,0)*0.475*44/12</f>
        <v>0.97350766436272351</v>
      </c>
      <c r="DI76" s="24">
        <f t="shared" si="69"/>
        <v>73.413615457014572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-4.5474735088646412E-13</v>
      </c>
      <c r="O77" s="14">
        <f>N77*VLOOKUP('Données projet'!$B$9,Paramètres!$A$1:$I$89,3,0)*VLOOKUP('Données projet'!$B$9,Paramètres!$A$1:$I$89,5,0)</f>
        <v>-2.5420376914553347E-13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389.80719836281679</v>
      </c>
      <c r="T77" s="62">
        <f t="shared" si="88"/>
        <v>399.58193819355591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244.11318724159068</v>
      </c>
      <c r="AA77" s="23">
        <f>EXP(-LN(2)/25)*AA76+(1-EXP(-LN(2)/25))/(LN(2)/25)*Calculateur!V77*Calculateur!X77*VLOOKUP('Données projet'!$B$9,Paramètres!$A$1:$I$89,3,0)*0.475*44/12</f>
        <v>67.66156282246817</v>
      </c>
      <c r="AB77" s="23">
        <f>EXP(-LN(2)/2)*AB76+(1-EXP(-LN(2)/2))/(LN(2)/2)*V77*Y77*VLOOKUP('Données projet'!$B$9,Paramètres!$A$1:$I$89,3,0)*0.475*44/12</f>
        <v>15.074990988025773</v>
      </c>
      <c r="AC77" s="24">
        <f t="shared" si="57"/>
        <v>326.8497410520846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9.782</v>
      </c>
      <c r="AI77" s="14">
        <f>IF('Données projet'!$A$62&gt;35,AI76+AH77-AQ76,IF(A77&lt;'Données projet'!$A$62,$AF$205^A77,IF(A77='Données projet'!$A$62,'Données projet'!$B$62,AI76+AH77-AQ76)))</f>
        <v>461.30800000000005</v>
      </c>
      <c r="AJ77" s="14">
        <f>AI77*VLOOKUP('Données projet'!$B$10,Paramètres!$A$1:$I$89,3,0)*VLOOKUP('Données projet'!$B$10,Paramètres!$A$1:$I$89,5,0)</f>
        <v>275.86218400000007</v>
      </c>
      <c r="AK77" s="14">
        <f t="shared" si="89"/>
        <v>66.091813160377626</v>
      </c>
      <c r="AL77" s="22">
        <f t="shared" si="58"/>
        <v>595.5698783876577</v>
      </c>
      <c r="AM77" s="62">
        <f t="shared" si="59"/>
        <v>888.90321172099107</v>
      </c>
      <c r="AN77" s="62">
        <f ca="1">AVERAGE(OFFSET($AM$3,0,0,'Données projet'!$E$10+1,1))-AVERAGE(OFFSET($H$3,0,0,'Données projet'!$E$10+1,1))</f>
        <v>269.90083987531233</v>
      </c>
      <c r="AO77" s="62">
        <f t="shared" si="90"/>
        <v>183.4515835513518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42.690082545641509</v>
      </c>
      <c r="AV77" s="23">
        <f>EXP(-LN(2)/25)*AV76+(1-EXP(-LN(2)/25))/(LN(2)/25)*Calculateur!AQ77*Calculateur!AS77*VLOOKUP('Données projet'!$B$10,Paramètres!$A$1:$I$89,3,0)*0.475*44/12</f>
        <v>21.736890812061024</v>
      </c>
      <c r="AW77" s="23">
        <f>EXP(-LN(2)/2)*AW76+(1-EXP(-LN(2)/2))/(LN(2)/2)*AQ77*AT77*VLOOKUP('Données projet'!$B$10,Paramètres!$A$1:$I$89,3,0)*0.475*44/12</f>
        <v>2.1521756996938266</v>
      </c>
      <c r="AX77" s="23">
        <f t="shared" si="60"/>
        <v>66.579149057396364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15.173749999999998</v>
      </c>
      <c r="BD77" s="13">
        <f>IF('Données projet'!$A$88&gt;35,BD76+BC77-BL76,IF(A77&lt;'Données projet'!$A$88,$BA$205^A77,IF(A77='Données projet'!$A$88,'Données projet'!$B$88,BD76+BC77-BL76)))</f>
        <v>328.77375000000029</v>
      </c>
      <c r="BE77" s="14">
        <f>BD77*VLOOKUP('Données projet'!$B$11,Paramètres!$A$1:$I$89,3,0)*VLOOKUP('Données projet'!$B$11,Paramètres!$A$1:$I$89,5,0)</f>
        <v>158.14017375000014</v>
      </c>
      <c r="BF77" s="14">
        <f t="shared" si="91"/>
        <v>40.422741380177044</v>
      </c>
      <c r="BG77" s="22">
        <f t="shared" si="61"/>
        <v>345.83041051839194</v>
      </c>
      <c r="BH77" s="62">
        <f t="shared" si="62"/>
        <v>639.16374385172526</v>
      </c>
      <c r="BI77" s="62">
        <f ca="1">AVERAGE(OFFSET($BH$3,0,0,'Données projet'!$E$11+1,1))-AVERAGE(OFFSET($H$3,0,0,'Données projet'!$E$11+1,1))</f>
        <v>255.64417186544995</v>
      </c>
      <c r="BJ77" s="62">
        <f t="shared" si="92"/>
        <v>165.41802783289376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31.00390041467876</v>
      </c>
      <c r="BQ77" s="23">
        <f>EXP(-LN(2)/25)*BQ76+(1-EXP(-LN(2)/25))/(LN(2)/25)*Calculateur!BL77*Calculateur!BN77*VLOOKUP('Données projet'!$B$11,Paramètres!$A$1:$I$89,3,0)*0.475*44/12</f>
        <v>28.945594641522394</v>
      </c>
      <c r="BR77" s="23">
        <f>EXP(-LN(2)/2)*BR76+(1-EXP(-LN(2)/2))/(LN(2)/2)*BL77*BO77*VLOOKUP('Données projet'!$B$11,Paramètres!$A$1:$I$89,3,0)*0.475*44/12</f>
        <v>7.6008725547948375</v>
      </c>
      <c r="BS77" s="24">
        <f t="shared" si="63"/>
        <v>67.550367610995991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>
        <f>BY77*VLOOKUP('Données projet'!$B$12,Paramètres!$A$1:$I$89,3,0)*VLOOKUP('Données projet'!$B$12,Paramètres!$A$1:$I$89,5,0)</f>
        <v>0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465.49436272491818</v>
      </c>
      <c r="CE77" s="62">
        <f t="shared" si="94"/>
        <v>494.36941732405256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264.73205800530542</v>
      </c>
      <c r="CL77" s="23">
        <f>EXP(-LN(2)/25)*CL76+(1-EXP(-LN(2)/25))/(LN(2)/25)*Calculateur!CG77*Calculateur!CI77*VLOOKUP('Données projet'!$B$12,Paramètres!$A$1:$I$89,3,0)*0.475*44/12</f>
        <v>74.766049272915126</v>
      </c>
      <c r="CM77" s="23">
        <f>EXP(-LN(2)/2)*CM76+(1-EXP(-LN(2)/2))/(LN(2)/2)*CG77*CJ77*VLOOKUP('Données projet'!$B$12,Paramètres!$A$1:$I$89,3,0)*0.475*44/12</f>
        <v>16.429120527088362</v>
      </c>
      <c r="CN77" s="24">
        <f t="shared" si="66"/>
        <v>355.92722780530892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12.905000000000006</v>
      </c>
      <c r="CT77" s="13">
        <f>IF('Données projet'!$A$140&gt;35,CT76+CS77-DB76,IF(A77&lt;'Données projet'!$A$140,$CQ$205^A77,IF(A77='Données projet'!$A$140,'Données projet'!$B$140,CT76+CS77-DB76)))</f>
        <v>645.75999999999942</v>
      </c>
      <c r="CU77" s="18">
        <f>CT77*VLOOKUP('Données projet'!$B$13,Paramètres!$A$1:$I$89,3,0)*VLOOKUP('Données projet'!$B$13,Paramètres!$A$1:$I$89,5,0)</f>
        <v>386.16447999999974</v>
      </c>
      <c r="CV77" s="14">
        <f t="shared" si="95"/>
        <v>88.966005294641164</v>
      </c>
      <c r="CW77" s="22">
        <f t="shared" si="67"/>
        <v>827.51892855483277</v>
      </c>
      <c r="CX77" s="62">
        <f t="shared" si="68"/>
        <v>1120.8522618881661</v>
      </c>
      <c r="CY77" s="62">
        <f ca="1">AVERAGE(OFFSET($CX$3,0,0,'Données projet'!$E$13+1,1))-AVERAGE(OFFSET($H$3,0,0,'Données projet'!$E$13+1,1))</f>
        <v>361.46923697840384</v>
      </c>
      <c r="CZ77" s="62">
        <f t="shared" si="96"/>
        <v>302.25424592654673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50.49844880675991</v>
      </c>
      <c r="DG77" s="23">
        <f>EXP(-LN(2)/25)*DG76+(1-EXP(-LN(2)/25))/(LN(2)/25)*Calculateur!DB77*Calculateur!DD77*VLOOKUP('Données projet'!$B$13,Paramètres!$A$1:$I$89,3,0)*0.475*44/12</f>
        <v>20.359232794838118</v>
      </c>
      <c r="DH77" s="23">
        <f>EXP(-LN(2)/2)*DH76+(1-EXP(-LN(2)/2))/(LN(2)/2)*DB77*DE77*VLOOKUP('Données projet'!$B$13,Paramètres!$A$1:$I$89,3,0)*0.475*44/12</f>
        <v>0.68837387100795933</v>
      </c>
      <c r="DI77" s="24">
        <f t="shared" si="69"/>
        <v>71.546055472605985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-4.5474735088646412E-13</v>
      </c>
      <c r="O78" s="14">
        <f>N78*VLOOKUP('Données projet'!$B$9,Paramètres!$A$1:$I$89,3,0)*VLOOKUP('Données projet'!$B$9,Paramètres!$A$1:$I$89,5,0)</f>
        <v>-2.5420376914553347E-13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389.80719836281679</v>
      </c>
      <c r="T78" s="62">
        <f t="shared" si="88"/>
        <v>399.58193819355591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239.32627653412521</v>
      </c>
      <c r="AA78" s="23">
        <f>EXP(-LN(2)/25)*AA77+(1-EXP(-LN(2)/25))/(LN(2)/25)*Calculateur!V78*Calculateur!X78*VLOOKUP('Données projet'!$B$9,Paramètres!$A$1:$I$89,3,0)*0.475*44/12</f>
        <v>65.811353828920829</v>
      </c>
      <c r="AB78" s="23">
        <f>EXP(-LN(2)/2)*AB77+(1-EXP(-LN(2)/2))/(LN(2)/2)*V78*Y78*VLOOKUP('Données projet'!$B$9,Paramètres!$A$1:$I$89,3,0)*0.475*44/12</f>
        <v>10.659628353959116</v>
      </c>
      <c r="AC78" s="24">
        <f t="shared" si="57"/>
        <v>315.79725871700515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9.782</v>
      </c>
      <c r="AI78" s="14">
        <f>IF('Données projet'!$A$62&gt;35,AI77+AH78-AQ77,IF(A78&lt;'Données projet'!$A$62,$AF$205^A78,IF(A78='Données projet'!$A$62,'Données projet'!$B$62,AI77+AH78-AQ77)))</f>
        <v>471.09000000000003</v>
      </c>
      <c r="AJ78" s="14">
        <f>AI78*VLOOKUP('Données projet'!$B$10,Paramètres!$A$1:$I$89,3,0)*VLOOKUP('Données projet'!$B$10,Paramètres!$A$1:$I$89,5,0)</f>
        <v>281.71182000000005</v>
      </c>
      <c r="AK78" s="14">
        <f t="shared" si="89"/>
        <v>67.328637229880215</v>
      </c>
      <c r="AL78" s="22">
        <f t="shared" si="58"/>
        <v>607.91212967537479</v>
      </c>
      <c r="AM78" s="62">
        <f t="shared" si="59"/>
        <v>901.24546300870816</v>
      </c>
      <c r="AN78" s="62">
        <f ca="1">AVERAGE(OFFSET($AM$3,0,0,'Données projet'!$E$10+1,1))-AVERAGE(OFFSET($H$3,0,0,'Données projet'!$E$10+1,1))</f>
        <v>269.90083987531233</v>
      </c>
      <c r="AO78" s="62">
        <f t="shared" si="90"/>
        <v>183.4515835513518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41.852956065300752</v>
      </c>
      <c r="AV78" s="23">
        <f>EXP(-LN(2)/25)*AV77+(1-EXP(-LN(2)/25))/(LN(2)/25)*Calculateur!AQ78*Calculateur!AS78*VLOOKUP('Données projet'!$B$10,Paramètres!$A$1:$I$89,3,0)*0.475*44/12</f>
        <v>21.142494389711807</v>
      </c>
      <c r="AW78" s="23">
        <f>EXP(-LN(2)/2)*AW77+(1-EXP(-LN(2)/2))/(LN(2)/2)*AQ78*AT78*VLOOKUP('Données projet'!$B$10,Paramètres!$A$1:$I$89,3,0)*0.475*44/12</f>
        <v>1.5218180315584076</v>
      </c>
      <c r="AX78" s="23">
        <f t="shared" si="60"/>
        <v>64.51726848657097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15.173749999999998</v>
      </c>
      <c r="BD78" s="13">
        <f>IF('Données projet'!$A$88&gt;35,BD77+BC78-BL77,IF(A78&lt;'Données projet'!$A$88,$BA$205^A78,IF(A78='Données projet'!$A$88,'Données projet'!$B$88,BD77+BC78-BL77)))</f>
        <v>343.94750000000028</v>
      </c>
      <c r="BE78" s="14">
        <f>BD78*VLOOKUP('Données projet'!$B$11,Paramètres!$A$1:$I$89,3,0)*VLOOKUP('Données projet'!$B$11,Paramètres!$A$1:$I$89,5,0)</f>
        <v>165.43874750000015</v>
      </c>
      <c r="BF78" s="14">
        <f t="shared" si="91"/>
        <v>42.066843361233055</v>
      </c>
      <c r="BG78" s="22">
        <f t="shared" si="61"/>
        <v>361.40557074998111</v>
      </c>
      <c r="BH78" s="62">
        <f t="shared" si="62"/>
        <v>654.73890408331442</v>
      </c>
      <c r="BI78" s="62">
        <f ca="1">AVERAGE(OFFSET($BH$3,0,0,'Données projet'!$E$11+1,1))-AVERAGE(OFFSET($H$3,0,0,'Données projet'!$E$11+1,1))</f>
        <v>255.64417186544995</v>
      </c>
      <c r="BJ78" s="62">
        <f t="shared" si="92"/>
        <v>165.41802783289376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30.395932838058904</v>
      </c>
      <c r="BQ78" s="23">
        <f>EXP(-LN(2)/25)*BQ77+(1-EXP(-LN(2)/25))/(LN(2)/25)*Calculateur!BL78*Calculateur!BN78*VLOOKUP('Données projet'!$B$11,Paramètres!$A$1:$I$89,3,0)*0.475*44/12</f>
        <v>28.154075833867299</v>
      </c>
      <c r="BR78" s="23">
        <f>EXP(-LN(2)/2)*BR77+(1-EXP(-LN(2)/2))/(LN(2)/2)*BL78*BO78*VLOOKUP('Données projet'!$B$11,Paramètres!$A$1:$I$89,3,0)*0.475*44/12</f>
        <v>5.3746285264301479</v>
      </c>
      <c r="BS78" s="24">
        <f t="shared" si="63"/>
        <v>63.924637198356358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>
        <f>BY78*VLOOKUP('Données projet'!$B$12,Paramètres!$A$1:$I$89,3,0)*VLOOKUP('Données projet'!$B$12,Paramètres!$A$1:$I$89,5,0)</f>
        <v>0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465.49436272491818</v>
      </c>
      <c r="CE78" s="62">
        <f t="shared" si="94"/>
        <v>494.36941732405256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259.54082381843284</v>
      </c>
      <c r="CL78" s="23">
        <f>EXP(-LN(2)/25)*CL77+(1-EXP(-LN(2)/25))/(LN(2)/25)*Calculateur!CG78*Calculateur!CI78*VLOOKUP('Données projet'!$B$12,Paramètres!$A$1:$I$89,3,0)*0.475*44/12</f>
        <v>72.721567723771614</v>
      </c>
      <c r="CM78" s="23">
        <f>EXP(-LN(2)/2)*CM77+(1-EXP(-LN(2)/2))/(LN(2)/2)*CG78*CJ78*VLOOKUP('Données projet'!$B$12,Paramètres!$A$1:$I$89,3,0)*0.475*44/12</f>
        <v>11.617142533635286</v>
      </c>
      <c r="CN78" s="24">
        <f t="shared" si="66"/>
        <v>343.87953407583973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12.905000000000006</v>
      </c>
      <c r="CT78" s="13">
        <f>IF('Données projet'!$A$140&gt;35,CT77+CS78-DB77,IF(A78&lt;'Données projet'!$A$140,$CQ$205^A78,IF(A78='Données projet'!$A$140,'Données projet'!$B$140,CT77+CS78-DB77)))</f>
        <v>658.6649999999994</v>
      </c>
      <c r="CU78" s="18">
        <f>CT78*VLOOKUP('Données projet'!$B$13,Paramètres!$A$1:$I$89,3,0)*VLOOKUP('Données projet'!$B$13,Paramètres!$A$1:$I$89,5,0)</f>
        <v>393.88166999999964</v>
      </c>
      <c r="CV78" s="14">
        <f t="shared" si="95"/>
        <v>90.535157149196806</v>
      </c>
      <c r="CW78" s="22">
        <f t="shared" si="67"/>
        <v>843.69264061818376</v>
      </c>
      <c r="CX78" s="62">
        <f t="shared" si="68"/>
        <v>1137.025973951517</v>
      </c>
      <c r="CY78" s="62">
        <f ca="1">AVERAGE(OFFSET($CX$3,0,0,'Données projet'!$E$13+1,1))-AVERAGE(OFFSET($H$3,0,0,'Données projet'!$E$13+1,1))</f>
        <v>361.46923697840384</v>
      </c>
      <c r="CZ78" s="62">
        <f t="shared" si="96"/>
        <v>302.25424592654673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49.508205026671774</v>
      </c>
      <c r="DG78" s="23">
        <f>EXP(-LN(2)/25)*DG77+(1-EXP(-LN(2)/25))/(LN(2)/25)*Calculateur!DB78*Calculateur!DD78*VLOOKUP('Données projet'!$B$13,Paramètres!$A$1:$I$89,3,0)*0.475*44/12</f>
        <v>19.802508503417748</v>
      </c>
      <c r="DH78" s="23">
        <f>EXP(-LN(2)/2)*DH77+(1-EXP(-LN(2)/2))/(LN(2)/2)*DB78*DE78*VLOOKUP('Données projet'!$B$13,Paramètres!$A$1:$I$89,3,0)*0.475*44/12</f>
        <v>0.48675383218136181</v>
      </c>
      <c r="DI78" s="24">
        <f t="shared" si="69"/>
        <v>69.797467362270879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-4.5474735088646412E-13</v>
      </c>
      <c r="O79" s="14">
        <f>N79*VLOOKUP('Données projet'!$B$9,Paramètres!$A$1:$I$89,3,0)*VLOOKUP('Données projet'!$B$9,Paramètres!$A$1:$I$89,5,0)</f>
        <v>-2.5420376914553347E-13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389.80719836281679</v>
      </c>
      <c r="T79" s="62">
        <f t="shared" si="88"/>
        <v>399.58193819355591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234.63323422590591</v>
      </c>
      <c r="AA79" s="23">
        <f>EXP(-LN(2)/25)*AA78+(1-EXP(-LN(2)/25))/(LN(2)/25)*Calculateur!V79*Calculateur!X79*VLOOKUP('Données projet'!$B$9,Paramètres!$A$1:$I$89,3,0)*0.475*44/12</f>
        <v>64.01173889760031</v>
      </c>
      <c r="AB79" s="23">
        <f>EXP(-LN(2)/2)*AB78+(1-EXP(-LN(2)/2))/(LN(2)/2)*V79*Y79*VLOOKUP('Données projet'!$B$9,Paramètres!$A$1:$I$89,3,0)*0.475*44/12</f>
        <v>7.5374954940128864</v>
      </c>
      <c r="AC79" s="24">
        <f t="shared" si="57"/>
        <v>306.18246861751913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9.782</v>
      </c>
      <c r="AI79" s="14">
        <f>IF('Données projet'!$A$62&gt;35,AI78+AH79-AQ78,IF(A79&lt;'Données projet'!$A$62,$AF$205^A79,IF(A79='Données projet'!$A$62,'Données projet'!$B$62,AI78+AH79-AQ78)))</f>
        <v>480.87200000000001</v>
      </c>
      <c r="AJ79" s="14">
        <f>AI79*VLOOKUP('Données projet'!$B$10,Paramètres!$A$1:$I$89,3,0)*VLOOKUP('Données projet'!$B$10,Paramètres!$A$1:$I$89,5,0)</f>
        <v>287.56145600000002</v>
      </c>
      <c r="AK79" s="14">
        <f t="shared" si="89"/>
        <v>68.562475277867222</v>
      </c>
      <c r="AL79" s="22">
        <f t="shared" si="58"/>
        <v>620.24918030895208</v>
      </c>
      <c r="AM79" s="62">
        <f t="shared" si="59"/>
        <v>913.58251364228545</v>
      </c>
      <c r="AN79" s="62">
        <f ca="1">AVERAGE(OFFSET($AM$3,0,0,'Données projet'!$E$10+1,1))-AVERAGE(OFFSET($H$3,0,0,'Données projet'!$E$10+1,1))</f>
        <v>269.90083987531233</v>
      </c>
      <c r="AO79" s="62">
        <f t="shared" si="90"/>
        <v>183.4515835513518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41.032245124642742</v>
      </c>
      <c r="AV79" s="23">
        <f>EXP(-LN(2)/25)*AV78+(1-EXP(-LN(2)/25))/(LN(2)/25)*Calculateur!AQ79*Calculateur!AS79*VLOOKUP('Données projet'!$B$10,Paramètres!$A$1:$I$89,3,0)*0.475*44/12</f>
        <v>20.564351768789681</v>
      </c>
      <c r="AW79" s="23">
        <f>EXP(-LN(2)/2)*AW78+(1-EXP(-LN(2)/2))/(LN(2)/2)*AQ79*AT79*VLOOKUP('Données projet'!$B$10,Paramètres!$A$1:$I$89,3,0)*0.475*44/12</f>
        <v>1.0760878498469135</v>
      </c>
      <c r="AX79" s="23">
        <f t="shared" si="60"/>
        <v>62.672684743279333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15.173749999999998</v>
      </c>
      <c r="BD79" s="13">
        <f>IF('Données projet'!$A$88&gt;35,BD78+BC79-BL78,IF(A79&lt;'Données projet'!$A$88,$BA$205^A79,IF(A79='Données projet'!$A$88,'Données projet'!$B$88,BD78+BC79-BL78)))</f>
        <v>359.12125000000026</v>
      </c>
      <c r="BE79" s="14">
        <f>BD79*VLOOKUP('Données projet'!$B$11,Paramètres!$A$1:$I$89,3,0)*VLOOKUP('Données projet'!$B$11,Paramètres!$A$1:$I$89,5,0)</f>
        <v>172.73732125000012</v>
      </c>
      <c r="BF79" s="14">
        <f t="shared" si="91"/>
        <v>43.702521374847521</v>
      </c>
      <c r="BG79" s="22">
        <f t="shared" si="61"/>
        <v>376.96605923827633</v>
      </c>
      <c r="BH79" s="62">
        <f t="shared" si="62"/>
        <v>670.29939257160959</v>
      </c>
      <c r="BI79" s="62">
        <f ca="1">AVERAGE(OFFSET($BH$3,0,0,'Données projet'!$E$11+1,1))-AVERAGE(OFFSET($H$3,0,0,'Données projet'!$E$11+1,1))</f>
        <v>255.64417186544995</v>
      </c>
      <c r="BJ79" s="62">
        <f t="shared" si="92"/>
        <v>165.41802783289376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29.799887134792957</v>
      </c>
      <c r="BQ79" s="23">
        <f>EXP(-LN(2)/25)*BQ78+(1-EXP(-LN(2)/25))/(LN(2)/25)*Calculateur!BL79*Calculateur!BN79*VLOOKUP('Données projet'!$B$11,Paramètres!$A$1:$I$89,3,0)*0.475*44/12</f>
        <v>27.384201149631696</v>
      </c>
      <c r="BR79" s="23">
        <f>EXP(-LN(2)/2)*BR78+(1-EXP(-LN(2)/2))/(LN(2)/2)*BL79*BO79*VLOOKUP('Données projet'!$B$11,Paramètres!$A$1:$I$89,3,0)*0.475*44/12</f>
        <v>3.8004362773974192</v>
      </c>
      <c r="BS79" s="24">
        <f t="shared" si="63"/>
        <v>60.98452456182207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>
        <f>BY79*VLOOKUP('Données projet'!$B$12,Paramètres!$A$1:$I$89,3,0)*VLOOKUP('Données projet'!$B$12,Paramètres!$A$1:$I$89,5,0)</f>
        <v>0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465.49436272491818</v>
      </c>
      <c r="CE79" s="62">
        <f t="shared" si="94"/>
        <v>494.36941732405256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254.45138656762467</v>
      </c>
      <c r="CL79" s="23">
        <f>EXP(-LN(2)/25)*CL78+(1-EXP(-LN(2)/25))/(LN(2)/25)*Calculateur!CG79*Calculateur!CI79*VLOOKUP('Données projet'!$B$12,Paramètres!$A$1:$I$89,3,0)*0.475*44/12</f>
        <v>70.732992630104036</v>
      </c>
      <c r="CM79" s="23">
        <f>EXP(-LN(2)/2)*CM78+(1-EXP(-LN(2)/2))/(LN(2)/2)*CG79*CJ79*VLOOKUP('Données projet'!$B$12,Paramètres!$A$1:$I$89,3,0)*0.475*44/12</f>
        <v>8.2145602635441808</v>
      </c>
      <c r="CN79" s="24">
        <f t="shared" si="66"/>
        <v>333.3989394612729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>
        <f>VLOOKUP(A79,'Données projet'!$A$139:$I$159,2,0)</f>
        <v>671.57</v>
      </c>
      <c r="CR79" s="13">
        <f>VLOOKUP(A79,'Données projet'!$A$139:$I$159,9,0)</f>
        <v>12.905000000000006</v>
      </c>
      <c r="CS79" s="13">
        <f t="array" ref="CS79">INDEX(CR:CR,MIN(IF(ISNUMBER(CR79:CR275),ROW(CR79:CR275),"")))</f>
        <v>12.905000000000006</v>
      </c>
      <c r="CT79" s="13">
        <f>IF('Données projet'!$A$140&gt;35,CT78+CS79-DB78,IF(A79&lt;'Données projet'!$A$140,$CQ$205^A79,IF(A79='Données projet'!$A$140,'Données projet'!$B$140,CT78+CS79-DB78)))</f>
        <v>671.56999999999937</v>
      </c>
      <c r="CU79" s="18">
        <f>CT79*VLOOKUP('Données projet'!$B$13,Paramètres!$A$1:$I$89,3,0)*VLOOKUP('Données projet'!$B$13,Paramètres!$A$1:$I$89,5,0)</f>
        <v>401.59885999999966</v>
      </c>
      <c r="CV79" s="14">
        <f t="shared" si="95"/>
        <v>92.10073425419408</v>
      </c>
      <c r="CW79" s="22">
        <f t="shared" si="67"/>
        <v>859.86012665938733</v>
      </c>
      <c r="CX79" s="62">
        <f t="shared" si="68"/>
        <v>1153.1934599927206</v>
      </c>
      <c r="CY79" s="62">
        <f ca="1">AVERAGE(OFFSET($CX$3,0,0,'Données projet'!$E$13+1,1))-AVERAGE(OFFSET($H$3,0,0,'Données projet'!$E$13+1,1))</f>
        <v>361.46923697840384</v>
      </c>
      <c r="CZ79" s="62">
        <f t="shared" si="96"/>
        <v>302.25424592654673</v>
      </c>
      <c r="DA79" s="16">
        <f>IF(ISNA(VLOOKUP(A79,'Données projet'!$A$139:$I$159,3,0)),0,VLOOKUP(A79,'Données projet'!$A$139:$I$159,3,0))</f>
        <v>8</v>
      </c>
      <c r="DB79" s="16">
        <f>IF(ISNA(VLOOKUP(A79,'Données projet'!$A$139:$I$159,4,0)),0,VLOOKUP(A79,'Données projet'!$A$139:$I$159,4,0))</f>
        <v>671.57</v>
      </c>
      <c r="DC79" s="17">
        <f>IF(ISNA(VLOOKUP(A79,'Données projet'!$A$139:$I$159,5,0)),0%,VLOOKUP(A79,'Données projet'!$A$139:$I$159,5,0)*VLOOKUP('Données projet'!$B$13,Paramètres!$A$1:$I$89,7,0))</f>
        <v>0.27</v>
      </c>
      <c r="DD79" s="17">
        <f>IF(ISNA(VLOOKUP(A79,'Données projet'!$A$139:$I$159,6,0)),0%,VLOOKUP(A79,'Données projet'!$A$139:$I$159,6,0)*VLOOKUP('Données projet'!$B$13,Paramètres!$A$1:$I$89,7,0))</f>
        <v>9.9000000000000005E-2</v>
      </c>
      <c r="DE79" s="17">
        <f>IF(ISNA(VLOOKUP(A79,'Données projet'!$A$139:$I$159,7,0)),0%,VLOOKUP(A79,'Données projet'!$A$139:$I$159,7,0))</f>
        <v>0.18</v>
      </c>
      <c r="DF79" s="23">
        <f>EXP(-LN(2)/35)*DF78+(1-EXP(-LN(2)/35))/(LN(2)/35)*DB79*DC79*VLOOKUP('Données projet'!$B$13,Paramètres!$A$1:$I$89,3,0)*0.475*44/12</f>
        <v>192.37900803880297</v>
      </c>
      <c r="DG79" s="23">
        <f>EXP(-LN(2)/25)*DG78+(1-EXP(-LN(2)/25))/(LN(2)/25)*Calculateur!DB79*Calculateur!DD79*VLOOKUP('Données projet'!$B$13,Paramètres!$A$1:$I$89,3,0)*0.475*44/12</f>
        <v>71.795273319362067</v>
      </c>
      <c r="DH79" s="23">
        <f>EXP(-LN(2)/2)*DH78+(1-EXP(-LN(2)/2))/(LN(2)/2)*DB79*DE79*VLOOKUP('Données projet'!$B$13,Paramètres!$A$1:$I$89,3,0)*0.475*44/12</f>
        <v>82.190762925029688</v>
      </c>
      <c r="DI79" s="24">
        <f t="shared" si="69"/>
        <v>346.36504428319472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-4.5474735088646412E-13</v>
      </c>
      <c r="O80" s="14">
        <f>N80*VLOOKUP('Données projet'!$B$9,Paramètres!$A$1:$I$89,3,0)*VLOOKUP('Données projet'!$B$9,Paramètres!$A$1:$I$89,5,0)</f>
        <v>-2.5420376914553347E-13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389.80719836281679</v>
      </c>
      <c r="T80" s="62">
        <f t="shared" si="88"/>
        <v>399.58193819355591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230.03221961487762</v>
      </c>
      <c r="AA80" s="23">
        <f>EXP(-LN(2)/25)*AA79+(1-EXP(-LN(2)/25))/(LN(2)/25)*Calculateur!V80*Calculateur!X80*VLOOKUP('Données projet'!$B$9,Paramètres!$A$1:$I$89,3,0)*0.475*44/12</f>
        <v>62.261334531214381</v>
      </c>
      <c r="AB80" s="23">
        <f>EXP(-LN(2)/2)*AB79+(1-EXP(-LN(2)/2))/(LN(2)/2)*V80*Y80*VLOOKUP('Données projet'!$B$9,Paramètres!$A$1:$I$89,3,0)*0.475*44/12</f>
        <v>5.3298141769795579</v>
      </c>
      <c r="AC80" s="24">
        <f t="shared" si="57"/>
        <v>297.62336832307153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9.782</v>
      </c>
      <c r="AI80" s="14">
        <f>IF('Données projet'!$A$62&gt;35,AI79+AH80-AQ79,IF(A80&lt;'Données projet'!$A$62,$AF$205^A80,IF(A80='Données projet'!$A$62,'Données projet'!$B$62,AI79+AH80-AQ79)))</f>
        <v>490.654</v>
      </c>
      <c r="AJ80" s="14">
        <f>AI80*VLOOKUP('Données projet'!$B$10,Paramètres!$A$1:$I$89,3,0)*VLOOKUP('Données projet'!$B$10,Paramètres!$A$1:$I$89,5,0)</f>
        <v>293.411092</v>
      </c>
      <c r="AK80" s="14">
        <f t="shared" si="89"/>
        <v>69.79339504623151</v>
      </c>
      <c r="AL80" s="22">
        <f t="shared" si="58"/>
        <v>632.58114827218651</v>
      </c>
      <c r="AM80" s="62">
        <f t="shared" si="59"/>
        <v>925.91448160551977</v>
      </c>
      <c r="AN80" s="62">
        <f ca="1">AVERAGE(OFFSET($AM$3,0,0,'Données projet'!$E$10+1,1))-AVERAGE(OFFSET($H$3,0,0,'Données projet'!$E$10+1,1))</f>
        <v>269.90083987531233</v>
      </c>
      <c r="AO80" s="62">
        <f t="shared" si="90"/>
        <v>183.4515835513518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40.227627824946794</v>
      </c>
      <c r="AV80" s="23">
        <f>EXP(-LN(2)/25)*AV79+(1-EXP(-LN(2)/25))/(LN(2)/25)*Calculateur!AQ80*Calculateur!AS80*VLOOKUP('Données projet'!$B$10,Paramètres!$A$1:$I$89,3,0)*0.475*44/12</f>
        <v>20.002018488239869</v>
      </c>
      <c r="AW80" s="23">
        <f>EXP(-LN(2)/2)*AW79+(1-EXP(-LN(2)/2))/(LN(2)/2)*AQ80*AT80*VLOOKUP('Données projet'!$B$10,Paramètres!$A$1:$I$89,3,0)*0.475*44/12</f>
        <v>0.76090901577920389</v>
      </c>
      <c r="AX80" s="23">
        <f t="shared" si="60"/>
        <v>60.990555328965868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15.173749999999998</v>
      </c>
      <c r="BD80" s="13">
        <f>IF('Données projet'!$A$88&gt;35,BD79+BC80-BL79,IF(A80&lt;'Données projet'!$A$88,$BA$205^A80,IF(A80='Données projet'!$A$88,'Données projet'!$B$88,BD79+BC80-BL79)))</f>
        <v>374.29500000000024</v>
      </c>
      <c r="BE80" s="14">
        <f>BD80*VLOOKUP('Données projet'!$B$11,Paramètres!$A$1:$I$89,3,0)*VLOOKUP('Données projet'!$B$11,Paramètres!$A$1:$I$89,5,0)</f>
        <v>180.03589500000012</v>
      </c>
      <c r="BF80" s="14">
        <f t="shared" si="91"/>
        <v>45.330172050059147</v>
      </c>
      <c r="BG80" s="22">
        <f t="shared" si="61"/>
        <v>392.51256677885317</v>
      </c>
      <c r="BH80" s="62">
        <f t="shared" si="62"/>
        <v>685.84590011218643</v>
      </c>
      <c r="BI80" s="62">
        <f ca="1">AVERAGE(OFFSET($BH$3,0,0,'Données projet'!$E$11+1,1))-AVERAGE(OFFSET($H$3,0,0,'Données projet'!$E$11+1,1))</f>
        <v>255.64417186544995</v>
      </c>
      <c r="BJ80" s="62">
        <f t="shared" si="92"/>
        <v>165.41802783289376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29.215529524216077</v>
      </c>
      <c r="BQ80" s="23">
        <f>EXP(-LN(2)/25)*BQ79+(1-EXP(-LN(2)/25))/(LN(2)/25)*Calculateur!BL80*Calculateur!BN80*VLOOKUP('Données projet'!$B$11,Paramètres!$A$1:$I$89,3,0)*0.475*44/12</f>
        <v>26.635378729122468</v>
      </c>
      <c r="BR80" s="23">
        <f>EXP(-LN(2)/2)*BR79+(1-EXP(-LN(2)/2))/(LN(2)/2)*BL80*BO80*VLOOKUP('Données projet'!$B$11,Paramètres!$A$1:$I$89,3,0)*0.475*44/12</f>
        <v>2.6873142632150744</v>
      </c>
      <c r="BS80" s="24">
        <f t="shared" si="63"/>
        <v>58.538222516553617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>
        <f>BY80*VLOOKUP('Données projet'!$B$12,Paramètres!$A$1:$I$89,3,0)*VLOOKUP('Données projet'!$B$12,Paramètres!$A$1:$I$89,5,0)</f>
        <v>0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465.49436272491818</v>
      </c>
      <c r="CE80" s="62">
        <f t="shared" si="94"/>
        <v>494.36941732405256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249.46175007705463</v>
      </c>
      <c r="CL80" s="23">
        <f>EXP(-LN(2)/25)*CL79+(1-EXP(-LN(2)/25))/(LN(2)/25)*Calculateur!CG80*Calculateur!CI80*VLOOKUP('Données projet'!$B$12,Paramètres!$A$1:$I$89,3,0)*0.475*44/12</f>
        <v>68.798795226947419</v>
      </c>
      <c r="CM80" s="23">
        <f>EXP(-LN(2)/2)*CM79+(1-EXP(-LN(2)/2))/(LN(2)/2)*CG80*CJ80*VLOOKUP('Données projet'!$B$12,Paramètres!$A$1:$I$89,3,0)*0.475*44/12</f>
        <v>5.8085712668176432</v>
      </c>
      <c r="CN80" s="24">
        <f t="shared" si="66"/>
        <v>324.06911657081969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-6.8212102632969618E-13</v>
      </c>
      <c r="CU80" s="18">
        <f>CT80*VLOOKUP('Données projet'!$B$13,Paramètres!$A$1:$I$89,3,0)*VLOOKUP('Données projet'!$B$13,Paramètres!$A$1:$I$89,5,0)</f>
        <v>-4.0790837374515837E-13</v>
      </c>
      <c r="CV80" s="14" t="e">
        <f t="shared" si="95"/>
        <v>#NUM!</v>
      </c>
      <c r="CW80" s="22" t="e">
        <f t="shared" si="67"/>
        <v>#NUM!</v>
      </c>
      <c r="CX80" s="62" t="e">
        <f t="shared" si="68"/>
        <v>#NUM!</v>
      </c>
      <c r="CY80" s="62">
        <f ca="1">AVERAGE(OFFSET($CX$3,0,0,'Données projet'!$E$13+1,1))-AVERAGE(OFFSET($H$3,0,0,'Données projet'!$E$13+1,1))</f>
        <v>361.46923697840384</v>
      </c>
      <c r="CZ80" s="62">
        <f t="shared" si="96"/>
        <v>302.25424592654673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188.60657303077062</v>
      </c>
      <c r="DG80" s="23">
        <f>EXP(-LN(2)/25)*DG79+(1-EXP(-LN(2)/25))/(LN(2)/25)*Calculateur!DB80*Calculateur!DD80*VLOOKUP('Données projet'!$B$13,Paramètres!$A$1:$I$89,3,0)*0.475*44/12</f>
        <v>69.832027794894785</v>
      </c>
      <c r="DH80" s="23">
        <f>EXP(-LN(2)/2)*DH79+(1-EXP(-LN(2)/2))/(LN(2)/2)*DB80*DE80*VLOOKUP('Données projet'!$B$13,Paramètres!$A$1:$I$89,3,0)*0.475*44/12</f>
        <v>58.117645815184375</v>
      </c>
      <c r="DI80" s="24">
        <f t="shared" si="69"/>
        <v>316.55624664084974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-4.5474735088646412E-13</v>
      </c>
      <c r="O81" s="14">
        <f>N81*VLOOKUP('Données projet'!$B$9,Paramètres!$A$1:$I$89,3,0)*VLOOKUP('Données projet'!$B$9,Paramètres!$A$1:$I$89,5,0)</f>
        <v>-2.5420376914553347E-13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389.80719836281679</v>
      </c>
      <c r="T81" s="62">
        <f t="shared" si="88"/>
        <v>399.58193819355591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225.52142809402977</v>
      </c>
      <c r="AA81" s="23">
        <f>EXP(-LN(2)/25)*AA80+(1-EXP(-LN(2)/25))/(LN(2)/25)*Calculateur!V81*Calculateur!X81*VLOOKUP('Données projet'!$B$9,Paramètres!$A$1:$I$89,3,0)*0.475*44/12</f>
        <v>60.558795064277042</v>
      </c>
      <c r="AB81" s="23">
        <f>EXP(-LN(2)/2)*AB80+(1-EXP(-LN(2)/2))/(LN(2)/2)*V81*Y81*VLOOKUP('Données projet'!$B$9,Paramètres!$A$1:$I$89,3,0)*0.475*44/12</f>
        <v>3.7687477470064432</v>
      </c>
      <c r="AC81" s="24">
        <f t="shared" si="57"/>
        <v>289.84897090531325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9.782</v>
      </c>
      <c r="AI81" s="14">
        <f>IF('Données projet'!$A$62&gt;35,AI80+AH81-AQ80,IF(A81&lt;'Données projet'!$A$62,$AF$205^A81,IF(A81='Données projet'!$A$62,'Données projet'!$B$62,AI80+AH81-AQ80)))</f>
        <v>500.43599999999998</v>
      </c>
      <c r="AJ81" s="14">
        <f>AI81*VLOOKUP('Données projet'!$B$10,Paramètres!$A$1:$I$89,3,0)*VLOOKUP('Données projet'!$B$10,Paramètres!$A$1:$I$89,5,0)</f>
        <v>299.26072800000003</v>
      </c>
      <c r="AK81" s="14">
        <f t="shared" si="89"/>
        <v>71.021461421315166</v>
      </c>
      <c r="AL81" s="22">
        <f t="shared" si="58"/>
        <v>644.90814657545729</v>
      </c>
      <c r="AM81" s="62">
        <f t="shared" si="59"/>
        <v>938.24147990879055</v>
      </c>
      <c r="AN81" s="62">
        <f ca="1">AVERAGE(OFFSET($AM$3,0,0,'Données projet'!$E$10+1,1))-AVERAGE(OFFSET($H$3,0,0,'Données projet'!$E$10+1,1))</f>
        <v>269.90083987531233</v>
      </c>
      <c r="AO81" s="62">
        <f t="shared" si="90"/>
        <v>183.4515835513518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39.438788579729788</v>
      </c>
      <c r="AV81" s="23">
        <f>EXP(-LN(2)/25)*AV80+(1-EXP(-LN(2)/25))/(LN(2)/25)*Calculateur!AQ81*Calculateur!AS81*VLOOKUP('Données projet'!$B$10,Paramètres!$A$1:$I$89,3,0)*0.475*44/12</f>
        <v>19.455062240818513</v>
      </c>
      <c r="AW81" s="23">
        <f>EXP(-LN(2)/2)*AW80+(1-EXP(-LN(2)/2))/(LN(2)/2)*AQ81*AT81*VLOOKUP('Données projet'!$B$10,Paramètres!$A$1:$I$89,3,0)*0.475*44/12</f>
        <v>0.53804392492345676</v>
      </c>
      <c r="AX81" s="23">
        <f t="shared" si="60"/>
        <v>59.431894745471759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15.173749999999998</v>
      </c>
      <c r="BD81" s="13">
        <f>IF('Données projet'!$A$88&gt;35,BD80+BC81-BL80,IF(A81&lt;'Données projet'!$A$88,$BA$205^A81,IF(A81='Données projet'!$A$88,'Données projet'!$B$88,BD80+BC81-BL80)))</f>
        <v>389.46875000000023</v>
      </c>
      <c r="BE81" s="14">
        <f>BD81*VLOOKUP('Données projet'!$B$11,Paramètres!$A$1:$I$89,3,0)*VLOOKUP('Données projet'!$B$11,Paramètres!$A$1:$I$89,5,0)</f>
        <v>187.3344687500001</v>
      </c>
      <c r="BF81" s="14">
        <f t="shared" si="91"/>
        <v>46.950158037614536</v>
      </c>
      <c r="BG81" s="22">
        <f t="shared" si="61"/>
        <v>408.04572498842873</v>
      </c>
      <c r="BH81" s="62">
        <f t="shared" si="62"/>
        <v>701.37905832176205</v>
      </c>
      <c r="BI81" s="62">
        <f ca="1">AVERAGE(OFFSET($BH$3,0,0,'Données projet'!$E$11+1,1))-AVERAGE(OFFSET($H$3,0,0,'Données projet'!$E$11+1,1))</f>
        <v>255.64417186544995</v>
      </c>
      <c r="BJ81" s="62">
        <f t="shared" si="92"/>
        <v>165.41802783289376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28.642630809959659</v>
      </c>
      <c r="BQ81" s="23">
        <f>EXP(-LN(2)/25)*BQ80+(1-EXP(-LN(2)/25))/(LN(2)/25)*Calculateur!BL81*Calculateur!BN81*VLOOKUP('Données projet'!$B$11,Paramètres!$A$1:$I$89,3,0)*0.475*44/12</f>
        <v>25.907032897080924</v>
      </c>
      <c r="BR81" s="23">
        <f>EXP(-LN(2)/2)*BR80+(1-EXP(-LN(2)/2))/(LN(2)/2)*BL81*BO81*VLOOKUP('Données projet'!$B$11,Paramètres!$A$1:$I$89,3,0)*0.475*44/12</f>
        <v>1.9002181386987098</v>
      </c>
      <c r="BS81" s="24">
        <f t="shared" si="63"/>
        <v>56.449881845739291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>
        <f>BY81*VLOOKUP('Données projet'!$B$12,Paramètres!$A$1:$I$89,3,0)*VLOOKUP('Données projet'!$B$12,Paramètres!$A$1:$I$89,5,0)</f>
        <v>0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465.49436272491818</v>
      </c>
      <c r="CE81" s="62">
        <f t="shared" si="94"/>
        <v>494.36941732405256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244.56995731468692</v>
      </c>
      <c r="CL81" s="23">
        <f>EXP(-LN(2)/25)*CL80+(1-EXP(-LN(2)/25))/(LN(2)/25)*Calculateur!CG81*Calculateur!CI81*VLOOKUP('Données projet'!$B$12,Paramètres!$A$1:$I$89,3,0)*0.475*44/12</f>
        <v>66.917488553495147</v>
      </c>
      <c r="CM81" s="23">
        <f>EXP(-LN(2)/2)*CM80+(1-EXP(-LN(2)/2))/(LN(2)/2)*CG81*CJ81*VLOOKUP('Données projet'!$B$12,Paramètres!$A$1:$I$89,3,0)*0.475*44/12</f>
        <v>4.1072801317720904</v>
      </c>
      <c r="CN81" s="24">
        <f t="shared" si="66"/>
        <v>315.59472599995416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-6.8212102632969618E-13</v>
      </c>
      <c r="CU81" s="18">
        <f>CT81*VLOOKUP('Données projet'!$B$13,Paramètres!$A$1:$I$89,3,0)*VLOOKUP('Données projet'!$B$13,Paramètres!$A$1:$I$89,5,0)</f>
        <v>-4.0790837374515837E-13</v>
      </c>
      <c r="CV81" s="14" t="e">
        <f t="shared" si="95"/>
        <v>#NUM!</v>
      </c>
      <c r="CW81" s="22" t="e">
        <f t="shared" si="67"/>
        <v>#NUM!</v>
      </c>
      <c r="CX81" s="62" t="e">
        <f t="shared" si="68"/>
        <v>#NUM!</v>
      </c>
      <c r="CY81" s="62">
        <f ca="1">AVERAGE(OFFSET($CX$3,0,0,'Données projet'!$E$13+1,1))-AVERAGE(OFFSET($H$3,0,0,'Données projet'!$E$13+1,1))</f>
        <v>361.46923697840384</v>
      </c>
      <c r="CZ81" s="62">
        <f t="shared" si="96"/>
        <v>302.25424592654673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184.90811317228764</v>
      </c>
      <c r="DG81" s="23">
        <f>EXP(-LN(2)/25)*DG80+(1-EXP(-LN(2)/25))/(LN(2)/25)*Calculateur!DB81*Calculateur!DD81*VLOOKUP('Données projet'!$B$13,Paramètres!$A$1:$I$89,3,0)*0.475*44/12</f>
        <v>67.922467322536647</v>
      </c>
      <c r="DH81" s="23">
        <f>EXP(-LN(2)/2)*DH80+(1-EXP(-LN(2)/2))/(LN(2)/2)*DB81*DE81*VLOOKUP('Données projet'!$B$13,Paramètres!$A$1:$I$89,3,0)*0.475*44/12</f>
        <v>41.095381462514851</v>
      </c>
      <c r="DI81" s="24">
        <f t="shared" si="69"/>
        <v>293.92596195733915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-4.5474735088646412E-13</v>
      </c>
      <c r="O82" s="14">
        <f>N82*VLOOKUP('Données projet'!$B$9,Paramètres!$A$1:$I$89,3,0)*VLOOKUP('Données projet'!$B$9,Paramètres!$A$1:$I$89,5,0)</f>
        <v>-2.5420376914553347E-13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389.80719836281679</v>
      </c>
      <c r="T82" s="62">
        <f t="shared" si="88"/>
        <v>399.58193819355591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221.0990904435946</v>
      </c>
      <c r="AA82" s="23">
        <f>EXP(-LN(2)/25)*AA81+(1-EXP(-LN(2)/25))/(LN(2)/25)*Calculateur!V82*Calculateur!X82*VLOOKUP('Données projet'!$B$9,Paramètres!$A$1:$I$89,3,0)*0.475*44/12</f>
        <v>58.902811628595764</v>
      </c>
      <c r="AB82" s="23">
        <f>EXP(-LN(2)/2)*AB81+(1-EXP(-LN(2)/2))/(LN(2)/2)*V82*Y82*VLOOKUP('Données projet'!$B$9,Paramètres!$A$1:$I$89,3,0)*0.475*44/12</f>
        <v>2.664907088489779</v>
      </c>
      <c r="AC82" s="24">
        <f t="shared" si="57"/>
        <v>282.66680916068015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9.782</v>
      </c>
      <c r="AI82" s="14">
        <f>IF('Données projet'!$A$62&gt;35,AI81+AH82-AQ81,IF(A82&lt;'Données projet'!$A$62,$AF$205^A82,IF(A82='Données projet'!$A$62,'Données projet'!$B$62,AI81+AH82-AQ81)))</f>
        <v>510.21799999999996</v>
      </c>
      <c r="AJ82" s="14">
        <f>AI82*VLOOKUP('Données projet'!$B$10,Paramètres!$A$1:$I$89,3,0)*VLOOKUP('Données projet'!$B$10,Paramètres!$A$1:$I$89,5,0)</f>
        <v>305.110364</v>
      </c>
      <c r="AK82" s="14">
        <f t="shared" si="89"/>
        <v>72.246736607705117</v>
      </c>
      <c r="AL82" s="22">
        <f t="shared" si="58"/>
        <v>657.23028355841973</v>
      </c>
      <c r="AM82" s="62">
        <f t="shared" si="59"/>
        <v>950.5636168917531</v>
      </c>
      <c r="AN82" s="62">
        <f ca="1">AVERAGE(OFFSET($AM$3,0,0,'Données projet'!$E$10+1,1))-AVERAGE(OFFSET($H$3,0,0,'Données projet'!$E$10+1,1))</f>
        <v>269.90083987531233</v>
      </c>
      <c r="AO82" s="62">
        <f t="shared" si="90"/>
        <v>183.4515835513518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38.665417990967057</v>
      </c>
      <c r="AV82" s="23">
        <f>EXP(-LN(2)/25)*AV81+(1-EXP(-LN(2)/25))/(LN(2)/25)*Calculateur!AQ82*Calculateur!AS82*VLOOKUP('Données projet'!$B$10,Paramètres!$A$1:$I$89,3,0)*0.475*44/12</f>
        <v>18.923062540746074</v>
      </c>
      <c r="AW82" s="23">
        <f>EXP(-LN(2)/2)*AW81+(1-EXP(-LN(2)/2))/(LN(2)/2)*AQ82*AT82*VLOOKUP('Données projet'!$B$10,Paramètres!$A$1:$I$89,3,0)*0.475*44/12</f>
        <v>0.38045450788960194</v>
      </c>
      <c r="AX82" s="23">
        <f t="shared" si="60"/>
        <v>57.968935039602734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15.173749999999998</v>
      </c>
      <c r="BD82" s="13">
        <f>IF('Données projet'!$A$88&gt;35,BD81+BC82-BL81,IF(A82&lt;'Données projet'!$A$88,$BA$205^A82,IF(A82='Données projet'!$A$88,'Données projet'!$B$88,BD81+BC82-BL81)))</f>
        <v>404.64250000000021</v>
      </c>
      <c r="BE82" s="14">
        <f>BD82*VLOOKUP('Données projet'!$B$11,Paramètres!$A$1:$I$89,3,0)*VLOOKUP('Données projet'!$B$11,Paramètres!$A$1:$I$89,5,0)</f>
        <v>194.63304250000013</v>
      </c>
      <c r="BF82" s="14">
        <f t="shared" si="91"/>
        <v>48.562812130414414</v>
      </c>
      <c r="BG82" s="22">
        <f t="shared" si="61"/>
        <v>423.56611348130536</v>
      </c>
      <c r="BH82" s="62">
        <f t="shared" si="62"/>
        <v>716.89944681463862</v>
      </c>
      <c r="BI82" s="62">
        <f ca="1">AVERAGE(OFFSET($BH$3,0,0,'Données projet'!$E$11+1,1))-AVERAGE(OFFSET($H$3,0,0,'Données projet'!$E$11+1,1))</f>
        <v>255.64417186544995</v>
      </c>
      <c r="BJ82" s="62">
        <f t="shared" si="92"/>
        <v>165.41802783289376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28.080966290056097</v>
      </c>
      <c r="BQ82" s="23">
        <f>EXP(-LN(2)/25)*BQ81+(1-EXP(-LN(2)/25))/(LN(2)/25)*Calculateur!BL82*Calculateur!BN82*VLOOKUP('Données projet'!$B$11,Paramètres!$A$1:$I$89,3,0)*0.475*44/12</f>
        <v>25.198603720118598</v>
      </c>
      <c r="BR82" s="23">
        <f>EXP(-LN(2)/2)*BR81+(1-EXP(-LN(2)/2))/(LN(2)/2)*BL82*BO82*VLOOKUP('Données projet'!$B$11,Paramètres!$A$1:$I$89,3,0)*0.475*44/12</f>
        <v>1.3436571316075374</v>
      </c>
      <c r="BS82" s="24">
        <f t="shared" si="63"/>
        <v>54.62322714178223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>
        <f>BY82*VLOOKUP('Données projet'!$B$12,Paramètres!$A$1:$I$89,3,0)*VLOOKUP('Données projet'!$B$12,Paramètres!$A$1:$I$89,5,0)</f>
        <v>0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465.49436272491818</v>
      </c>
      <c r="CE82" s="62">
        <f t="shared" si="94"/>
        <v>494.36941732405256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239.77408962469028</v>
      </c>
      <c r="CL82" s="23">
        <f>EXP(-LN(2)/25)*CL81+(1-EXP(-LN(2)/25))/(LN(2)/25)*Calculateur!CG82*Calculateur!CI82*VLOOKUP('Données projet'!$B$12,Paramètres!$A$1:$I$89,3,0)*0.475*44/12</f>
        <v>65.087626309962047</v>
      </c>
      <c r="CM82" s="23">
        <f>EXP(-LN(2)/2)*CM81+(1-EXP(-LN(2)/2))/(LN(2)/2)*CG82*CJ82*VLOOKUP('Données projet'!$B$12,Paramètres!$A$1:$I$89,3,0)*0.475*44/12</f>
        <v>2.9042856334088216</v>
      </c>
      <c r="CN82" s="24">
        <f t="shared" si="66"/>
        <v>307.7660015680612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-6.8212102632969618E-13</v>
      </c>
      <c r="CU82" s="18">
        <f>CT82*VLOOKUP('Données projet'!$B$13,Paramètres!$A$1:$I$89,3,0)*VLOOKUP('Données projet'!$B$13,Paramètres!$A$1:$I$89,5,0)</f>
        <v>-4.0790837374515837E-13</v>
      </c>
      <c r="CV82" s="14" t="e">
        <f t="shared" si="95"/>
        <v>#NUM!</v>
      </c>
      <c r="CW82" s="22" t="e">
        <f t="shared" si="67"/>
        <v>#NUM!</v>
      </c>
      <c r="CX82" s="62" t="e">
        <f t="shared" si="68"/>
        <v>#NUM!</v>
      </c>
      <c r="CY82" s="62">
        <f ca="1">AVERAGE(OFFSET($CX$3,0,0,'Données projet'!$E$13+1,1))-AVERAGE(OFFSET($H$3,0,0,'Données projet'!$E$13+1,1))</f>
        <v>361.46923697840384</v>
      </c>
      <c r="CZ82" s="62">
        <f t="shared" si="96"/>
        <v>302.25424592654673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181.28217785579173</v>
      </c>
      <c r="DG82" s="23">
        <f>EXP(-LN(2)/25)*DG81+(1-EXP(-LN(2)/25))/(LN(2)/25)*Calculateur!DB82*Calculateur!DD82*VLOOKUP('Données projet'!$B$13,Paramètres!$A$1:$I$89,3,0)*0.475*44/12</f>
        <v>66.06512388171457</v>
      </c>
      <c r="DH82" s="23">
        <f>EXP(-LN(2)/2)*DH81+(1-EXP(-LN(2)/2))/(LN(2)/2)*DB82*DE82*VLOOKUP('Données projet'!$B$13,Paramètres!$A$1:$I$89,3,0)*0.475*44/12</f>
        <v>29.058822907592191</v>
      </c>
      <c r="DI82" s="24">
        <f t="shared" si="69"/>
        <v>276.40612464509849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-4.5474735088646412E-13</v>
      </c>
      <c r="O83" s="14">
        <f>N83*VLOOKUP('Données projet'!$B$9,Paramètres!$A$1:$I$89,3,0)*VLOOKUP('Données projet'!$B$9,Paramètres!$A$1:$I$89,5,0)</f>
        <v>-2.5420376914553347E-13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389.80719836281679</v>
      </c>
      <c r="T83" s="62">
        <f t="shared" si="88"/>
        <v>399.58193819355591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216.76347213712484</v>
      </c>
      <c r="AA83" s="23">
        <f>EXP(-LN(2)/25)*AA82+(1-EXP(-LN(2)/25))/(LN(2)/25)*Calculateur!V83*Calculateur!X83*VLOOKUP('Données projet'!$B$9,Paramètres!$A$1:$I$89,3,0)*0.475*44/12</f>
        <v>57.292111147047571</v>
      </c>
      <c r="AB83" s="23">
        <f>EXP(-LN(2)/2)*AB82+(1-EXP(-LN(2)/2))/(LN(2)/2)*V83*Y83*VLOOKUP('Données projet'!$B$9,Paramètres!$A$1:$I$89,3,0)*0.475*44/12</f>
        <v>1.8843738735032216</v>
      </c>
      <c r="AC83" s="24">
        <f t="shared" si="57"/>
        <v>275.93995715767562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520</v>
      </c>
      <c r="AG83" s="13">
        <f>VLOOKUP(A83,'Données projet'!$A$61:$I$81,9,0)</f>
        <v>9.782</v>
      </c>
      <c r="AH83" s="13">
        <f t="array" ref="AH83">INDEX(AG:AG,MIN(IF(ISNUMBER(AG83:AG279),ROW(AG83:AG279),"")))</f>
        <v>9.782</v>
      </c>
      <c r="AI83" s="14">
        <f>IF('Données projet'!$A$62&gt;35,AI82+AH83-AQ82,IF(A83&lt;'Données projet'!$A$62,$AF$205^A83,IF(A83='Données projet'!$A$62,'Données projet'!$B$62,AI82+AH83-AQ82)))</f>
        <v>520</v>
      </c>
      <c r="AJ83" s="14">
        <f>AI83*VLOOKUP('Données projet'!$B$10,Paramètres!$A$1:$I$89,3,0)*VLOOKUP('Données projet'!$B$10,Paramètres!$A$1:$I$89,5,0)</f>
        <v>310.96000000000004</v>
      </c>
      <c r="AK83" s="14">
        <f t="shared" si="89"/>
        <v>73.469280288324128</v>
      </c>
      <c r="AL83" s="22">
        <f t="shared" si="58"/>
        <v>669.54766316883126</v>
      </c>
      <c r="AM83" s="62">
        <f t="shared" si="59"/>
        <v>962.88099650216463</v>
      </c>
      <c r="AN83" s="62">
        <f ca="1">AVERAGE(OFFSET($AM$3,0,0,'Données projet'!$E$10+1,1))-AVERAGE(OFFSET($H$3,0,0,'Données projet'!$E$10+1,1))</f>
        <v>269.90083987531233</v>
      </c>
      <c r="AO83" s="62">
        <f t="shared" si="90"/>
        <v>183.4515835513518</v>
      </c>
      <c r="AP83" s="16">
        <f>IF(ISNA(VLOOKUP(A83,'Données projet'!$A$61:$I$81,3,0)),0,VLOOKUP(A83,'Données projet'!$A$61:$I$81,3,0))</f>
        <v>8</v>
      </c>
      <c r="AQ83" s="16">
        <f>IF(ISNA(VLOOKUP(A83,'Données projet'!$A$61:$I$81,4,0)),0,VLOOKUP(A83,'Données projet'!$A$61:$I$81,4,0))</f>
        <v>520</v>
      </c>
      <c r="AR83" s="17">
        <f>IF(ISNA(VLOOKUP(A83,'Données projet'!$A$61:$I$81,5,0)),0%,VLOOKUP(A83,'Données projet'!$A$61:$I$81,5,0)*VLOOKUP('Données projet'!$B$10,Paramètres!$A$1:$I$89,7,0))</f>
        <v>0.27</v>
      </c>
      <c r="AS83" s="17">
        <f>IF(ISNA(VLOOKUP(A83,'Données projet'!$A$61:$I$81,6,0)),0%,VLOOKUP(A83,'Données projet'!$A$61:$I$81,6,0)*VLOOKUP('Données projet'!$B$10,Paramètres!$A$1:$I$89,7,0))</f>
        <v>9.9000000000000005E-2</v>
      </c>
      <c r="AT83" s="17">
        <f>IF(ISNA(VLOOKUP(A83,'Données projet'!$A$61:$I$81,7,0)),0%,VLOOKUP(A83,'Données projet'!$A$61:$I$81,7,0))</f>
        <v>0.18</v>
      </c>
      <c r="AU83" s="23">
        <f>EXP(-LN(2)/35)*AU82+(1-EXP(-LN(2)/35))/(LN(2)/35)*AQ83*AR83*VLOOKUP('Données projet'!$B$10,Paramètres!$A$1:$I$89,3,0)*0.475*44/12</f>
        <v>149.28450315487996</v>
      </c>
      <c r="AV83" s="23">
        <f>EXP(-LN(2)/25)*AV82+(1-EXP(-LN(2)/25))/(LN(2)/25)*Calculateur!AQ83*Calculateur!AS83*VLOOKUP('Données projet'!$B$10,Paramètres!$A$1:$I$89,3,0)*0.475*44/12</f>
        <v>59.083154119221547</v>
      </c>
      <c r="AW83" s="23">
        <f>EXP(-LN(2)/2)*AW82+(1-EXP(-LN(2)/2))/(LN(2)/2)*AQ83*AT83*VLOOKUP('Données projet'!$B$10,Paramètres!$A$1:$I$89,3,0)*0.475*44/12</f>
        <v>63.643233905451105</v>
      </c>
      <c r="AX83" s="23">
        <f t="shared" si="60"/>
        <v>272.01089117955263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15.173749999999998</v>
      </c>
      <c r="BD83" s="13">
        <f>IF('Données projet'!$A$88&gt;35,BD82+BC83-BL82,IF(A83&lt;'Données projet'!$A$88,$BA$205^A83,IF(A83='Données projet'!$A$88,'Données projet'!$B$88,BD82+BC83-BL82)))</f>
        <v>419.8162500000002</v>
      </c>
      <c r="BE83" s="14">
        <f>BD83*VLOOKUP('Données projet'!$B$11,Paramètres!$A$1:$I$89,3,0)*VLOOKUP('Données projet'!$B$11,Paramètres!$A$1:$I$89,5,0)</f>
        <v>201.9316162500001</v>
      </c>
      <c r="BF83" s="14">
        <f t="shared" si="91"/>
        <v>50.168440748529648</v>
      </c>
      <c r="BG83" s="22">
        <f t="shared" si="61"/>
        <v>439.07426593910594</v>
      </c>
      <c r="BH83" s="62">
        <f t="shared" si="62"/>
        <v>732.40759927243926</v>
      </c>
      <c r="BI83" s="62">
        <f ca="1">AVERAGE(OFFSET($BH$3,0,0,'Données projet'!$E$11+1,1))-AVERAGE(OFFSET($H$3,0,0,'Données projet'!$E$11+1,1))</f>
        <v>255.64417186544995</v>
      </c>
      <c r="BJ83" s="62">
        <f t="shared" si="92"/>
        <v>165.41802783289376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27.530315668806313</v>
      </c>
      <c r="BQ83" s="23">
        <f>EXP(-LN(2)/25)*BQ82+(1-EXP(-LN(2)/25))/(LN(2)/25)*Calculateur!BL83*Calculateur!BN83*VLOOKUP('Données projet'!$B$11,Paramètres!$A$1:$I$89,3,0)*0.475*44/12</f>
        <v>24.509546576254976</v>
      </c>
      <c r="BR83" s="23">
        <f>EXP(-LN(2)/2)*BR82+(1-EXP(-LN(2)/2))/(LN(2)/2)*BL83*BO83*VLOOKUP('Données projet'!$B$11,Paramètres!$A$1:$I$89,3,0)*0.475*44/12</f>
        <v>0.95010906934935513</v>
      </c>
      <c r="BS83" s="24">
        <f t="shared" si="63"/>
        <v>52.989971314410639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>
        <f>BY83*VLOOKUP('Données projet'!$B$12,Paramètres!$A$1:$I$89,3,0)*VLOOKUP('Données projet'!$B$12,Paramètres!$A$1:$I$89,5,0)</f>
        <v>0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465.49436272491818</v>
      </c>
      <c r="CE83" s="62">
        <f t="shared" si="94"/>
        <v>494.36941732405256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235.07226597490401</v>
      </c>
      <c r="CL83" s="23">
        <f>EXP(-LN(2)/25)*CL82+(1-EXP(-LN(2)/25))/(LN(2)/25)*Calculateur!CG83*Calculateur!CI83*VLOOKUP('Données projet'!$B$12,Paramètres!$A$1:$I$89,3,0)*0.475*44/12</f>
        <v>63.307801745706627</v>
      </c>
      <c r="CM83" s="23">
        <f>EXP(-LN(2)/2)*CM82+(1-EXP(-LN(2)/2))/(LN(2)/2)*CG83*CJ83*VLOOKUP('Données projet'!$B$12,Paramètres!$A$1:$I$89,3,0)*0.475*44/12</f>
        <v>2.0536400658860452</v>
      </c>
      <c r="CN83" s="24">
        <f t="shared" si="66"/>
        <v>300.43370778649671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-6.8212102632969618E-13</v>
      </c>
      <c r="CU83" s="18">
        <f>CT83*VLOOKUP('Données projet'!$B$13,Paramètres!$A$1:$I$89,3,0)*VLOOKUP('Données projet'!$B$13,Paramètres!$A$1:$I$89,5,0)</f>
        <v>-4.0790837374515837E-13</v>
      </c>
      <c r="CV83" s="14" t="e">
        <f t="shared" si="95"/>
        <v>#NUM!</v>
      </c>
      <c r="CW83" s="22" t="e">
        <f t="shared" si="67"/>
        <v>#NUM!</v>
      </c>
      <c r="CX83" s="62" t="e">
        <f t="shared" si="68"/>
        <v>#NUM!</v>
      </c>
      <c r="CY83" s="62">
        <f ca="1">AVERAGE(OFFSET($CX$3,0,0,'Données projet'!$E$13+1,1))-AVERAGE(OFFSET($H$3,0,0,'Données projet'!$E$13+1,1))</f>
        <v>361.46923697840384</v>
      </c>
      <c r="CZ83" s="62">
        <f t="shared" si="96"/>
        <v>302.25424592654673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177.72734491925016</v>
      </c>
      <c r="DG83" s="23">
        <f>EXP(-LN(2)/25)*DG82+(1-EXP(-LN(2)/25))/(LN(2)/25)*Calculateur!DB83*Calculateur!DD83*VLOOKUP('Données projet'!$B$13,Paramètres!$A$1:$I$89,3,0)*0.475*44/12</f>
        <v>64.258569594955219</v>
      </c>
      <c r="DH83" s="23">
        <f>EXP(-LN(2)/2)*DH82+(1-EXP(-LN(2)/2))/(LN(2)/2)*DB83*DE83*VLOOKUP('Données projet'!$B$13,Paramètres!$A$1:$I$89,3,0)*0.475*44/12</f>
        <v>20.547690731257429</v>
      </c>
      <c r="DI83" s="24">
        <f t="shared" si="69"/>
        <v>262.53360524546281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-4.5474735088646412E-13</v>
      </c>
      <c r="O84" s="14">
        <f>N84*VLOOKUP('Données projet'!$B$9,Paramètres!$A$1:$I$89,3,0)*VLOOKUP('Données projet'!$B$9,Paramètres!$A$1:$I$89,5,0)</f>
        <v>-2.5420376914553347E-13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389.80719836281679</v>
      </c>
      <c r="T84" s="62">
        <f t="shared" si="88"/>
        <v>399.58193819355591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212.5128726611789</v>
      </c>
      <c r="AA84" s="23">
        <f>EXP(-LN(2)/25)*AA83+(1-EXP(-LN(2)/25))/(LN(2)/25)*Calculateur!V84*Calculateur!X84*VLOOKUP('Données projet'!$B$9,Paramètres!$A$1:$I$89,3,0)*0.475*44/12</f>
        <v>55.72545535487037</v>
      </c>
      <c r="AB84" s="23">
        <f>EXP(-LN(2)/2)*AB83+(1-EXP(-LN(2)/2))/(LN(2)/2)*V84*Y84*VLOOKUP('Données projet'!$B$9,Paramètres!$A$1:$I$89,3,0)*0.475*44/12</f>
        <v>1.3324535442448895</v>
      </c>
      <c r="AC84" s="24">
        <f t="shared" si="57"/>
        <v>269.57078156029417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269.90083987531233</v>
      </c>
      <c r="AO84" s="62">
        <f t="shared" si="90"/>
        <v>183.4515835513518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146.3571251025688</v>
      </c>
      <c r="AV84" s="23">
        <f>EXP(-LN(2)/25)*AV83+(1-EXP(-LN(2)/25))/(LN(2)/25)*Calculateur!AQ84*Calculateur!AS84*VLOOKUP('Données projet'!$B$10,Paramètres!$A$1:$I$89,3,0)*0.475*44/12</f>
        <v>57.467522162783396</v>
      </c>
      <c r="AW84" s="23">
        <f>EXP(-LN(2)/2)*AW83+(1-EXP(-LN(2)/2))/(LN(2)/2)*AQ84*AT84*VLOOKUP('Données projet'!$B$10,Paramètres!$A$1:$I$89,3,0)*0.475*44/12</f>
        <v>45.002562271186079</v>
      </c>
      <c r="AX84" s="23">
        <f t="shared" si="60"/>
        <v>248.82720953653831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>
        <f>VLOOKUP(A84,'Données projet'!$A$87:$I$107,2,0)</f>
        <v>434.99</v>
      </c>
      <c r="BB84" s="13">
        <f>VLOOKUP(A84,'Données projet'!$A$87:$I$107,9,0)</f>
        <v>15.173749999999998</v>
      </c>
      <c r="BC84" s="13">
        <f t="array" ref="BC84">INDEX(BB:BB,MIN(IF(ISNUMBER(BB84:BB280),ROW(BB84:BB280),"")))</f>
        <v>15.173749999999998</v>
      </c>
      <c r="BD84" s="13">
        <f>IF('Données projet'!$A$88&gt;35,BD83+BC84-BL83,IF(A84&lt;'Données projet'!$A$88,$BA$205^A84,IF(A84='Données projet'!$A$88,'Données projet'!$B$88,BD83+BC84-BL83)))</f>
        <v>434.99000000000018</v>
      </c>
      <c r="BE84" s="14">
        <f>BD84*VLOOKUP('Données projet'!$B$11,Paramètres!$A$1:$I$89,3,0)*VLOOKUP('Données projet'!$B$11,Paramètres!$A$1:$I$89,5,0)</f>
        <v>209.23019000000008</v>
      </c>
      <c r="BF84" s="14">
        <f t="shared" si="91"/>
        <v>51.767326906210357</v>
      </c>
      <c r="BG84" s="22">
        <f t="shared" si="61"/>
        <v>454.57067527831646</v>
      </c>
      <c r="BH84" s="62">
        <f t="shared" si="62"/>
        <v>747.90400861164972</v>
      </c>
      <c r="BI84" s="62">
        <f ca="1">AVERAGE(OFFSET($BH$3,0,0,'Données projet'!$E$11+1,1))-AVERAGE(OFFSET($H$3,0,0,'Données projet'!$E$11+1,1))</f>
        <v>255.64417186544995</v>
      </c>
      <c r="BJ84" s="62">
        <f t="shared" si="92"/>
        <v>165.41802783289376</v>
      </c>
      <c r="BK84" s="16">
        <f>IF(ISNA(VLOOKUP(A84,'Données projet'!$A$87:$I$107,3,0)),0,VLOOKUP(A84,'Données projet'!$A$87:$I$107,3,0))</f>
        <v>4</v>
      </c>
      <c r="BL84" s="16">
        <f>IF(ISNA(VLOOKUP(A84,'Données projet'!$A$87:$I$107,4,0)),0,VLOOKUP(A84,'Données projet'!$A$87:$I$107,4,0))</f>
        <v>92.7</v>
      </c>
      <c r="BM84" s="17">
        <f>IF(ISNA(VLOOKUP(A84,'Données projet'!$A$87:$I$107,5,0)),0%,VLOOKUP(A84,'Données projet'!$A$87:$I$107,5,0)*VLOOKUP('Données projet'!$B$11,Paramètres!$A$1:$I$89,7,0))</f>
        <v>0.33</v>
      </c>
      <c r="BN84" s="17">
        <f>IF(ISNA(VLOOKUP(A84,'Données projet'!$A$87:$I$107,6,0)),0%,VLOOKUP(A84,'Données projet'!$A$87:$I$107,6,0)*VLOOKUP('Données projet'!$B$11,Paramètres!$A$1:$I$89,7,0))</f>
        <v>0.12100000000000001</v>
      </c>
      <c r="BO84" s="17">
        <f>IF(ISNA(VLOOKUP(A84,'Données projet'!$A$87:$I$107,7,0)),0%,VLOOKUP(A84,'Données projet'!$A$87:$I$107,7,0))</f>
        <v>0.18</v>
      </c>
      <c r="BP84" s="23">
        <f>EXP(-LN(2)/35)*BP83+(1-EXP(-LN(2)/35))/(LN(2)/35)*BL84*BM84*VLOOKUP('Données projet'!$B$11,Paramètres!$A$1:$I$89,3,0)*0.475*44/12</f>
        <v>46.509891866680348</v>
      </c>
      <c r="BQ84" s="23">
        <f>EXP(-LN(2)/25)*BQ83+(1-EXP(-LN(2)/25))/(LN(2)/25)*Calculateur!BL84*Calculateur!BN84*VLOOKUP('Données projet'!$B$11,Paramètres!$A$1:$I$89,3,0)*0.475*44/12</f>
        <v>30.968275340886255</v>
      </c>
      <c r="BR84" s="23">
        <f>EXP(-LN(2)/2)*BR83+(1-EXP(-LN(2)/2))/(LN(2)/2)*BL84*BO84*VLOOKUP('Données projet'!$B$11,Paramètres!$A$1:$I$89,3,0)*0.475*44/12</f>
        <v>9.7590864898530683</v>
      </c>
      <c r="BS84" s="24">
        <f t="shared" si="63"/>
        <v>87.237253697419675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>
        <f>BY84*VLOOKUP('Données projet'!$B$12,Paramètres!$A$1:$I$89,3,0)*VLOOKUP('Données projet'!$B$12,Paramètres!$A$1:$I$89,5,0)</f>
        <v>0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465.49436272491818</v>
      </c>
      <c r="CE84" s="62">
        <f t="shared" si="94"/>
        <v>494.36941732405256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230.4626422190608</v>
      </c>
      <c r="CL84" s="23">
        <f>EXP(-LN(2)/25)*CL83+(1-EXP(-LN(2)/25))/(LN(2)/25)*Calculateur!CG84*Calculateur!CI84*VLOOKUP('Données projet'!$B$12,Paramètres!$A$1:$I$89,3,0)*0.475*44/12</f>
        <v>61.576646577757678</v>
      </c>
      <c r="CM84" s="23">
        <f>EXP(-LN(2)/2)*CM83+(1-EXP(-LN(2)/2))/(LN(2)/2)*CG84*CJ84*VLOOKUP('Données projet'!$B$12,Paramètres!$A$1:$I$89,3,0)*0.475*44/12</f>
        <v>1.4521428167044108</v>
      </c>
      <c r="CN84" s="24">
        <f t="shared" si="66"/>
        <v>293.49143161352288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-6.8212102632969618E-13</v>
      </c>
      <c r="CU84" s="18">
        <f>CT84*VLOOKUP('Données projet'!$B$13,Paramètres!$A$1:$I$89,3,0)*VLOOKUP('Données projet'!$B$13,Paramètres!$A$1:$I$89,5,0)</f>
        <v>-4.0790837374515837E-13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361.46923697840384</v>
      </c>
      <c r="CZ84" s="62">
        <f t="shared" si="96"/>
        <v>302.25424592654673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174.24222008836017</v>
      </c>
      <c r="DG84" s="23">
        <f>EXP(-LN(2)/25)*DG83+(1-EXP(-LN(2)/25))/(LN(2)/25)*Calculateur!DB84*Calculateur!DD84*VLOOKUP('Données projet'!$B$13,Paramètres!$A$1:$I$89,3,0)*0.475*44/12</f>
        <v>62.501415630169859</v>
      </c>
      <c r="DH84" s="23">
        <f>EXP(-LN(2)/2)*DH83+(1-EXP(-LN(2)/2))/(LN(2)/2)*DB84*DE84*VLOOKUP('Données projet'!$B$13,Paramètres!$A$1:$I$89,3,0)*0.475*44/12</f>
        <v>14.529411453796099</v>
      </c>
      <c r="DI84" s="24">
        <f t="shared" si="69"/>
        <v>251.2730471723261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-4.5474735088646412E-13</v>
      </c>
      <c r="O85" s="14">
        <f>N85*VLOOKUP('Données projet'!$B$9,Paramètres!$A$1:$I$89,3,0)*VLOOKUP('Données projet'!$B$9,Paramètres!$A$1:$I$89,5,0)</f>
        <v>-2.5420376914553347E-13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389.80719836281679</v>
      </c>
      <c r="T85" s="62">
        <f t="shared" si="88"/>
        <v>399.58193819355591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208.3456248483466</v>
      </c>
      <c r="AA85" s="23">
        <f>EXP(-LN(2)/25)*AA84+(1-EXP(-LN(2)/25))/(LN(2)/25)*Calculateur!V85*Calculateur!X85*VLOOKUP('Données projet'!$B$9,Paramètres!$A$1:$I$89,3,0)*0.475*44/12</f>
        <v>54.201639847717104</v>
      </c>
      <c r="AB85" s="23">
        <f>EXP(-LN(2)/2)*AB84+(1-EXP(-LN(2)/2))/(LN(2)/2)*V85*Y85*VLOOKUP('Données projet'!$B$9,Paramètres!$A$1:$I$89,3,0)*0.475*44/12</f>
        <v>0.9421869367516108</v>
      </c>
      <c r="AC85" s="24">
        <f t="shared" si="57"/>
        <v>263.48945163281536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269.90083987531233</v>
      </c>
      <c r="AO85" s="62">
        <f t="shared" si="90"/>
        <v>183.4515835513518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143.48715114833917</v>
      </c>
      <c r="AV85" s="23">
        <f>EXP(-LN(2)/25)*AV84+(1-EXP(-LN(2)/25))/(LN(2)/25)*Calculateur!AQ85*Calculateur!AS85*VLOOKUP('Données projet'!$B$10,Paramètres!$A$1:$I$89,3,0)*0.475*44/12</f>
        <v>55.896069747156439</v>
      </c>
      <c r="AW85" s="23">
        <f>EXP(-LN(2)/2)*AW84+(1-EXP(-LN(2)/2))/(LN(2)/2)*AQ85*AT85*VLOOKUP('Données projet'!$B$10,Paramètres!$A$1:$I$89,3,0)*0.475*44/12</f>
        <v>31.821616952725556</v>
      </c>
      <c r="AX85" s="23">
        <f t="shared" si="60"/>
        <v>231.20483784822116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14.25444444444444</v>
      </c>
      <c r="BD85" s="13">
        <f>IF('Données projet'!$A$88&gt;35,BD84+BC85-BL84,IF(A85&lt;'Données projet'!$A$88,$BA$205^A85,IF(A85='Données projet'!$A$88,'Données projet'!$B$88,BD84+BC85-BL84)))</f>
        <v>356.54444444444465</v>
      </c>
      <c r="BE85" s="14">
        <f>BD85*VLOOKUP('Données projet'!$B$11,Paramètres!$A$1:$I$89,3,0)*VLOOKUP('Données projet'!$B$11,Paramètres!$A$1:$I$89,5,0)</f>
        <v>171.49787777777789</v>
      </c>
      <c r="BF85" s="14">
        <f t="shared" si="91"/>
        <v>43.425326908684831</v>
      </c>
      <c r="BG85" s="22">
        <f t="shared" si="61"/>
        <v>374.3245814955892</v>
      </c>
      <c r="BH85" s="62">
        <f t="shared" si="62"/>
        <v>667.65791482892246</v>
      </c>
      <c r="BI85" s="62">
        <f ca="1">AVERAGE(OFFSET($BH$3,0,0,'Données projet'!$E$11+1,1))-AVERAGE(OFFSET($H$3,0,0,'Données projet'!$E$11+1,1))</f>
        <v>255.64417186544995</v>
      </c>
      <c r="BJ85" s="62">
        <f t="shared" si="92"/>
        <v>165.41802783289376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45.597861255407658</v>
      </c>
      <c r="BQ85" s="23">
        <f>EXP(-LN(2)/25)*BQ84+(1-EXP(-LN(2)/25))/(LN(2)/25)*Calculateur!BL85*Calculateur!BN85*VLOOKUP('Données projet'!$B$11,Paramètres!$A$1:$I$89,3,0)*0.475*44/12</f>
        <v>30.1214462231389</v>
      </c>
      <c r="BR85" s="23">
        <f>EXP(-LN(2)/2)*BR84+(1-EXP(-LN(2)/2))/(LN(2)/2)*BL85*BO85*VLOOKUP('Données projet'!$B$11,Paramètres!$A$1:$I$89,3,0)*0.475*44/12</f>
        <v>6.9007162351611262</v>
      </c>
      <c r="BS85" s="24">
        <f t="shared" si="63"/>
        <v>82.620023713707681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>
        <f>BY85*VLOOKUP('Données projet'!$B$12,Paramètres!$A$1:$I$89,3,0)*VLOOKUP('Données projet'!$B$12,Paramètres!$A$1:$I$89,5,0)</f>
        <v>0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465.49436272491818</v>
      </c>
      <c r="CE85" s="62">
        <f t="shared" si="94"/>
        <v>494.36941732405256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225.94341037347681</v>
      </c>
      <c r="CL85" s="23">
        <f>EXP(-LN(2)/25)*CL84+(1-EXP(-LN(2)/25))/(LN(2)/25)*Calculateur!CG85*Calculateur!CI85*VLOOKUP('Données projet'!$B$12,Paramètres!$A$1:$I$89,3,0)*0.475*44/12</f>
        <v>59.892829938913785</v>
      </c>
      <c r="CM85" s="23">
        <f>EXP(-LN(2)/2)*CM84+(1-EXP(-LN(2)/2))/(LN(2)/2)*CG85*CJ85*VLOOKUP('Données projet'!$B$12,Paramètres!$A$1:$I$89,3,0)*0.475*44/12</f>
        <v>1.0268200329430226</v>
      </c>
      <c r="CN85" s="24">
        <f t="shared" si="66"/>
        <v>286.86306034533362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-6.8212102632969618E-13</v>
      </c>
      <c r="CU85" s="18">
        <f>CT85*VLOOKUP('Données projet'!$B$13,Paramètres!$A$1:$I$89,3,0)*VLOOKUP('Données projet'!$B$13,Paramètres!$A$1:$I$89,5,0)</f>
        <v>-4.0790837374515837E-13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361.46923697840384</v>
      </c>
      <c r="CZ85" s="62">
        <f t="shared" si="96"/>
        <v>302.25424592654673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170.82543642968767</v>
      </c>
      <c r="DG85" s="23">
        <f>EXP(-LN(2)/25)*DG84+(1-EXP(-LN(2)/25))/(LN(2)/25)*Calculateur!DB85*Calculateur!DD85*VLOOKUP('Données projet'!$B$13,Paramètres!$A$1:$I$89,3,0)*0.475*44/12</f>
        <v>60.792311132956264</v>
      </c>
      <c r="DH85" s="23">
        <f>EXP(-LN(2)/2)*DH84+(1-EXP(-LN(2)/2))/(LN(2)/2)*DB85*DE85*VLOOKUP('Données projet'!$B$13,Paramètres!$A$1:$I$89,3,0)*0.475*44/12</f>
        <v>10.273845365628716</v>
      </c>
      <c r="DI85" s="24">
        <f t="shared" si="69"/>
        <v>241.89159292827264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-4.5474735088646412E-13</v>
      </c>
      <c r="O86" s="14">
        <f>N86*VLOOKUP('Données projet'!$B$9,Paramètres!$A$1:$I$89,3,0)*VLOOKUP('Données projet'!$B$9,Paramètres!$A$1:$I$89,5,0)</f>
        <v>-2.5420376914553347E-13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389.80719836281679</v>
      </c>
      <c r="T86" s="62">
        <f t="shared" si="88"/>
        <v>399.58193819355591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204.26009422335375</v>
      </c>
      <c r="AA86" s="23">
        <f>EXP(-LN(2)/25)*AA85+(1-EXP(-LN(2)/25))/(LN(2)/25)*Calculateur!V86*Calculateur!X86*VLOOKUP('Données projet'!$B$9,Paramètres!$A$1:$I$89,3,0)*0.475*44/12</f>
        <v>52.719493155740921</v>
      </c>
      <c r="AB86" s="23">
        <f>EXP(-LN(2)/2)*AB85+(1-EXP(-LN(2)/2))/(LN(2)/2)*V86*Y86*VLOOKUP('Données projet'!$B$9,Paramètres!$A$1:$I$89,3,0)*0.475*44/12</f>
        <v>0.66622677212244474</v>
      </c>
      <c r="AC86" s="24">
        <f t="shared" si="57"/>
        <v>257.64581415121711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269.90083987531233</v>
      </c>
      <c r="AO86" s="62">
        <f t="shared" si="90"/>
        <v>183.4515835513518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140.6734556328407</v>
      </c>
      <c r="AV86" s="23">
        <f>EXP(-LN(2)/25)*AV85+(1-EXP(-LN(2)/25))/(LN(2)/25)*Calculateur!AQ86*Calculateur!AS86*VLOOKUP('Données projet'!$B$10,Paramètres!$A$1:$I$89,3,0)*0.475*44/12</f>
        <v>54.367588780473888</v>
      </c>
      <c r="AW86" s="23">
        <f>EXP(-LN(2)/2)*AW85+(1-EXP(-LN(2)/2))/(LN(2)/2)*AQ86*AT86*VLOOKUP('Données projet'!$B$10,Paramètres!$A$1:$I$89,3,0)*0.475*44/12</f>
        <v>22.501281135593043</v>
      </c>
      <c r="AX86" s="23">
        <f t="shared" si="60"/>
        <v>217.54232554890763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14.25444444444444</v>
      </c>
      <c r="BD86" s="13">
        <f>IF('Données projet'!$A$88&gt;35,BD85+BC86-BL85,IF(A86&lt;'Données projet'!$A$88,$BA$205^A86,IF(A86='Données projet'!$A$88,'Données projet'!$B$88,BD85+BC86-BL85)))</f>
        <v>370.79888888888911</v>
      </c>
      <c r="BE86" s="14">
        <f>BD86*VLOOKUP('Données projet'!$B$11,Paramètres!$A$1:$I$89,3,0)*VLOOKUP('Données projet'!$B$11,Paramètres!$A$1:$I$89,5,0)</f>
        <v>178.35426555555568</v>
      </c>
      <c r="BF86" s="14">
        <f t="shared" si="91"/>
        <v>44.955845073717875</v>
      </c>
      <c r="BG86" s="22">
        <f t="shared" si="61"/>
        <v>388.93177601265143</v>
      </c>
      <c r="BH86" s="62">
        <f t="shared" si="62"/>
        <v>682.26510934598468</v>
      </c>
      <c r="BI86" s="62">
        <f ca="1">AVERAGE(OFFSET($BH$3,0,0,'Données projet'!$E$11+1,1))-AVERAGE(OFFSET($H$3,0,0,'Données projet'!$E$11+1,1))</f>
        <v>255.64417186544995</v>
      </c>
      <c r="BJ86" s="62">
        <f t="shared" si="92"/>
        <v>165.41802783289376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44.703715008138275</v>
      </c>
      <c r="BQ86" s="23">
        <f>EXP(-LN(2)/25)*BQ85+(1-EXP(-LN(2)/25))/(LN(2)/25)*Calculateur!BL86*Calculateur!BN86*VLOOKUP('Données projet'!$B$11,Paramètres!$A$1:$I$89,3,0)*0.475*44/12</f>
        <v>29.297773692149153</v>
      </c>
      <c r="BR86" s="23">
        <f>EXP(-LN(2)/2)*BR85+(1-EXP(-LN(2)/2))/(LN(2)/2)*BL86*BO86*VLOOKUP('Données projet'!$B$11,Paramètres!$A$1:$I$89,3,0)*0.475*44/12</f>
        <v>4.879543244926535</v>
      </c>
      <c r="BS86" s="24">
        <f t="shared" si="63"/>
        <v>78.881031945213962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>
        <f>BY86*VLOOKUP('Données projet'!$B$12,Paramètres!$A$1:$I$89,3,0)*VLOOKUP('Données projet'!$B$12,Paramètres!$A$1:$I$89,5,0)</f>
        <v>0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465.49436272491818</v>
      </c>
      <c r="CE86" s="62">
        <f t="shared" si="94"/>
        <v>494.36941732405256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221.51279790792546</v>
      </c>
      <c r="CL86" s="23">
        <f>EXP(-LN(2)/25)*CL85+(1-EXP(-LN(2)/25))/(LN(2)/25)*Calculateur!CG86*Calculateur!CI86*VLOOKUP('Données projet'!$B$12,Paramètres!$A$1:$I$89,3,0)*0.475*44/12</f>
        <v>58.255057354607146</v>
      </c>
      <c r="CM86" s="23">
        <f>EXP(-LN(2)/2)*CM85+(1-EXP(-LN(2)/2))/(LN(2)/2)*CG86*CJ86*VLOOKUP('Données projet'!$B$12,Paramètres!$A$1:$I$89,3,0)*0.475*44/12</f>
        <v>0.72607140835220541</v>
      </c>
      <c r="CN86" s="24">
        <f t="shared" si="66"/>
        <v>280.49392667088483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-6.8212102632969618E-13</v>
      </c>
      <c r="CU86" s="18">
        <f>CT86*VLOOKUP('Données projet'!$B$13,Paramètres!$A$1:$I$89,3,0)*VLOOKUP('Données projet'!$B$13,Paramètres!$A$1:$I$89,5,0)</f>
        <v>-4.0790837374515837E-13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361.46923697840384</v>
      </c>
      <c r="CZ86" s="62">
        <f t="shared" si="96"/>
        <v>302.25424592654673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167.47565381452949</v>
      </c>
      <c r="DG86" s="23">
        <f>EXP(-LN(2)/25)*DG85+(1-EXP(-LN(2)/25))/(LN(2)/25)*Calculateur!DB86*Calculateur!DD86*VLOOKUP('Données projet'!$B$13,Paramètres!$A$1:$I$89,3,0)*0.475*44/12</f>
        <v>59.129942188096877</v>
      </c>
      <c r="DH86" s="23">
        <f>EXP(-LN(2)/2)*DH85+(1-EXP(-LN(2)/2))/(LN(2)/2)*DB86*DE86*VLOOKUP('Données projet'!$B$13,Paramètres!$A$1:$I$89,3,0)*0.475*44/12</f>
        <v>7.2647057268980504</v>
      </c>
      <c r="DI86" s="24">
        <f t="shared" si="69"/>
        <v>233.87030172952444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-4.5474735088646412E-13</v>
      </c>
      <c r="O87" s="14">
        <f>N87*VLOOKUP('Données projet'!$B$9,Paramètres!$A$1:$I$89,3,0)*VLOOKUP('Données projet'!$B$9,Paramètres!$A$1:$I$89,5,0)</f>
        <v>-2.5420376914553347E-13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389.80719836281679</v>
      </c>
      <c r="T87" s="62">
        <f t="shared" si="88"/>
        <v>399.58193819355591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200.25467836198936</v>
      </c>
      <c r="AA87" s="23">
        <f>EXP(-LN(2)/25)*AA86+(1-EXP(-LN(2)/25))/(LN(2)/25)*Calculateur!V87*Calculateur!X87*VLOOKUP('Données projet'!$B$9,Paramètres!$A$1:$I$89,3,0)*0.475*44/12</f>
        <v>51.277875842999535</v>
      </c>
      <c r="AB87" s="23">
        <f>EXP(-LN(2)/2)*AB86+(1-EXP(-LN(2)/2))/(LN(2)/2)*V87*Y87*VLOOKUP('Données projet'!$B$9,Paramètres!$A$1:$I$89,3,0)*0.475*44/12</f>
        <v>0.4710934683758054</v>
      </c>
      <c r="AC87" s="24">
        <f t="shared" si="57"/>
        <v>252.00364767336472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269.90083987531233</v>
      </c>
      <c r="AO87" s="62">
        <f t="shared" si="90"/>
        <v>183.4515835513518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137.91493497021636</v>
      </c>
      <c r="AV87" s="23">
        <f>EXP(-LN(2)/25)*AV86+(1-EXP(-LN(2)/25))/(LN(2)/25)*Calculateur!AQ87*Calculateur!AS87*VLOOKUP('Données projet'!$B$10,Paramètres!$A$1:$I$89,3,0)*0.475*44/12</f>
        <v>52.880904206204598</v>
      </c>
      <c r="AW87" s="23">
        <f>EXP(-LN(2)/2)*AW86+(1-EXP(-LN(2)/2))/(LN(2)/2)*AQ87*AT87*VLOOKUP('Données projet'!$B$10,Paramètres!$A$1:$I$89,3,0)*0.475*44/12</f>
        <v>15.91080847636278</v>
      </c>
      <c r="AX87" s="23">
        <f t="shared" si="60"/>
        <v>206.70664765278374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14.25444444444444</v>
      </c>
      <c r="BD87" s="13">
        <f>IF('Données projet'!$A$88&gt;35,BD86+BC87-BL86,IF(A87&lt;'Données projet'!$A$88,$BA$205^A87,IF(A87='Données projet'!$A$88,'Données projet'!$B$88,BD86+BC87-BL86)))</f>
        <v>385.05333333333357</v>
      </c>
      <c r="BE87" s="14">
        <f>BD87*VLOOKUP('Données projet'!$B$11,Paramètres!$A$1:$I$89,3,0)*VLOOKUP('Données projet'!$B$11,Paramètres!$A$1:$I$89,5,0)</f>
        <v>185.21065333333343</v>
      </c>
      <c r="BF87" s="14">
        <f t="shared" si="91"/>
        <v>46.479528136305227</v>
      </c>
      <c r="BG87" s="22">
        <f t="shared" si="61"/>
        <v>403.52706605962067</v>
      </c>
      <c r="BH87" s="62">
        <f t="shared" si="62"/>
        <v>696.86039939295392</v>
      </c>
      <c r="BI87" s="62">
        <f ca="1">AVERAGE(OFFSET($BH$3,0,0,'Données projet'!$E$11+1,1))-AVERAGE(OFFSET($H$3,0,0,'Données projet'!$E$11+1,1))</f>
        <v>255.64417186544995</v>
      </c>
      <c r="BJ87" s="62">
        <f t="shared" si="92"/>
        <v>165.41802783289376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43.827102423402486</v>
      </c>
      <c r="BQ87" s="23">
        <f>EXP(-LN(2)/25)*BQ86+(1-EXP(-LN(2)/25))/(LN(2)/25)*Calculateur!BL87*Calculateur!BN87*VLOOKUP('Données projet'!$B$11,Paramètres!$A$1:$I$89,3,0)*0.475*44/12</f>
        <v>28.496624529834378</v>
      </c>
      <c r="BR87" s="23">
        <f>EXP(-LN(2)/2)*BR86+(1-EXP(-LN(2)/2))/(LN(2)/2)*BL87*BO87*VLOOKUP('Données projet'!$B$11,Paramètres!$A$1:$I$89,3,0)*0.475*44/12</f>
        <v>3.4503581175805635</v>
      </c>
      <c r="BS87" s="24">
        <f t="shared" si="63"/>
        <v>75.774085070817435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>
        <f>BY87*VLOOKUP('Données projet'!$B$12,Paramètres!$A$1:$I$89,3,0)*VLOOKUP('Données projet'!$B$12,Paramètres!$A$1:$I$89,5,0)</f>
        <v>0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465.49436272491818</v>
      </c>
      <c r="CE87" s="62">
        <f t="shared" si="94"/>
        <v>494.36941732405256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217.16906705041683</v>
      </c>
      <c r="CL87" s="23">
        <f>EXP(-LN(2)/25)*CL86+(1-EXP(-LN(2)/25))/(LN(2)/25)*Calculateur!CG87*Calculateur!CI87*VLOOKUP('Données projet'!$B$12,Paramètres!$A$1:$I$89,3,0)*0.475*44/12</f>
        <v>56.662069747745093</v>
      </c>
      <c r="CM87" s="23">
        <f>EXP(-LN(2)/2)*CM86+(1-EXP(-LN(2)/2))/(LN(2)/2)*CG87*CJ87*VLOOKUP('Données projet'!$B$12,Paramètres!$A$1:$I$89,3,0)*0.475*44/12</f>
        <v>0.5134100164715113</v>
      </c>
      <c r="CN87" s="24">
        <f t="shared" si="66"/>
        <v>274.34454681463347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-6.8212102632969618E-13</v>
      </c>
      <c r="CU87" s="18">
        <f>CT87*VLOOKUP('Données projet'!$B$13,Paramètres!$A$1:$I$89,3,0)*VLOOKUP('Données projet'!$B$13,Paramètres!$A$1:$I$89,5,0)</f>
        <v>-4.0790837374515837E-13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361.46923697840384</v>
      </c>
      <c r="CZ87" s="62">
        <f t="shared" si="96"/>
        <v>302.25424592654673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164.19155839328891</v>
      </c>
      <c r="DG87" s="23">
        <f>EXP(-LN(2)/25)*DG86+(1-EXP(-LN(2)/25))/(LN(2)/25)*Calculateur!DB87*Calculateur!DD87*VLOOKUP('Données projet'!$B$13,Paramètres!$A$1:$I$89,3,0)*0.475*44/12</f>
        <v>57.513030809454854</v>
      </c>
      <c r="DH87" s="23">
        <f>EXP(-LN(2)/2)*DH86+(1-EXP(-LN(2)/2))/(LN(2)/2)*DB87*DE87*VLOOKUP('Données projet'!$B$13,Paramètres!$A$1:$I$89,3,0)*0.475*44/12</f>
        <v>5.136922682814359</v>
      </c>
      <c r="DI87" s="24">
        <f t="shared" si="69"/>
        <v>226.84151188555813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-4.5474735088646412E-13</v>
      </c>
      <c r="O88" s="14">
        <f>N88*VLOOKUP('Données projet'!$B$9,Paramètres!$A$1:$I$89,3,0)*VLOOKUP('Données projet'!$B$9,Paramètres!$A$1:$I$89,5,0)</f>
        <v>-2.5420376914553347E-13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389.80719836281679</v>
      </c>
      <c r="T88" s="62">
        <f t="shared" si="88"/>
        <v>399.58193819355591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196.3278062626039</v>
      </c>
      <c r="AA88" s="23">
        <f>EXP(-LN(2)/25)*AA87+(1-EXP(-LN(2)/25))/(LN(2)/25)*Calculateur!V88*Calculateur!X88*VLOOKUP('Données projet'!$B$9,Paramètres!$A$1:$I$89,3,0)*0.475*44/12</f>
        <v>49.87567963148642</v>
      </c>
      <c r="AB88" s="23">
        <f>EXP(-LN(2)/2)*AB87+(1-EXP(-LN(2)/2))/(LN(2)/2)*V88*Y88*VLOOKUP('Données projet'!$B$9,Paramètres!$A$1:$I$89,3,0)*0.475*44/12</f>
        <v>0.33311338606122237</v>
      </c>
      <c r="AC88" s="24">
        <f t="shared" si="57"/>
        <v>246.53659928015153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269.90083987531233</v>
      </c>
      <c r="AO88" s="62">
        <f t="shared" si="90"/>
        <v>183.4515835513518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135.21050721525461</v>
      </c>
      <c r="AV88" s="23">
        <f>EXP(-LN(2)/25)*AV87+(1-EXP(-LN(2)/25))/(LN(2)/25)*Calculateur!AQ88*Calculateur!AS88*VLOOKUP('Données projet'!$B$10,Paramètres!$A$1:$I$89,3,0)*0.475*44/12</f>
        <v>51.434873099800043</v>
      </c>
      <c r="AW88" s="23">
        <f>EXP(-LN(2)/2)*AW87+(1-EXP(-LN(2)/2))/(LN(2)/2)*AQ88*AT88*VLOOKUP('Données projet'!$B$10,Paramètres!$A$1:$I$89,3,0)*0.475*44/12</f>
        <v>11.250640567796523</v>
      </c>
      <c r="AX88" s="23">
        <f t="shared" si="60"/>
        <v>197.89602088285116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14.25444444444444</v>
      </c>
      <c r="BD88" s="13">
        <f>IF('Données projet'!$A$88&gt;35,BD87+BC88-BL87,IF(A88&lt;'Données projet'!$A$88,$BA$205^A88,IF(A88='Données projet'!$A$88,'Données projet'!$B$88,BD87+BC88-BL87)))</f>
        <v>399.30777777777803</v>
      </c>
      <c r="BE88" s="14">
        <f>BD88*VLOOKUP('Données projet'!$B$11,Paramètres!$A$1:$I$89,3,0)*VLOOKUP('Données projet'!$B$11,Paramètres!$A$1:$I$89,5,0)</f>
        <v>192.06704111111122</v>
      </c>
      <c r="BF88" s="14">
        <f t="shared" si="91"/>
        <v>47.996658104034815</v>
      </c>
      <c r="BG88" s="22">
        <f t="shared" si="61"/>
        <v>418.11094279971263</v>
      </c>
      <c r="BH88" s="62">
        <f t="shared" si="62"/>
        <v>711.44427613304595</v>
      </c>
      <c r="BI88" s="62">
        <f ca="1">AVERAGE(OFFSET($BH$3,0,0,'Données projet'!$E$11+1,1))-AVERAGE(OFFSET($H$3,0,0,'Données projet'!$E$11+1,1))</f>
        <v>255.64417186544995</v>
      </c>
      <c r="BJ88" s="62">
        <f t="shared" si="92"/>
        <v>165.41802783289376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42.967679676772484</v>
      </c>
      <c r="BQ88" s="23">
        <f>EXP(-LN(2)/25)*BQ87+(1-EXP(-LN(2)/25))/(LN(2)/25)*Calculateur!BL88*Calculateur!BN88*VLOOKUP('Données projet'!$B$11,Paramètres!$A$1:$I$89,3,0)*0.475*44/12</f>
        <v>27.717382833493701</v>
      </c>
      <c r="BR88" s="23">
        <f>EXP(-LN(2)/2)*BR87+(1-EXP(-LN(2)/2))/(LN(2)/2)*BL88*BO88*VLOOKUP('Données projet'!$B$11,Paramètres!$A$1:$I$89,3,0)*0.475*44/12</f>
        <v>2.4397716224632675</v>
      </c>
      <c r="BS88" s="24">
        <f t="shared" si="63"/>
        <v>73.124834132729461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>
        <f>BY88*VLOOKUP('Données projet'!$B$12,Paramètres!$A$1:$I$89,3,0)*VLOOKUP('Données projet'!$B$12,Paramètres!$A$1:$I$89,5,0)</f>
        <v>0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465.49436272491818</v>
      </c>
      <c r="CE88" s="62">
        <f t="shared" si="94"/>
        <v>494.36941732405256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212.91051410560971</v>
      </c>
      <c r="CL88" s="23">
        <f>EXP(-LN(2)/25)*CL87+(1-EXP(-LN(2)/25))/(LN(2)/25)*Calculateur!CG88*Calculateur!CI88*VLOOKUP('Données projet'!$B$12,Paramètres!$A$1:$I$89,3,0)*0.475*44/12</f>
        <v>55.112642470764257</v>
      </c>
      <c r="CM88" s="23">
        <f>EXP(-LN(2)/2)*CM87+(1-EXP(-LN(2)/2))/(LN(2)/2)*CG88*CJ88*VLOOKUP('Données projet'!$B$12,Paramètres!$A$1:$I$89,3,0)*0.475*44/12</f>
        <v>0.3630357041761027</v>
      </c>
      <c r="CN88" s="24">
        <f t="shared" si="66"/>
        <v>268.38619228055006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-6.8212102632969618E-13</v>
      </c>
      <c r="CU88" s="18">
        <f>CT88*VLOOKUP('Données projet'!$B$13,Paramètres!$A$1:$I$89,3,0)*VLOOKUP('Données projet'!$B$13,Paramètres!$A$1:$I$89,5,0)</f>
        <v>-4.0790837374515837E-13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361.46923697840384</v>
      </c>
      <c r="CZ88" s="62">
        <f t="shared" si="96"/>
        <v>302.25424592654673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160.97186208015844</v>
      </c>
      <c r="DG88" s="23">
        <f>EXP(-LN(2)/25)*DG87+(1-EXP(-LN(2)/25))/(LN(2)/25)*Calculateur!DB88*Calculateur!DD88*VLOOKUP('Données projet'!$B$13,Paramètres!$A$1:$I$89,3,0)*0.475*44/12</f>
        <v>55.940333957491468</v>
      </c>
      <c r="DH88" s="23">
        <f>EXP(-LN(2)/2)*DH87+(1-EXP(-LN(2)/2))/(LN(2)/2)*DB88*DE88*VLOOKUP('Données projet'!$B$13,Paramètres!$A$1:$I$89,3,0)*0.475*44/12</f>
        <v>3.6323528634490261</v>
      </c>
      <c r="DI88" s="24">
        <f t="shared" si="69"/>
        <v>220.54454890109895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-4.5474735088646412E-13</v>
      </c>
      <c r="O89" s="14">
        <f>N89*VLOOKUP('Données projet'!$B$9,Paramètres!$A$1:$I$89,3,0)*VLOOKUP('Données projet'!$B$9,Paramètres!$A$1:$I$89,5,0)</f>
        <v>-2.5420376914553347E-13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389.80719836281679</v>
      </c>
      <c r="T89" s="62">
        <f t="shared" si="88"/>
        <v>399.58193819355591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192.47793772993191</v>
      </c>
      <c r="AA89" s="23">
        <f>EXP(-LN(2)/25)*AA88+(1-EXP(-LN(2)/25))/(LN(2)/25)*Calculateur!V89*Calculateur!X89*VLOOKUP('Données projet'!$B$9,Paramètres!$A$1:$I$89,3,0)*0.475*44/12</f>
        <v>48.511826549115426</v>
      </c>
      <c r="AB89" s="23">
        <f>EXP(-LN(2)/2)*AB88+(1-EXP(-LN(2)/2))/(LN(2)/2)*V89*Y89*VLOOKUP('Données projet'!$B$9,Paramètres!$A$1:$I$89,3,0)*0.475*44/12</f>
        <v>0.2355467341879027</v>
      </c>
      <c r="AC89" s="24">
        <f t="shared" si="57"/>
        <v>241.22531101323523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269.90083987531233</v>
      </c>
      <c r="AO89" s="62">
        <f t="shared" si="90"/>
        <v>183.4515835513518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132.5591116390296</v>
      </c>
      <c r="AV89" s="23">
        <f>EXP(-LN(2)/25)*AV88+(1-EXP(-LN(2)/25))/(LN(2)/25)*Calculateur!AQ89*Calculateur!AS89*VLOOKUP('Données projet'!$B$10,Paramètres!$A$1:$I$89,3,0)*0.475*44/12</f>
        <v>50.028383790043591</v>
      </c>
      <c r="AW89" s="23">
        <f>EXP(-LN(2)/2)*AW88+(1-EXP(-LN(2)/2))/(LN(2)/2)*AQ89*AT89*VLOOKUP('Données projet'!$B$10,Paramètres!$A$1:$I$89,3,0)*0.475*44/12</f>
        <v>7.9554042381813916</v>
      </c>
      <c r="AX89" s="23">
        <f t="shared" si="60"/>
        <v>190.54289966725457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14.25444444444444</v>
      </c>
      <c r="BD89" s="13">
        <f>IF('Données projet'!$A$88&gt;35,BD88+BC89-BL88,IF(A89&lt;'Données projet'!$A$88,$BA$205^A89,IF(A89='Données projet'!$A$88,'Données projet'!$B$88,BD88+BC89-BL88)))</f>
        <v>413.56222222222249</v>
      </c>
      <c r="BE89" s="14">
        <f>BD89*VLOOKUP('Données projet'!$B$11,Paramètres!$A$1:$I$89,3,0)*VLOOKUP('Données projet'!$B$11,Paramètres!$A$1:$I$89,5,0)</f>
        <v>198.92342888888902</v>
      </c>
      <c r="BF89" s="14">
        <f t="shared" si="91"/>
        <v>49.507495708965784</v>
      </c>
      <c r="BG89" s="22">
        <f t="shared" si="61"/>
        <v>432.68386034126382</v>
      </c>
      <c r="BH89" s="62">
        <f t="shared" si="62"/>
        <v>726.01719367459714</v>
      </c>
      <c r="BI89" s="62">
        <f ca="1">AVERAGE(OFFSET($BH$3,0,0,'Données projet'!$E$11+1,1))-AVERAGE(OFFSET($H$3,0,0,'Données projet'!$E$11+1,1))</f>
        <v>255.64417186544995</v>
      </c>
      <c r="BJ89" s="62">
        <f t="shared" si="92"/>
        <v>165.41802783289376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42.125109686007782</v>
      </c>
      <c r="BQ89" s="23">
        <f>EXP(-LN(2)/25)*BQ88+(1-EXP(-LN(2)/25))/(LN(2)/25)*Calculateur!BL89*Calculateur!BN89*VLOOKUP('Données projet'!$B$11,Paramètres!$A$1:$I$89,3,0)*0.475*44/12</f>
        <v>26.959449542318001</v>
      </c>
      <c r="BR89" s="23">
        <f>EXP(-LN(2)/2)*BR88+(1-EXP(-LN(2)/2))/(LN(2)/2)*BL89*BO89*VLOOKUP('Données projet'!$B$11,Paramètres!$A$1:$I$89,3,0)*0.475*44/12</f>
        <v>1.7251790587902818</v>
      </c>
      <c r="BS89" s="24">
        <f t="shared" si="63"/>
        <v>70.809738287116062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>
        <f>BY89*VLOOKUP('Données projet'!$B$12,Paramètres!$A$1:$I$89,3,0)*VLOOKUP('Données projet'!$B$12,Paramètres!$A$1:$I$89,5,0)</f>
        <v>0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465.49436272491818</v>
      </c>
      <c r="CE89" s="62">
        <f t="shared" si="94"/>
        <v>494.36941732405256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208.73546878658945</v>
      </c>
      <c r="CL89" s="23">
        <f>EXP(-LN(2)/25)*CL88+(1-EXP(-LN(2)/25))/(LN(2)/25)*Calculateur!CG89*Calculateur!CI89*VLOOKUP('Données projet'!$B$12,Paramètres!$A$1:$I$89,3,0)*0.475*44/12</f>
        <v>53.605584364153302</v>
      </c>
      <c r="CM89" s="23">
        <f>EXP(-LN(2)/2)*CM88+(1-EXP(-LN(2)/2))/(LN(2)/2)*CG89*CJ89*VLOOKUP('Données projet'!$B$12,Paramètres!$A$1:$I$89,3,0)*0.475*44/12</f>
        <v>0.25670500823575565</v>
      </c>
      <c r="CN89" s="24">
        <f t="shared" si="66"/>
        <v>262.59775815897854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-6.8212102632969618E-13</v>
      </c>
      <c r="CU89" s="18">
        <f>CT89*VLOOKUP('Données projet'!$B$13,Paramètres!$A$1:$I$89,3,0)*VLOOKUP('Données projet'!$B$13,Paramètres!$A$1:$I$89,5,0)</f>
        <v>-4.0790837374515837E-13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361.46923697840384</v>
      </c>
      <c r="CZ89" s="62">
        <f t="shared" si="96"/>
        <v>302.25424592654673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157.81530204790764</v>
      </c>
      <c r="DG89" s="23">
        <f>EXP(-LN(2)/25)*DG88+(1-EXP(-LN(2)/25))/(LN(2)/25)*Calculateur!DB89*Calculateur!DD89*VLOOKUP('Données projet'!$B$13,Paramètres!$A$1:$I$89,3,0)*0.475*44/12</f>
        <v>54.410642583649555</v>
      </c>
      <c r="DH89" s="23">
        <f>EXP(-LN(2)/2)*DH88+(1-EXP(-LN(2)/2))/(LN(2)/2)*DB89*DE89*VLOOKUP('Données projet'!$B$13,Paramètres!$A$1:$I$89,3,0)*0.475*44/12</f>
        <v>2.56846134140718</v>
      </c>
      <c r="DI89" s="24">
        <f t="shared" si="69"/>
        <v>214.79440597296437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-4.5474735088646412E-13</v>
      </c>
      <c r="O90" s="14">
        <f>N90*VLOOKUP('Données projet'!$B$9,Paramètres!$A$1:$I$89,3,0)*VLOOKUP('Données projet'!$B$9,Paramètres!$A$1:$I$89,5,0)</f>
        <v>-2.5420376914553347E-13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389.80719836281679</v>
      </c>
      <c r="T90" s="62">
        <f t="shared" si="88"/>
        <v>399.58193819355591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188.70356277099768</v>
      </c>
      <c r="AA90" s="23">
        <f>EXP(-LN(2)/25)*AA89+(1-EXP(-LN(2)/25))/(LN(2)/25)*Calculateur!V90*Calculateur!X90*VLOOKUP('Données projet'!$B$9,Paramètres!$A$1:$I$89,3,0)*0.475*44/12</f>
        <v>47.185268101003778</v>
      </c>
      <c r="AB90" s="23">
        <f>EXP(-LN(2)/2)*AB89+(1-EXP(-LN(2)/2))/(LN(2)/2)*V90*Y90*VLOOKUP('Données projet'!$B$9,Paramètres!$A$1:$I$89,3,0)*0.475*44/12</f>
        <v>0.16655669303061119</v>
      </c>
      <c r="AC90" s="24">
        <f t="shared" si="57"/>
        <v>236.05538756503205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269.90083987531233</v>
      </c>
      <c r="AO90" s="62">
        <f t="shared" si="90"/>
        <v>183.4515835513518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129.95970831286274</v>
      </c>
      <c r="AV90" s="23">
        <f>EXP(-LN(2)/25)*AV89+(1-EXP(-LN(2)/25))/(LN(2)/25)*Calculateur!AQ90*Calculateur!AS90*VLOOKUP('Données projet'!$B$10,Paramètres!$A$1:$I$89,3,0)*0.475*44/12</f>
        <v>48.660355004426485</v>
      </c>
      <c r="AW90" s="23">
        <f>EXP(-LN(2)/2)*AW89+(1-EXP(-LN(2)/2))/(LN(2)/2)*AQ90*AT90*VLOOKUP('Données projet'!$B$10,Paramètres!$A$1:$I$89,3,0)*0.475*44/12</f>
        <v>5.6253202838982626</v>
      </c>
      <c r="AX90" s="23">
        <f t="shared" si="60"/>
        <v>184.24538360118751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14.25444444444444</v>
      </c>
      <c r="BD90" s="13">
        <f>IF('Données projet'!$A$88&gt;35,BD89+BC90-BL89,IF(A90&lt;'Données projet'!$A$88,$BA$205^A90,IF(A90='Données projet'!$A$88,'Données projet'!$B$88,BD89+BC90-BL89)))</f>
        <v>427.81666666666695</v>
      </c>
      <c r="BE90" s="14">
        <f>BD90*VLOOKUP('Données projet'!$B$11,Paramètres!$A$1:$I$89,3,0)*VLOOKUP('Données projet'!$B$11,Paramètres!$A$1:$I$89,5,0)</f>
        <v>205.77981666666679</v>
      </c>
      <c r="BF90" s="14">
        <f t="shared" si="91"/>
        <v>51.012282690200195</v>
      </c>
      <c r="BG90" s="22">
        <f t="shared" si="61"/>
        <v>447.24623971320995</v>
      </c>
      <c r="BH90" s="62">
        <f t="shared" si="62"/>
        <v>740.57957304654326</v>
      </c>
      <c r="BI90" s="62">
        <f ca="1">AVERAGE(OFFSET($BH$3,0,0,'Données projet'!$E$11+1,1))-AVERAGE(OFFSET($H$3,0,0,'Données projet'!$E$11+1,1))</f>
        <v>255.64417186544995</v>
      </c>
      <c r="BJ90" s="62">
        <f t="shared" si="92"/>
        <v>165.41802783289376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41.299061978845025</v>
      </c>
      <c r="BQ90" s="23">
        <f>EXP(-LN(2)/25)*BQ89+(1-EXP(-LN(2)/25))/(LN(2)/25)*Calculateur!BL90*Calculateur!BN90*VLOOKUP('Données projet'!$B$11,Paramètres!$A$1:$I$89,3,0)*0.475*44/12</f>
        <v>26.222241976847481</v>
      </c>
      <c r="BR90" s="23">
        <f>EXP(-LN(2)/2)*BR89+(1-EXP(-LN(2)/2))/(LN(2)/2)*BL90*BO90*VLOOKUP('Données projet'!$B$11,Paramètres!$A$1:$I$89,3,0)*0.475*44/12</f>
        <v>1.2198858112316338</v>
      </c>
      <c r="BS90" s="24">
        <f t="shared" si="63"/>
        <v>68.741189766924137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>
        <f>BY90*VLOOKUP('Données projet'!$B$12,Paramètres!$A$1:$I$89,3,0)*VLOOKUP('Données projet'!$B$12,Paramètres!$A$1:$I$89,5,0)</f>
        <v>0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465.49436272491818</v>
      </c>
      <c r="CE90" s="62">
        <f t="shared" si="94"/>
        <v>494.36941732405256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204.64229355974896</v>
      </c>
      <c r="CL90" s="23">
        <f>EXP(-LN(2)/25)*CL89+(1-EXP(-LN(2)/25))/(LN(2)/25)*Calculateur!CG90*Calculateur!CI90*VLOOKUP('Données projet'!$B$12,Paramètres!$A$1:$I$89,3,0)*0.475*44/12</f>
        <v>52.139736840720367</v>
      </c>
      <c r="CM90" s="23">
        <f>EXP(-LN(2)/2)*CM89+(1-EXP(-LN(2)/2))/(LN(2)/2)*CG90*CJ90*VLOOKUP('Données projet'!$B$12,Paramètres!$A$1:$I$89,3,0)*0.475*44/12</f>
        <v>0.18151785208805135</v>
      </c>
      <c r="CN90" s="24">
        <f t="shared" si="66"/>
        <v>256.96354825255742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-6.8212102632969618E-13</v>
      </c>
      <c r="CU90" s="18">
        <f>CT90*VLOOKUP('Données projet'!$B$13,Paramètres!$A$1:$I$89,3,0)*VLOOKUP('Données projet'!$B$13,Paramètres!$A$1:$I$89,5,0)</f>
        <v>-4.0790837374515837E-13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361.46923697840384</v>
      </c>
      <c r="CZ90" s="62">
        <f t="shared" si="96"/>
        <v>302.25424592654673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154.72064023257775</v>
      </c>
      <c r="DG90" s="23">
        <f>EXP(-LN(2)/25)*DG89+(1-EXP(-LN(2)/25))/(LN(2)/25)*Calculateur!DB90*Calculateur!DD90*VLOOKUP('Données projet'!$B$13,Paramètres!$A$1:$I$89,3,0)*0.475*44/12</f>
        <v>52.922780700868323</v>
      </c>
      <c r="DH90" s="23">
        <f>EXP(-LN(2)/2)*DH89+(1-EXP(-LN(2)/2))/(LN(2)/2)*DB90*DE90*VLOOKUP('Données projet'!$B$13,Paramètres!$A$1:$I$89,3,0)*0.475*44/12</f>
        <v>1.8161764317245133</v>
      </c>
      <c r="DI90" s="24">
        <f t="shared" si="69"/>
        <v>209.45959736517057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-4.5474735088646412E-13</v>
      </c>
      <c r="O91" s="14">
        <f>N91*VLOOKUP('Données projet'!$B$9,Paramètres!$A$1:$I$89,3,0)*VLOOKUP('Données projet'!$B$9,Paramètres!$A$1:$I$89,5,0)</f>
        <v>-2.5420376914553347E-13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389.80719836281679</v>
      </c>
      <c r="T91" s="62">
        <f t="shared" si="88"/>
        <v>399.58193819355591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185.00320100286675</v>
      </c>
      <c r="AA91" s="23">
        <f>EXP(-LN(2)/25)*AA90+(1-EXP(-LN(2)/25))/(LN(2)/25)*Calculateur!V91*Calculateur!X91*VLOOKUP('Données projet'!$B$9,Paramètres!$A$1:$I$89,3,0)*0.475*44/12</f>
        <v>45.894984463416421</v>
      </c>
      <c r="AB91" s="23">
        <f>EXP(-LN(2)/2)*AB90+(1-EXP(-LN(2)/2))/(LN(2)/2)*V91*Y91*VLOOKUP('Données projet'!$B$9,Paramètres!$A$1:$I$89,3,0)*0.475*44/12</f>
        <v>0.11777336709395135</v>
      </c>
      <c r="AC91" s="24">
        <f t="shared" si="57"/>
        <v>231.01595883337711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269.90083987531233</v>
      </c>
      <c r="AO91" s="62">
        <f t="shared" si="90"/>
        <v>183.4515835513518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127.41127770044255</v>
      </c>
      <c r="AV91" s="23">
        <f>EXP(-LN(2)/25)*AV90+(1-EXP(-LN(2)/25))/(LN(2)/25)*Calculateur!AQ91*Calculateur!AS91*VLOOKUP('Données projet'!$B$10,Paramètres!$A$1:$I$89,3,0)*0.475*44/12</f>
        <v>47.329735037893585</v>
      </c>
      <c r="AW91" s="23">
        <f>EXP(-LN(2)/2)*AW90+(1-EXP(-LN(2)/2))/(LN(2)/2)*AQ91*AT91*VLOOKUP('Données projet'!$B$10,Paramètres!$A$1:$I$89,3,0)*0.475*44/12</f>
        <v>3.9777021190906963</v>
      </c>
      <c r="AX91" s="23">
        <f t="shared" si="60"/>
        <v>178.71871485742685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14.25444444444444</v>
      </c>
      <c r="BD91" s="13">
        <f>IF('Données projet'!$A$88&gt;35,BD90+BC91-BL90,IF(A91&lt;'Données projet'!$A$88,$BA$205^A91,IF(A91='Données projet'!$A$88,'Données projet'!$B$88,BD90+BC91-BL90)))</f>
        <v>442.07111111111141</v>
      </c>
      <c r="BE91" s="14">
        <f>BD91*VLOOKUP('Données projet'!$B$11,Paramètres!$A$1:$I$89,3,0)*VLOOKUP('Données projet'!$B$11,Paramètres!$A$1:$I$89,5,0)</f>
        <v>212.63620444444459</v>
      </c>
      <c r="BF91" s="14">
        <f t="shared" si="91"/>
        <v>52.511243763696413</v>
      </c>
      <c r="BG91" s="22">
        <f t="shared" si="61"/>
        <v>461.79847229584556</v>
      </c>
      <c r="BH91" s="62">
        <f t="shared" si="62"/>
        <v>755.13180562917887</v>
      </c>
      <c r="BI91" s="62">
        <f ca="1">AVERAGE(OFFSET($BH$3,0,0,'Données projet'!$E$11+1,1))-AVERAGE(OFFSET($H$3,0,0,'Données projet'!$E$11+1,1))</f>
        <v>255.64417186544995</v>
      </c>
      <c r="BJ91" s="62">
        <f t="shared" si="92"/>
        <v>165.41802783289376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40.489212563380377</v>
      </c>
      <c r="BQ91" s="23">
        <f>EXP(-LN(2)/25)*BQ90+(1-EXP(-LN(2)/25))/(LN(2)/25)*Calculateur!BL91*Calculateur!BN91*VLOOKUP('Données projet'!$B$11,Paramètres!$A$1:$I$89,3,0)*0.475*44/12</f>
        <v>25.505193391022814</v>
      </c>
      <c r="BR91" s="23">
        <f>EXP(-LN(2)/2)*BR90+(1-EXP(-LN(2)/2))/(LN(2)/2)*BL91*BO91*VLOOKUP('Données projet'!$B$11,Paramètres!$A$1:$I$89,3,0)*0.475*44/12</f>
        <v>0.86258952939514089</v>
      </c>
      <c r="BS91" s="24">
        <f t="shared" si="63"/>
        <v>66.856995483798329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>
        <f>BY91*VLOOKUP('Données projet'!$B$12,Paramètres!$A$1:$I$89,3,0)*VLOOKUP('Données projet'!$B$12,Paramètres!$A$1:$I$89,5,0)</f>
        <v>0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465.49436272491818</v>
      </c>
      <c r="CE91" s="62">
        <f t="shared" si="94"/>
        <v>494.36941732405256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200.62938300251645</v>
      </c>
      <c r="CL91" s="23">
        <f>EXP(-LN(2)/25)*CL90+(1-EXP(-LN(2)/25))/(LN(2)/25)*Calculateur!CG91*Calculateur!CI91*VLOOKUP('Données projet'!$B$12,Paramètres!$A$1:$I$89,3,0)*0.475*44/12</f>
        <v>50.713972994901276</v>
      </c>
      <c r="CM91" s="23">
        <f>EXP(-LN(2)/2)*CM90+(1-EXP(-LN(2)/2))/(LN(2)/2)*CG91*CJ91*VLOOKUP('Données projet'!$B$12,Paramètres!$A$1:$I$89,3,0)*0.475*44/12</f>
        <v>0.12835250411787782</v>
      </c>
      <c r="CN91" s="24">
        <f t="shared" si="66"/>
        <v>251.4717085015356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-6.8212102632969618E-13</v>
      </c>
      <c r="CU91" s="18">
        <f>CT91*VLOOKUP('Données projet'!$B$13,Paramètres!$A$1:$I$89,3,0)*VLOOKUP('Données projet'!$B$13,Paramètres!$A$1:$I$89,5,0)</f>
        <v>-4.0790837374515837E-13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361.46923697840384</v>
      </c>
      <c r="CZ91" s="62">
        <f t="shared" si="96"/>
        <v>302.25424592654673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151.68666284788915</v>
      </c>
      <c r="DG91" s="23">
        <f>EXP(-LN(2)/25)*DG90+(1-EXP(-LN(2)/25))/(LN(2)/25)*Calculateur!DB91*Calculateur!DD91*VLOOKUP('Données projet'!$B$13,Paramètres!$A$1:$I$89,3,0)*0.475*44/12</f>
        <v>51.475604479514999</v>
      </c>
      <c r="DH91" s="23">
        <f>EXP(-LN(2)/2)*DH90+(1-EXP(-LN(2)/2))/(LN(2)/2)*DB91*DE91*VLOOKUP('Données projet'!$B$13,Paramètres!$A$1:$I$89,3,0)*0.475*44/12</f>
        <v>1.2842306707035902</v>
      </c>
      <c r="DI91" s="24">
        <f t="shared" si="69"/>
        <v>204.44649799810773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-4.5474735088646412E-13</v>
      </c>
      <c r="O92" s="14">
        <f>N92*VLOOKUP('Données projet'!$B$9,Paramètres!$A$1:$I$89,3,0)*VLOOKUP('Données projet'!$B$9,Paramètres!$A$1:$I$89,5,0)</f>
        <v>-2.5420376914553347E-13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389.80719836281679</v>
      </c>
      <c r="T92" s="62">
        <f t="shared" si="88"/>
        <v>399.58193819355591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181.37540107201104</v>
      </c>
      <c r="AA92" s="23">
        <f>EXP(-LN(2)/25)*AA91+(1-EXP(-LN(2)/25))/(LN(2)/25)*Calculateur!V92*Calculateur!X92*VLOOKUP('Données projet'!$B$9,Paramètres!$A$1:$I$89,3,0)*0.475*44/12</f>
        <v>44.639983699751959</v>
      </c>
      <c r="AB92" s="23">
        <f>EXP(-LN(2)/2)*AB91+(1-EXP(-LN(2)/2))/(LN(2)/2)*V92*Y92*VLOOKUP('Données projet'!$B$9,Paramètres!$A$1:$I$89,3,0)*0.475*44/12</f>
        <v>8.3278346515305593E-2</v>
      </c>
      <c r="AC92" s="24">
        <f t="shared" si="57"/>
        <v>226.0986631182783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269.90083987531233</v>
      </c>
      <c r="AO92" s="62">
        <f t="shared" si="90"/>
        <v>183.4515835513518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124.91282025794273</v>
      </c>
      <c r="AV92" s="23">
        <f>EXP(-LN(2)/25)*AV91+(1-EXP(-LN(2)/25))/(LN(2)/25)*Calculateur!AQ92*Calculateur!AS92*VLOOKUP('Données projet'!$B$10,Paramètres!$A$1:$I$89,3,0)*0.475*44/12</f>
        <v>46.035500944319793</v>
      </c>
      <c r="AW92" s="23">
        <f>EXP(-LN(2)/2)*AW91+(1-EXP(-LN(2)/2))/(LN(2)/2)*AQ92*AT92*VLOOKUP('Données projet'!$B$10,Paramètres!$A$1:$I$89,3,0)*0.475*44/12</f>
        <v>2.8126601419491317</v>
      </c>
      <c r="AX92" s="23">
        <f t="shared" si="60"/>
        <v>173.76098134421164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14.25444444444444</v>
      </c>
      <c r="BD92" s="13">
        <f>IF('Données projet'!$A$88&gt;35,BD91+BC92-BL91,IF(A92&lt;'Données projet'!$A$88,$BA$205^A92,IF(A92='Données projet'!$A$88,'Données projet'!$B$88,BD91+BC92-BL91)))</f>
        <v>456.32555555555587</v>
      </c>
      <c r="BE92" s="14">
        <f>BD92*VLOOKUP('Données projet'!$B$11,Paramètres!$A$1:$I$89,3,0)*VLOOKUP('Données projet'!$B$11,Paramètres!$A$1:$I$89,5,0)</f>
        <v>219.49259222222238</v>
      </c>
      <c r="BF92" s="14">
        <f t="shared" si="91"/>
        <v>54.004588330881312</v>
      </c>
      <c r="BG92" s="22">
        <f t="shared" si="61"/>
        <v>476.3409227966556</v>
      </c>
      <c r="BH92" s="62">
        <f t="shared" si="62"/>
        <v>769.67425612998886</v>
      </c>
      <c r="BI92" s="62">
        <f ca="1">AVERAGE(OFFSET($BH$3,0,0,'Données projet'!$E$11+1,1))-AVERAGE(OFFSET($H$3,0,0,'Données projet'!$E$11+1,1))</f>
        <v>255.64417186544995</v>
      </c>
      <c r="BJ92" s="62">
        <f t="shared" si="92"/>
        <v>165.41802783289376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39.695243800993623</v>
      </c>
      <c r="BQ92" s="23">
        <f>EXP(-LN(2)/25)*BQ91+(1-EXP(-LN(2)/25))/(LN(2)/25)*Calculateur!BL92*Calculateur!BN92*VLOOKUP('Données projet'!$B$11,Paramètres!$A$1:$I$89,3,0)*0.475*44/12</f>
        <v>24.807752536485467</v>
      </c>
      <c r="BR92" s="23">
        <f>EXP(-LN(2)/2)*BR91+(1-EXP(-LN(2)/2))/(LN(2)/2)*BL92*BO92*VLOOKUP('Données projet'!$B$11,Paramètres!$A$1:$I$89,3,0)*0.475*44/12</f>
        <v>0.60994290561581688</v>
      </c>
      <c r="BS92" s="24">
        <f t="shared" si="63"/>
        <v>65.1129392430949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>
        <f>BY92*VLOOKUP('Données projet'!$B$12,Paramètres!$A$1:$I$89,3,0)*VLOOKUP('Données projet'!$B$12,Paramètres!$A$1:$I$89,5,0)</f>
        <v>0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465.49436272491818</v>
      </c>
      <c r="CE92" s="62">
        <f t="shared" si="94"/>
        <v>494.36941732405256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196.69516317367751</v>
      </c>
      <c r="CL92" s="23">
        <f>EXP(-LN(2)/25)*CL91+(1-EXP(-LN(2)/25))/(LN(2)/25)*Calculateur!CG92*Calculateur!CI92*VLOOKUP('Données projet'!$B$12,Paramètres!$A$1:$I$89,3,0)*0.475*44/12</f>
        <v>49.327196736423772</v>
      </c>
      <c r="CM92" s="23">
        <f>EXP(-LN(2)/2)*CM91+(1-EXP(-LN(2)/2))/(LN(2)/2)*CG92*CJ92*VLOOKUP('Données projet'!$B$12,Paramètres!$A$1:$I$89,3,0)*0.475*44/12</f>
        <v>9.0758926044025676E-2</v>
      </c>
      <c r="CN92" s="24">
        <f t="shared" si="66"/>
        <v>246.1131188361453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-6.8212102632969618E-13</v>
      </c>
      <c r="CU92" s="18">
        <f>CT92*VLOOKUP('Données projet'!$B$13,Paramètres!$A$1:$I$89,3,0)*VLOOKUP('Données projet'!$B$13,Paramètres!$A$1:$I$89,5,0)</f>
        <v>-4.0790837374515837E-13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361.46923697840384</v>
      </c>
      <c r="CZ92" s="62">
        <f t="shared" si="96"/>
        <v>302.25424592654673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148.71217990917083</v>
      </c>
      <c r="DG92" s="23">
        <f>EXP(-LN(2)/25)*DG91+(1-EXP(-LN(2)/25))/(LN(2)/25)*Calculateur!DB92*Calculateur!DD92*VLOOKUP('Données projet'!$B$13,Paramètres!$A$1:$I$89,3,0)*0.475*44/12</f>
        <v>50.068001368038274</v>
      </c>
      <c r="DH92" s="23">
        <f>EXP(-LN(2)/2)*DH91+(1-EXP(-LN(2)/2))/(LN(2)/2)*DB92*DE92*VLOOKUP('Données projet'!$B$13,Paramètres!$A$1:$I$89,3,0)*0.475*44/12</f>
        <v>0.90808821586225674</v>
      </c>
      <c r="DI92" s="24">
        <f t="shared" si="69"/>
        <v>199.68826949307135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-4.5474735088646412E-13</v>
      </c>
      <c r="O93" s="14">
        <f>N93*VLOOKUP('Données projet'!$B$9,Paramètres!$A$1:$I$89,3,0)*VLOOKUP('Données projet'!$B$9,Paramètres!$A$1:$I$89,5,0)</f>
        <v>-2.5420376914553347E-13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389.80719836281679</v>
      </c>
      <c r="T93" s="62">
        <f t="shared" si="88"/>
        <v>399.58193819355591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177.81874008505994</v>
      </c>
      <c r="AA93" s="23">
        <f>EXP(-LN(2)/25)*AA92+(1-EXP(-LN(2)/25))/(LN(2)/25)*Calculateur!V93*Calculateur!X93*VLOOKUP('Données projet'!$B$9,Paramètres!$A$1:$I$89,3,0)*0.475*44/12</f>
        <v>43.419300997967525</v>
      </c>
      <c r="AB93" s="23">
        <f>EXP(-LN(2)/2)*AB92+(1-EXP(-LN(2)/2))/(LN(2)/2)*V93*Y93*VLOOKUP('Données projet'!$B$9,Paramètres!$A$1:$I$89,3,0)*0.475*44/12</f>
        <v>5.8886683546975675E-2</v>
      </c>
      <c r="AC93" s="24">
        <f t="shared" si="57"/>
        <v>221.29692776657444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269.90083987531233</v>
      </c>
      <c r="AO93" s="62">
        <f t="shared" si="90"/>
        <v>183.4515835513518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122.46335604198175</v>
      </c>
      <c r="AV93" s="23">
        <f>EXP(-LN(2)/25)*AV92+(1-EXP(-LN(2)/25))/(LN(2)/25)*Calculateur!AQ93*Calculateur!AS93*VLOOKUP('Données projet'!$B$10,Paramètres!$A$1:$I$89,3,0)*0.475*44/12</f>
        <v>44.776657750095588</v>
      </c>
      <c r="AW93" s="23">
        <f>EXP(-LN(2)/2)*AW92+(1-EXP(-LN(2)/2))/(LN(2)/2)*AQ93*AT93*VLOOKUP('Données projet'!$B$10,Paramètres!$A$1:$I$89,3,0)*0.475*44/12</f>
        <v>1.9888510595453486</v>
      </c>
      <c r="AX93" s="23">
        <f t="shared" si="60"/>
        <v>169.22886485162269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470.58</v>
      </c>
      <c r="BB93" s="13">
        <f>VLOOKUP(A93,'Données projet'!$A$87:$I$107,9,0)</f>
        <v>14.25444444444444</v>
      </c>
      <c r="BC93" s="13">
        <f t="array" ref="BC93">INDEX(BB:BB,MIN(IF(ISNUMBER(BB93:BB289),ROW(BB93:BB289),"")))</f>
        <v>14.25444444444444</v>
      </c>
      <c r="BD93" s="13">
        <f>IF('Données projet'!$A$88&gt;35,BD92+BC93-BL92,IF(A93&lt;'Données projet'!$A$88,$BA$205^A93,IF(A93='Données projet'!$A$88,'Données projet'!$B$88,BD92+BC93-BL92)))</f>
        <v>470.58000000000033</v>
      </c>
      <c r="BE93" s="14">
        <f>BD93*VLOOKUP('Données projet'!$B$11,Paramètres!$A$1:$I$89,3,0)*VLOOKUP('Données projet'!$B$11,Paramètres!$A$1:$I$89,5,0)</f>
        <v>226.34898000000015</v>
      </c>
      <c r="BF93" s="14">
        <f t="shared" si="91"/>
        <v>55.492511967774668</v>
      </c>
      <c r="BG93" s="22">
        <f t="shared" si="61"/>
        <v>490.87393184387446</v>
      </c>
      <c r="BH93" s="62">
        <f t="shared" si="62"/>
        <v>784.20726517720777</v>
      </c>
      <c r="BI93" s="62">
        <f ca="1">AVERAGE(OFFSET($BH$3,0,0,'Données projet'!$E$11+1,1))-AVERAGE(OFFSET($H$3,0,0,'Données projet'!$E$11+1,1))</f>
        <v>255.64417186544995</v>
      </c>
      <c r="BJ93" s="62">
        <f t="shared" si="92"/>
        <v>165.41802783289376</v>
      </c>
      <c r="BK93" s="16">
        <f>IF(ISNA(VLOOKUP(A93,'Données projet'!$A$87:$I$107,3,0)),0,VLOOKUP(A93,'Données projet'!$A$87:$I$107,3,0))</f>
        <v>5</v>
      </c>
      <c r="BL93" s="16">
        <f>IF(ISNA(VLOOKUP(A93,'Données projet'!$A$87:$I$107,4,0)),0,VLOOKUP(A93,'Données projet'!$A$87:$I$107,4,0))</f>
        <v>87.72</v>
      </c>
      <c r="BM93" s="17">
        <f>IF(ISNA(VLOOKUP(A93,'Données projet'!$A$87:$I$107,5,0)),0%,VLOOKUP(A93,'Données projet'!$A$87:$I$107,5,0)*VLOOKUP('Données projet'!$B$11,Paramètres!$A$1:$I$89,7,0))</f>
        <v>0.33</v>
      </c>
      <c r="BN93" s="17">
        <f>IF(ISNA(VLOOKUP(A93,'Données projet'!$A$87:$I$107,6,0)),0%,VLOOKUP(A93,'Données projet'!$A$87:$I$107,6,0)*VLOOKUP('Données projet'!$B$11,Paramètres!$A$1:$I$89,7,0))</f>
        <v>0.12100000000000001</v>
      </c>
      <c r="BO93" s="17">
        <f>IF(ISNA(VLOOKUP(A93,'Données projet'!$A$87:$I$107,7,0)),0%,VLOOKUP(A93,'Données projet'!$A$87:$I$107,7,0))</f>
        <v>0.18</v>
      </c>
      <c r="BP93" s="23">
        <f>EXP(-LN(2)/35)*BP92+(1-EXP(-LN(2)/35))/(LN(2)/35)*BL93*BM93*VLOOKUP('Données projet'!$B$11,Paramètres!$A$1:$I$89,3,0)*0.475*44/12</f>
        <v>57.387656609529614</v>
      </c>
      <c r="BQ93" s="23">
        <f>EXP(-LN(2)/25)*BQ92+(1-EXP(-LN(2)/25))/(LN(2)/25)*Calculateur!BL93*Calculateur!BN93*VLOOKUP('Données projet'!$B$11,Paramètres!$A$1:$I$89,3,0)*0.475*44/12</f>
        <v>30.875347996082187</v>
      </c>
      <c r="BR93" s="23">
        <f>EXP(-LN(2)/2)*BR92+(1-EXP(-LN(2)/2))/(LN(2)/2)*BL93*BO93*VLOOKUP('Données projet'!$B$11,Paramètres!$A$1:$I$89,3,0)*0.475*44/12</f>
        <v>9.0303699005940601</v>
      </c>
      <c r="BS93" s="24">
        <f t="shared" si="63"/>
        <v>97.293374506205851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>
        <f>BY93*VLOOKUP('Données projet'!$B$12,Paramètres!$A$1:$I$89,3,0)*VLOOKUP('Données projet'!$B$12,Paramètres!$A$1:$I$89,5,0)</f>
        <v>0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465.49436272491818</v>
      </c>
      <c r="CE93" s="62">
        <f t="shared" si="94"/>
        <v>494.36941732405256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192.83809099604497</v>
      </c>
      <c r="CL93" s="23">
        <f>EXP(-LN(2)/25)*CL92+(1-EXP(-LN(2)/25))/(LN(2)/25)*Calculateur!CG93*Calculateur!CI93*VLOOKUP('Données projet'!$B$12,Paramètres!$A$1:$I$89,3,0)*0.475*44/12</f>
        <v>47.978341947661725</v>
      </c>
      <c r="CM93" s="23">
        <f>EXP(-LN(2)/2)*CM92+(1-EXP(-LN(2)/2))/(LN(2)/2)*CG93*CJ93*VLOOKUP('Données projet'!$B$12,Paramètres!$A$1:$I$89,3,0)*0.475*44/12</f>
        <v>6.4176252058938912E-2</v>
      </c>
      <c r="CN93" s="24">
        <f t="shared" si="66"/>
        <v>240.88060919576563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-6.8212102632969618E-13</v>
      </c>
      <c r="CU93" s="18">
        <f>CT93*VLOOKUP('Données projet'!$B$13,Paramètres!$A$1:$I$89,3,0)*VLOOKUP('Données projet'!$B$13,Paramètres!$A$1:$I$89,5,0)</f>
        <v>-4.0790837374515837E-13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361.46923697840384</v>
      </c>
      <c r="CZ93" s="62">
        <f t="shared" si="96"/>
        <v>302.25424592654673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145.79602476662532</v>
      </c>
      <c r="DG93" s="23">
        <f>EXP(-LN(2)/25)*DG92+(1-EXP(-LN(2)/25))/(LN(2)/25)*Calculateur!DB93*Calculateur!DD93*VLOOKUP('Données projet'!$B$13,Paramètres!$A$1:$I$89,3,0)*0.475*44/12</f>
        <v>48.698889237667508</v>
      </c>
      <c r="DH93" s="23">
        <f>EXP(-LN(2)/2)*DH92+(1-EXP(-LN(2)/2))/(LN(2)/2)*DB93*DE93*VLOOKUP('Données projet'!$B$13,Paramètres!$A$1:$I$89,3,0)*0.475*44/12</f>
        <v>0.6421153353517951</v>
      </c>
      <c r="DI93" s="24">
        <f t="shared" si="69"/>
        <v>195.13702933964464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-4.5474735088646412E-13</v>
      </c>
      <c r="O94" s="14">
        <f>N94*VLOOKUP('Données projet'!$B$9,Paramètres!$A$1:$I$89,3,0)*VLOOKUP('Données projet'!$B$9,Paramètres!$A$1:$I$89,5,0)</f>
        <v>-2.5420376914553347E-13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389.80719836281679</v>
      </c>
      <c r="T94" s="62">
        <f t="shared" si="88"/>
        <v>399.58193819355591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174.33182305071395</v>
      </c>
      <c r="AA94" s="23">
        <f>EXP(-LN(2)/25)*AA93+(1-EXP(-LN(2)/25))/(LN(2)/25)*Calculateur!V94*Calculateur!X94*VLOOKUP('Données projet'!$B$9,Paramètres!$A$1:$I$89,3,0)*0.475*44/12</f>
        <v>42.231997928856302</v>
      </c>
      <c r="AB94" s="23">
        <f>EXP(-LN(2)/2)*AB93+(1-EXP(-LN(2)/2))/(LN(2)/2)*V94*Y94*VLOOKUP('Données projet'!$B$9,Paramètres!$A$1:$I$89,3,0)*0.475*44/12</f>
        <v>4.1639173257652796E-2</v>
      </c>
      <c r="AC94" s="24">
        <f t="shared" si="57"/>
        <v>216.60546015282793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269.90083987531233</v>
      </c>
      <c r="AO94" s="62">
        <f t="shared" si="90"/>
        <v>183.4515835513518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120.06192432527013</v>
      </c>
      <c r="AV94" s="23">
        <f>EXP(-LN(2)/25)*AV93+(1-EXP(-LN(2)/25))/(LN(2)/25)*Calculateur!AQ94*Calculateur!AS94*VLOOKUP('Données projet'!$B$10,Paramètres!$A$1:$I$89,3,0)*0.475*44/12</f>
        <v>43.552237689217129</v>
      </c>
      <c r="AW94" s="23">
        <f>EXP(-LN(2)/2)*AW93+(1-EXP(-LN(2)/2))/(LN(2)/2)*AQ94*AT94*VLOOKUP('Données projet'!$B$10,Paramètres!$A$1:$I$89,3,0)*0.475*44/12</f>
        <v>1.4063300709745661</v>
      </c>
      <c r="AX94" s="23">
        <f t="shared" si="60"/>
        <v>165.02049208546183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13.261111111111108</v>
      </c>
      <c r="BD94" s="13">
        <f>IF('Données projet'!$A$88&gt;35,BD93+BC94-BL93,IF(A94&lt;'Données projet'!$A$88,$BA$205^A94,IF(A94='Données projet'!$A$88,'Données projet'!$B$88,BD93+BC94-BL93)))</f>
        <v>396.12111111111142</v>
      </c>
      <c r="BE94" s="14">
        <f>BD94*VLOOKUP('Données projet'!$B$11,Paramètres!$A$1:$I$89,3,0)*VLOOKUP('Données projet'!$B$11,Paramètres!$A$1:$I$89,5,0)</f>
        <v>190.5342544444446</v>
      </c>
      <c r="BF94" s="14">
        <f t="shared" si="91"/>
        <v>47.658049613869487</v>
      </c>
      <c r="BG94" s="22">
        <f t="shared" si="61"/>
        <v>414.85159623489699</v>
      </c>
      <c r="BH94" s="62">
        <f t="shared" si="62"/>
        <v>708.18492956823025</v>
      </c>
      <c r="BI94" s="62">
        <f ca="1">AVERAGE(OFFSET($BH$3,0,0,'Données projet'!$E$11+1,1))-AVERAGE(OFFSET($H$3,0,0,'Données projet'!$E$11+1,1))</f>
        <v>255.64417186544995</v>
      </c>
      <c r="BJ94" s="62">
        <f t="shared" si="92"/>
        <v>165.41802783289376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56.262319666431011</v>
      </c>
      <c r="BQ94" s="23">
        <f>EXP(-LN(2)/25)*BQ93+(1-EXP(-LN(2)/25))/(LN(2)/25)*Calculateur!BL94*Calculateur!BN94*VLOOKUP('Données projet'!$B$11,Paramètres!$A$1:$I$89,3,0)*0.475*44/12</f>
        <v>30.031059981465337</v>
      </c>
      <c r="BR94" s="23">
        <f>EXP(-LN(2)/2)*BR93+(1-EXP(-LN(2)/2))/(LN(2)/2)*BL94*BO94*VLOOKUP('Données projet'!$B$11,Paramètres!$A$1:$I$89,3,0)*0.475*44/12</f>
        <v>6.3854357933329497</v>
      </c>
      <c r="BS94" s="24">
        <f t="shared" si="63"/>
        <v>92.67881544122929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>
        <f>BY94*VLOOKUP('Données projet'!$B$12,Paramètres!$A$1:$I$89,3,0)*VLOOKUP('Données projet'!$B$12,Paramètres!$A$1:$I$89,5,0)</f>
        <v>0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465.49436272491818</v>
      </c>
      <c r="CE94" s="62">
        <f t="shared" si="94"/>
        <v>494.36941732405256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189.05665365123406</v>
      </c>
      <c r="CL94" s="23">
        <f>EXP(-LN(2)/25)*CL93+(1-EXP(-LN(2)/25))/(LN(2)/25)*Calculateur!CG94*Calculateur!CI94*VLOOKUP('Données projet'!$B$12,Paramètres!$A$1:$I$89,3,0)*0.475*44/12</f>
        <v>46.666371664031566</v>
      </c>
      <c r="CM94" s="23">
        <f>EXP(-LN(2)/2)*CM93+(1-EXP(-LN(2)/2))/(LN(2)/2)*CG94*CJ94*VLOOKUP('Données projet'!$B$12,Paramètres!$A$1:$I$89,3,0)*0.475*44/12</f>
        <v>4.5379463022012838E-2</v>
      </c>
      <c r="CN94" s="24">
        <f t="shared" si="66"/>
        <v>235.76840477828765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-6.8212102632969618E-13</v>
      </c>
      <c r="CU94" s="18">
        <f>CT94*VLOOKUP('Données projet'!$B$13,Paramètres!$A$1:$I$89,3,0)*VLOOKUP('Données projet'!$B$13,Paramètres!$A$1:$I$89,5,0)</f>
        <v>-4.0790837374515837E-13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361.46923697840384</v>
      </c>
      <c r="CZ94" s="62">
        <f t="shared" si="96"/>
        <v>302.25424592654673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142.93705364774613</v>
      </c>
      <c r="DG94" s="23">
        <f>EXP(-LN(2)/25)*DG93+(1-EXP(-LN(2)/25))/(LN(2)/25)*Calculateur!DB94*Calculateur!DD94*VLOOKUP('Données projet'!$B$13,Paramètres!$A$1:$I$89,3,0)*0.475*44/12</f>
        <v>47.367215550500205</v>
      </c>
      <c r="DH94" s="23">
        <f>EXP(-LN(2)/2)*DH93+(1-EXP(-LN(2)/2))/(LN(2)/2)*DB94*DE94*VLOOKUP('Données projet'!$B$13,Paramètres!$A$1:$I$89,3,0)*0.475*44/12</f>
        <v>0.45404410793112837</v>
      </c>
      <c r="DI94" s="24">
        <f t="shared" si="69"/>
        <v>190.75831330617748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-4.5474735088646412E-13</v>
      </c>
      <c r="O95" s="14">
        <f>N95*VLOOKUP('Données projet'!$B$9,Paramètres!$A$1:$I$89,3,0)*VLOOKUP('Données projet'!$B$9,Paramètres!$A$1:$I$89,5,0)</f>
        <v>-2.5420376914553347E-13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389.80719836281679</v>
      </c>
      <c r="T95" s="62">
        <f t="shared" si="88"/>
        <v>399.58193819355591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170.91328233260211</v>
      </c>
      <c r="AA95" s="23">
        <f>EXP(-LN(2)/25)*AA94+(1-EXP(-LN(2)/25))/(LN(2)/25)*Calculateur!V95*Calculateur!X95*VLOOKUP('Données projet'!$B$9,Paramètres!$A$1:$I$89,3,0)*0.475*44/12</f>
        <v>41.077161724607478</v>
      </c>
      <c r="AB95" s="23">
        <f>EXP(-LN(2)/2)*AB94+(1-EXP(-LN(2)/2))/(LN(2)/2)*V95*Y95*VLOOKUP('Données projet'!$B$9,Paramètres!$A$1:$I$89,3,0)*0.475*44/12</f>
        <v>2.9443341773487838E-2</v>
      </c>
      <c r="AC95" s="24">
        <f t="shared" si="57"/>
        <v>212.01988739898306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269.90083987531233</v>
      </c>
      <c r="AO95" s="62">
        <f t="shared" si="90"/>
        <v>183.4515835513518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117.7075832197945</v>
      </c>
      <c r="AV95" s="23">
        <f>EXP(-LN(2)/25)*AV94+(1-EXP(-LN(2)/25))/(LN(2)/25)*Calculateur!AQ95*Calculateur!AS95*VLOOKUP('Données projet'!$B$10,Paramètres!$A$1:$I$89,3,0)*0.475*44/12</f>
        <v>42.361299459292844</v>
      </c>
      <c r="AW95" s="23">
        <f>EXP(-LN(2)/2)*AW94+(1-EXP(-LN(2)/2))/(LN(2)/2)*AQ95*AT95*VLOOKUP('Données projet'!$B$10,Paramètres!$A$1:$I$89,3,0)*0.475*44/12</f>
        <v>0.9944255297726744</v>
      </c>
      <c r="AX95" s="23">
        <f t="shared" si="60"/>
        <v>161.06330820886004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13.261111111111108</v>
      </c>
      <c r="BD95" s="13">
        <f>IF('Données projet'!$A$88&gt;35,BD94+BC95-BL94,IF(A95&lt;'Données projet'!$A$88,$BA$205^A95,IF(A95='Données projet'!$A$88,'Données projet'!$B$88,BD94+BC95-BL94)))</f>
        <v>409.38222222222254</v>
      </c>
      <c r="BE95" s="14">
        <f>BD95*VLOOKUP('Données projet'!$B$11,Paramètres!$A$1:$I$89,3,0)*VLOOKUP('Données projet'!$B$11,Paramètres!$A$1:$I$89,5,0)</f>
        <v>196.91284888888904</v>
      </c>
      <c r="BF95" s="14">
        <f t="shared" si="91"/>
        <v>49.065092315850208</v>
      </c>
      <c r="BG95" s="22">
        <f t="shared" si="61"/>
        <v>428.41158093158748</v>
      </c>
      <c r="BH95" s="62">
        <f t="shared" si="62"/>
        <v>721.74491426492079</v>
      </c>
      <c r="BI95" s="62">
        <f ca="1">AVERAGE(OFFSET($BH$3,0,0,'Données projet'!$E$11+1,1))-AVERAGE(OFFSET($H$3,0,0,'Données projet'!$E$11+1,1))</f>
        <v>255.64417186544995</v>
      </c>
      <c r="BJ95" s="62">
        <f t="shared" si="92"/>
        <v>165.41802783289376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55.159049894398812</v>
      </c>
      <c r="BQ95" s="23">
        <f>EXP(-LN(2)/25)*BQ94+(1-EXP(-LN(2)/25))/(LN(2)/25)*Calculateur!BL95*Calculateur!BN95*VLOOKUP('Données projet'!$B$11,Paramètres!$A$1:$I$89,3,0)*0.475*44/12</f>
        <v>29.209859067007358</v>
      </c>
      <c r="BR95" s="23">
        <f>EXP(-LN(2)/2)*BR94+(1-EXP(-LN(2)/2))/(LN(2)/2)*BL95*BO95*VLOOKUP('Données projet'!$B$11,Paramètres!$A$1:$I$89,3,0)*0.475*44/12</f>
        <v>4.5151849502970309</v>
      </c>
      <c r="BS95" s="24">
        <f t="shared" si="63"/>
        <v>88.884093911703189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>
        <f>BY95*VLOOKUP('Données projet'!$B$12,Paramètres!$A$1:$I$89,3,0)*VLOOKUP('Données projet'!$B$12,Paramètres!$A$1:$I$89,5,0)</f>
        <v>0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465.49436272491818</v>
      </c>
      <c r="CE95" s="62">
        <f t="shared" si="94"/>
        <v>494.36941732405256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185.34936798630585</v>
      </c>
      <c r="CL95" s="23">
        <f>EXP(-LN(2)/25)*CL94+(1-EXP(-LN(2)/25))/(LN(2)/25)*Calculateur!CG95*Calculateur!CI95*VLOOKUP('Données projet'!$B$12,Paramètres!$A$1:$I$89,3,0)*0.475*44/12</f>
        <v>45.390277276800795</v>
      </c>
      <c r="CM95" s="23">
        <f>EXP(-LN(2)/2)*CM94+(1-EXP(-LN(2)/2))/(LN(2)/2)*CG95*CJ95*VLOOKUP('Données projet'!$B$12,Paramètres!$A$1:$I$89,3,0)*0.475*44/12</f>
        <v>3.2088126029469456E-2</v>
      </c>
      <c r="CN95" s="24">
        <f t="shared" si="66"/>
        <v>230.7717333891361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-6.8212102632969618E-13</v>
      </c>
      <c r="CU95" s="18">
        <f>CT95*VLOOKUP('Données projet'!$B$13,Paramètres!$A$1:$I$89,3,0)*VLOOKUP('Données projet'!$B$13,Paramètres!$A$1:$I$89,5,0)</f>
        <v>-4.0790837374515837E-13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361.46923697840384</v>
      </c>
      <c r="CZ95" s="62">
        <f t="shared" si="96"/>
        <v>302.25424592654673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140.13414520870793</v>
      </c>
      <c r="DG95" s="23">
        <f>EXP(-LN(2)/25)*DG94+(1-EXP(-LN(2)/25))/(LN(2)/25)*Calculateur!DB95*Calculateur!DD95*VLOOKUP('Données projet'!$B$13,Paramètres!$A$1:$I$89,3,0)*0.475*44/12</f>
        <v>46.071956550338172</v>
      </c>
      <c r="DH95" s="23">
        <f>EXP(-LN(2)/2)*DH94+(1-EXP(-LN(2)/2))/(LN(2)/2)*DB95*DE95*VLOOKUP('Données projet'!$B$13,Paramètres!$A$1:$I$89,3,0)*0.475*44/12</f>
        <v>0.32105766767589755</v>
      </c>
      <c r="DI95" s="24">
        <f t="shared" si="69"/>
        <v>186.52715942672199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-4.5474735088646412E-13</v>
      </c>
      <c r="O96" s="14">
        <f>N96*VLOOKUP('Données projet'!$B$9,Paramètres!$A$1:$I$89,3,0)*VLOOKUP('Données projet'!$B$9,Paramètres!$A$1:$I$89,5,0)</f>
        <v>-2.5420376914553347E-13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389.80719836281679</v>
      </c>
      <c r="T96" s="62">
        <f t="shared" si="88"/>
        <v>399.58193819355591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167.5617771128685</v>
      </c>
      <c r="AA96" s="23">
        <f>EXP(-LN(2)/25)*AA95+(1-EXP(-LN(2)/25))/(LN(2)/25)*Calculateur!V96*Calculateur!X96*VLOOKUP('Données projet'!$B$9,Paramètres!$A$1:$I$89,3,0)*0.475*44/12</f>
        <v>39.953904577094036</v>
      </c>
      <c r="AB96" s="23">
        <f>EXP(-LN(2)/2)*AB95+(1-EXP(-LN(2)/2))/(LN(2)/2)*V96*Y96*VLOOKUP('Données projet'!$B$9,Paramètres!$A$1:$I$89,3,0)*0.475*44/12</f>
        <v>2.0819586628826398E-2</v>
      </c>
      <c r="AC96" s="24">
        <f t="shared" si="57"/>
        <v>207.53650127659137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269.90083987531233</v>
      </c>
      <c r="AO96" s="62">
        <f t="shared" si="90"/>
        <v>183.4515835513518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115.39940930739097</v>
      </c>
      <c r="AV96" s="23">
        <f>EXP(-LN(2)/25)*AV95+(1-EXP(-LN(2)/25))/(LN(2)/25)*Calculateur!AQ96*Calculateur!AS96*VLOOKUP('Données projet'!$B$10,Paramètres!$A$1:$I$89,3,0)*0.475*44/12</f>
        <v>41.202927497894564</v>
      </c>
      <c r="AW96" s="23">
        <f>EXP(-LN(2)/2)*AW95+(1-EXP(-LN(2)/2))/(LN(2)/2)*AQ96*AT96*VLOOKUP('Données projet'!$B$10,Paramètres!$A$1:$I$89,3,0)*0.475*44/12</f>
        <v>0.70316503548728315</v>
      </c>
      <c r="AX96" s="23">
        <f t="shared" si="60"/>
        <v>157.30550184077279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13.261111111111108</v>
      </c>
      <c r="BD96" s="13">
        <f>IF('Données projet'!$A$88&gt;35,BD95+BC96-BL95,IF(A96&lt;'Données projet'!$A$88,$BA$205^A96,IF(A96='Données projet'!$A$88,'Données projet'!$B$88,BD95+BC96-BL95)))</f>
        <v>422.64333333333366</v>
      </c>
      <c r="BE96" s="14">
        <f>BD96*VLOOKUP('Données projet'!$B$11,Paramètres!$A$1:$I$89,3,0)*VLOOKUP('Données projet'!$B$11,Paramètres!$A$1:$I$89,5,0)</f>
        <v>203.29144333333352</v>
      </c>
      <c r="BF96" s="14">
        <f t="shared" si="91"/>
        <v>50.46683871346201</v>
      </c>
      <c r="BG96" s="22">
        <f t="shared" si="61"/>
        <v>441.96234123150219</v>
      </c>
      <c r="BH96" s="62">
        <f t="shared" si="62"/>
        <v>735.29567456483551</v>
      </c>
      <c r="BI96" s="62">
        <f ca="1">AVERAGE(OFFSET($BH$3,0,0,'Données projet'!$E$11+1,1))-AVERAGE(OFFSET($H$3,0,0,'Données projet'!$E$11+1,1))</f>
        <v>255.64417186544995</v>
      </c>
      <c r="BJ96" s="62">
        <f t="shared" si="92"/>
        <v>165.41802783289376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54.077414569668051</v>
      </c>
      <c r="BQ96" s="23">
        <f>EXP(-LN(2)/25)*BQ95+(1-EXP(-LN(2)/25))/(LN(2)/25)*Calculateur!BL96*Calculateur!BN96*VLOOKUP('Données projet'!$B$11,Paramètres!$A$1:$I$89,3,0)*0.475*44/12</f>
        <v>28.411113934740314</v>
      </c>
      <c r="BR96" s="23">
        <f>EXP(-LN(2)/2)*BR95+(1-EXP(-LN(2)/2))/(LN(2)/2)*BL96*BO96*VLOOKUP('Données projet'!$B$11,Paramètres!$A$1:$I$89,3,0)*0.475*44/12</f>
        <v>3.1927178966664753</v>
      </c>
      <c r="BS96" s="24">
        <f t="shared" si="63"/>
        <v>85.681246401074844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>
        <f>BY96*VLOOKUP('Données projet'!$B$12,Paramètres!$A$1:$I$89,3,0)*VLOOKUP('Données projet'!$B$12,Paramètres!$A$1:$I$89,5,0)</f>
        <v>0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465.49436272491818</v>
      </c>
      <c r="CE96" s="62">
        <f t="shared" si="94"/>
        <v>494.36941732405256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181.7147799320459</v>
      </c>
      <c r="CL96" s="23">
        <f>EXP(-LN(2)/25)*CL95+(1-EXP(-LN(2)/25))/(LN(2)/25)*Calculateur!CG96*Calculateur!CI96*VLOOKUP('Données projet'!$B$12,Paramètres!$A$1:$I$89,3,0)*0.475*44/12</f>
        <v>44.149077757695736</v>
      </c>
      <c r="CM96" s="23">
        <f>EXP(-LN(2)/2)*CM95+(1-EXP(-LN(2)/2))/(LN(2)/2)*CG96*CJ96*VLOOKUP('Données projet'!$B$12,Paramètres!$A$1:$I$89,3,0)*0.475*44/12</f>
        <v>2.2689731511006419E-2</v>
      </c>
      <c r="CN96" s="24">
        <f t="shared" si="66"/>
        <v>225.88654742125263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-6.8212102632969618E-13</v>
      </c>
      <c r="CU96" s="18">
        <f>CT96*VLOOKUP('Données projet'!$B$13,Paramètres!$A$1:$I$89,3,0)*VLOOKUP('Données projet'!$B$13,Paramètres!$A$1:$I$89,5,0)</f>
        <v>-4.0790837374515837E-13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361.46923697840384</v>
      </c>
      <c r="CZ96" s="62">
        <f t="shared" si="96"/>
        <v>302.25424592654673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137.38620009455394</v>
      </c>
      <c r="DG96" s="23">
        <f>EXP(-LN(2)/25)*DG95+(1-EXP(-LN(2)/25))/(LN(2)/25)*Calculateur!DB96*Calculateur!DD96*VLOOKUP('Données projet'!$B$13,Paramètres!$A$1:$I$89,3,0)*0.475*44/12</f>
        <v>44.812116475650278</v>
      </c>
      <c r="DH96" s="23">
        <f>EXP(-LN(2)/2)*DH95+(1-EXP(-LN(2)/2))/(LN(2)/2)*DB96*DE96*VLOOKUP('Données projet'!$B$13,Paramètres!$A$1:$I$89,3,0)*0.475*44/12</f>
        <v>0.22702205396556419</v>
      </c>
      <c r="DI96" s="24">
        <f t="shared" si="69"/>
        <v>182.42533862416977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-4.5474735088646412E-13</v>
      </c>
      <c r="O97" s="14">
        <f>N97*VLOOKUP('Données projet'!$B$9,Paramètres!$A$1:$I$89,3,0)*VLOOKUP('Données projet'!$B$9,Paramètres!$A$1:$I$89,5,0)</f>
        <v>-2.5420376914553347E-13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389.80719836281679</v>
      </c>
      <c r="T97" s="62">
        <f t="shared" si="88"/>
        <v>399.58193819355591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164.27599286627751</v>
      </c>
      <c r="AA97" s="23">
        <f>EXP(-LN(2)/25)*AA96+(1-EXP(-LN(2)/25))/(LN(2)/25)*Calculateur!V97*Calculateur!X97*VLOOKUP('Données projet'!$B$9,Paramètres!$A$1:$I$89,3,0)*0.475*44/12</f>
        <v>38.861362955348874</v>
      </c>
      <c r="AB97" s="23">
        <f>EXP(-LN(2)/2)*AB96+(1-EXP(-LN(2)/2))/(LN(2)/2)*V97*Y97*VLOOKUP('Données projet'!$B$9,Paramètres!$A$1:$I$89,3,0)*0.475*44/12</f>
        <v>1.4721670886743919E-2</v>
      </c>
      <c r="AC97" s="24">
        <f t="shared" si="57"/>
        <v>203.15207749251314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269.90083987531233</v>
      </c>
      <c r="AO97" s="62">
        <f t="shared" si="90"/>
        <v>183.4515835513518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113.1364972775626</v>
      </c>
      <c r="AV97" s="23">
        <f>EXP(-LN(2)/25)*AV96+(1-EXP(-LN(2)/25))/(LN(2)/25)*Calculateur!AQ97*Calculateur!AS97*VLOOKUP('Données projet'!$B$10,Paramètres!$A$1:$I$89,3,0)*0.475*44/12</f>
        <v>40.076231278696852</v>
      </c>
      <c r="AW97" s="23">
        <f>EXP(-LN(2)/2)*AW96+(1-EXP(-LN(2)/2))/(LN(2)/2)*AQ97*AT97*VLOOKUP('Données projet'!$B$10,Paramètres!$A$1:$I$89,3,0)*0.475*44/12</f>
        <v>0.49721276488633731</v>
      </c>
      <c r="AX97" s="23">
        <f t="shared" si="60"/>
        <v>153.70994132114578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13.261111111111108</v>
      </c>
      <c r="BD97" s="13">
        <f>IF('Données projet'!$A$88&gt;35,BD96+BC97-BL96,IF(A97&lt;'Données projet'!$A$88,$BA$205^A97,IF(A97='Données projet'!$A$88,'Données projet'!$B$88,BD96+BC97-BL96)))</f>
        <v>435.90444444444478</v>
      </c>
      <c r="BE97" s="14">
        <f>BD97*VLOOKUP('Données projet'!$B$11,Paramètres!$A$1:$I$89,3,0)*VLOOKUP('Données projet'!$B$11,Paramètres!$A$1:$I$89,5,0)</f>
        <v>209.67003777777794</v>
      </c>
      <c r="BF97" s="14">
        <f t="shared" si="91"/>
        <v>51.863474053391499</v>
      </c>
      <c r="BG97" s="22">
        <f t="shared" si="61"/>
        <v>455.5041997726201</v>
      </c>
      <c r="BH97" s="62">
        <f t="shared" si="62"/>
        <v>748.83753310595341</v>
      </c>
      <c r="BI97" s="62">
        <f ca="1">AVERAGE(OFFSET($BH$3,0,0,'Données projet'!$E$11+1,1))-AVERAGE(OFFSET($H$3,0,0,'Données projet'!$E$11+1,1))</f>
        <v>255.64417186544995</v>
      </c>
      <c r="BJ97" s="62">
        <f t="shared" si="92"/>
        <v>165.41802783289376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53.016989453922854</v>
      </c>
      <c r="BQ97" s="23">
        <f>EXP(-LN(2)/25)*BQ96+(1-EXP(-LN(2)/25))/(LN(2)/25)*Calculateur!BL97*Calculateur!BN97*VLOOKUP('Données projet'!$B$11,Paramètres!$A$1:$I$89,3,0)*0.475*44/12</f>
        <v>27.634210530119294</v>
      </c>
      <c r="BR97" s="23">
        <f>EXP(-LN(2)/2)*BR96+(1-EXP(-LN(2)/2))/(LN(2)/2)*BL97*BO97*VLOOKUP('Données projet'!$B$11,Paramètres!$A$1:$I$89,3,0)*0.475*44/12</f>
        <v>2.2575924751485159</v>
      </c>
      <c r="BS97" s="24">
        <f t="shared" si="63"/>
        <v>82.908792459190664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>
        <f>BY97*VLOOKUP('Données projet'!$B$12,Paramètres!$A$1:$I$89,3,0)*VLOOKUP('Données projet'!$B$12,Paramètres!$A$1:$I$89,5,0)</f>
        <v>0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465.49436272491818</v>
      </c>
      <c r="CE97" s="62">
        <f t="shared" si="94"/>
        <v>494.36941732405256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178.15146393265019</v>
      </c>
      <c r="CL97" s="23">
        <f>EXP(-LN(2)/25)*CL96+(1-EXP(-LN(2)/25))/(LN(2)/25)*Calculateur!CG97*Calculateur!CI97*VLOOKUP('Données projet'!$B$12,Paramètres!$A$1:$I$89,3,0)*0.475*44/12</f>
        <v>42.941818904712449</v>
      </c>
      <c r="CM97" s="23">
        <f>EXP(-LN(2)/2)*CM96+(1-EXP(-LN(2)/2))/(LN(2)/2)*CG97*CJ97*VLOOKUP('Données projet'!$B$12,Paramètres!$A$1:$I$89,3,0)*0.475*44/12</f>
        <v>1.6044063014734728E-2</v>
      </c>
      <c r="CN97" s="24">
        <f t="shared" si="66"/>
        <v>221.10932690037737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-6.8212102632969618E-13</v>
      </c>
      <c r="CU97" s="18">
        <f>CT97*VLOOKUP('Données projet'!$B$13,Paramètres!$A$1:$I$89,3,0)*VLOOKUP('Données projet'!$B$13,Paramètres!$A$1:$I$89,5,0)</f>
        <v>-4.0790837374515837E-13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361.46923697840384</v>
      </c>
      <c r="CZ97" s="62">
        <f t="shared" si="96"/>
        <v>302.25424592654673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134.6921405080075</v>
      </c>
      <c r="DG97" s="23">
        <f>EXP(-LN(2)/25)*DG96+(1-EXP(-LN(2)/25))/(LN(2)/25)*Calculateur!DB97*Calculateur!DD97*VLOOKUP('Données projet'!$B$13,Paramètres!$A$1:$I$89,3,0)*0.475*44/12</f>
        <v>43.586726794056837</v>
      </c>
      <c r="DH97" s="23">
        <f>EXP(-LN(2)/2)*DH96+(1-EXP(-LN(2)/2))/(LN(2)/2)*DB97*DE97*VLOOKUP('Données projet'!$B$13,Paramètres!$A$1:$I$89,3,0)*0.475*44/12</f>
        <v>0.16052883383794878</v>
      </c>
      <c r="DI97" s="24">
        <f t="shared" si="69"/>
        <v>178.43939613590229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-4.5474735088646412E-13</v>
      </c>
      <c r="O98" s="14">
        <f>N98*VLOOKUP('Données projet'!$B$9,Paramètres!$A$1:$I$89,3,0)*VLOOKUP('Données projet'!$B$9,Paramètres!$A$1:$I$89,5,0)</f>
        <v>-2.5420376914553347E-13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389.80719836281679</v>
      </c>
      <c r="T98" s="62">
        <f t="shared" si="88"/>
        <v>399.58193819355591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161.05464084463168</v>
      </c>
      <c r="AA98" s="23">
        <f>EXP(-LN(2)/25)*AA97+(1-EXP(-LN(2)/25))/(LN(2)/25)*Calculateur!V98*Calculateur!X98*VLOOKUP('Données projet'!$B$9,Paramètres!$A$1:$I$89,3,0)*0.475*44/12</f>
        <v>37.798696941704598</v>
      </c>
      <c r="AB98" s="23">
        <f>EXP(-LN(2)/2)*AB97+(1-EXP(-LN(2)/2))/(LN(2)/2)*V98*Y98*VLOOKUP('Données projet'!$B$9,Paramètres!$A$1:$I$89,3,0)*0.475*44/12</f>
        <v>1.0409793314413199E-2</v>
      </c>
      <c r="AC98" s="24">
        <f t="shared" si="57"/>
        <v>198.86374757965069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269.90083987531233</v>
      </c>
      <c r="AO98" s="62">
        <f t="shared" si="90"/>
        <v>183.4515835513518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110.91795957239911</v>
      </c>
      <c r="AV98" s="23">
        <f>EXP(-LN(2)/25)*AV97+(1-EXP(-LN(2)/25))/(LN(2)/25)*Calculateur!AQ98*Calculateur!AS98*VLOOKUP('Données projet'!$B$10,Paramètres!$A$1:$I$89,3,0)*0.475*44/12</f>
        <v>38.980344626863477</v>
      </c>
      <c r="AW98" s="23">
        <f>EXP(-LN(2)/2)*AW97+(1-EXP(-LN(2)/2))/(LN(2)/2)*AQ98*AT98*VLOOKUP('Données projet'!$B$10,Paramètres!$A$1:$I$89,3,0)*0.475*44/12</f>
        <v>0.35158251774364163</v>
      </c>
      <c r="AX98" s="23">
        <f t="shared" si="60"/>
        <v>150.24988671700623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13.261111111111108</v>
      </c>
      <c r="BD98" s="13">
        <f>IF('Données projet'!$A$88&gt;35,BD97+BC98-BL97,IF(A98&lt;'Données projet'!$A$88,$BA$205^A98,IF(A98='Données projet'!$A$88,'Données projet'!$B$88,BD97+BC98-BL97)))</f>
        <v>449.1655555555559</v>
      </c>
      <c r="BE98" s="14">
        <f>BD98*VLOOKUP('Données projet'!$B$11,Paramètres!$A$1:$I$89,3,0)*VLOOKUP('Données projet'!$B$11,Paramètres!$A$1:$I$89,5,0)</f>
        <v>216.04863222222238</v>
      </c>
      <c r="BF98" s="14">
        <f t="shared" si="91"/>
        <v>53.255171670694288</v>
      </c>
      <c r="BG98" s="22">
        <f t="shared" si="61"/>
        <v>469.03745844682982</v>
      </c>
      <c r="BH98" s="62">
        <f t="shared" si="62"/>
        <v>762.37079178016313</v>
      </c>
      <c r="BI98" s="62">
        <f ca="1">AVERAGE(OFFSET($BH$3,0,0,'Données projet'!$E$11+1,1))-AVERAGE(OFFSET($H$3,0,0,'Données projet'!$E$11+1,1))</f>
        <v>255.64417186544995</v>
      </c>
      <c r="BJ98" s="62">
        <f t="shared" si="92"/>
        <v>165.41802783289376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51.977358627901964</v>
      </c>
      <c r="BQ98" s="23">
        <f>EXP(-LN(2)/25)*BQ97+(1-EXP(-LN(2)/25))/(LN(2)/25)*Calculateur!BL98*Calculateur!BN98*VLOOKUP('Données projet'!$B$11,Paramètres!$A$1:$I$89,3,0)*0.475*44/12</f>
        <v>26.878551589953208</v>
      </c>
      <c r="BR98" s="23">
        <f>EXP(-LN(2)/2)*BR97+(1-EXP(-LN(2)/2))/(LN(2)/2)*BL98*BO98*VLOOKUP('Données projet'!$B$11,Paramètres!$A$1:$I$89,3,0)*0.475*44/12</f>
        <v>1.5963589483332379</v>
      </c>
      <c r="BS98" s="24">
        <f t="shared" si="63"/>
        <v>80.452269166188401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>
        <f>BY98*VLOOKUP('Données projet'!$B$12,Paramètres!$A$1:$I$89,3,0)*VLOOKUP('Données projet'!$B$12,Paramètres!$A$1:$I$89,5,0)</f>
        <v>0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465.49436272491818</v>
      </c>
      <c r="CE98" s="62">
        <f t="shared" si="94"/>
        <v>494.36941732405256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174.65802238659447</v>
      </c>
      <c r="CL98" s="23">
        <f>EXP(-LN(2)/25)*CL97+(1-EXP(-LN(2)/25))/(LN(2)/25)*Calculateur!CG98*Calculateur!CI98*VLOOKUP('Données projet'!$B$12,Paramètres!$A$1:$I$89,3,0)*0.475*44/12</f>
        <v>41.767572608550978</v>
      </c>
      <c r="CM98" s="23">
        <f>EXP(-LN(2)/2)*CM97+(1-EXP(-LN(2)/2))/(LN(2)/2)*CG98*CJ98*VLOOKUP('Données projet'!$B$12,Paramètres!$A$1:$I$89,3,0)*0.475*44/12</f>
        <v>1.1344865755503209E-2</v>
      </c>
      <c r="CN98" s="24">
        <f t="shared" si="66"/>
        <v>216.43693986090094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-6.8212102632969618E-13</v>
      </c>
      <c r="CU98" s="18">
        <f>CT98*VLOOKUP('Données projet'!$B$13,Paramètres!$A$1:$I$89,3,0)*VLOOKUP('Données projet'!$B$13,Paramètres!$A$1:$I$89,5,0)</f>
        <v>-4.0790837374515837E-13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361.46923697840384</v>
      </c>
      <c r="CZ98" s="62">
        <f t="shared" si="96"/>
        <v>302.25424592654673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132.05090978673914</v>
      </c>
      <c r="DG98" s="23">
        <f>EXP(-LN(2)/25)*DG97+(1-EXP(-LN(2)/25))/(LN(2)/25)*Calculateur!DB98*Calculateur!DD98*VLOOKUP('Données projet'!$B$13,Paramètres!$A$1:$I$89,3,0)*0.475*44/12</f>
        <v>42.39484545774701</v>
      </c>
      <c r="DH98" s="23">
        <f>EXP(-LN(2)/2)*DH97+(1-EXP(-LN(2)/2))/(LN(2)/2)*DB98*DE98*VLOOKUP('Données projet'!$B$13,Paramètres!$A$1:$I$89,3,0)*0.475*44/12</f>
        <v>0.11351102698278209</v>
      </c>
      <c r="DI98" s="24">
        <f t="shared" si="69"/>
        <v>174.55926627146894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-4.5474735088646412E-13</v>
      </c>
      <c r="O99" s="14">
        <f>N99*VLOOKUP('Données projet'!$B$9,Paramètres!$A$1:$I$89,3,0)*VLOOKUP('Données projet'!$B$9,Paramètres!$A$1:$I$89,5,0)</f>
        <v>-2.5420376914553347E-13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389.80719836281679</v>
      </c>
      <c r="T99" s="62">
        <f t="shared" si="88"/>
        <v>399.58193819355591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157.89645757129961</v>
      </c>
      <c r="AA99" s="23">
        <f>EXP(-LN(2)/25)*AA98+(1-EXP(-LN(2)/25))/(LN(2)/25)*Calculateur!V99*Calculateur!X99*VLOOKUP('Données projet'!$B$9,Paramètres!$A$1:$I$89,3,0)*0.475*44/12</f>
        <v>36.765089586086603</v>
      </c>
      <c r="AB99" s="23">
        <f>EXP(-LN(2)/2)*AB98+(1-EXP(-LN(2)/2))/(LN(2)/2)*V99*Y99*VLOOKUP('Données projet'!$B$9,Paramètres!$A$1:$I$89,3,0)*0.475*44/12</f>
        <v>7.3608354433719594E-3</v>
      </c>
      <c r="AC99" s="24">
        <f t="shared" si="57"/>
        <v>194.66890799282959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269.90083987531233</v>
      </c>
      <c r="AO99" s="62">
        <f t="shared" si="90"/>
        <v>183.4515835513518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108.7429260384595</v>
      </c>
      <c r="AV99" s="23">
        <f>EXP(-LN(2)/25)*AV98+(1-EXP(-LN(2)/25))/(LN(2)/25)*Calculateur!AQ99*Calculateur!AS99*VLOOKUP('Données projet'!$B$10,Paramètres!$A$1:$I$89,3,0)*0.475*44/12</f>
        <v>37.914425053154659</v>
      </c>
      <c r="AW99" s="23">
        <f>EXP(-LN(2)/2)*AW98+(1-EXP(-LN(2)/2))/(LN(2)/2)*AQ99*AT99*VLOOKUP('Données projet'!$B$10,Paramètres!$A$1:$I$89,3,0)*0.475*44/12</f>
        <v>0.24860638244316868</v>
      </c>
      <c r="AX99" s="23">
        <f t="shared" si="60"/>
        <v>146.90595747405732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13.261111111111108</v>
      </c>
      <c r="BD99" s="13">
        <f>IF('Données projet'!$A$88&gt;35,BD98+BC99-BL98,IF(A99&lt;'Données projet'!$A$88,$BA$205^A99,IF(A99='Données projet'!$A$88,'Données projet'!$B$88,BD98+BC99-BL98)))</f>
        <v>462.42666666666702</v>
      </c>
      <c r="BE99" s="14">
        <f>BD99*VLOOKUP('Données projet'!$B$11,Paramètres!$A$1:$I$89,3,0)*VLOOKUP('Données projet'!$B$11,Paramètres!$A$1:$I$89,5,0)</f>
        <v>222.42722666666683</v>
      </c>
      <c r="BF99" s="14">
        <f t="shared" si="91"/>
        <v>54.642094083527937</v>
      </c>
      <c r="BG99" s="22">
        <f t="shared" si="61"/>
        <v>482.56240030658927</v>
      </c>
      <c r="BH99" s="62">
        <f t="shared" si="62"/>
        <v>775.89573363992258</v>
      </c>
      <c r="BI99" s="62">
        <f ca="1">AVERAGE(OFFSET($BH$3,0,0,'Données projet'!$E$11+1,1))-AVERAGE(OFFSET($H$3,0,0,'Données projet'!$E$11+1,1))</f>
        <v>255.64417186544995</v>
      </c>
      <c r="BJ99" s="62">
        <f t="shared" si="92"/>
        <v>165.41802783289376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50.95811432826715</v>
      </c>
      <c r="BQ99" s="23">
        <f>EXP(-LN(2)/25)*BQ98+(1-EXP(-LN(2)/25))/(LN(2)/25)*Calculateur!BL99*Calculateur!BN99*VLOOKUP('Données projet'!$B$11,Paramètres!$A$1:$I$89,3,0)*0.475*44/12</f>
        <v>26.143556183244343</v>
      </c>
      <c r="BR99" s="23">
        <f>EXP(-LN(2)/2)*BR98+(1-EXP(-LN(2)/2))/(LN(2)/2)*BL99*BO99*VLOOKUP('Données projet'!$B$11,Paramètres!$A$1:$I$89,3,0)*0.475*44/12</f>
        <v>1.128796237574258</v>
      </c>
      <c r="BS99" s="24">
        <f t="shared" si="63"/>
        <v>78.23046674908575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>
        <f>BY99*VLOOKUP('Données projet'!$B$12,Paramètres!$A$1:$I$89,3,0)*VLOOKUP('Données projet'!$B$12,Paramètres!$A$1:$I$89,5,0)</f>
        <v>0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465.49436272491818</v>
      </c>
      <c r="CE99" s="62">
        <f t="shared" si="94"/>
        <v>494.36941732405256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171.23308509846797</v>
      </c>
      <c r="CL99" s="23">
        <f>EXP(-LN(2)/25)*CL98+(1-EXP(-LN(2)/25))/(LN(2)/25)*Calculateur!CG99*Calculateur!CI99*VLOOKUP('Données projet'!$B$12,Paramètres!$A$1:$I$89,3,0)*0.475*44/12</f>
        <v>40.62543613910897</v>
      </c>
      <c r="CM99" s="23">
        <f>EXP(-LN(2)/2)*CM98+(1-EXP(-LN(2)/2))/(LN(2)/2)*CG99*CJ99*VLOOKUP('Données projet'!$B$12,Paramètres!$A$1:$I$89,3,0)*0.475*44/12</f>
        <v>8.022031507367364E-3</v>
      </c>
      <c r="CN99" s="24">
        <f t="shared" si="66"/>
        <v>211.86654326908433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-6.8212102632969618E-13</v>
      </c>
      <c r="CU99" s="18">
        <f>CT99*VLOOKUP('Données projet'!$B$13,Paramètres!$A$1:$I$89,3,0)*VLOOKUP('Données projet'!$B$13,Paramètres!$A$1:$I$89,5,0)</f>
        <v>-4.0790837374515837E-13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361.46923697840384</v>
      </c>
      <c r="CZ99" s="62">
        <f t="shared" si="96"/>
        <v>302.25424592654673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129.46147198892319</v>
      </c>
      <c r="DG99" s="23">
        <f>EXP(-LN(2)/25)*DG98+(1-EXP(-LN(2)/25))/(LN(2)/25)*Calculateur!DB99*Calculateur!DD99*VLOOKUP('Données projet'!$B$13,Paramètres!$A$1:$I$89,3,0)*0.475*44/12</f>
        <v>41.235556179256889</v>
      </c>
      <c r="DH99" s="23">
        <f>EXP(-LN(2)/2)*DH98+(1-EXP(-LN(2)/2))/(LN(2)/2)*DB99*DE99*VLOOKUP('Données projet'!$B$13,Paramètres!$A$1:$I$89,3,0)*0.475*44/12</f>
        <v>8.0264416918974388E-2</v>
      </c>
      <c r="DI99" s="24">
        <f t="shared" si="69"/>
        <v>170.77729258509905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-4.5474735088646412E-13</v>
      </c>
      <c r="O100" s="14">
        <f>N100*VLOOKUP('Données projet'!$B$9,Paramètres!$A$1:$I$89,3,0)*VLOOKUP('Données projet'!$B$9,Paramètres!$A$1:$I$89,5,0)</f>
        <v>-2.5420376914553347E-13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389.80719836281679</v>
      </c>
      <c r="T100" s="62">
        <f t="shared" si="88"/>
        <v>399.58193819355591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154.80020434565597</v>
      </c>
      <c r="AA100" s="23">
        <f>EXP(-LN(2)/25)*AA99+(1-EXP(-LN(2)/25))/(LN(2)/25)*Calculateur!V100*Calculateur!X100*VLOOKUP('Données projet'!$B$9,Paramètres!$A$1:$I$89,3,0)*0.475*44/12</f>
        <v>35.759746277963032</v>
      </c>
      <c r="AB100" s="23">
        <f>EXP(-LN(2)/2)*AB99+(1-EXP(-LN(2)/2))/(LN(2)/2)*V100*Y100*VLOOKUP('Données projet'!$B$9,Paramètres!$A$1:$I$89,3,0)*0.475*44/12</f>
        <v>5.2048966572065996E-3</v>
      </c>
      <c r="AC100" s="24">
        <f t="shared" si="57"/>
        <v>190.56515552027619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269.90083987531233</v>
      </c>
      <c r="AO100" s="62">
        <f t="shared" si="90"/>
        <v>183.4515835513518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106.61054358548098</v>
      </c>
      <c r="AV100" s="23">
        <f>EXP(-LN(2)/25)*AV99+(1-EXP(-LN(2)/25))/(LN(2)/25)*Calculateur!AQ100*Calculateur!AS100*VLOOKUP('Données projet'!$B$10,Paramètres!$A$1:$I$89,3,0)*0.475*44/12</f>
        <v>36.877653106243187</v>
      </c>
      <c r="AW100" s="23">
        <f>EXP(-LN(2)/2)*AW99+(1-EXP(-LN(2)/2))/(LN(2)/2)*AQ100*AT100*VLOOKUP('Données projet'!$B$10,Paramètres!$A$1:$I$89,3,0)*0.475*44/12</f>
        <v>0.17579125887182084</v>
      </c>
      <c r="AX100" s="23">
        <f t="shared" si="60"/>
        <v>143.66398795059598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13.261111111111108</v>
      </c>
      <c r="BD100" s="13">
        <f>IF('Données projet'!$A$88&gt;35,BD99+BC100-BL99,IF(A100&lt;'Données projet'!$A$88,$BA$205^A100,IF(A100='Données projet'!$A$88,'Données projet'!$B$88,BD99+BC100-BL99)))</f>
        <v>475.68777777777814</v>
      </c>
      <c r="BE100" s="14">
        <f>BD100*VLOOKUP('Données projet'!$B$11,Paramètres!$A$1:$I$89,3,0)*VLOOKUP('Données projet'!$B$11,Paramètres!$A$1:$I$89,5,0)</f>
        <v>228.8058211111113</v>
      </c>
      <c r="BF100" s="14">
        <f t="shared" si="91"/>
        <v>56.024393958780486</v>
      </c>
      <c r="BG100" s="22">
        <f t="shared" si="61"/>
        <v>496.07929124672819</v>
      </c>
      <c r="BH100" s="62">
        <f t="shared" si="62"/>
        <v>789.41262458006145</v>
      </c>
      <c r="BI100" s="62">
        <f ca="1">AVERAGE(OFFSET($BH$3,0,0,'Données projet'!$E$11+1,1))-AVERAGE(OFFSET($H$3,0,0,'Données projet'!$E$11+1,1))</f>
        <v>255.64417186544995</v>
      </c>
      <c r="BJ100" s="62">
        <f t="shared" si="92"/>
        <v>165.41802783289376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49.958856787670541</v>
      </c>
      <c r="BQ100" s="23">
        <f>EXP(-LN(2)/25)*BQ99+(1-EXP(-LN(2)/25))/(LN(2)/25)*Calculateur!BL100*Calculateur!BN100*VLOOKUP('Données projet'!$B$11,Paramètres!$A$1:$I$89,3,0)*0.475*44/12</f>
        <v>25.428659264583658</v>
      </c>
      <c r="BR100" s="23">
        <f>EXP(-LN(2)/2)*BR99+(1-EXP(-LN(2)/2))/(LN(2)/2)*BL100*BO100*VLOOKUP('Données projet'!$B$11,Paramètres!$A$1:$I$89,3,0)*0.475*44/12</f>
        <v>0.79817947416661894</v>
      </c>
      <c r="BS100" s="24">
        <f t="shared" si="63"/>
        <v>76.185695526420815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>
        <f>BY100*VLOOKUP('Données projet'!$B$12,Paramètres!$A$1:$I$89,3,0)*VLOOKUP('Données projet'!$B$12,Paramètres!$A$1:$I$89,5,0)</f>
        <v>0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465.49436272491818</v>
      </c>
      <c r="CE100" s="62">
        <f t="shared" si="94"/>
        <v>494.36941732405256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167.87530874155615</v>
      </c>
      <c r="CL100" s="23">
        <f>EXP(-LN(2)/25)*CL99+(1-EXP(-LN(2)/25))/(LN(2)/25)*Calculateur!CG100*Calculateur!CI100*VLOOKUP('Données projet'!$B$12,Paramètres!$A$1:$I$89,3,0)*0.475*44/12</f>
        <v>39.514531451486199</v>
      </c>
      <c r="CM100" s="23">
        <f>EXP(-LN(2)/2)*CM99+(1-EXP(-LN(2)/2))/(LN(2)/2)*CG100*CJ100*VLOOKUP('Données projet'!$B$12,Paramètres!$A$1:$I$89,3,0)*0.475*44/12</f>
        <v>5.6724328777516047E-3</v>
      </c>
      <c r="CN100" s="24">
        <f t="shared" si="66"/>
        <v>207.39551262592011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-6.8212102632969618E-13</v>
      </c>
      <c r="CU100" s="18">
        <f>CT100*VLOOKUP('Données projet'!$B$13,Paramètres!$A$1:$I$89,3,0)*VLOOKUP('Données projet'!$B$13,Paramètres!$A$1:$I$89,5,0)</f>
        <v>-4.0790837374515837E-13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361.46923697840384</v>
      </c>
      <c r="CZ100" s="62">
        <f t="shared" si="96"/>
        <v>302.25424592654673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126.9228114869213</v>
      </c>
      <c r="DG100" s="23">
        <f>EXP(-LN(2)/25)*DG99+(1-EXP(-LN(2)/25))/(LN(2)/25)*Calculateur!DB100*Calculateur!DD100*VLOOKUP('Données projet'!$B$13,Paramètres!$A$1:$I$89,3,0)*0.475*44/12</f>
        <v>40.107967727051452</v>
      </c>
      <c r="DH100" s="23">
        <f>EXP(-LN(2)/2)*DH99+(1-EXP(-LN(2)/2))/(LN(2)/2)*DB100*DE100*VLOOKUP('Données projet'!$B$13,Paramètres!$A$1:$I$89,3,0)*0.475*44/12</f>
        <v>5.6755513491391046E-2</v>
      </c>
      <c r="DI100" s="24">
        <f t="shared" si="69"/>
        <v>167.08753472746415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-4.5474735088646412E-13</v>
      </c>
      <c r="O101" s="14">
        <f>N101*VLOOKUP('Données projet'!$B$9,Paramètres!$A$1:$I$89,3,0)*VLOOKUP('Données projet'!$B$9,Paramètres!$A$1:$I$89,5,0)</f>
        <v>-2.5420376914553347E-13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389.80719836281679</v>
      </c>
      <c r="T101" s="62">
        <f t="shared" si="88"/>
        <v>399.58193819355591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151.76466675723921</v>
      </c>
      <c r="AA101" s="23">
        <f>EXP(-LN(2)/25)*AA100+(1-EXP(-LN(2)/25))/(LN(2)/25)*Calculateur!V101*Calculateur!X101*VLOOKUP('Données projet'!$B$9,Paramètres!$A$1:$I$89,3,0)*0.475*44/12</f>
        <v>34.781894135468804</v>
      </c>
      <c r="AB101" s="23">
        <f>EXP(-LN(2)/2)*AB100+(1-EXP(-LN(2)/2))/(LN(2)/2)*V101*Y101*VLOOKUP('Données projet'!$B$9,Paramètres!$A$1:$I$89,3,0)*0.475*44/12</f>
        <v>3.6804177216859797E-3</v>
      </c>
      <c r="AC101" s="24">
        <f t="shared" si="57"/>
        <v>186.5502413104297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269.90083987531233</v>
      </c>
      <c r="AO101" s="62">
        <f t="shared" si="90"/>
        <v>183.4515835513518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104.5199758517805</v>
      </c>
      <c r="AV101" s="23">
        <f>EXP(-LN(2)/25)*AV100+(1-EXP(-LN(2)/25))/(LN(2)/25)*Calculateur!AQ101*Calculateur!AS101*VLOOKUP('Données projet'!$B$10,Paramètres!$A$1:$I$89,3,0)*0.475*44/12</f>
        <v>35.869231742741476</v>
      </c>
      <c r="AW101" s="23">
        <f>EXP(-LN(2)/2)*AW100+(1-EXP(-LN(2)/2))/(LN(2)/2)*AQ101*AT101*VLOOKUP('Données projet'!$B$10,Paramètres!$A$1:$I$89,3,0)*0.475*44/12</f>
        <v>0.12430319122158436</v>
      </c>
      <c r="AX101" s="23">
        <f t="shared" si="60"/>
        <v>140.51351078574353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13.261111111111108</v>
      </c>
      <c r="BD101" s="13">
        <f>IF('Données projet'!$A$88&gt;35,BD100+BC101-BL100,IF(A101&lt;'Données projet'!$A$88,$BA$205^A101,IF(A101='Données projet'!$A$88,'Données projet'!$B$88,BD100+BC101-BL100)))</f>
        <v>488.94888888888926</v>
      </c>
      <c r="BE101" s="14">
        <f>BD101*VLOOKUP('Données projet'!$B$11,Paramètres!$A$1:$I$89,3,0)*VLOOKUP('Données projet'!$B$11,Paramètres!$A$1:$I$89,5,0)</f>
        <v>235.18441555555574</v>
      </c>
      <c r="BF101" s="14">
        <f t="shared" si="91"/>
        <v>57.402214966992716</v>
      </c>
      <c r="BG101" s="22">
        <f t="shared" si="61"/>
        <v>509.58838149343865</v>
      </c>
      <c r="BH101" s="62">
        <f t="shared" si="62"/>
        <v>802.9217148267719</v>
      </c>
      <c r="BI101" s="62">
        <f ca="1">AVERAGE(OFFSET($BH$3,0,0,'Données projet'!$E$11+1,1))-AVERAGE(OFFSET($H$3,0,0,'Données projet'!$E$11+1,1))</f>
        <v>255.64417186544995</v>
      </c>
      <c r="BJ101" s="62">
        <f t="shared" si="92"/>
        <v>165.41802783289376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48.979194077958113</v>
      </c>
      <c r="BQ101" s="23">
        <f>EXP(-LN(2)/25)*BQ100+(1-EXP(-LN(2)/25))/(LN(2)/25)*Calculateur!BL101*Calculateur!BN101*VLOOKUP('Données projet'!$B$11,Paramètres!$A$1:$I$89,3,0)*0.475*44/12</f>
        <v>24.733311239758546</v>
      </c>
      <c r="BR101" s="23">
        <f>EXP(-LN(2)/2)*BR100+(1-EXP(-LN(2)/2))/(LN(2)/2)*BL101*BO101*VLOOKUP('Données projet'!$B$11,Paramètres!$A$1:$I$89,3,0)*0.475*44/12</f>
        <v>0.56439811878712898</v>
      </c>
      <c r="BS101" s="24">
        <f t="shared" si="63"/>
        <v>74.276903436503787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>
        <f>BY101*VLOOKUP('Données projet'!$B$12,Paramètres!$A$1:$I$89,3,0)*VLOOKUP('Données projet'!$B$12,Paramètres!$A$1:$I$89,5,0)</f>
        <v>0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465.49436272491818</v>
      </c>
      <c r="CE101" s="62">
        <f t="shared" si="94"/>
        <v>494.36941732405256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164.58337633096201</v>
      </c>
      <c r="CL101" s="23">
        <f>EXP(-LN(2)/25)*CL100+(1-EXP(-LN(2)/25))/(LN(2)/25)*Calculateur!CG101*Calculateur!CI101*VLOOKUP('Données projet'!$B$12,Paramètres!$A$1:$I$89,3,0)*0.475*44/12</f>
        <v>38.43400451096641</v>
      </c>
      <c r="CM101" s="23">
        <f>EXP(-LN(2)/2)*CM100+(1-EXP(-LN(2)/2))/(LN(2)/2)*CG101*CJ101*VLOOKUP('Données projet'!$B$12,Paramètres!$A$1:$I$89,3,0)*0.475*44/12</f>
        <v>4.011015753683682E-3</v>
      </c>
      <c r="CN101" s="24">
        <f t="shared" si="66"/>
        <v>203.02139185768212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-6.8212102632969618E-13</v>
      </c>
      <c r="CU101" s="18">
        <f>CT101*VLOOKUP('Données projet'!$B$13,Paramètres!$A$1:$I$89,3,0)*VLOOKUP('Données projet'!$B$13,Paramètres!$A$1:$I$89,5,0)</f>
        <v>-4.0790837374515837E-13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361.46923697840384</v>
      </c>
      <c r="CZ101" s="62">
        <f t="shared" si="96"/>
        <v>302.25424592654673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124.43393256893366</v>
      </c>
      <c r="DG101" s="23">
        <f>EXP(-LN(2)/25)*DG100+(1-EXP(-LN(2)/25))/(LN(2)/25)*Calculateur!DB101*Calculateur!DD101*VLOOKUP('Données projet'!$B$13,Paramètres!$A$1:$I$89,3,0)*0.475*44/12</f>
        <v>39.011213240368875</v>
      </c>
      <c r="DH101" s="23">
        <f>EXP(-LN(2)/2)*DH100+(1-EXP(-LN(2)/2))/(LN(2)/2)*DB101*DE101*VLOOKUP('Données projet'!$B$13,Paramètres!$A$1:$I$89,3,0)*0.475*44/12</f>
        <v>4.0132208459487194E-2</v>
      </c>
      <c r="DI101" s="24">
        <f t="shared" si="69"/>
        <v>163.485278017762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-4.5474735088646412E-13</v>
      </c>
      <c r="O102" s="14">
        <f>N102*VLOOKUP('Données projet'!$B$9,Paramètres!$A$1:$I$89,3,0)*VLOOKUP('Données projet'!$B$9,Paramètres!$A$1:$I$89,5,0)</f>
        <v>-2.5420376914553347E-13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389.80719836281679</v>
      </c>
      <c r="T102" s="62">
        <f t="shared" si="88"/>
        <v>399.58193819355591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148.7886542094362</v>
      </c>
      <c r="AA102" s="23">
        <f>EXP(-LN(2)/25)*AA101+(1-EXP(-LN(2)/25))/(LN(2)/25)*Calculateur!V102*Calculateur!X102*VLOOKUP('Données projet'!$B$9,Paramètres!$A$1:$I$89,3,0)*0.475*44/12</f>
        <v>33.830781411234092</v>
      </c>
      <c r="AB102" s="23">
        <f>EXP(-LN(2)/2)*AB101+(1-EXP(-LN(2)/2))/(LN(2)/2)*V102*Y102*VLOOKUP('Données projet'!$B$9,Paramètres!$A$1:$I$89,3,0)*0.475*44/12</f>
        <v>2.6024483286032998E-3</v>
      </c>
      <c r="AC102" s="24">
        <f t="shared" si="57"/>
        <v>182.6220380689989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269.90083987531233</v>
      </c>
      <c r="AO102" s="62">
        <f t="shared" si="90"/>
        <v>183.4515835513518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102.47040287621748</v>
      </c>
      <c r="AV102" s="23">
        <f>EXP(-LN(2)/25)*AV101+(1-EXP(-LN(2)/25))/(LN(2)/25)*Calculateur!AQ102*Calculateur!AS102*VLOOKUP('Données projet'!$B$10,Paramètres!$A$1:$I$89,3,0)*0.475*44/12</f>
        <v>34.888385714455296</v>
      </c>
      <c r="AW102" s="23">
        <f>EXP(-LN(2)/2)*AW101+(1-EXP(-LN(2)/2))/(LN(2)/2)*AQ102*AT102*VLOOKUP('Données projet'!$B$10,Paramètres!$A$1:$I$89,3,0)*0.475*44/12</f>
        <v>8.7895629435910436E-2</v>
      </c>
      <c r="AX102" s="23">
        <f t="shared" si="60"/>
        <v>137.44668422010866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>
        <f>VLOOKUP(A102,'Données projet'!$A$87:$I$107,2,0)</f>
        <v>502.21</v>
      </c>
      <c r="BB102" s="13">
        <f>VLOOKUP(A102,'Données projet'!$A$87:$I$107,9,0)</f>
        <v>13.261111111111108</v>
      </c>
      <c r="BC102" s="13">
        <f t="array" ref="BC102">INDEX(BB:BB,MIN(IF(ISNUMBER(BB102:BB298),ROW(BB102:BB298),"")))</f>
        <v>13.261111111111108</v>
      </c>
      <c r="BD102" s="13">
        <f>IF('Données projet'!$A$88&gt;35,BD101+BC102-BL101,IF(A102&lt;'Données projet'!$A$88,$BA$205^A102,IF(A102='Données projet'!$A$88,'Données projet'!$B$88,BD101+BC102-BL101)))</f>
        <v>502.21000000000038</v>
      </c>
      <c r="BE102" s="14">
        <f>BD102*VLOOKUP('Données projet'!$B$11,Paramètres!$A$1:$I$89,3,0)*VLOOKUP('Données projet'!$B$11,Paramètres!$A$1:$I$89,5,0)</f>
        <v>241.56301000000019</v>
      </c>
      <c r="BF102" s="14">
        <f t="shared" si="91"/>
        <v>58.775692541925238</v>
      </c>
      <c r="BG102" s="22">
        <f t="shared" si="61"/>
        <v>523.08990692718669</v>
      </c>
      <c r="BH102" s="62">
        <f t="shared" si="62"/>
        <v>816.42324026052006</v>
      </c>
      <c r="BI102" s="62">
        <f ca="1">AVERAGE(OFFSET($BH$3,0,0,'Données projet'!$E$11+1,1))-AVERAGE(OFFSET($H$3,0,0,'Données projet'!$E$11+1,1))</f>
        <v>255.64417186544995</v>
      </c>
      <c r="BJ102" s="62">
        <f t="shared" si="92"/>
        <v>165.41802783289376</v>
      </c>
      <c r="BK102" s="16">
        <f>IF(ISNA(VLOOKUP(A102,'Données projet'!$A$87:$I$107,3,0)),0,VLOOKUP(A102,'Données projet'!$A$87:$I$107,3,0))</f>
        <v>6</v>
      </c>
      <c r="BL102" s="16">
        <f>IF(ISNA(VLOOKUP(A102,'Données projet'!$A$87:$I$107,4,0)),0,VLOOKUP(A102,'Données projet'!$A$87:$I$107,4,0))</f>
        <v>87.97</v>
      </c>
      <c r="BM102" s="17">
        <f>IF(ISNA(VLOOKUP(A102,'Données projet'!$A$87:$I$107,5,0)),0%,VLOOKUP(A102,'Données projet'!$A$87:$I$107,5,0)*VLOOKUP('Données projet'!$B$11,Paramètres!$A$1:$I$89,7,0))</f>
        <v>0.38500000000000001</v>
      </c>
      <c r="BN102" s="17">
        <f>IF(ISNA(VLOOKUP(A102,'Données projet'!$A$87:$I$107,6,0)),0%,VLOOKUP(A102,'Données projet'!$A$87:$I$107,6,0)*VLOOKUP('Données projet'!$B$11,Paramètres!$A$1:$I$89,7,0))</f>
        <v>9.3500000000000014E-2</v>
      </c>
      <c r="BO102" s="17">
        <f>IF(ISNA(VLOOKUP(A102,'Données projet'!$A$87:$I$107,7,0)),0%,VLOOKUP(A102,'Données projet'!$A$87:$I$107,7,0))</f>
        <v>0.13</v>
      </c>
      <c r="BP102" s="23">
        <f>EXP(-LN(2)/35)*BP101+(1-EXP(-LN(2)/35))/(LN(2)/35)*BL102*BM102*VLOOKUP('Données projet'!$B$11,Paramètres!$A$1:$I$89,3,0)*0.475*44/12</f>
        <v>69.629437965177743</v>
      </c>
      <c r="BQ102" s="23">
        <f>EXP(-LN(2)/25)*BQ101+(1-EXP(-LN(2)/25))/(LN(2)/25)*Calculateur!BL102*Calculateur!BN102*VLOOKUP('Données projet'!$B$11,Paramètres!$A$1:$I$89,3,0)*0.475*44/12</f>
        <v>29.28462482740742</v>
      </c>
      <c r="BR102" s="23">
        <f>EXP(-LN(2)/2)*BR101+(1-EXP(-LN(2)/2))/(LN(2)/2)*BL102*BO102*VLOOKUP('Données projet'!$B$11,Paramètres!$A$1:$I$89,3,0)*0.475*44/12</f>
        <v>6.6272325121774118</v>
      </c>
      <c r="BS102" s="24">
        <f t="shared" si="63"/>
        <v>105.54129530476257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>
        <f>BY102*VLOOKUP('Données projet'!$B$12,Paramètres!$A$1:$I$89,3,0)*VLOOKUP('Données projet'!$B$12,Paramètres!$A$1:$I$89,5,0)</f>
        <v>0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465.49436272491818</v>
      </c>
      <c r="CE102" s="62">
        <f t="shared" si="94"/>
        <v>494.36941732405256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161.35599670705912</v>
      </c>
      <c r="CL102" s="23">
        <f>EXP(-LN(2)/25)*CL101+(1-EXP(-LN(2)/25))/(LN(2)/25)*Calculateur!CG102*Calculateur!CI102*VLOOKUP('Données projet'!$B$12,Paramètres!$A$1:$I$89,3,0)*0.475*44/12</f>
        <v>37.383024636457577</v>
      </c>
      <c r="CM102" s="23">
        <f>EXP(-LN(2)/2)*CM101+(1-EXP(-LN(2)/2))/(LN(2)/2)*CG102*CJ102*VLOOKUP('Données projet'!$B$12,Paramètres!$A$1:$I$89,3,0)*0.475*44/12</f>
        <v>2.8362164388758024E-3</v>
      </c>
      <c r="CN102" s="24">
        <f t="shared" si="66"/>
        <v>198.74185755995558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-6.8212102632969618E-13</v>
      </c>
      <c r="CU102" s="18">
        <f>CT102*VLOOKUP('Données projet'!$B$13,Paramètres!$A$1:$I$89,3,0)*VLOOKUP('Données projet'!$B$13,Paramètres!$A$1:$I$89,5,0)</f>
        <v>-4.0790837374515837E-13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361.46923697840384</v>
      </c>
      <c r="CZ102" s="62">
        <f t="shared" si="96"/>
        <v>302.25424592654673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121.9938590484615</v>
      </c>
      <c r="DG102" s="23">
        <f>EXP(-LN(2)/25)*DG101+(1-EXP(-LN(2)/25))/(LN(2)/25)*Calculateur!DB102*Calculateur!DD102*VLOOKUP('Données projet'!$B$13,Paramètres!$A$1:$I$89,3,0)*0.475*44/12</f>
        <v>37.944449562800443</v>
      </c>
      <c r="DH102" s="23">
        <f>EXP(-LN(2)/2)*DH101+(1-EXP(-LN(2)/2))/(LN(2)/2)*DB102*DE102*VLOOKUP('Données projet'!$B$13,Paramètres!$A$1:$I$89,3,0)*0.475*44/12</f>
        <v>2.8377756745695523E-2</v>
      </c>
      <c r="DI102" s="24">
        <f t="shared" si="69"/>
        <v>159.96668636800766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-4.5474735088646412E-13</v>
      </c>
      <c r="O103" s="14">
        <f>N103*VLOOKUP('Données projet'!$B$9,Paramètres!$A$1:$I$89,3,0)*VLOOKUP('Données projet'!$B$9,Paramètres!$A$1:$I$89,5,0)</f>
        <v>-2.5420376914553347E-13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389.80719836281679</v>
      </c>
      <c r="T103" s="62">
        <f t="shared" si="88"/>
        <v>399.58193819355591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145.87099945250719</v>
      </c>
      <c r="AA103" s="23">
        <f>EXP(-LN(2)/25)*AA102+(1-EXP(-LN(2)/25))/(LN(2)/25)*Calculateur!V103*Calculateur!X103*VLOOKUP('Données projet'!$B$9,Paramètres!$A$1:$I$89,3,0)*0.475*44/12</f>
        <v>32.905676914460422</v>
      </c>
      <c r="AB103" s="23">
        <f>EXP(-LN(2)/2)*AB102+(1-EXP(-LN(2)/2))/(LN(2)/2)*V103*Y103*VLOOKUP('Données projet'!$B$9,Paramètres!$A$1:$I$89,3,0)*0.475*44/12</f>
        <v>1.8402088608429899E-3</v>
      </c>
      <c r="AC103" s="24">
        <f t="shared" si="57"/>
        <v>178.77851657582846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269.90083987531233</v>
      </c>
      <c r="AO103" s="62">
        <f t="shared" si="90"/>
        <v>183.4515835513518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100.46102077658917</v>
      </c>
      <c r="AV103" s="23">
        <f>EXP(-LN(2)/25)*AV102+(1-EXP(-LN(2)/25))/(LN(2)/25)*Calculateur!AQ103*Calculateur!AS103*VLOOKUP('Données projet'!$B$10,Paramètres!$A$1:$I$89,3,0)*0.475*44/12</f>
        <v>33.934360972393051</v>
      </c>
      <c r="AW103" s="23">
        <f>EXP(-LN(2)/2)*AW102+(1-EXP(-LN(2)/2))/(LN(2)/2)*AQ103*AT103*VLOOKUP('Données projet'!$B$10,Paramètres!$A$1:$I$89,3,0)*0.475*44/12</f>
        <v>6.2151595610792192E-2</v>
      </c>
      <c r="AX103" s="23">
        <f t="shared" si="60"/>
        <v>134.45753334459303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12.326666666666661</v>
      </c>
      <c r="BD103" s="13">
        <f>IF('Données projet'!$A$88&gt;35,BD102+BC103-BL102,IF(A103&lt;'Données projet'!$A$88,$BA$205^A103,IF(A103='Données projet'!$A$88,'Données projet'!$B$88,BD102+BC103-BL102)))</f>
        <v>426.56666666666706</v>
      </c>
      <c r="BE103" s="14">
        <f>BD103*VLOOKUP('Données projet'!$B$11,Paramètres!$A$1:$I$89,3,0)*VLOOKUP('Données projet'!$B$11,Paramètres!$A$1:$I$89,5,0)</f>
        <v>205.17856666666685</v>
      </c>
      <c r="BF103" s="14">
        <f t="shared" si="91"/>
        <v>50.880561179177789</v>
      </c>
      <c r="BG103" s="22">
        <f t="shared" si="61"/>
        <v>445.96964766484604</v>
      </c>
      <c r="BH103" s="62">
        <f t="shared" si="62"/>
        <v>739.30298099817935</v>
      </c>
      <c r="BI103" s="62">
        <f ca="1">AVERAGE(OFFSET($BH$3,0,0,'Données projet'!$E$11+1,1))-AVERAGE(OFFSET($H$3,0,0,'Données projet'!$E$11+1,1))</f>
        <v>255.64417186544995</v>
      </c>
      <c r="BJ103" s="62">
        <f t="shared" si="92"/>
        <v>165.41802783289376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68.264047156444221</v>
      </c>
      <c r="BQ103" s="23">
        <f>EXP(-LN(2)/25)*BQ102+(1-EXP(-LN(2)/25))/(LN(2)/25)*Calculateur!BL103*Calculateur!BN103*VLOOKUP('Données projet'!$B$11,Paramètres!$A$1:$I$89,3,0)*0.475*44/12</f>
        <v>28.483835221490477</v>
      </c>
      <c r="BR103" s="23">
        <f>EXP(-LN(2)/2)*BR102+(1-EXP(-LN(2)/2))/(LN(2)/2)*BL103*BO103*VLOOKUP('Données projet'!$B$11,Paramètres!$A$1:$I$89,3,0)*0.475*44/12</f>
        <v>4.6861610498606074</v>
      </c>
      <c r="BS103" s="24">
        <f t="shared" si="63"/>
        <v>101.4340434277953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>
        <f>BY103*VLOOKUP('Données projet'!$B$12,Paramètres!$A$1:$I$89,3,0)*VLOOKUP('Données projet'!$B$12,Paramètres!$A$1:$I$89,5,0)</f>
        <v>0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465.49436272491818</v>
      </c>
      <c r="CE103" s="62">
        <f t="shared" si="94"/>
        <v>494.36941732405256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158.19190402907375</v>
      </c>
      <c r="CL103" s="23">
        <f>EXP(-LN(2)/25)*CL102+(1-EXP(-LN(2)/25))/(LN(2)/25)*Calculateur!CG103*Calculateur!CI103*VLOOKUP('Données projet'!$B$12,Paramètres!$A$1:$I$89,3,0)*0.475*44/12</f>
        <v>36.360783861885821</v>
      </c>
      <c r="CM103" s="23">
        <f>EXP(-LN(2)/2)*CM102+(1-EXP(-LN(2)/2))/(LN(2)/2)*CG103*CJ103*VLOOKUP('Données projet'!$B$12,Paramètres!$A$1:$I$89,3,0)*0.475*44/12</f>
        <v>2.005507876841841E-3</v>
      </c>
      <c r="CN103" s="24">
        <f t="shared" si="66"/>
        <v>194.55469339883643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-6.8212102632969618E-13</v>
      </c>
      <c r="CU103" s="18">
        <f>CT103*VLOOKUP('Données projet'!$B$13,Paramètres!$A$1:$I$89,3,0)*VLOOKUP('Données projet'!$B$13,Paramètres!$A$1:$I$89,5,0)</f>
        <v>-4.0790837374515837E-13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361.46923697840384</v>
      </c>
      <c r="CZ103" s="62">
        <f t="shared" si="96"/>
        <v>302.25424592654673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119.60163388142792</v>
      </c>
      <c r="DG103" s="23">
        <f>EXP(-LN(2)/25)*DG102+(1-EXP(-LN(2)/25))/(LN(2)/25)*Calculateur!DB103*Calculateur!DD103*VLOOKUP('Données projet'!$B$13,Paramètres!$A$1:$I$89,3,0)*0.475*44/12</f>
        <v>36.906856594093789</v>
      </c>
      <c r="DH103" s="23">
        <f>EXP(-LN(2)/2)*DH102+(1-EXP(-LN(2)/2))/(LN(2)/2)*DB103*DE103*VLOOKUP('Données projet'!$B$13,Paramètres!$A$1:$I$89,3,0)*0.475*44/12</f>
        <v>2.0066104229743597E-2</v>
      </c>
      <c r="DI103" s="24">
        <f t="shared" si="69"/>
        <v>156.52855657975147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-4.5474735088646412E-13</v>
      </c>
      <c r="O104" s="14">
        <f>N104*VLOOKUP('Données projet'!$B$9,Paramètres!$A$1:$I$89,3,0)*VLOOKUP('Données projet'!$B$9,Paramètres!$A$1:$I$89,5,0)</f>
        <v>-2.5420376914553347E-13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389.80719836281679</v>
      </c>
      <c r="T104" s="62">
        <f t="shared" si="88"/>
        <v>399.58193819355591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143.01055812576789</v>
      </c>
      <c r="AA104" s="23">
        <f>EXP(-LN(2)/25)*AA103+(1-EXP(-LN(2)/25))/(LN(2)/25)*Calculateur!V104*Calculateur!X104*VLOOKUP('Données projet'!$B$9,Paramètres!$A$1:$I$89,3,0)*0.475*44/12</f>
        <v>32.005869448800162</v>
      </c>
      <c r="AB104" s="23">
        <f>EXP(-LN(2)/2)*AB103+(1-EXP(-LN(2)/2))/(LN(2)/2)*V104*Y104*VLOOKUP('Données projet'!$B$9,Paramètres!$A$1:$I$89,3,0)*0.475*44/12</f>
        <v>1.3012241643016499E-3</v>
      </c>
      <c r="AC104" s="24">
        <f t="shared" si="57"/>
        <v>175.01772879873235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269.90083987531233</v>
      </c>
      <c r="AO104" s="62">
        <f t="shared" si="90"/>
        <v>183.4515835513518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98.491041434332502</v>
      </c>
      <c r="AV104" s="23">
        <f>EXP(-LN(2)/25)*AV103+(1-EXP(-LN(2)/25))/(LN(2)/25)*Calculateur!AQ104*Calculateur!AS104*VLOOKUP('Données projet'!$B$10,Paramètres!$A$1:$I$89,3,0)*0.475*44/12</f>
        <v>33.006424087072475</v>
      </c>
      <c r="AW104" s="23">
        <f>EXP(-LN(2)/2)*AW103+(1-EXP(-LN(2)/2))/(LN(2)/2)*AQ104*AT104*VLOOKUP('Données projet'!$B$10,Paramètres!$A$1:$I$89,3,0)*0.475*44/12</f>
        <v>4.3947814717955225E-2</v>
      </c>
      <c r="AX104" s="23">
        <f t="shared" si="60"/>
        <v>131.54141333612296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12.326666666666661</v>
      </c>
      <c r="BD104" s="13">
        <f>IF('Données projet'!$A$88&gt;35,BD103+BC104-BL103,IF(A104&lt;'Données projet'!$A$88,$BA$205^A104,IF(A104='Données projet'!$A$88,'Données projet'!$B$88,BD103+BC104-BL103)))</f>
        <v>438.89333333333371</v>
      </c>
      <c r="BE104" s="14">
        <f>BD104*VLOOKUP('Données projet'!$B$11,Paramètres!$A$1:$I$89,3,0)*VLOOKUP('Données projet'!$B$11,Paramètres!$A$1:$I$89,5,0)</f>
        <v>211.10769333333354</v>
      </c>
      <c r="BF104" s="14">
        <f t="shared" si="91"/>
        <v>52.177570396769482</v>
      </c>
      <c r="BG104" s="22">
        <f t="shared" si="61"/>
        <v>458.55516766326269</v>
      </c>
      <c r="BH104" s="62">
        <f t="shared" si="62"/>
        <v>751.88850099659601</v>
      </c>
      <c r="BI104" s="62">
        <f ca="1">AVERAGE(OFFSET($BH$3,0,0,'Données projet'!$E$11+1,1))-AVERAGE(OFFSET($H$3,0,0,'Données projet'!$E$11+1,1))</f>
        <v>255.64417186544995</v>
      </c>
      <c r="BJ104" s="62">
        <f t="shared" si="92"/>
        <v>165.41802783289376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66.925430828663806</v>
      </c>
      <c r="BQ104" s="23">
        <f>EXP(-LN(2)/25)*BQ103+(1-EXP(-LN(2)/25))/(LN(2)/25)*Calculateur!BL104*Calculateur!BN104*VLOOKUP('Données projet'!$B$11,Paramètres!$A$1:$I$89,3,0)*0.475*44/12</f>
        <v>27.704943249459024</v>
      </c>
      <c r="BR104" s="23">
        <f>EXP(-LN(2)/2)*BR103+(1-EXP(-LN(2)/2))/(LN(2)/2)*BL104*BO104*VLOOKUP('Données projet'!$B$11,Paramètres!$A$1:$I$89,3,0)*0.475*44/12</f>
        <v>3.3136162560887068</v>
      </c>
      <c r="BS104" s="24">
        <f t="shared" si="63"/>
        <v>97.943990334211534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>
        <f>BY104*VLOOKUP('Données projet'!$B$12,Paramètres!$A$1:$I$89,3,0)*VLOOKUP('Données projet'!$B$12,Paramètres!$A$1:$I$89,5,0)</f>
        <v>0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465.49436272491818</v>
      </c>
      <c r="CE104" s="62">
        <f t="shared" si="94"/>
        <v>494.36941732405256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155.08985727859772</v>
      </c>
      <c r="CL104" s="23">
        <f>EXP(-LN(2)/25)*CL103+(1-EXP(-LN(2)/25))/(LN(2)/25)*Calculateur!CG104*Calculateur!CI104*VLOOKUP('Données projet'!$B$12,Paramètres!$A$1:$I$89,3,0)*0.475*44/12</f>
        <v>35.366496315052032</v>
      </c>
      <c r="CM104" s="23">
        <f>EXP(-LN(2)/2)*CM103+(1-EXP(-LN(2)/2))/(LN(2)/2)*CG104*CJ104*VLOOKUP('Données projet'!$B$12,Paramètres!$A$1:$I$89,3,0)*0.475*44/12</f>
        <v>1.4181082194379012E-3</v>
      </c>
      <c r="CN104" s="24">
        <f t="shared" si="66"/>
        <v>190.45777170186918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-6.8212102632969618E-13</v>
      </c>
      <c r="CU104" s="18">
        <f>CT104*VLOOKUP('Données projet'!$B$13,Paramètres!$A$1:$I$89,3,0)*VLOOKUP('Données projet'!$B$13,Paramètres!$A$1:$I$89,5,0)</f>
        <v>-4.0790837374515837E-13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361.46923697840384</v>
      </c>
      <c r="CZ104" s="62">
        <f t="shared" si="96"/>
        <v>302.25424592654673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117.25631879080659</v>
      </c>
      <c r="DG104" s="23">
        <f>EXP(-LN(2)/25)*DG103+(1-EXP(-LN(2)/25))/(LN(2)/25)*Calculateur!DB104*Calculateur!DD104*VLOOKUP('Données projet'!$B$13,Paramètres!$A$1:$I$89,3,0)*0.475*44/12</f>
        <v>35.897636659681055</v>
      </c>
      <c r="DH104" s="23">
        <f>EXP(-LN(2)/2)*DH103+(1-EXP(-LN(2)/2))/(LN(2)/2)*DB104*DE104*VLOOKUP('Données projet'!$B$13,Paramètres!$A$1:$I$89,3,0)*0.475*44/12</f>
        <v>1.4188878372847762E-2</v>
      </c>
      <c r="DI104" s="24">
        <f t="shared" si="69"/>
        <v>153.16814432886048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-4.5474735088646412E-13</v>
      </c>
      <c r="O105" s="14">
        <f>N105*VLOOKUP('Données projet'!$B$9,Paramètres!$A$1:$I$89,3,0)*VLOOKUP('Données projet'!$B$9,Paramètres!$A$1:$I$89,5,0)</f>
        <v>-2.5420376914553347E-13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389.80719836281679</v>
      </c>
      <c r="T105" s="62">
        <f t="shared" si="88"/>
        <v>399.58193819355591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140.20620830874901</v>
      </c>
      <c r="AA105" s="23">
        <f>EXP(-LN(2)/25)*AA104+(1-EXP(-LN(2)/25))/(LN(2)/25)*Calculateur!V105*Calculateur!X105*VLOOKUP('Données projet'!$B$9,Paramètres!$A$1:$I$89,3,0)*0.475*44/12</f>
        <v>31.130667265607197</v>
      </c>
      <c r="AB105" s="23">
        <f>EXP(-LN(2)/2)*AB104+(1-EXP(-LN(2)/2))/(LN(2)/2)*V105*Y105*VLOOKUP('Données projet'!$B$9,Paramètres!$A$1:$I$89,3,0)*0.475*44/12</f>
        <v>9.2010443042149493E-4</v>
      </c>
      <c r="AC105" s="24">
        <f t="shared" si="57"/>
        <v>171.33779567878665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269.90083987531233</v>
      </c>
      <c r="AO105" s="62">
        <f t="shared" si="90"/>
        <v>183.4515835513518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96.559692185408736</v>
      </c>
      <c r="AV105" s="23">
        <f>EXP(-LN(2)/25)*AV104+(1-EXP(-LN(2)/25))/(LN(2)/25)*Calculateur!AQ105*Calculateur!AS105*VLOOKUP('Données projet'!$B$10,Paramètres!$A$1:$I$89,3,0)*0.475*44/12</f>
        <v>32.103861684679075</v>
      </c>
      <c r="AW105" s="23">
        <f>EXP(-LN(2)/2)*AW104+(1-EXP(-LN(2)/2))/(LN(2)/2)*AQ105*AT105*VLOOKUP('Données projet'!$B$10,Paramètres!$A$1:$I$89,3,0)*0.475*44/12</f>
        <v>3.1075797805396099E-2</v>
      </c>
      <c r="AX105" s="23">
        <f t="shared" si="60"/>
        <v>128.6946296678932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12.326666666666661</v>
      </c>
      <c r="BD105" s="13">
        <f>IF('Données projet'!$A$88&gt;35,BD104+BC105-BL104,IF(A105&lt;'Données projet'!$A$88,$BA$205^A105,IF(A105='Données projet'!$A$88,'Données projet'!$B$88,BD104+BC105-BL104)))</f>
        <v>451.22000000000037</v>
      </c>
      <c r="BE105" s="14">
        <f>BD105*VLOOKUP('Données projet'!$B$11,Paramètres!$A$1:$I$89,3,0)*VLOOKUP('Données projet'!$B$11,Paramètres!$A$1:$I$89,5,0)</f>
        <v>217.03682000000018</v>
      </c>
      <c r="BF105" s="14">
        <f t="shared" si="91"/>
        <v>53.470345785046277</v>
      </c>
      <c r="BG105" s="22">
        <f t="shared" si="61"/>
        <v>471.13331374228932</v>
      </c>
      <c r="BH105" s="62">
        <f t="shared" si="62"/>
        <v>764.46664707562263</v>
      </c>
      <c r="BI105" s="62">
        <f ca="1">AVERAGE(OFFSET($BH$3,0,0,'Données projet'!$E$11+1,1))-AVERAGE(OFFSET($H$3,0,0,'Données projet'!$E$11+1,1))</f>
        <v>255.64417186544995</v>
      </c>
      <c r="BJ105" s="62">
        <f t="shared" si="92"/>
        <v>165.41802783289376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65.61306395059583</v>
      </c>
      <c r="BQ105" s="23">
        <f>EXP(-LN(2)/25)*BQ104+(1-EXP(-LN(2)/25))/(LN(2)/25)*Calculateur!BL105*Calculateur!BN105*VLOOKUP('Données projet'!$B$11,Paramètres!$A$1:$I$89,3,0)*0.475*44/12</f>
        <v>26.947350119362923</v>
      </c>
      <c r="BR105" s="23">
        <f>EXP(-LN(2)/2)*BR104+(1-EXP(-LN(2)/2))/(LN(2)/2)*BL105*BO105*VLOOKUP('Données projet'!$B$11,Paramètres!$A$1:$I$89,3,0)*0.475*44/12</f>
        <v>2.3430805249303042</v>
      </c>
      <c r="BS105" s="24">
        <f t="shared" si="63"/>
        <v>94.903494594889054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>
        <f>BY105*VLOOKUP('Données projet'!$B$12,Paramètres!$A$1:$I$89,3,0)*VLOOKUP('Données projet'!$B$12,Paramètres!$A$1:$I$89,5,0)</f>
        <v>0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465.49436272491818</v>
      </c>
      <c r="CE105" s="62">
        <f t="shared" si="94"/>
        <v>494.36941732405256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152.04863977283682</v>
      </c>
      <c r="CL105" s="23">
        <f>EXP(-LN(2)/25)*CL104+(1-EXP(-LN(2)/25))/(LN(2)/25)*Calculateur!CG105*Calculateur!CI105*VLOOKUP('Données projet'!$B$12,Paramètres!$A$1:$I$89,3,0)*0.475*44/12</f>
        <v>34.399397613473724</v>
      </c>
      <c r="CM105" s="23">
        <f>EXP(-LN(2)/2)*CM104+(1-EXP(-LN(2)/2))/(LN(2)/2)*CG105*CJ105*VLOOKUP('Données projet'!$B$12,Paramètres!$A$1:$I$89,3,0)*0.475*44/12</f>
        <v>1.0027539384209205E-3</v>
      </c>
      <c r="CN105" s="24">
        <f t="shared" si="66"/>
        <v>186.44904014024897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-6.8212102632969618E-13</v>
      </c>
      <c r="CU105" s="18">
        <f>CT105*VLOOKUP('Données projet'!$B$13,Paramètres!$A$1:$I$89,3,0)*VLOOKUP('Données projet'!$B$13,Paramètres!$A$1:$I$89,5,0)</f>
        <v>-4.0790837374515837E-13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361.46923697840384</v>
      </c>
      <c r="CZ105" s="62">
        <f t="shared" si="96"/>
        <v>302.25424592654673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114.95699389861139</v>
      </c>
      <c r="DG105" s="23">
        <f>EXP(-LN(2)/25)*DG104+(1-EXP(-LN(2)/25))/(LN(2)/25)*Calculateur!DB105*Calculateur!DD105*VLOOKUP('Données projet'!$B$13,Paramètres!$A$1:$I$89,3,0)*0.475*44/12</f>
        <v>34.916013897447407</v>
      </c>
      <c r="DH105" s="23">
        <f>EXP(-LN(2)/2)*DH104+(1-EXP(-LN(2)/2))/(LN(2)/2)*DB105*DE105*VLOOKUP('Données projet'!$B$13,Paramètres!$A$1:$I$89,3,0)*0.475*44/12</f>
        <v>1.0033052114871798E-2</v>
      </c>
      <c r="DI105" s="24">
        <f t="shared" si="69"/>
        <v>149.88304084817366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-4.5474735088646412E-13</v>
      </c>
      <c r="O106" s="14">
        <f>N106*VLOOKUP('Données projet'!$B$9,Paramètres!$A$1:$I$89,3,0)*VLOOKUP('Données projet'!$B$9,Paramètres!$A$1:$I$89,5,0)</f>
        <v>-2.5420376914553347E-13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389.80719836281679</v>
      </c>
      <c r="T106" s="62">
        <f t="shared" si="88"/>
        <v>399.58193819355591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137.45685008115737</v>
      </c>
      <c r="AA106" s="23">
        <f>EXP(-LN(2)/25)*AA105+(1-EXP(-LN(2)/25))/(LN(2)/25)*Calculateur!V106*Calculateur!X106*VLOOKUP('Données projet'!$B$9,Paramètres!$A$1:$I$89,3,0)*0.475*44/12</f>
        <v>30.279397532138528</v>
      </c>
      <c r="AB106" s="23">
        <f>EXP(-LN(2)/2)*AB105+(1-EXP(-LN(2)/2))/(LN(2)/2)*V106*Y106*VLOOKUP('Données projet'!$B$9,Paramètres!$A$1:$I$89,3,0)*0.475*44/12</f>
        <v>6.5061208215082494E-4</v>
      </c>
      <c r="AC106" s="24">
        <f t="shared" si="57"/>
        <v>167.73689822537804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269.90083987531233</v>
      </c>
      <c r="AO106" s="62">
        <f t="shared" si="90"/>
        <v>183.4515835513518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94.66621551724964</v>
      </c>
      <c r="AV106" s="23">
        <f>EXP(-LN(2)/25)*AV105+(1-EXP(-LN(2)/25))/(LN(2)/25)*Calculateur!AQ106*Calculateur!AS106*VLOOKUP('Données projet'!$B$10,Paramètres!$A$1:$I$89,3,0)*0.475*44/12</f>
        <v>31.225979898642812</v>
      </c>
      <c r="AW106" s="23">
        <f>EXP(-LN(2)/2)*AW105+(1-EXP(-LN(2)/2))/(LN(2)/2)*AQ106*AT106*VLOOKUP('Données projet'!$B$10,Paramètres!$A$1:$I$89,3,0)*0.475*44/12</f>
        <v>2.1973907358977616E-2</v>
      </c>
      <c r="AX106" s="23">
        <f t="shared" si="60"/>
        <v>125.91416932325143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12.326666666666661</v>
      </c>
      <c r="BD106" s="13">
        <f>IF('Données projet'!$A$88&gt;35,BD105+BC106-BL105,IF(A106&lt;'Données projet'!$A$88,$BA$205^A106,IF(A106='Données projet'!$A$88,'Données projet'!$B$88,BD105+BC106-BL105)))</f>
        <v>463.54666666666702</v>
      </c>
      <c r="BE106" s="14">
        <f>BD106*VLOOKUP('Données projet'!$B$11,Paramètres!$A$1:$I$89,3,0)*VLOOKUP('Données projet'!$B$11,Paramètres!$A$1:$I$89,5,0)</f>
        <v>222.96594666666684</v>
      </c>
      <c r="BF106" s="14">
        <f t="shared" si="91"/>
        <v>54.759016296453581</v>
      </c>
      <c r="BG106" s="22">
        <f t="shared" si="61"/>
        <v>483.70431049410143</v>
      </c>
      <c r="BH106" s="62">
        <f t="shared" si="62"/>
        <v>777.03764382743475</v>
      </c>
      <c r="BI106" s="62">
        <f ca="1">AVERAGE(OFFSET($BH$3,0,0,'Données projet'!$E$11+1,1))-AVERAGE(OFFSET($H$3,0,0,'Données projet'!$E$11+1,1))</f>
        <v>255.64417186544995</v>
      </c>
      <c r="BJ106" s="62">
        <f t="shared" si="92"/>
        <v>165.41802783289376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64.326431786542003</v>
      </c>
      <c r="BQ106" s="23">
        <f>EXP(-LN(2)/25)*BQ105+(1-EXP(-LN(2)/25))/(LN(2)/25)*Calculateur!BL106*Calculateur!BN106*VLOOKUP('Données projet'!$B$11,Paramètres!$A$1:$I$89,3,0)*0.475*44/12</f>
        <v>26.210473413249389</v>
      </c>
      <c r="BR106" s="23">
        <f>EXP(-LN(2)/2)*BR105+(1-EXP(-LN(2)/2))/(LN(2)/2)*BL106*BO106*VLOOKUP('Données projet'!$B$11,Paramètres!$A$1:$I$89,3,0)*0.475*44/12</f>
        <v>1.6568081280443536</v>
      </c>
      <c r="BS106" s="24">
        <f t="shared" si="63"/>
        <v>92.193713327835752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>
        <f>BY106*VLOOKUP('Données projet'!$B$12,Paramètres!$A$1:$I$89,3,0)*VLOOKUP('Données projet'!$B$12,Paramètres!$A$1:$I$89,5,0)</f>
        <v>0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465.49436272491818</v>
      </c>
      <c r="CE106" s="62">
        <f t="shared" si="94"/>
        <v>494.36941732405256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149.0670586874044</v>
      </c>
      <c r="CL106" s="23">
        <f>EXP(-LN(2)/25)*CL105+(1-EXP(-LN(2)/25))/(LN(2)/25)*Calculateur!CG106*Calculateur!CI106*VLOOKUP('Données projet'!$B$12,Paramètres!$A$1:$I$89,3,0)*0.475*44/12</f>
        <v>33.458744276747588</v>
      </c>
      <c r="CM106" s="23">
        <f>EXP(-LN(2)/2)*CM105+(1-EXP(-LN(2)/2))/(LN(2)/2)*CG106*CJ106*VLOOKUP('Données projet'!$B$12,Paramètres!$A$1:$I$89,3,0)*0.475*44/12</f>
        <v>7.0905410971895059E-4</v>
      </c>
      <c r="CN106" s="24">
        <f t="shared" si="66"/>
        <v>182.52651201826168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-6.8212102632969618E-13</v>
      </c>
      <c r="CU106" s="18">
        <f>CT106*VLOOKUP('Données projet'!$B$13,Paramètres!$A$1:$I$89,3,0)*VLOOKUP('Données projet'!$B$13,Paramètres!$A$1:$I$89,5,0)</f>
        <v>-4.0790837374515837E-13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361.46923697840384</v>
      </c>
      <c r="CZ106" s="62">
        <f t="shared" si="96"/>
        <v>302.25424592654673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112.70275736510243</v>
      </c>
      <c r="DG106" s="23">
        <f>EXP(-LN(2)/25)*DG105+(1-EXP(-LN(2)/25))/(LN(2)/25)*Calculateur!DB106*Calculateur!DD106*VLOOKUP('Données projet'!$B$13,Paramètres!$A$1:$I$89,3,0)*0.475*44/12</f>
        <v>33.961233661268338</v>
      </c>
      <c r="DH106" s="23">
        <f>EXP(-LN(2)/2)*DH105+(1-EXP(-LN(2)/2))/(LN(2)/2)*DB106*DE106*VLOOKUP('Données projet'!$B$13,Paramètres!$A$1:$I$89,3,0)*0.475*44/12</f>
        <v>7.0944391864238808E-3</v>
      </c>
      <c r="DI106" s="24">
        <f t="shared" si="69"/>
        <v>146.67108546555718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-4.5474735088646412E-13</v>
      </c>
      <c r="O107" s="14">
        <f>N107*VLOOKUP('Données projet'!$B$9,Paramètres!$A$1:$I$89,3,0)*VLOOKUP('Données projet'!$B$9,Paramètres!$A$1:$I$89,5,0)</f>
        <v>-2.5420376914553347E-13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389.80719836281679</v>
      </c>
      <c r="T107" s="62">
        <f t="shared" si="88"/>
        <v>399.58193819355591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134.76140509146586</v>
      </c>
      <c r="AA107" s="23">
        <f>EXP(-LN(2)/25)*AA106+(1-EXP(-LN(2)/25))/(LN(2)/25)*Calculateur!V107*Calculateur!X107*VLOOKUP('Données projet'!$B$9,Paramètres!$A$1:$I$89,3,0)*0.475*44/12</f>
        <v>29.451405814297889</v>
      </c>
      <c r="AB107" s="23">
        <f>EXP(-LN(2)/2)*AB106+(1-EXP(-LN(2)/2))/(LN(2)/2)*V107*Y107*VLOOKUP('Données projet'!$B$9,Paramètres!$A$1:$I$89,3,0)*0.475*44/12</f>
        <v>4.6005221521074746E-4</v>
      </c>
      <c r="AC107" s="24">
        <f t="shared" si="57"/>
        <v>164.21327095797895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269.90083987531233</v>
      </c>
      <c r="AO107" s="62">
        <f t="shared" si="90"/>
        <v>183.4515835513518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92.809868771646421</v>
      </c>
      <c r="AV107" s="23">
        <f>EXP(-LN(2)/25)*AV106+(1-EXP(-LN(2)/25))/(LN(2)/25)*Calculateur!AQ107*Calculateur!AS107*VLOOKUP('Données projet'!$B$10,Paramètres!$A$1:$I$89,3,0)*0.475*44/12</f>
        <v>30.372103836211508</v>
      </c>
      <c r="AW107" s="23">
        <f>EXP(-LN(2)/2)*AW106+(1-EXP(-LN(2)/2))/(LN(2)/2)*AQ107*AT107*VLOOKUP('Données projet'!$B$10,Paramètres!$A$1:$I$89,3,0)*0.475*44/12</f>
        <v>1.5537898902698053E-2</v>
      </c>
      <c r="AX107" s="23">
        <f t="shared" si="60"/>
        <v>123.19751050676062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12.326666666666661</v>
      </c>
      <c r="BD107" s="13">
        <f>IF('Données projet'!$A$88&gt;35,BD106+BC107-BL106,IF(A107&lt;'Données projet'!$A$88,$BA$205^A107,IF(A107='Données projet'!$A$88,'Données projet'!$B$88,BD106+BC107-BL106)))</f>
        <v>475.87333333333368</v>
      </c>
      <c r="BE107" s="14">
        <f>BD107*VLOOKUP('Données projet'!$B$11,Paramètres!$A$1:$I$89,3,0)*VLOOKUP('Données projet'!$B$11,Paramètres!$A$1:$I$89,5,0)</f>
        <v>228.8950733333335</v>
      </c>
      <c r="BF107" s="14">
        <f t="shared" si="91"/>
        <v>56.043703634703149</v>
      </c>
      <c r="BG107" s="22">
        <f t="shared" si="61"/>
        <v>496.26836988599717</v>
      </c>
      <c r="BH107" s="62">
        <f t="shared" si="62"/>
        <v>789.60170321933049</v>
      </c>
      <c r="BI107" s="62">
        <f ca="1">AVERAGE(OFFSET($BH$3,0,0,'Données projet'!$E$11+1,1))-AVERAGE(OFFSET($H$3,0,0,'Données projet'!$E$11+1,1))</f>
        <v>255.64417186544995</v>
      </c>
      <c r="BJ107" s="62">
        <f t="shared" si="92"/>
        <v>165.41802783289376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63.065029694457145</v>
      </c>
      <c r="BQ107" s="23">
        <f>EXP(-LN(2)/25)*BQ106+(1-EXP(-LN(2)/25))/(LN(2)/25)*Calculateur!BL107*Calculateur!BN107*VLOOKUP('Données projet'!$B$11,Paramètres!$A$1:$I$89,3,0)*0.475*44/12</f>
        <v>25.493746639415193</v>
      </c>
      <c r="BR107" s="23">
        <f>EXP(-LN(2)/2)*BR106+(1-EXP(-LN(2)/2))/(LN(2)/2)*BL107*BO107*VLOOKUP('Données projet'!$B$11,Paramètres!$A$1:$I$89,3,0)*0.475*44/12</f>
        <v>1.1715402624651523</v>
      </c>
      <c r="BS107" s="24">
        <f t="shared" si="63"/>
        <v>89.730316596337502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>
        <f>BY107*VLOOKUP('Données projet'!$B$12,Paramètres!$A$1:$I$89,3,0)*VLOOKUP('Données projet'!$B$12,Paramètres!$A$1:$I$89,5,0)</f>
        <v>0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465.49436272491818</v>
      </c>
      <c r="CE107" s="62">
        <f t="shared" si="94"/>
        <v>494.36941732405256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146.14394458847241</v>
      </c>
      <c r="CL107" s="23">
        <f>EXP(-LN(2)/25)*CL106+(1-EXP(-LN(2)/25))/(LN(2)/25)*Calculateur!CG107*Calculateur!CI107*VLOOKUP('Données projet'!$B$12,Paramètres!$A$1:$I$89,3,0)*0.475*44/12</f>
        <v>32.543813154981038</v>
      </c>
      <c r="CM107" s="23">
        <f>EXP(-LN(2)/2)*CM106+(1-EXP(-LN(2)/2))/(LN(2)/2)*CG107*CJ107*VLOOKUP('Données projet'!$B$12,Paramètres!$A$1:$I$89,3,0)*0.475*44/12</f>
        <v>5.0137696921046025E-4</v>
      </c>
      <c r="CN107" s="24">
        <f t="shared" si="66"/>
        <v>178.68825912042266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-6.8212102632969618E-13</v>
      </c>
      <c r="CU107" s="18">
        <f>CT107*VLOOKUP('Données projet'!$B$13,Paramètres!$A$1:$I$89,3,0)*VLOOKUP('Données projet'!$B$13,Paramètres!$A$1:$I$89,5,0)</f>
        <v>-4.0790837374515837E-13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361.46923697840384</v>
      </c>
      <c r="CZ107" s="62">
        <f t="shared" si="96"/>
        <v>302.25424592654673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110.49272503506707</v>
      </c>
      <c r="DG107" s="23">
        <f>EXP(-LN(2)/25)*DG106+(1-EXP(-LN(2)/25))/(LN(2)/25)*Calculateur!DB107*Calculateur!DD107*VLOOKUP('Données projet'!$B$13,Paramètres!$A$1:$I$89,3,0)*0.475*44/12</f>
        <v>33.032561940857299</v>
      </c>
      <c r="DH107" s="23">
        <f>EXP(-LN(2)/2)*DH106+(1-EXP(-LN(2)/2))/(LN(2)/2)*DB107*DE107*VLOOKUP('Données projet'!$B$13,Paramètres!$A$1:$I$89,3,0)*0.475*44/12</f>
        <v>5.0165260574358992E-3</v>
      </c>
      <c r="DI107" s="24">
        <f t="shared" si="69"/>
        <v>143.53030350198179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-4.5474735088646412E-13</v>
      </c>
      <c r="O108" s="14">
        <f>N108*VLOOKUP('Données projet'!$B$9,Paramètres!$A$1:$I$89,3,0)*VLOOKUP('Données projet'!$B$9,Paramètres!$A$1:$I$89,5,0)</f>
        <v>-2.5420376914553347E-13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389.80719836281679</v>
      </c>
      <c r="T108" s="62">
        <f t="shared" si="88"/>
        <v>399.58193819355591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132.11881613396309</v>
      </c>
      <c r="AA108" s="23">
        <f>EXP(-LN(2)/25)*AA107+(1-EXP(-LN(2)/25))/(LN(2)/25)*Calculateur!V108*Calculateur!X108*VLOOKUP('Données projet'!$B$9,Paramètres!$A$1:$I$89,3,0)*0.475*44/12</f>
        <v>28.646055573523793</v>
      </c>
      <c r="AB108" s="23">
        <f>EXP(-LN(2)/2)*AB107+(1-EXP(-LN(2)/2))/(LN(2)/2)*V108*Y108*VLOOKUP('Données projet'!$B$9,Paramètres!$A$1:$I$89,3,0)*0.475*44/12</f>
        <v>3.2530604107541247E-4</v>
      </c>
      <c r="AC108" s="24">
        <f t="shared" si="57"/>
        <v>160.76519701352797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269.90083987531233</v>
      </c>
      <c r="AO108" s="62">
        <f t="shared" si="90"/>
        <v>183.4515835513518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90.989923853464774</v>
      </c>
      <c r="AV108" s="23">
        <f>EXP(-LN(2)/25)*AV107+(1-EXP(-LN(2)/25))/(LN(2)/25)*Calculateur!AQ108*Calculateur!AS108*VLOOKUP('Données projet'!$B$10,Paramètres!$A$1:$I$89,3,0)*0.475*44/12</f>
        <v>29.541577059610781</v>
      </c>
      <c r="AW108" s="23">
        <f>EXP(-LN(2)/2)*AW107+(1-EXP(-LN(2)/2))/(LN(2)/2)*AQ108*AT108*VLOOKUP('Données projet'!$B$10,Paramètres!$A$1:$I$89,3,0)*0.475*44/12</f>
        <v>1.098695367948881E-2</v>
      </c>
      <c r="AX108" s="23">
        <f t="shared" si="60"/>
        <v>120.54248786675504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12.326666666666661</v>
      </c>
      <c r="BD108" s="13">
        <f>IF('Données projet'!$A$88&gt;35,BD107+BC108-BL107,IF(A108&lt;'Données projet'!$A$88,$BA$205^A108,IF(A108='Données projet'!$A$88,'Données projet'!$B$88,BD107+BC108-BL107)))</f>
        <v>488.20000000000033</v>
      </c>
      <c r="BE108" s="14">
        <f>BD108*VLOOKUP('Données projet'!$B$11,Paramètres!$A$1:$I$89,3,0)*VLOOKUP('Données projet'!$B$11,Paramètres!$A$1:$I$89,5,0)</f>
        <v>234.82420000000016</v>
      </c>
      <c r="BF108" s="14">
        <f t="shared" si="91"/>
        <v>57.324522839309076</v>
      </c>
      <c r="BG108" s="22">
        <f t="shared" si="61"/>
        <v>508.82569227846358</v>
      </c>
      <c r="BH108" s="62">
        <f t="shared" si="62"/>
        <v>802.15902561179689</v>
      </c>
      <c r="BI108" s="62">
        <f ca="1">AVERAGE(OFFSET($BH$3,0,0,'Données projet'!$E$11+1,1))-AVERAGE(OFFSET($H$3,0,0,'Données projet'!$E$11+1,1))</f>
        <v>255.64417186544995</v>
      </c>
      <c r="BJ108" s="62">
        <f t="shared" si="92"/>
        <v>165.41802783289376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61.828362928018763</v>
      </c>
      <c r="BQ108" s="23">
        <f>EXP(-LN(2)/25)*BQ107+(1-EXP(-LN(2)/25))/(LN(2)/25)*Calculateur!BL108*Calculateur!BN108*VLOOKUP('Données projet'!$B$11,Paramètres!$A$1:$I$89,3,0)*0.475*44/12</f>
        <v>24.796618796902514</v>
      </c>
      <c r="BR108" s="23">
        <f>EXP(-LN(2)/2)*BR107+(1-EXP(-LN(2)/2))/(LN(2)/2)*BL108*BO108*VLOOKUP('Données projet'!$B$11,Paramètres!$A$1:$I$89,3,0)*0.475*44/12</f>
        <v>0.82840406402217692</v>
      </c>
      <c r="BS108" s="24">
        <f t="shared" si="63"/>
        <v>87.45338578894345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>
        <f>BY108*VLOOKUP('Données projet'!$B$12,Paramètres!$A$1:$I$89,3,0)*VLOOKUP('Données projet'!$B$12,Paramètres!$A$1:$I$89,5,0)</f>
        <v>0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465.49436272491818</v>
      </c>
      <c r="CE108" s="62">
        <f t="shared" si="94"/>
        <v>494.36941732405256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143.27815097409692</v>
      </c>
      <c r="CL108" s="23">
        <f>EXP(-LN(2)/25)*CL107+(1-EXP(-LN(2)/25))/(LN(2)/25)*Calculateur!CG108*Calculateur!CI108*VLOOKUP('Données projet'!$B$12,Paramètres!$A$1:$I$89,3,0)*0.475*44/12</f>
        <v>31.653900872853328</v>
      </c>
      <c r="CM108" s="23">
        <f>EXP(-LN(2)/2)*CM107+(1-EXP(-LN(2)/2))/(LN(2)/2)*CG108*CJ108*VLOOKUP('Données projet'!$B$12,Paramètres!$A$1:$I$89,3,0)*0.475*44/12</f>
        <v>3.545270548594753E-4</v>
      </c>
      <c r="CN108" s="24">
        <f t="shared" si="66"/>
        <v>174.9324063740051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-6.8212102632969618E-13</v>
      </c>
      <c r="CU108" s="18">
        <f>CT108*VLOOKUP('Données projet'!$B$13,Paramètres!$A$1:$I$89,3,0)*VLOOKUP('Données projet'!$B$13,Paramètres!$A$1:$I$89,5,0)</f>
        <v>-4.0790837374515837E-13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361.46923697840384</v>
      </c>
      <c r="CZ108" s="62">
        <f t="shared" si="96"/>
        <v>302.25424592654673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108.32603009103708</v>
      </c>
      <c r="DG108" s="23">
        <f>EXP(-LN(2)/25)*DG107+(1-EXP(-LN(2)/25))/(LN(2)/25)*Calculateur!DB108*Calculateur!DD108*VLOOKUP('Données projet'!$B$13,Paramètres!$A$1:$I$89,3,0)*0.475*44/12</f>
        <v>32.129284797477624</v>
      </c>
      <c r="DH108" s="23">
        <f>EXP(-LN(2)/2)*DH107+(1-EXP(-LN(2)/2))/(LN(2)/2)*DB108*DE108*VLOOKUP('Données projet'!$B$13,Paramètres!$A$1:$I$89,3,0)*0.475*44/12</f>
        <v>3.5472195932119404E-3</v>
      </c>
      <c r="DI108" s="24">
        <f t="shared" si="69"/>
        <v>140.45886210810789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-4.5474735088646412E-13</v>
      </c>
      <c r="O109" s="14">
        <f>N109*VLOOKUP('Données projet'!$B$9,Paramètres!$A$1:$I$89,3,0)*VLOOKUP('Données projet'!$B$9,Paramètres!$A$1:$I$89,5,0)</f>
        <v>-2.5420376914553347E-13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389.80719836281679</v>
      </c>
      <c r="T109" s="62">
        <f t="shared" si="88"/>
        <v>399.58193819355591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129.52804673409685</v>
      </c>
      <c r="AA109" s="23">
        <f>EXP(-LN(2)/25)*AA108+(1-EXP(-LN(2)/25))/(LN(2)/25)*Calculateur!V109*Calculateur!X109*VLOOKUP('Données projet'!$B$9,Paramètres!$A$1:$I$89,3,0)*0.475*44/12</f>
        <v>27.862727677435192</v>
      </c>
      <c r="AB109" s="23">
        <f>EXP(-LN(2)/2)*AB108+(1-EXP(-LN(2)/2))/(LN(2)/2)*V109*Y109*VLOOKUP('Données projet'!$B$9,Paramètres!$A$1:$I$89,3,0)*0.475*44/12</f>
        <v>2.3002610760537373E-4</v>
      </c>
      <c r="AC109" s="24">
        <f t="shared" si="57"/>
        <v>157.39100443763965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269.90083987531233</v>
      </c>
      <c r="AO109" s="62">
        <f t="shared" si="90"/>
        <v>183.4515835513518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89.205666945071869</v>
      </c>
      <c r="AV109" s="23">
        <f>EXP(-LN(2)/25)*AV108+(1-EXP(-LN(2)/25))/(LN(2)/25)*Calculateur!AQ109*Calculateur!AS109*VLOOKUP('Données projet'!$B$10,Paramètres!$A$1:$I$89,3,0)*0.475*44/12</f>
        <v>28.733761081391705</v>
      </c>
      <c r="AW109" s="23">
        <f>EXP(-LN(2)/2)*AW108+(1-EXP(-LN(2)/2))/(LN(2)/2)*AQ109*AT109*VLOOKUP('Données projet'!$B$10,Paramètres!$A$1:$I$89,3,0)*0.475*44/12</f>
        <v>7.7689494513490274E-3</v>
      </c>
      <c r="AX109" s="23">
        <f t="shared" si="60"/>
        <v>117.94719697591492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12.326666666666661</v>
      </c>
      <c r="BD109" s="13">
        <f>IF('Données projet'!$A$88&gt;35,BD108+BC109-BL108,IF(A109&lt;'Données projet'!$A$88,$BA$205^A109,IF(A109='Données projet'!$A$88,'Données projet'!$B$88,BD108+BC109-BL108)))</f>
        <v>500.52666666666698</v>
      </c>
      <c r="BE109" s="14">
        <f>BD109*VLOOKUP('Données projet'!$B$11,Paramètres!$A$1:$I$89,3,0)*VLOOKUP('Données projet'!$B$11,Paramètres!$A$1:$I$89,5,0)</f>
        <v>240.75332666666679</v>
      </c>
      <c r="BF109" s="14">
        <f t="shared" si="91"/>
        <v>58.601582809425935</v>
      </c>
      <c r="BG109" s="22">
        <f t="shared" si="61"/>
        <v>521.3764673375282</v>
      </c>
      <c r="BH109" s="62">
        <f t="shared" si="62"/>
        <v>814.70980067086157</v>
      </c>
      <c r="BI109" s="62">
        <f ca="1">AVERAGE(OFFSET($BH$3,0,0,'Données projet'!$E$11+1,1))-AVERAGE(OFFSET($H$3,0,0,'Données projet'!$E$11+1,1))</f>
        <v>255.64417186544995</v>
      </c>
      <c r="BJ109" s="62">
        <f t="shared" si="92"/>
        <v>165.41802783289376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60.615946442577993</v>
      </c>
      <c r="BQ109" s="23">
        <f>EXP(-LN(2)/25)*BQ108+(1-EXP(-LN(2)/25))/(LN(2)/25)*Calculateur!BL109*Calculateur!BN109*VLOOKUP('Données projet'!$B$11,Paramètres!$A$1:$I$89,3,0)*0.475*44/12</f>
        <v>24.118553951903706</v>
      </c>
      <c r="BR109" s="23">
        <f>EXP(-LN(2)/2)*BR108+(1-EXP(-LN(2)/2))/(LN(2)/2)*BL109*BO109*VLOOKUP('Données projet'!$B$11,Paramètres!$A$1:$I$89,3,0)*0.475*44/12</f>
        <v>0.58577013123257615</v>
      </c>
      <c r="BS109" s="24">
        <f t="shared" si="63"/>
        <v>85.320270525714278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>
        <f>BY109*VLOOKUP('Données projet'!$B$12,Paramètres!$A$1:$I$89,3,0)*VLOOKUP('Données projet'!$B$12,Paramètres!$A$1:$I$89,5,0)</f>
        <v>0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465.49436272491818</v>
      </c>
      <c r="CE109" s="62">
        <f t="shared" si="94"/>
        <v>494.36941732405256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140.46855382453782</v>
      </c>
      <c r="CL109" s="23">
        <f>EXP(-LN(2)/25)*CL108+(1-EXP(-LN(2)/25))/(LN(2)/25)*Calculateur!CG109*Calculateur!CI109*VLOOKUP('Données projet'!$B$12,Paramètres!$A$1:$I$89,3,0)*0.475*44/12</f>
        <v>30.788323288878853</v>
      </c>
      <c r="CM109" s="23">
        <f>EXP(-LN(2)/2)*CM108+(1-EXP(-LN(2)/2))/(LN(2)/2)*CG109*CJ109*VLOOKUP('Données projet'!$B$12,Paramètres!$A$1:$I$89,3,0)*0.475*44/12</f>
        <v>2.5068848460523013E-4</v>
      </c>
      <c r="CN109" s="24">
        <f t="shared" si="66"/>
        <v>171.25712780190128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-6.8212102632969618E-13</v>
      </c>
      <c r="CU109" s="18">
        <f>CT109*VLOOKUP('Données projet'!$B$13,Paramètres!$A$1:$I$89,3,0)*VLOOKUP('Données projet'!$B$13,Paramètres!$A$1:$I$89,5,0)</f>
        <v>-4.0790837374515837E-13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361.46923697840384</v>
      </c>
      <c r="CZ109" s="62">
        <f t="shared" si="96"/>
        <v>302.25424592654673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106.2018227133061</v>
      </c>
      <c r="DG109" s="23">
        <f>EXP(-LN(2)/25)*DG108+(1-EXP(-LN(2)/25))/(LN(2)/25)*Calculateur!DB109*Calculateur!DD109*VLOOKUP('Données projet'!$B$13,Paramètres!$A$1:$I$89,3,0)*0.475*44/12</f>
        <v>31.250707815084944</v>
      </c>
      <c r="DH109" s="23">
        <f>EXP(-LN(2)/2)*DH108+(1-EXP(-LN(2)/2))/(LN(2)/2)*DB109*DE109*VLOOKUP('Données projet'!$B$13,Paramètres!$A$1:$I$89,3,0)*0.475*44/12</f>
        <v>2.5082630287179496E-3</v>
      </c>
      <c r="DI109" s="24">
        <f t="shared" si="69"/>
        <v>137.45503879141975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-4.5474735088646412E-13</v>
      </c>
      <c r="O110" s="14">
        <f>N110*VLOOKUP('Données projet'!$B$9,Paramètres!$A$1:$I$89,3,0)*VLOOKUP('Données projet'!$B$9,Paramètres!$A$1:$I$89,5,0)</f>
        <v>-2.5420376914553347E-13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389.80719836281679</v>
      </c>
      <c r="T110" s="62">
        <f t="shared" si="88"/>
        <v>399.58193819355591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126.98808074194869</v>
      </c>
      <c r="AA110" s="23">
        <f>EXP(-LN(2)/25)*AA109+(1-EXP(-LN(2)/25))/(LN(2)/25)*Calculateur!V110*Calculateur!X110*VLOOKUP('Données projet'!$B$9,Paramètres!$A$1:$I$89,3,0)*0.475*44/12</f>
        <v>27.100819923858559</v>
      </c>
      <c r="AB110" s="23">
        <f>EXP(-LN(2)/2)*AB109+(1-EXP(-LN(2)/2))/(LN(2)/2)*V110*Y110*VLOOKUP('Données projet'!$B$9,Paramètres!$A$1:$I$89,3,0)*0.475*44/12</f>
        <v>1.6265302053770624E-4</v>
      </c>
      <c r="AC110" s="24">
        <f t="shared" si="57"/>
        <v>154.08906331882778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269.90083987531233</v>
      </c>
      <c r="AO110" s="62">
        <f t="shared" si="90"/>
        <v>183.4515835513518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87.456398226363291</v>
      </c>
      <c r="AV110" s="23">
        <f>EXP(-LN(2)/25)*AV109+(1-EXP(-LN(2)/25))/(LN(2)/25)*Calculateur!AQ110*Calculateur!AS110*VLOOKUP('Données projet'!$B$10,Paramètres!$A$1:$I$89,3,0)*0.475*44/12</f>
        <v>27.948034873578226</v>
      </c>
      <c r="AW110" s="23">
        <f>EXP(-LN(2)/2)*AW109+(1-EXP(-LN(2)/2))/(LN(2)/2)*AQ110*AT110*VLOOKUP('Données projet'!$B$10,Paramètres!$A$1:$I$89,3,0)*0.475*44/12</f>
        <v>5.4934768397444057E-3</v>
      </c>
      <c r="AX110" s="23">
        <f t="shared" si="60"/>
        <v>115.40992657678126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12.326666666666661</v>
      </c>
      <c r="BD110" s="13">
        <f>IF('Données projet'!$A$88&gt;35,BD109+BC110-BL109,IF(A110&lt;'Données projet'!$A$88,$BA$205^A110,IF(A110='Données projet'!$A$88,'Données projet'!$B$88,BD109+BC110-BL109)))</f>
        <v>512.85333333333369</v>
      </c>
      <c r="BE110" s="14">
        <f>BD110*VLOOKUP('Données projet'!$B$11,Paramètres!$A$1:$I$89,3,0)*VLOOKUP('Données projet'!$B$11,Paramètres!$A$1:$I$89,5,0)</f>
        <v>246.68245333333351</v>
      </c>
      <c r="BF110" s="14">
        <f t="shared" si="91"/>
        <v>59.874986774631061</v>
      </c>
      <c r="BG110" s="22">
        <f t="shared" si="61"/>
        <v>533.92087485470495</v>
      </c>
      <c r="BH110" s="62">
        <f t="shared" si="62"/>
        <v>827.25420818803832</v>
      </c>
      <c r="BI110" s="62">
        <f ca="1">AVERAGE(OFFSET($BH$3,0,0,'Données projet'!$E$11+1,1))-AVERAGE(OFFSET($H$3,0,0,'Données projet'!$E$11+1,1))</f>
        <v>255.64417186544995</v>
      </c>
      <c r="BJ110" s="62">
        <f t="shared" si="92"/>
        <v>165.41802783289376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59.427304704915677</v>
      </c>
      <c r="BQ110" s="23">
        <f>EXP(-LN(2)/25)*BQ109+(1-EXP(-LN(2)/25))/(LN(2)/25)*Calculateur!BL110*Calculateur!BN110*VLOOKUP('Données projet'!$B$11,Paramètres!$A$1:$I$89,3,0)*0.475*44/12</f>
        <v>23.45903082574927</v>
      </c>
      <c r="BR110" s="23">
        <f>EXP(-LN(2)/2)*BR109+(1-EXP(-LN(2)/2))/(LN(2)/2)*BL110*BO110*VLOOKUP('Données projet'!$B$11,Paramètres!$A$1:$I$89,3,0)*0.475*44/12</f>
        <v>0.41420203201108846</v>
      </c>
      <c r="BS110" s="24">
        <f t="shared" si="63"/>
        <v>83.300537562676041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>
        <f>BY110*VLOOKUP('Données projet'!$B$12,Paramètres!$A$1:$I$89,3,0)*VLOOKUP('Données projet'!$B$12,Paramètres!$A$1:$I$89,5,0)</f>
        <v>0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465.49436272491818</v>
      </c>
      <c r="CE110" s="62">
        <f t="shared" si="94"/>
        <v>494.36941732405256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137.71405116139653</v>
      </c>
      <c r="CL110" s="23">
        <f>EXP(-LN(2)/25)*CL109+(1-EXP(-LN(2)/25))/(LN(2)/25)*Calculateur!CG110*Calculateur!CI110*VLOOKUP('Données projet'!$B$12,Paramètres!$A$1:$I$89,3,0)*0.475*44/12</f>
        <v>29.946414969456907</v>
      </c>
      <c r="CM110" s="23">
        <f>EXP(-LN(2)/2)*CM109+(1-EXP(-LN(2)/2))/(LN(2)/2)*CG110*CJ110*VLOOKUP('Données projet'!$B$12,Paramètres!$A$1:$I$89,3,0)*0.475*44/12</f>
        <v>1.7726352742973765E-4</v>
      </c>
      <c r="CN110" s="24">
        <f t="shared" si="66"/>
        <v>167.66064339438086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-6.8212102632969618E-13</v>
      </c>
      <c r="CU110" s="18">
        <f>CT110*VLOOKUP('Données projet'!$B$13,Paramètres!$A$1:$I$89,3,0)*VLOOKUP('Données projet'!$B$13,Paramètres!$A$1:$I$89,5,0)</f>
        <v>-4.0790837374515837E-13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361.46923697840384</v>
      </c>
      <c r="CZ110" s="62">
        <f t="shared" si="96"/>
        <v>302.25424592654673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104.11926974661385</v>
      </c>
      <c r="DG110" s="23">
        <f>EXP(-LN(2)/25)*DG109+(1-EXP(-LN(2)/25))/(LN(2)/25)*Calculateur!DB110*Calculateur!DD110*VLOOKUP('Données projet'!$B$13,Paramètres!$A$1:$I$89,3,0)*0.475*44/12</f>
        <v>30.396155566478146</v>
      </c>
      <c r="DH110" s="23">
        <f>EXP(-LN(2)/2)*DH109+(1-EXP(-LN(2)/2))/(LN(2)/2)*DB110*DE110*VLOOKUP('Données projet'!$B$13,Paramètres!$A$1:$I$89,3,0)*0.475*44/12</f>
        <v>1.7736097966059702E-3</v>
      </c>
      <c r="DI110" s="24">
        <f t="shared" si="69"/>
        <v>134.51719892288861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-4.5474735088646412E-13</v>
      </c>
      <c r="O111" s="14">
        <f>N111*VLOOKUP('Données projet'!$B$9,Paramètres!$A$1:$I$89,3,0)*VLOOKUP('Données projet'!$B$9,Paramètres!$A$1:$I$89,5,0)</f>
        <v>-2.5420376914553347E-13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389.80719836281679</v>
      </c>
      <c r="T111" s="62">
        <f t="shared" si="88"/>
        <v>399.58193819355591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124.49792193368027</v>
      </c>
      <c r="AA111" s="23">
        <f>EXP(-LN(2)/25)*AA110+(1-EXP(-LN(2)/25))/(LN(2)/25)*Calculateur!V111*Calculateur!X111*VLOOKUP('Données projet'!$B$9,Paramètres!$A$1:$I$89,3,0)*0.475*44/12</f>
        <v>26.359746577870467</v>
      </c>
      <c r="AB111" s="23">
        <f>EXP(-LN(2)/2)*AB110+(1-EXP(-LN(2)/2))/(LN(2)/2)*V111*Y111*VLOOKUP('Données projet'!$B$9,Paramètres!$A$1:$I$89,3,0)*0.475*44/12</f>
        <v>1.1501305380268687E-4</v>
      </c>
      <c r="AC111" s="24">
        <f t="shared" si="57"/>
        <v>150.85778352460454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269.90083987531233</v>
      </c>
      <c r="AO111" s="62">
        <f t="shared" si="90"/>
        <v>183.4515835513518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85.741431600280023</v>
      </c>
      <c r="AV111" s="23">
        <f>EXP(-LN(2)/25)*AV110+(1-EXP(-LN(2)/25))/(LN(2)/25)*Calculateur!AQ111*Calculateur!AS111*VLOOKUP('Données projet'!$B$10,Paramètres!$A$1:$I$89,3,0)*0.475*44/12</f>
        <v>27.183794390236951</v>
      </c>
      <c r="AW111" s="23">
        <f>EXP(-LN(2)/2)*AW110+(1-EXP(-LN(2)/2))/(LN(2)/2)*AQ111*AT111*VLOOKUP('Données projet'!$B$10,Paramètres!$A$1:$I$89,3,0)*0.475*44/12</f>
        <v>3.8844747256745141E-3</v>
      </c>
      <c r="AX111" s="23">
        <f t="shared" si="60"/>
        <v>112.92911046524266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>
        <f>VLOOKUP(A111,'Données projet'!$A$87:$I$107,2,0)</f>
        <v>525.17999999999995</v>
      </c>
      <c r="BB111" s="13">
        <f>VLOOKUP(A111,'Données projet'!$A$87:$I$107,9,0)</f>
        <v>12.326666666666661</v>
      </c>
      <c r="BC111" s="13">
        <f t="array" ref="BC111">INDEX(BB:BB,MIN(IF(ISNUMBER(BB111:BB307),ROW(BB111:BB307),"")))</f>
        <v>12.326666666666661</v>
      </c>
      <c r="BD111" s="13">
        <f>IF('Données projet'!$A$88&gt;35,BD110+BC111-BL110,IF(A111&lt;'Données projet'!$A$88,$BA$205^A111,IF(A111='Données projet'!$A$88,'Données projet'!$B$88,BD110+BC111-BL110)))</f>
        <v>525.1800000000004</v>
      </c>
      <c r="BE111" s="14">
        <f>BD111*VLOOKUP('Données projet'!$B$11,Paramètres!$A$1:$I$89,3,0)*VLOOKUP('Données projet'!$B$11,Paramètres!$A$1:$I$89,5,0)</f>
        <v>252.61158000000017</v>
      </c>
      <c r="BF111" s="14">
        <f t="shared" si="91"/>
        <v>61.144832719170104</v>
      </c>
      <c r="BG111" s="22">
        <f t="shared" si="61"/>
        <v>546.45908548588818</v>
      </c>
      <c r="BH111" s="62">
        <f t="shared" si="62"/>
        <v>839.79241881922144</v>
      </c>
      <c r="BI111" s="62">
        <f ca="1">AVERAGE(OFFSET($BH$3,0,0,'Données projet'!$E$11+1,1))-AVERAGE(OFFSET($H$3,0,0,'Données projet'!$E$11+1,1))</f>
        <v>255.64417186544995</v>
      </c>
      <c r="BJ111" s="62">
        <f t="shared" si="92"/>
        <v>165.41802783289376</v>
      </c>
      <c r="BK111" s="16">
        <f>IF(ISNA(VLOOKUP(A111,'Données projet'!$A$87:$I$107,3,0)),0,VLOOKUP(A111,'Données projet'!$A$87:$I$107,3,0))</f>
        <v>7</v>
      </c>
      <c r="BL111" s="16">
        <f>IF(ISNA(VLOOKUP(A111,'Données projet'!$A$87:$I$107,4,0)),0,VLOOKUP(A111,'Données projet'!$A$87:$I$107,4,0))</f>
        <v>81.44</v>
      </c>
      <c r="BM111" s="17">
        <f>IF(ISNA(VLOOKUP(A111,'Données projet'!$A$87:$I$107,5,0)),0%,VLOOKUP(A111,'Données projet'!$A$87:$I$107,5,0)*VLOOKUP('Données projet'!$B$11,Paramètres!$A$1:$I$89,7,0))</f>
        <v>0.38500000000000001</v>
      </c>
      <c r="BN111" s="17">
        <f>IF(ISNA(VLOOKUP(A111,'Données projet'!$A$87:$I$107,6,0)),0%,VLOOKUP(A111,'Données projet'!$A$87:$I$107,6,0)*VLOOKUP('Données projet'!$B$11,Paramètres!$A$1:$I$89,7,0))</f>
        <v>9.3500000000000014E-2</v>
      </c>
      <c r="BO111" s="17">
        <f>IF(ISNA(VLOOKUP(A111,'Données projet'!$A$87:$I$107,7,0)),0%,VLOOKUP(A111,'Données projet'!$A$87:$I$107,7,0))</f>
        <v>0.13</v>
      </c>
      <c r="BP111" s="23">
        <f>EXP(-LN(2)/35)*BP110+(1-EXP(-LN(2)/35))/(LN(2)/35)*BL111*BM111*VLOOKUP('Données projet'!$B$11,Paramètres!$A$1:$I$89,3,0)*0.475*44/12</f>
        <v>78.268508768874767</v>
      </c>
      <c r="BQ111" s="23">
        <f>EXP(-LN(2)/25)*BQ110+(1-EXP(-LN(2)/25))/(LN(2)/25)*Calculateur!BL111*Calculateur!BN111*VLOOKUP('Données projet'!$B$11,Paramètres!$A$1:$I$89,3,0)*0.475*44/12</f>
        <v>27.657142198898875</v>
      </c>
      <c r="BR111" s="23">
        <f>EXP(-LN(2)/2)*BR110+(1-EXP(-LN(2)/2))/(LN(2)/2)*BL111*BO111*VLOOKUP('Données projet'!$B$11,Paramètres!$A$1:$I$89,3,0)*0.475*44/12</f>
        <v>6.0587137299753167</v>
      </c>
      <c r="BS111" s="24">
        <f t="shared" si="63"/>
        <v>111.98436469774896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>
        <f>BY111*VLOOKUP('Données projet'!$B$12,Paramètres!$A$1:$I$89,3,0)*VLOOKUP('Données projet'!$B$12,Paramètres!$A$1:$I$89,5,0)</f>
        <v>0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465.49436272491818</v>
      </c>
      <c r="CE111" s="62">
        <f t="shared" si="94"/>
        <v>494.36941732405256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135.01356261539871</v>
      </c>
      <c r="CL111" s="23">
        <f>EXP(-LN(2)/25)*CL110+(1-EXP(-LN(2)/25))/(LN(2)/25)*Calculateur!CG111*Calculateur!CI111*VLOOKUP('Données projet'!$B$12,Paramètres!$A$1:$I$89,3,0)*0.475*44/12</f>
        <v>29.127528677303587</v>
      </c>
      <c r="CM111" s="23">
        <f>EXP(-LN(2)/2)*CM110+(1-EXP(-LN(2)/2))/(LN(2)/2)*CG111*CJ111*VLOOKUP('Données projet'!$B$12,Paramètres!$A$1:$I$89,3,0)*0.475*44/12</f>
        <v>1.2534424230261506E-4</v>
      </c>
      <c r="CN111" s="24">
        <f t="shared" si="66"/>
        <v>164.14121663694459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-6.8212102632969618E-13</v>
      </c>
      <c r="CU111" s="18">
        <f>CT111*VLOOKUP('Données projet'!$B$13,Paramètres!$A$1:$I$89,3,0)*VLOOKUP('Données projet'!$B$13,Paramètres!$A$1:$I$89,5,0)</f>
        <v>-4.0790837374515837E-13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361.46923697840384</v>
      </c>
      <c r="CZ111" s="62">
        <f t="shared" si="96"/>
        <v>302.25424592654673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102.07755437336655</v>
      </c>
      <c r="DG111" s="23">
        <f>EXP(-LN(2)/25)*DG110+(1-EXP(-LN(2)/25))/(LN(2)/25)*Calculateur!DB111*Calculateur!DD111*VLOOKUP('Données projet'!$B$13,Paramètres!$A$1:$I$89,3,0)*0.475*44/12</f>
        <v>29.564971094048452</v>
      </c>
      <c r="DH111" s="23">
        <f>EXP(-LN(2)/2)*DH110+(1-EXP(-LN(2)/2))/(LN(2)/2)*DB111*DE111*VLOOKUP('Données projet'!$B$13,Paramètres!$A$1:$I$89,3,0)*0.475*44/12</f>
        <v>1.2541315143589748E-3</v>
      </c>
      <c r="DI111" s="24">
        <f t="shared" si="69"/>
        <v>131.64377959892937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-4.5474735088646412E-13</v>
      </c>
      <c r="O112" s="14">
        <f>N112*VLOOKUP('Données projet'!$B$9,Paramètres!$A$1:$I$89,3,0)*VLOOKUP('Données projet'!$B$9,Paramètres!$A$1:$I$89,5,0)</f>
        <v>-2.5420376914553347E-13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389.80719836281679</v>
      </c>
      <c r="T112" s="62">
        <f t="shared" si="88"/>
        <v>399.58193819355591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122.0565936207951</v>
      </c>
      <c r="AA112" s="23">
        <f>EXP(-LN(2)/25)*AA111+(1-EXP(-LN(2)/25))/(LN(2)/25)*Calculateur!V112*Calculateur!X112*VLOOKUP('Données projet'!$B$9,Paramètres!$A$1:$I$89,3,0)*0.475*44/12</f>
        <v>25.638937921499775</v>
      </c>
      <c r="AB112" s="23">
        <f>EXP(-LN(2)/2)*AB111+(1-EXP(-LN(2)/2))/(LN(2)/2)*V112*Y112*VLOOKUP('Données projet'!$B$9,Paramètres!$A$1:$I$89,3,0)*0.475*44/12</f>
        <v>8.1326510268853118E-5</v>
      </c>
      <c r="AC112" s="24">
        <f t="shared" si="57"/>
        <v>147.69561286880514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269.90083987531233</v>
      </c>
      <c r="AO112" s="62">
        <f t="shared" si="90"/>
        <v>183.4515835513518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84.060094423707895</v>
      </c>
      <c r="AV112" s="23">
        <f>EXP(-LN(2)/25)*AV111+(1-EXP(-LN(2)/25))/(LN(2)/25)*Calculateur!AQ112*Calculateur!AS112*VLOOKUP('Données projet'!$B$10,Paramètres!$A$1:$I$89,3,0)*0.475*44/12</f>
        <v>26.440452103102302</v>
      </c>
      <c r="AW112" s="23">
        <f>EXP(-LN(2)/2)*AW111+(1-EXP(-LN(2)/2))/(LN(2)/2)*AQ112*AT112*VLOOKUP('Données projet'!$B$10,Paramètres!$A$1:$I$89,3,0)*0.475*44/12</f>
        <v>2.7467384198722033E-3</v>
      </c>
      <c r="AX112" s="23">
        <f t="shared" si="60"/>
        <v>110.50329326523007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11.309000000000008</v>
      </c>
      <c r="BD112" s="13">
        <f>IF('Données projet'!$A$88&gt;35,BD111+BC112-BL111,IF(A112&lt;'Données projet'!$A$88,$BA$205^A112,IF(A112='Données projet'!$A$88,'Données projet'!$B$88,BD111+BC112-BL111)))</f>
        <v>455.04900000000038</v>
      </c>
      <c r="BE112" s="14">
        <f>BD112*VLOOKUP('Données projet'!$B$11,Paramètres!$A$1:$I$89,3,0)*VLOOKUP('Données projet'!$B$11,Paramètres!$A$1:$I$89,5,0)</f>
        <v>218.8785690000002</v>
      </c>
      <c r="BF112" s="14">
        <f t="shared" si="91"/>
        <v>53.87107578651063</v>
      </c>
      <c r="BG112" s="22">
        <f t="shared" si="61"/>
        <v>475.03896466983969</v>
      </c>
      <c r="BH112" s="62">
        <f t="shared" si="62"/>
        <v>768.372298003173</v>
      </c>
      <c r="BI112" s="62">
        <f ca="1">AVERAGE(OFFSET($BH$3,0,0,'Données projet'!$E$11+1,1))-AVERAGE(OFFSET($H$3,0,0,'Données projet'!$E$11+1,1))</f>
        <v>255.64417186544995</v>
      </c>
      <c r="BJ112" s="62">
        <f t="shared" si="92"/>
        <v>165.41802783289376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76.733711050993634</v>
      </c>
      <c r="BQ112" s="23">
        <f>EXP(-LN(2)/25)*BQ111+(1-EXP(-LN(2)/25))/(LN(2)/25)*Calculateur!BL112*Calculateur!BN112*VLOOKUP('Données projet'!$B$11,Paramètres!$A$1:$I$89,3,0)*0.475*44/12</f>
        <v>26.900856191044088</v>
      </c>
      <c r="BR112" s="23">
        <f>EXP(-LN(2)/2)*BR111+(1-EXP(-LN(2)/2))/(LN(2)/2)*BL112*BO112*VLOOKUP('Données projet'!$B$11,Paramètres!$A$1:$I$89,3,0)*0.475*44/12</f>
        <v>4.2841575637335874</v>
      </c>
      <c r="BS112" s="24">
        <f t="shared" si="63"/>
        <v>107.9187248057713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>
        <f>BY112*VLOOKUP('Données projet'!$B$12,Paramètres!$A$1:$I$89,3,0)*VLOOKUP('Données projet'!$B$12,Paramètres!$A$1:$I$89,5,0)</f>
        <v>0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465.49436272491818</v>
      </c>
      <c r="CE112" s="62">
        <f t="shared" si="94"/>
        <v>494.36941732405256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132.36602900265254</v>
      </c>
      <c r="CL112" s="23">
        <f>EXP(-LN(2)/25)*CL111+(1-EXP(-LN(2)/25))/(LN(2)/25)*Calculateur!CG112*Calculateur!CI112*VLOOKUP('Données projet'!$B$12,Paramètres!$A$1:$I$89,3,0)*0.475*44/12</f>
        <v>28.331034873872561</v>
      </c>
      <c r="CM112" s="23">
        <f>EXP(-LN(2)/2)*CM111+(1-EXP(-LN(2)/2))/(LN(2)/2)*CG112*CJ112*VLOOKUP('Données projet'!$B$12,Paramètres!$A$1:$I$89,3,0)*0.475*44/12</f>
        <v>8.8631763714868824E-5</v>
      </c>
      <c r="CN112" s="24">
        <f t="shared" si="66"/>
        <v>160.69715250828881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-6.8212102632969618E-13</v>
      </c>
      <c r="CU112" s="18">
        <f>CT112*VLOOKUP('Données projet'!$B$13,Paramètres!$A$1:$I$89,3,0)*VLOOKUP('Données projet'!$B$13,Paramètres!$A$1:$I$89,5,0)</f>
        <v>-4.0790837374515837E-13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361.46923697840384</v>
      </c>
      <c r="CZ112" s="62">
        <f t="shared" si="96"/>
        <v>302.25424592654673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100.07587579326523</v>
      </c>
      <c r="DG112" s="23">
        <f>EXP(-LN(2)/25)*DG111+(1-EXP(-LN(2)/25))/(LN(2)/25)*Calculateur!DB112*Calculateur!DD112*VLOOKUP('Données projet'!$B$13,Paramètres!$A$1:$I$89,3,0)*0.475*44/12</f>
        <v>28.756515404727438</v>
      </c>
      <c r="DH112" s="23">
        <f>EXP(-LN(2)/2)*DH111+(1-EXP(-LN(2)/2))/(LN(2)/2)*DB112*DE112*VLOOKUP('Données projet'!$B$13,Paramètres!$A$1:$I$89,3,0)*0.475*44/12</f>
        <v>8.868048983029851E-4</v>
      </c>
      <c r="DI112" s="24">
        <f t="shared" si="69"/>
        <v>128.83327800289095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-4.5474735088646412E-13</v>
      </c>
      <c r="O113" s="14">
        <f>N113*VLOOKUP('Données projet'!$B$9,Paramètres!$A$1:$I$89,3,0)*VLOOKUP('Données projet'!$B$9,Paramètres!$A$1:$I$89,5,0)</f>
        <v>-2.5420376914553347E-13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389.80719836281679</v>
      </c>
      <c r="T113" s="62">
        <f t="shared" si="88"/>
        <v>399.58193819355591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119.66313826706237</v>
      </c>
      <c r="AA113" s="23">
        <f>EXP(-LN(2)/25)*AA112+(1-EXP(-LN(2)/25))/(LN(2)/25)*Calculateur!V113*Calculateur!X113*VLOOKUP('Données projet'!$B$9,Paramètres!$A$1:$I$89,3,0)*0.475*44/12</f>
        <v>24.937839815743217</v>
      </c>
      <c r="AB113" s="23">
        <f>EXP(-LN(2)/2)*AB112+(1-EXP(-LN(2)/2))/(LN(2)/2)*V113*Y113*VLOOKUP('Données projet'!$B$9,Paramètres!$A$1:$I$89,3,0)*0.475*44/12</f>
        <v>5.7506526901343433E-5</v>
      </c>
      <c r="AC113" s="24">
        <f t="shared" si="57"/>
        <v>144.60103558933247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269.90083987531233</v>
      </c>
      <c r="AO113" s="62">
        <f t="shared" si="90"/>
        <v>183.4515835513518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82.411727243653928</v>
      </c>
      <c r="AV113" s="23">
        <f>EXP(-LN(2)/25)*AV112+(1-EXP(-LN(2)/25))/(LN(2)/25)*Calculateur!AQ113*Calculateur!AS113*VLOOKUP('Données projet'!$B$10,Paramètres!$A$1:$I$89,3,0)*0.475*44/12</f>
        <v>25.717436549900025</v>
      </c>
      <c r="AW113" s="23">
        <f>EXP(-LN(2)/2)*AW112+(1-EXP(-LN(2)/2))/(LN(2)/2)*AQ113*AT113*VLOOKUP('Données projet'!$B$10,Paramètres!$A$1:$I$89,3,0)*0.475*44/12</f>
        <v>1.9422373628372575E-3</v>
      </c>
      <c r="AX113" s="23">
        <f t="shared" si="60"/>
        <v>108.1311060309168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11.309000000000008</v>
      </c>
      <c r="BD113" s="13">
        <f>IF('Données projet'!$A$88&gt;35,BD112+BC113-BL112,IF(A113&lt;'Données projet'!$A$88,$BA$205^A113,IF(A113='Données projet'!$A$88,'Données projet'!$B$88,BD112+BC113-BL112)))</f>
        <v>466.3580000000004</v>
      </c>
      <c r="BE113" s="14">
        <f>BD113*VLOOKUP('Données projet'!$B$11,Paramètres!$A$1:$I$89,3,0)*VLOOKUP('Données projet'!$B$11,Paramètres!$A$1:$I$89,5,0)</f>
        <v>224.31819800000019</v>
      </c>
      <c r="BF113" s="14">
        <f t="shared" si="91"/>
        <v>55.052360322379556</v>
      </c>
      <c r="BG113" s="22">
        <f t="shared" si="61"/>
        <v>486.57038907814467</v>
      </c>
      <c r="BH113" s="62">
        <f t="shared" si="62"/>
        <v>779.90372241147793</v>
      </c>
      <c r="BI113" s="62">
        <f ca="1">AVERAGE(OFFSET($BH$3,0,0,'Données projet'!$E$11+1,1))-AVERAGE(OFFSET($H$3,0,0,'Données projet'!$E$11+1,1))</f>
        <v>255.64417186544995</v>
      </c>
      <c r="BJ113" s="62">
        <f t="shared" si="92"/>
        <v>165.41802783289376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75.229009780225979</v>
      </c>
      <c r="BQ113" s="23">
        <f>EXP(-LN(2)/25)*BQ112+(1-EXP(-LN(2)/25))/(LN(2)/25)*Calculateur!BL113*Calculateur!BN113*VLOOKUP('Données projet'!$B$11,Paramètres!$A$1:$I$89,3,0)*0.475*44/12</f>
        <v>26.165250863845444</v>
      </c>
      <c r="BR113" s="23">
        <f>EXP(-LN(2)/2)*BR112+(1-EXP(-LN(2)/2))/(LN(2)/2)*BL113*BO113*VLOOKUP('Données projet'!$B$11,Paramètres!$A$1:$I$89,3,0)*0.475*44/12</f>
        <v>3.0293568649876583</v>
      </c>
      <c r="BS113" s="24">
        <f t="shared" si="63"/>
        <v>104.42361750905908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>
        <f>BY113*VLOOKUP('Données projet'!$B$12,Paramètres!$A$1:$I$89,3,0)*VLOOKUP('Données projet'!$B$12,Paramètres!$A$1:$I$89,5,0)</f>
        <v>0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465.49436272491818</v>
      </c>
      <c r="CE113" s="62">
        <f t="shared" si="94"/>
        <v>494.36941732405256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129.77041190921628</v>
      </c>
      <c r="CL113" s="23">
        <f>EXP(-LN(2)/25)*CL112+(1-EXP(-LN(2)/25))/(LN(2)/25)*Calculateur!CG113*Calculateur!CI113*VLOOKUP('Données projet'!$B$12,Paramètres!$A$1:$I$89,3,0)*0.475*44/12</f>
        <v>27.556321235382143</v>
      </c>
      <c r="CM113" s="23">
        <f>EXP(-LN(2)/2)*CM112+(1-EXP(-LN(2)/2))/(LN(2)/2)*CG113*CJ113*VLOOKUP('Données projet'!$B$12,Paramètres!$A$1:$I$89,3,0)*0.475*44/12</f>
        <v>6.2672121151307532E-5</v>
      </c>
      <c r="CN113" s="24">
        <f t="shared" si="66"/>
        <v>157.32679581671957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-6.8212102632969618E-13</v>
      </c>
      <c r="CU113" s="18">
        <f>CT113*VLOOKUP('Données projet'!$B$13,Paramètres!$A$1:$I$89,3,0)*VLOOKUP('Données projet'!$B$13,Paramètres!$A$1:$I$89,5,0)</f>
        <v>-4.0790837374515837E-13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361.46923697840384</v>
      </c>
      <c r="CZ113" s="62">
        <f t="shared" si="96"/>
        <v>302.25424592654673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98.113448909216302</v>
      </c>
      <c r="DG113" s="23">
        <f>EXP(-LN(2)/25)*DG112+(1-EXP(-LN(2)/25))/(LN(2)/25)*Calculateur!DB113*Calculateur!DD113*VLOOKUP('Données projet'!$B$13,Paramètres!$A$1:$I$89,3,0)*0.475*44/12</f>
        <v>27.970166978745745</v>
      </c>
      <c r="DH113" s="23">
        <f>EXP(-LN(2)/2)*DH112+(1-EXP(-LN(2)/2))/(LN(2)/2)*DB113*DE113*VLOOKUP('Données projet'!$B$13,Paramètres!$A$1:$I$89,3,0)*0.475*44/12</f>
        <v>6.270657571794874E-4</v>
      </c>
      <c r="DI113" s="24">
        <f t="shared" si="69"/>
        <v>126.08424295371924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-4.5474735088646412E-13</v>
      </c>
      <c r="O114" s="14">
        <f>N114*VLOOKUP('Données projet'!$B$9,Paramètres!$A$1:$I$89,3,0)*VLOOKUP('Données projet'!$B$9,Paramètres!$A$1:$I$89,5,0)</f>
        <v>-2.5420376914553347E-13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389.80719836281679</v>
      </c>
      <c r="T114" s="62">
        <f t="shared" si="88"/>
        <v>399.58193819355591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117.31661711295271</v>
      </c>
      <c r="AA114" s="23">
        <f>EXP(-LN(2)/25)*AA113+(1-EXP(-LN(2)/25))/(LN(2)/25)*Calculateur!V114*Calculateur!X114*VLOOKUP('Données projet'!$B$9,Paramètres!$A$1:$I$89,3,0)*0.475*44/12</f>
        <v>24.25591327455772</v>
      </c>
      <c r="AB114" s="23">
        <f>EXP(-LN(2)/2)*AB113+(1-EXP(-LN(2)/2))/(LN(2)/2)*V114*Y114*VLOOKUP('Données projet'!$B$9,Paramètres!$A$1:$I$89,3,0)*0.475*44/12</f>
        <v>4.0663255134426559E-5</v>
      </c>
      <c r="AC114" s="24">
        <f t="shared" si="57"/>
        <v>141.57257105076556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269.90083987531233</v>
      </c>
      <c r="AO114" s="62">
        <f t="shared" si="90"/>
        <v>183.4515835513518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80.795683538596123</v>
      </c>
      <c r="AV114" s="23">
        <f>EXP(-LN(2)/25)*AV113+(1-EXP(-LN(2)/25))/(LN(2)/25)*Calculateur!AQ114*Calculateur!AS114*VLOOKUP('Données projet'!$B$10,Paramètres!$A$1:$I$89,3,0)*0.475*44/12</f>
        <v>25.014191895021799</v>
      </c>
      <c r="AW114" s="23">
        <f>EXP(-LN(2)/2)*AW113+(1-EXP(-LN(2)/2))/(LN(2)/2)*AQ114*AT114*VLOOKUP('Données projet'!$B$10,Paramètres!$A$1:$I$89,3,0)*0.475*44/12</f>
        <v>1.3733692099361019E-3</v>
      </c>
      <c r="AX114" s="23">
        <f t="shared" si="60"/>
        <v>105.81124880282785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11.309000000000008</v>
      </c>
      <c r="BD114" s="13">
        <f>IF('Données projet'!$A$88&gt;35,BD113+BC114-BL113,IF(A114&lt;'Données projet'!$A$88,$BA$205^A114,IF(A114='Données projet'!$A$88,'Données projet'!$B$88,BD113+BC114-BL113)))</f>
        <v>477.66700000000043</v>
      </c>
      <c r="BE114" s="14">
        <f>BD114*VLOOKUP('Données projet'!$B$11,Paramètres!$A$1:$I$89,3,0)*VLOOKUP('Données projet'!$B$11,Paramètres!$A$1:$I$89,5,0)</f>
        <v>229.75782700000022</v>
      </c>
      <c r="BF114" s="14">
        <f t="shared" si="91"/>
        <v>56.230314856428564</v>
      </c>
      <c r="BG114" s="22">
        <f t="shared" si="61"/>
        <v>498.09601373328013</v>
      </c>
      <c r="BH114" s="62">
        <f t="shared" si="62"/>
        <v>791.42934706661345</v>
      </c>
      <c r="BI114" s="62">
        <f ca="1">AVERAGE(OFFSET($BH$3,0,0,'Données projet'!$E$11+1,1))-AVERAGE(OFFSET($H$3,0,0,'Données projet'!$E$11+1,1))</f>
        <v>255.64417186544995</v>
      </c>
      <c r="BJ114" s="62">
        <f t="shared" si="92"/>
        <v>165.41802783289376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73.75381478360093</v>
      </c>
      <c r="BQ114" s="23">
        <f>EXP(-LN(2)/25)*BQ113+(1-EXP(-LN(2)/25))/(LN(2)/25)*Calculateur!BL114*Calculateur!BN114*VLOOKUP('Données projet'!$B$11,Paramètres!$A$1:$I$89,3,0)*0.475*44/12</f>
        <v>25.449760703002848</v>
      </c>
      <c r="BR114" s="23">
        <f>EXP(-LN(2)/2)*BR113+(1-EXP(-LN(2)/2))/(LN(2)/2)*BL114*BO114*VLOOKUP('Données projet'!$B$11,Paramètres!$A$1:$I$89,3,0)*0.475*44/12</f>
        <v>2.1420787818667937</v>
      </c>
      <c r="BS114" s="24">
        <f t="shared" si="63"/>
        <v>101.34565426847058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>
        <f>BY114*VLOOKUP('Données projet'!$B$12,Paramètres!$A$1:$I$89,3,0)*VLOOKUP('Données projet'!$B$12,Paramètres!$A$1:$I$89,5,0)</f>
        <v>0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465.49436272491818</v>
      </c>
      <c r="CE114" s="62">
        <f t="shared" si="94"/>
        <v>494.36941732405256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127.22569328381219</v>
      </c>
      <c r="CL114" s="23">
        <f>EXP(-LN(2)/25)*CL113+(1-EXP(-LN(2)/25))/(LN(2)/25)*Calculateur!CG114*Calculateur!CI114*VLOOKUP('Données projet'!$B$12,Paramètres!$A$1:$I$89,3,0)*0.475*44/12</f>
        <v>26.802792182076665</v>
      </c>
      <c r="CM114" s="23">
        <f>EXP(-LN(2)/2)*CM113+(1-EXP(-LN(2)/2))/(LN(2)/2)*CG114*CJ114*VLOOKUP('Données projet'!$B$12,Paramètres!$A$1:$I$89,3,0)*0.475*44/12</f>
        <v>4.4315881857434412E-5</v>
      </c>
      <c r="CN114" s="24">
        <f t="shared" si="66"/>
        <v>154.02852978177071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-6.8212102632969618E-13</v>
      </c>
      <c r="CU114" s="18">
        <f>CT114*VLOOKUP('Données projet'!$B$13,Paramètres!$A$1:$I$89,3,0)*VLOOKUP('Données projet'!$B$13,Paramètres!$A$1:$I$89,5,0)</f>
        <v>-4.0790837374515837E-13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361.46923697840384</v>
      </c>
      <c r="CZ114" s="62">
        <f t="shared" si="96"/>
        <v>302.25424592654673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96.189504019401369</v>
      </c>
      <c r="DG114" s="23">
        <f>EXP(-LN(2)/25)*DG113+(1-EXP(-LN(2)/25))/(LN(2)/25)*Calculateur!DB114*Calculateur!DD114*VLOOKUP('Données projet'!$B$13,Paramètres!$A$1:$I$89,3,0)*0.475*44/12</f>
        <v>27.205321291824788</v>
      </c>
      <c r="DH114" s="23">
        <f>EXP(-LN(2)/2)*DH113+(1-EXP(-LN(2)/2))/(LN(2)/2)*DB114*DE114*VLOOKUP('Données projet'!$B$13,Paramètres!$A$1:$I$89,3,0)*0.475*44/12</f>
        <v>4.4340244915149255E-4</v>
      </c>
      <c r="DI114" s="24">
        <f t="shared" si="69"/>
        <v>123.39526871367531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-4.5474735088646412E-13</v>
      </c>
      <c r="O115" s="14">
        <f>N115*VLOOKUP('Données projet'!$B$9,Paramètres!$A$1:$I$89,3,0)*VLOOKUP('Données projet'!$B$9,Paramètres!$A$1:$I$89,5,0)</f>
        <v>-2.5420376914553347E-13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389.80719836281679</v>
      </c>
      <c r="T115" s="62">
        <f t="shared" si="88"/>
        <v>399.58193819355591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115.01610980743857</v>
      </c>
      <c r="AA115" s="23">
        <f>EXP(-LN(2)/25)*AA114+(1-EXP(-LN(2)/25))/(LN(2)/25)*Calculateur!V115*Calculateur!X115*VLOOKUP('Données projet'!$B$9,Paramètres!$A$1:$I$89,3,0)*0.475*44/12</f>
        <v>23.592634050501896</v>
      </c>
      <c r="AB115" s="23">
        <f>EXP(-LN(2)/2)*AB114+(1-EXP(-LN(2)/2))/(LN(2)/2)*V115*Y115*VLOOKUP('Données projet'!$B$9,Paramètres!$A$1:$I$89,3,0)*0.475*44/12</f>
        <v>2.8753263450671716E-5</v>
      </c>
      <c r="AC115" s="24">
        <f t="shared" si="57"/>
        <v>138.6087726112039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269.90083987531233</v>
      </c>
      <c r="AO115" s="62">
        <f t="shared" si="90"/>
        <v>183.4515835513518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79.211329464905162</v>
      </c>
      <c r="AV115" s="23">
        <f>EXP(-LN(2)/25)*AV114+(1-EXP(-LN(2)/25))/(LN(2)/25)*Calculateur!AQ115*Calculateur!AS115*VLOOKUP('Données projet'!$B$10,Paramètres!$A$1:$I$89,3,0)*0.475*44/12</f>
        <v>24.330177502213246</v>
      </c>
      <c r="AW115" s="23">
        <f>EXP(-LN(2)/2)*AW114+(1-EXP(-LN(2)/2))/(LN(2)/2)*AQ115*AT115*VLOOKUP('Données projet'!$B$10,Paramètres!$A$1:$I$89,3,0)*0.475*44/12</f>
        <v>9.7111868141862886E-4</v>
      </c>
      <c r="AX115" s="23">
        <f t="shared" si="60"/>
        <v>103.54247808579983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11.309000000000008</v>
      </c>
      <c r="BD115" s="13">
        <f>IF('Données projet'!$A$88&gt;35,BD114+BC115-BL114,IF(A115&lt;'Données projet'!$A$88,$BA$205^A115,IF(A115='Données projet'!$A$88,'Données projet'!$B$88,BD114+BC115-BL114)))</f>
        <v>488.97600000000045</v>
      </c>
      <c r="BE115" s="14">
        <f>BD115*VLOOKUP('Données projet'!$B$11,Paramètres!$A$1:$I$89,3,0)*VLOOKUP('Données projet'!$B$11,Paramètres!$A$1:$I$89,5,0)</f>
        <v>235.19745600000024</v>
      </c>
      <c r="BF115" s="14">
        <f t="shared" si="91"/>
        <v>57.405027300426063</v>
      </c>
      <c r="BG115" s="22">
        <f t="shared" si="61"/>
        <v>509.61599174824249</v>
      </c>
      <c r="BH115" s="62">
        <f t="shared" si="62"/>
        <v>802.94932508157581</v>
      </c>
      <c r="BI115" s="62">
        <f ca="1">AVERAGE(OFFSET($BH$3,0,0,'Données projet'!$E$11+1,1))-AVERAGE(OFFSET($H$3,0,0,'Données projet'!$E$11+1,1))</f>
        <v>255.64417186544995</v>
      </c>
      <c r="BJ115" s="62">
        <f t="shared" si="92"/>
        <v>165.41802783289376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72.307547461079594</v>
      </c>
      <c r="BQ115" s="23">
        <f>EXP(-LN(2)/25)*BQ114+(1-EXP(-LN(2)/25))/(LN(2)/25)*Calculateur!BL115*Calculateur!BN115*VLOOKUP('Données projet'!$B$11,Paramètres!$A$1:$I$89,3,0)*0.475*44/12</f>
        <v>24.753835658234486</v>
      </c>
      <c r="BR115" s="23">
        <f>EXP(-LN(2)/2)*BR114+(1-EXP(-LN(2)/2))/(LN(2)/2)*BL115*BO115*VLOOKUP('Données projet'!$B$11,Paramètres!$A$1:$I$89,3,0)*0.475*44/12</f>
        <v>1.5146784324938292</v>
      </c>
      <c r="BS115" s="24">
        <f t="shared" si="63"/>
        <v>98.576061551807911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>
        <f>BY115*VLOOKUP('Données projet'!$B$12,Paramètres!$A$1:$I$89,3,0)*VLOOKUP('Données projet'!$B$12,Paramètres!$A$1:$I$89,5,0)</f>
        <v>0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465.49436272491818</v>
      </c>
      <c r="CE115" s="62">
        <f t="shared" si="94"/>
        <v>494.36941732405256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124.73087503852717</v>
      </c>
      <c r="CL115" s="23">
        <f>EXP(-LN(2)/25)*CL114+(1-EXP(-LN(2)/25))/(LN(2)/25)*Calculateur!CG115*Calculateur!CI115*VLOOKUP('Données projet'!$B$12,Paramètres!$A$1:$I$89,3,0)*0.475*44/12</f>
        <v>26.069868420360198</v>
      </c>
      <c r="CM115" s="23">
        <f>EXP(-LN(2)/2)*CM114+(1-EXP(-LN(2)/2))/(LN(2)/2)*CG115*CJ115*VLOOKUP('Données projet'!$B$12,Paramètres!$A$1:$I$89,3,0)*0.475*44/12</f>
        <v>3.1336060575653766E-5</v>
      </c>
      <c r="CN115" s="24">
        <f t="shared" si="66"/>
        <v>150.80077479494796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-6.8212102632969618E-13</v>
      </c>
      <c r="CU115" s="18">
        <f>CT115*VLOOKUP('Données projet'!$B$13,Paramètres!$A$1:$I$89,3,0)*VLOOKUP('Données projet'!$B$13,Paramètres!$A$1:$I$89,5,0)</f>
        <v>-4.0790837374515837E-13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361.46923697840384</v>
      </c>
      <c r="CZ115" s="62">
        <f t="shared" si="96"/>
        <v>302.25424592654673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94.303286515385196</v>
      </c>
      <c r="DG115" s="23">
        <f>EXP(-LN(2)/25)*DG114+(1-EXP(-LN(2)/25))/(LN(2)/25)*Calculateur!DB115*Calculateur!DD115*VLOOKUP('Données projet'!$B$13,Paramètres!$A$1:$I$89,3,0)*0.475*44/12</f>
        <v>26.461390350434172</v>
      </c>
      <c r="DH115" s="23">
        <f>EXP(-LN(2)/2)*DH114+(1-EXP(-LN(2)/2))/(LN(2)/2)*DB115*DE115*VLOOKUP('Données projet'!$B$13,Paramètres!$A$1:$I$89,3,0)*0.475*44/12</f>
        <v>3.135328785897437E-4</v>
      </c>
      <c r="DI115" s="24">
        <f t="shared" si="69"/>
        <v>120.76499039869796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-4.5474735088646412E-13</v>
      </c>
      <c r="O116" s="14">
        <f>N116*VLOOKUP('Données projet'!$B$9,Paramètres!$A$1:$I$89,3,0)*VLOOKUP('Données projet'!$B$9,Paramètres!$A$1:$I$89,5,0)</f>
        <v>-2.5420376914553347E-13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389.80719836281679</v>
      </c>
      <c r="T116" s="62">
        <f t="shared" si="88"/>
        <v>399.58193819355591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112.76071404701466</v>
      </c>
      <c r="AA116" s="23">
        <f>EXP(-LN(2)/25)*AA115+(1-EXP(-LN(2)/25))/(LN(2)/25)*Calculateur!V116*Calculateur!X116*VLOOKUP('Données projet'!$B$9,Paramètres!$A$1:$I$89,3,0)*0.475*44/12</f>
        <v>22.947492231708218</v>
      </c>
      <c r="AB116" s="23">
        <f>EXP(-LN(2)/2)*AB115+(1-EXP(-LN(2)/2))/(LN(2)/2)*V116*Y116*VLOOKUP('Données projet'!$B$9,Paramètres!$A$1:$I$89,3,0)*0.475*44/12</f>
        <v>2.033162756721328E-5</v>
      </c>
      <c r="AC116" s="24">
        <f t="shared" si="57"/>
        <v>135.70822661035044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269.90083987531233</v>
      </c>
      <c r="AO116" s="62">
        <f t="shared" si="90"/>
        <v>183.4515835513518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77.658043608238714</v>
      </c>
      <c r="AV116" s="23">
        <f>EXP(-LN(2)/25)*AV115+(1-EXP(-LN(2)/25))/(LN(2)/25)*Calculateur!AQ116*Calculateur!AS116*VLOOKUP('Données projet'!$B$10,Paramètres!$A$1:$I$89,3,0)*0.475*44/12</f>
        <v>23.664867518946796</v>
      </c>
      <c r="AW116" s="23">
        <f>EXP(-LN(2)/2)*AW115+(1-EXP(-LN(2)/2))/(LN(2)/2)*AQ116*AT116*VLOOKUP('Données projet'!$B$10,Paramètres!$A$1:$I$89,3,0)*0.475*44/12</f>
        <v>6.8668460496805104E-4</v>
      </c>
      <c r="AX116" s="23">
        <f t="shared" si="60"/>
        <v>101.32359781179048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11.309000000000008</v>
      </c>
      <c r="BD116" s="13">
        <f>IF('Données projet'!$A$88&gt;35,BD115+BC116-BL115,IF(A116&lt;'Données projet'!$A$88,$BA$205^A116,IF(A116='Données projet'!$A$88,'Données projet'!$B$88,BD115+BC116-BL115)))</f>
        <v>500.28500000000048</v>
      </c>
      <c r="BE116" s="14">
        <f>BD116*VLOOKUP('Données projet'!$B$11,Paramètres!$A$1:$I$89,3,0)*VLOOKUP('Données projet'!$B$11,Paramètres!$A$1:$I$89,5,0)</f>
        <v>240.63708500000024</v>
      </c>
      <c r="BF116" s="14">
        <f t="shared" si="91"/>
        <v>58.576581267674264</v>
      </c>
      <c r="BG116" s="22">
        <f t="shared" si="61"/>
        <v>521.13046874953307</v>
      </c>
      <c r="BH116" s="62">
        <f t="shared" si="62"/>
        <v>814.46380208286632</v>
      </c>
      <c r="BI116" s="62">
        <f ca="1">AVERAGE(OFFSET($BH$3,0,0,'Données projet'!$E$11+1,1))-AVERAGE(OFFSET($H$3,0,0,'Données projet'!$E$11+1,1))</f>
        <v>255.64417186544995</v>
      </c>
      <c r="BJ116" s="62">
        <f t="shared" si="92"/>
        <v>165.41802783289376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70.889640558616946</v>
      </c>
      <c r="BQ116" s="23">
        <f>EXP(-LN(2)/25)*BQ115+(1-EXP(-LN(2)/25))/(LN(2)/25)*Calculateur!BL116*Calculateur!BN116*VLOOKUP('Données projet'!$B$11,Paramètres!$A$1:$I$89,3,0)*0.475*44/12</f>
        <v>24.076940720412424</v>
      </c>
      <c r="BR116" s="23">
        <f>EXP(-LN(2)/2)*BR115+(1-EXP(-LN(2)/2))/(LN(2)/2)*BL116*BO116*VLOOKUP('Données projet'!$B$11,Paramètres!$A$1:$I$89,3,0)*0.475*44/12</f>
        <v>1.0710393909333968</v>
      </c>
      <c r="BS116" s="24">
        <f t="shared" si="63"/>
        <v>96.037620669962763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>
        <f>BY116*VLOOKUP('Données projet'!$B$12,Paramètres!$A$1:$I$89,3,0)*VLOOKUP('Données projet'!$B$12,Paramètres!$A$1:$I$89,5,0)</f>
        <v>0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465.49436272491818</v>
      </c>
      <c r="CE116" s="62">
        <f t="shared" si="94"/>
        <v>494.36941732405256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122.28497865734332</v>
      </c>
      <c r="CL116" s="23">
        <f>EXP(-LN(2)/25)*CL115+(1-EXP(-LN(2)/25))/(LN(2)/25)*Calculateur!CG116*Calculateur!CI116*VLOOKUP('Données projet'!$B$12,Paramètres!$A$1:$I$89,3,0)*0.475*44/12</f>
        <v>25.356986497450652</v>
      </c>
      <c r="CM116" s="23">
        <f>EXP(-LN(2)/2)*CM115+(1-EXP(-LN(2)/2))/(LN(2)/2)*CG116*CJ116*VLOOKUP('Données projet'!$B$12,Paramètres!$A$1:$I$89,3,0)*0.475*44/12</f>
        <v>2.2157940928717206E-5</v>
      </c>
      <c r="CN116" s="24">
        <f t="shared" si="66"/>
        <v>147.6419873127349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-6.8212102632969618E-13</v>
      </c>
      <c r="CU116" s="18">
        <f>CT116*VLOOKUP('Données projet'!$B$13,Paramètres!$A$1:$I$89,3,0)*VLOOKUP('Données projet'!$B$13,Paramètres!$A$1:$I$89,5,0)</f>
        <v>-4.0790837374515837E-13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361.46923697840384</v>
      </c>
      <c r="CZ116" s="62">
        <f t="shared" si="96"/>
        <v>302.25424592654673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92.454056586143707</v>
      </c>
      <c r="DG116" s="23">
        <f>EXP(-LN(2)/25)*DG115+(1-EXP(-LN(2)/25))/(LN(2)/25)*Calculateur!DB116*Calculateur!DD116*VLOOKUP('Données projet'!$B$13,Paramètres!$A$1:$I$89,3,0)*0.475*44/12</f>
        <v>25.73780223975751</v>
      </c>
      <c r="DH116" s="23">
        <f>EXP(-LN(2)/2)*DH115+(1-EXP(-LN(2)/2))/(LN(2)/2)*DB116*DE116*VLOOKUP('Données projet'!$B$13,Paramètres!$A$1:$I$89,3,0)*0.475*44/12</f>
        <v>2.2170122457574627E-4</v>
      </c>
      <c r="DI116" s="24">
        <f t="shared" si="69"/>
        <v>118.1920805271258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-4.5474735088646412E-13</v>
      </c>
      <c r="O117" s="14">
        <f>N117*VLOOKUP('Données projet'!$B$9,Paramètres!$A$1:$I$89,3,0)*VLOOKUP('Données projet'!$B$9,Paramètres!$A$1:$I$89,5,0)</f>
        <v>-2.5420376914553347E-13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389.80719836281679</v>
      </c>
      <c r="T117" s="62">
        <f t="shared" si="88"/>
        <v>399.58193819355591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110.54954522179708</v>
      </c>
      <c r="AA117" s="23">
        <f>EXP(-LN(2)/25)*AA116+(1-EXP(-LN(2)/25))/(LN(2)/25)*Calculateur!V117*Calculateur!X117*VLOOKUP('Données projet'!$B$9,Paramètres!$A$1:$I$89,3,0)*0.475*44/12</f>
        <v>22.319991849875986</v>
      </c>
      <c r="AB117" s="23">
        <f>EXP(-LN(2)/2)*AB116+(1-EXP(-LN(2)/2))/(LN(2)/2)*V117*Y117*VLOOKUP('Données projet'!$B$9,Paramètres!$A$1:$I$89,3,0)*0.475*44/12</f>
        <v>1.4376631725335858E-5</v>
      </c>
      <c r="AC117" s="24">
        <f t="shared" si="57"/>
        <v>132.86955144830478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269.90083987531233</v>
      </c>
      <c r="AO117" s="62">
        <f t="shared" si="90"/>
        <v>183.4515835513518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76.135216739810673</v>
      </c>
      <c r="AV117" s="23">
        <f>EXP(-LN(2)/25)*AV116+(1-EXP(-LN(2)/25))/(LN(2)/25)*Calculateur!AQ117*Calculateur!AS117*VLOOKUP('Données projet'!$B$10,Paramètres!$A$1:$I$89,3,0)*0.475*44/12</f>
        <v>23.0177504721599</v>
      </c>
      <c r="AW117" s="23">
        <f>EXP(-LN(2)/2)*AW116+(1-EXP(-LN(2)/2))/(LN(2)/2)*AQ117*AT117*VLOOKUP('Données projet'!$B$10,Paramètres!$A$1:$I$89,3,0)*0.475*44/12</f>
        <v>4.8555934070931454E-4</v>
      </c>
      <c r="AX117" s="23">
        <f t="shared" si="60"/>
        <v>99.153452771311279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11.309000000000008</v>
      </c>
      <c r="BD117" s="13">
        <f>IF('Données projet'!$A$88&gt;35,BD116+BC117-BL116,IF(A117&lt;'Données projet'!$A$88,$BA$205^A117,IF(A117='Données projet'!$A$88,'Données projet'!$B$88,BD116+BC117-BL116)))</f>
        <v>511.59400000000051</v>
      </c>
      <c r="BE117" s="14">
        <f>BD117*VLOOKUP('Données projet'!$B$11,Paramètres!$A$1:$I$89,3,0)*VLOOKUP('Données projet'!$B$11,Paramètres!$A$1:$I$89,5,0)</f>
        <v>246.07671400000024</v>
      </c>
      <c r="BF117" s="14">
        <f t="shared" si="91"/>
        <v>59.745056375527398</v>
      </c>
      <c r="BG117" s="22">
        <f t="shared" si="61"/>
        <v>532.63958340404395</v>
      </c>
      <c r="BH117" s="62">
        <f t="shared" si="62"/>
        <v>825.97291673737732</v>
      </c>
      <c r="BI117" s="62">
        <f ca="1">AVERAGE(OFFSET($BH$3,0,0,'Données projet'!$E$11+1,1))-AVERAGE(OFFSET($H$3,0,0,'Données projet'!$E$11+1,1))</f>
        <v>255.64417186544995</v>
      </c>
      <c r="BJ117" s="62">
        <f t="shared" si="92"/>
        <v>165.41802783289376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69.499537945673765</v>
      </c>
      <c r="BQ117" s="23">
        <f>EXP(-LN(2)/25)*BQ116+(1-EXP(-LN(2)/25))/(LN(2)/25)*Calculateur!BL117*Calculateur!BN117*VLOOKUP('Données projet'!$B$11,Paramètres!$A$1:$I$89,3,0)*0.475*44/12</f>
        <v>23.418555510261463</v>
      </c>
      <c r="BR117" s="23">
        <f>EXP(-LN(2)/2)*BR116+(1-EXP(-LN(2)/2))/(LN(2)/2)*BL117*BO117*VLOOKUP('Données projet'!$B$11,Paramètres!$A$1:$I$89,3,0)*0.475*44/12</f>
        <v>0.75733921624691458</v>
      </c>
      <c r="BS117" s="24">
        <f t="shared" si="63"/>
        <v>93.675432672182154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>
        <f>BY117*VLOOKUP('Données projet'!$B$12,Paramètres!$A$1:$I$89,3,0)*VLOOKUP('Données projet'!$B$12,Paramètres!$A$1:$I$89,5,0)</f>
        <v>0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465.49436272491818</v>
      </c>
      <c r="CE117" s="62">
        <f t="shared" si="94"/>
        <v>494.36941732405256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119.887044812345</v>
      </c>
      <c r="CL117" s="23">
        <f>EXP(-LN(2)/25)*CL116+(1-EXP(-LN(2)/25))/(LN(2)/25)*Calculateur!CG117*Calculateur!CI117*VLOOKUP('Données projet'!$B$12,Paramètres!$A$1:$I$89,3,0)*0.475*44/12</f>
        <v>24.663598368211897</v>
      </c>
      <c r="CM117" s="23">
        <f>EXP(-LN(2)/2)*CM116+(1-EXP(-LN(2)/2))/(LN(2)/2)*CG117*CJ117*VLOOKUP('Données projet'!$B$12,Paramètres!$A$1:$I$89,3,0)*0.475*44/12</f>
        <v>1.5668030287826883E-5</v>
      </c>
      <c r="CN117" s="24">
        <f t="shared" si="66"/>
        <v>144.5506588485872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-6.8212102632969618E-13</v>
      </c>
      <c r="CU117" s="18">
        <f>CT117*VLOOKUP('Données projet'!$B$13,Paramètres!$A$1:$I$89,3,0)*VLOOKUP('Données projet'!$B$13,Paramètres!$A$1:$I$89,5,0)</f>
        <v>-4.0790837374515837E-13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361.46923697840384</v>
      </c>
      <c r="CZ117" s="62">
        <f t="shared" si="96"/>
        <v>302.25424592654673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90.641088927895751</v>
      </c>
      <c r="DG117" s="23">
        <f>EXP(-LN(2)/25)*DG116+(1-EXP(-LN(2)/25))/(LN(2)/25)*Calculateur!DB117*Calculateur!DD117*VLOOKUP('Données projet'!$B$13,Paramètres!$A$1:$I$89,3,0)*0.475*44/12</f>
        <v>25.034000684019144</v>
      </c>
      <c r="DH117" s="23">
        <f>EXP(-LN(2)/2)*DH116+(1-EXP(-LN(2)/2))/(LN(2)/2)*DB117*DE117*VLOOKUP('Données projet'!$B$13,Paramètres!$A$1:$I$89,3,0)*0.475*44/12</f>
        <v>1.5676643929487185E-4</v>
      </c>
      <c r="DI117" s="24">
        <f t="shared" si="69"/>
        <v>115.67524637835419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-4.5474735088646412E-13</v>
      </c>
      <c r="O118" s="14">
        <f>N118*VLOOKUP('Données projet'!$B$9,Paramètres!$A$1:$I$89,3,0)*VLOOKUP('Données projet'!$B$9,Paramètres!$A$1:$I$89,5,0)</f>
        <v>-2.5420376914553347E-13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389.80719836281679</v>
      </c>
      <c r="T118" s="62">
        <f t="shared" si="88"/>
        <v>399.58193819355591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108.3817360685622</v>
      </c>
      <c r="AA118" s="23">
        <f>EXP(-LN(2)/25)*AA117+(1-EXP(-LN(2)/25))/(LN(2)/25)*Calculateur!V118*Calculateur!X118*VLOOKUP('Données projet'!$B$9,Paramètres!$A$1:$I$89,3,0)*0.475*44/12</f>
        <v>21.70965049898377</v>
      </c>
      <c r="AB118" s="23">
        <f>EXP(-LN(2)/2)*AB117+(1-EXP(-LN(2)/2))/(LN(2)/2)*V118*Y118*VLOOKUP('Données projet'!$B$9,Paramètres!$A$1:$I$89,3,0)*0.475*44/12</f>
        <v>1.016581378360664E-5</v>
      </c>
      <c r="AC118" s="24">
        <f t="shared" si="57"/>
        <v>130.09139673335977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269.90083987531233</v>
      </c>
      <c r="AO118" s="62">
        <f t="shared" si="90"/>
        <v>183.4515835513518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74.642251577439836</v>
      </c>
      <c r="AV118" s="23">
        <f>EXP(-LN(2)/25)*AV117+(1-EXP(-LN(2)/25))/(LN(2)/25)*Calculateur!AQ118*Calculateur!AS118*VLOOKUP('Données projet'!$B$10,Paramètres!$A$1:$I$89,3,0)*0.475*44/12</f>
        <v>22.388328875047797</v>
      </c>
      <c r="AW118" s="23">
        <f>EXP(-LN(2)/2)*AW117+(1-EXP(-LN(2)/2))/(LN(2)/2)*AQ118*AT118*VLOOKUP('Données projet'!$B$10,Paramètres!$A$1:$I$89,3,0)*0.475*44/12</f>
        <v>3.4334230248402557E-4</v>
      </c>
      <c r="AX118" s="23">
        <f t="shared" si="60"/>
        <v>97.030923794790127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11.309000000000008</v>
      </c>
      <c r="BD118" s="13">
        <f>IF('Données projet'!$A$88&gt;35,BD117+BC118-BL117,IF(A118&lt;'Données projet'!$A$88,$BA$205^A118,IF(A118='Données projet'!$A$88,'Données projet'!$B$88,BD117+BC118-BL117)))</f>
        <v>522.90300000000047</v>
      </c>
      <c r="BE118" s="14">
        <f>BD118*VLOOKUP('Données projet'!$B$11,Paramètres!$A$1:$I$89,3,0)*VLOOKUP('Données projet'!$B$11,Paramètres!$A$1:$I$89,5,0)</f>
        <v>251.51634300000023</v>
      </c>
      <c r="BF118" s="14">
        <f t="shared" si="91"/>
        <v>60.910528520405435</v>
      </c>
      <c r="BG118" s="22">
        <f t="shared" si="61"/>
        <v>544.14346789803983</v>
      </c>
      <c r="BH118" s="62">
        <f t="shared" si="62"/>
        <v>837.4768012313732</v>
      </c>
      <c r="BI118" s="62">
        <f ca="1">AVERAGE(OFFSET($BH$3,0,0,'Données projet'!$E$11+1,1))-AVERAGE(OFFSET($H$3,0,0,'Données projet'!$E$11+1,1))</f>
        <v>255.64417186544995</v>
      </c>
      <c r="BJ118" s="62">
        <f t="shared" si="92"/>
        <v>165.41802783289376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68.136694397091532</v>
      </c>
      <c r="BQ118" s="23">
        <f>EXP(-LN(2)/25)*BQ117+(1-EXP(-LN(2)/25))/(LN(2)/25)*Calculateur!BL118*Calculateur!BN118*VLOOKUP('Données projet'!$B$11,Paramètres!$A$1:$I$89,3,0)*0.475*44/12</f>
        <v>22.778173878305054</v>
      </c>
      <c r="BR118" s="23">
        <f>EXP(-LN(2)/2)*BR117+(1-EXP(-LN(2)/2))/(LN(2)/2)*BL118*BO118*VLOOKUP('Données projet'!$B$11,Paramètres!$A$1:$I$89,3,0)*0.475*44/12</f>
        <v>0.53551969546669842</v>
      </c>
      <c r="BS118" s="24">
        <f t="shared" si="63"/>
        <v>91.450387970863289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>
        <f>BY118*VLOOKUP('Données projet'!$B$12,Paramètres!$A$1:$I$89,3,0)*VLOOKUP('Données projet'!$B$12,Paramètres!$A$1:$I$89,5,0)</f>
        <v>0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465.49436272491818</v>
      </c>
      <c r="CE118" s="62">
        <f t="shared" si="94"/>
        <v>494.36941732405256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117.53613298745186</v>
      </c>
      <c r="CL118" s="23">
        <f>EXP(-LN(2)/25)*CL117+(1-EXP(-LN(2)/25))/(LN(2)/25)*Calculateur!CG118*Calculateur!CI118*VLOOKUP('Données projet'!$B$12,Paramètres!$A$1:$I$89,3,0)*0.475*44/12</f>
        <v>23.989170973830873</v>
      </c>
      <c r="CM118" s="23">
        <f>EXP(-LN(2)/2)*CM117+(1-EXP(-LN(2)/2))/(LN(2)/2)*CG118*CJ118*VLOOKUP('Données projet'!$B$12,Paramètres!$A$1:$I$89,3,0)*0.475*44/12</f>
        <v>1.1078970464358603E-5</v>
      </c>
      <c r="CN118" s="24">
        <f t="shared" si="66"/>
        <v>141.52531504025319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-6.8212102632969618E-13</v>
      </c>
      <c r="CU118" s="18">
        <f>CT118*VLOOKUP('Données projet'!$B$13,Paramètres!$A$1:$I$89,3,0)*VLOOKUP('Données projet'!$B$13,Paramètres!$A$1:$I$89,5,0)</f>
        <v>-4.0790837374515837E-13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361.46923697840384</v>
      </c>
      <c r="CZ118" s="62">
        <f t="shared" si="96"/>
        <v>302.25424592654673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88.863672459624965</v>
      </c>
      <c r="DG118" s="23">
        <f>EXP(-LN(2)/25)*DG117+(1-EXP(-LN(2)/25))/(LN(2)/25)*Calculateur!DB118*Calculateur!DD118*VLOOKUP('Données projet'!$B$13,Paramètres!$A$1:$I$89,3,0)*0.475*44/12</f>
        <v>24.349444618833761</v>
      </c>
      <c r="DH118" s="23">
        <f>EXP(-LN(2)/2)*DH117+(1-EXP(-LN(2)/2))/(LN(2)/2)*DB118*DE118*VLOOKUP('Données projet'!$B$13,Paramètres!$A$1:$I$89,3,0)*0.475*44/12</f>
        <v>1.1085061228787314E-4</v>
      </c>
      <c r="DI118" s="24">
        <f t="shared" si="69"/>
        <v>113.21322792907101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-4.5474735088646412E-13</v>
      </c>
      <c r="O119" s="14">
        <f>N119*VLOOKUP('Données projet'!$B$9,Paramètres!$A$1:$I$89,3,0)*VLOOKUP('Données projet'!$B$9,Paramètres!$A$1:$I$89,5,0)</f>
        <v>-2.5420376914553347E-13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389.80719836281679</v>
      </c>
      <c r="T119" s="62">
        <f t="shared" si="88"/>
        <v>399.58193819355591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106.25643633058924</v>
      </c>
      <c r="AA119" s="23">
        <f>EXP(-LN(2)/25)*AA118+(1-EXP(-LN(2)/25))/(LN(2)/25)*Calculateur!V119*Calculateur!X119*VLOOKUP('Données projet'!$B$9,Paramètres!$A$1:$I$89,3,0)*0.475*44/12</f>
        <v>21.115998964428158</v>
      </c>
      <c r="AB119" s="23">
        <f>EXP(-LN(2)/2)*AB118+(1-EXP(-LN(2)/2))/(LN(2)/2)*V119*Y119*VLOOKUP('Données projet'!$B$9,Paramètres!$A$1:$I$89,3,0)*0.475*44/12</f>
        <v>7.1883158626679291E-6</v>
      </c>
      <c r="AC119" s="24">
        <f t="shared" si="57"/>
        <v>127.37244248333326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269.90083987531233</v>
      </c>
      <c r="AO119" s="62">
        <f t="shared" si="90"/>
        <v>183.4515835513518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73.178562551284259</v>
      </c>
      <c r="AV119" s="23">
        <f>EXP(-LN(2)/25)*AV118+(1-EXP(-LN(2)/25))/(LN(2)/25)*Calculateur!AQ119*Calculateur!AS119*VLOOKUP('Données projet'!$B$10,Paramètres!$A$1:$I$89,3,0)*0.475*44/12</f>
        <v>21.776118844608568</v>
      </c>
      <c r="AW119" s="23">
        <f>EXP(-LN(2)/2)*AW118+(1-EXP(-LN(2)/2))/(LN(2)/2)*AQ119*AT119*VLOOKUP('Données projet'!$B$10,Paramètres!$A$1:$I$89,3,0)*0.475*44/12</f>
        <v>2.427796703546573E-4</v>
      </c>
      <c r="AX119" s="23">
        <f t="shared" si="60"/>
        <v>94.954924175563193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11.309000000000008</v>
      </c>
      <c r="BD119" s="13">
        <f>IF('Données projet'!$A$88&gt;35,BD118+BC119-BL118,IF(A119&lt;'Données projet'!$A$88,$BA$205^A119,IF(A119='Données projet'!$A$88,'Données projet'!$B$88,BD118+BC119-BL118)))</f>
        <v>534.21200000000044</v>
      </c>
      <c r="BE119" s="14">
        <f>BD119*VLOOKUP('Données projet'!$B$11,Paramètres!$A$1:$I$89,3,0)*VLOOKUP('Données projet'!$B$11,Paramètres!$A$1:$I$89,5,0)</f>
        <v>256.9559720000002</v>
      </c>
      <c r="BF119" s="14">
        <f t="shared" si="91"/>
        <v>62.073070128346366</v>
      </c>
      <c r="BG119" s="22">
        <f t="shared" si="61"/>
        <v>555.64224837353697</v>
      </c>
      <c r="BH119" s="62">
        <f t="shared" si="62"/>
        <v>848.97558170687034</v>
      </c>
      <c r="BI119" s="62">
        <f ca="1">AVERAGE(OFFSET($BH$3,0,0,'Données projet'!$E$11+1,1))-AVERAGE(OFFSET($H$3,0,0,'Données projet'!$E$11+1,1))</f>
        <v>255.64417186544995</v>
      </c>
      <c r="BJ119" s="62">
        <f t="shared" si="92"/>
        <v>165.41802783289376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66.800575379244506</v>
      </c>
      <c r="BQ119" s="23">
        <f>EXP(-LN(2)/25)*BQ118+(1-EXP(-LN(2)/25))/(LN(2)/25)*Calculateur!BL119*Calculateur!BN119*VLOOKUP('Données projet'!$B$11,Paramètres!$A$1:$I$89,3,0)*0.475*44/12</f>
        <v>22.155303515750699</v>
      </c>
      <c r="BR119" s="23">
        <f>EXP(-LN(2)/2)*BR118+(1-EXP(-LN(2)/2))/(LN(2)/2)*BL119*BO119*VLOOKUP('Données projet'!$B$11,Paramètres!$A$1:$I$89,3,0)*0.475*44/12</f>
        <v>0.37866960812345729</v>
      </c>
      <c r="BS119" s="24">
        <f t="shared" si="63"/>
        <v>89.334548503118668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465.49436272491818</v>
      </c>
      <c r="CE119" s="62">
        <f t="shared" si="94"/>
        <v>494.36941732405256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115.23132110953026</v>
      </c>
      <c r="CL119" s="23">
        <f>EXP(-LN(2)/25)*CL118+(1-EXP(-LN(2)/25))/(LN(2)/25)*Calculateur!CG119*Calculateur!CI119*VLOOKUP('Données projet'!$B$12,Paramètres!$A$1:$I$89,3,0)*0.475*44/12</f>
        <v>23.333185832015793</v>
      </c>
      <c r="CM119" s="23">
        <f>EXP(-LN(2)/2)*CM118+(1-EXP(-LN(2)/2))/(LN(2)/2)*CG119*CJ119*VLOOKUP('Données projet'!$B$12,Paramètres!$A$1:$I$89,3,0)*0.475*44/12</f>
        <v>7.8340151439134415E-6</v>
      </c>
      <c r="CN119" s="24">
        <f t="shared" si="66"/>
        <v>138.56451477556121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-6.8212102632969618E-13</v>
      </c>
      <c r="CU119" s="18">
        <f>CT119*VLOOKUP('Données projet'!$B$13,Paramètres!$A$1:$I$89,3,0)*VLOOKUP('Données projet'!$B$13,Paramètres!$A$1:$I$89,5,0)</f>
        <v>-4.0790837374515837E-13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361.46923697840384</v>
      </c>
      <c r="CZ119" s="62">
        <f t="shared" si="96"/>
        <v>302.25424592654673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87.121110044179972</v>
      </c>
      <c r="DG119" s="23">
        <f>EXP(-LN(2)/25)*DG118+(1-EXP(-LN(2)/25))/(LN(2)/25)*Calculateur!DB119*Calculateur!DD119*VLOOKUP('Données projet'!$B$13,Paramètres!$A$1:$I$89,3,0)*0.475*44/12</f>
        <v>23.68360777525011</v>
      </c>
      <c r="DH119" s="23">
        <f>EXP(-LN(2)/2)*DH118+(1-EXP(-LN(2)/2))/(LN(2)/2)*DB119*DE119*VLOOKUP('Données projet'!$B$13,Paramètres!$A$1:$I$89,3,0)*0.475*44/12</f>
        <v>7.8383219647435926E-5</v>
      </c>
      <c r="DI119" s="24">
        <f t="shared" si="69"/>
        <v>110.80479620264973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-4.5474735088646412E-13</v>
      </c>
      <c r="O120" s="14">
        <f>N120*VLOOKUP('Données projet'!$B$9,Paramètres!$A$1:$I$89,3,0)*VLOOKUP('Données projet'!$B$9,Paramètres!$A$1:$I$89,5,0)</f>
        <v>-2.5420376914553347E-13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389.80719836281679</v>
      </c>
      <c r="T120" s="62">
        <f t="shared" si="88"/>
        <v>399.58193819355591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104.17281242417309</v>
      </c>
      <c r="AA120" s="23">
        <f>EXP(-LN(2)/25)*AA119+(1-EXP(-LN(2)/25))/(LN(2)/25)*Calculateur!V120*Calculateur!X120*VLOOKUP('Données projet'!$B$9,Paramètres!$A$1:$I$89,3,0)*0.475*44/12</f>
        <v>20.538580862303746</v>
      </c>
      <c r="AB120" s="23">
        <f>EXP(-LN(2)/2)*AB119+(1-EXP(-LN(2)/2))/(LN(2)/2)*V120*Y120*VLOOKUP('Données projet'!$B$9,Paramètres!$A$1:$I$89,3,0)*0.475*44/12</f>
        <v>5.0829068918033199E-6</v>
      </c>
      <c r="AC120" s="24">
        <f t="shared" si="57"/>
        <v>124.71139836938373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269.90083987531233</v>
      </c>
      <c r="AO120" s="62">
        <f t="shared" si="90"/>
        <v>183.4515835513518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71.743575574169441</v>
      </c>
      <c r="AV120" s="23">
        <f>EXP(-LN(2)/25)*AV119+(1-EXP(-LN(2)/25))/(LN(2)/25)*Calculateur!AQ120*Calculateur!AS120*VLOOKUP('Données projet'!$B$10,Paramètres!$A$1:$I$89,3,0)*0.475*44/12</f>
        <v>21.180649729646426</v>
      </c>
      <c r="AW120" s="23">
        <f>EXP(-LN(2)/2)*AW119+(1-EXP(-LN(2)/2))/(LN(2)/2)*AQ120*AT120*VLOOKUP('Données projet'!$B$10,Paramètres!$A$1:$I$89,3,0)*0.475*44/12</f>
        <v>1.7167115124201281E-4</v>
      </c>
      <c r="AX120" s="23">
        <f t="shared" si="60"/>
        <v>92.924396974967095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11.309000000000008</v>
      </c>
      <c r="BD120" s="13">
        <f>IF('Données projet'!$A$88&gt;35,BD119+BC120-BL119,IF(A120&lt;'Données projet'!$A$88,$BA$205^A120,IF(A120='Données projet'!$A$88,'Données projet'!$B$88,BD119+BC120-BL119)))</f>
        <v>545.52100000000041</v>
      </c>
      <c r="BE120" s="14">
        <f>BD120*VLOOKUP('Données projet'!$B$11,Paramètres!$A$1:$I$89,3,0)*VLOOKUP('Données projet'!$B$11,Paramètres!$A$1:$I$89,5,0)</f>
        <v>262.39560100000017</v>
      </c>
      <c r="BF120" s="14">
        <f t="shared" si="91"/>
        <v>63.232750383742697</v>
      </c>
      <c r="BG120" s="22">
        <f t="shared" si="61"/>
        <v>567.13604532668546</v>
      </c>
      <c r="BH120" s="62">
        <f t="shared" si="62"/>
        <v>860.46937866001872</v>
      </c>
      <c r="BI120" s="62">
        <f ca="1">AVERAGE(OFFSET($BH$3,0,0,'Données projet'!$E$11+1,1))-AVERAGE(OFFSET($H$3,0,0,'Données projet'!$E$11+1,1))</f>
        <v>255.64417186544995</v>
      </c>
      <c r="BJ120" s="62">
        <f t="shared" si="92"/>
        <v>165.41802783289376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65.490656840385341</v>
      </c>
      <c r="BQ120" s="23">
        <f>EXP(-LN(2)/25)*BQ119+(1-EXP(-LN(2)/25))/(LN(2)/25)*Calculateur!BL120*Calculateur!BN120*VLOOKUP('Données projet'!$B$11,Paramètres!$A$1:$I$89,3,0)*0.475*44/12</f>
        <v>21.54946557601572</v>
      </c>
      <c r="BR120" s="23">
        <f>EXP(-LN(2)/2)*BR119+(1-EXP(-LN(2)/2))/(LN(2)/2)*BL120*BO120*VLOOKUP('Données projet'!$B$11,Paramètres!$A$1:$I$89,3,0)*0.475*44/12</f>
        <v>0.26775984773334921</v>
      </c>
      <c r="BS120" s="24">
        <f t="shared" si="63"/>
        <v>87.307882264134406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465.49436272491818</v>
      </c>
      <c r="CE120" s="62">
        <f t="shared" si="94"/>
        <v>494.36941732405256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112.97170518673826</v>
      </c>
      <c r="CL120" s="23">
        <f>EXP(-LN(2)/25)*CL119+(1-EXP(-LN(2)/25))/(LN(2)/25)*Calculateur!CG120*Calculateur!CI120*VLOOKUP('Données projet'!$B$12,Paramètres!$A$1:$I$89,3,0)*0.475*44/12</f>
        <v>22.695138638400408</v>
      </c>
      <c r="CM120" s="23">
        <f>EXP(-LN(2)/2)*CM119+(1-EXP(-LN(2)/2))/(LN(2)/2)*CG120*CJ120*VLOOKUP('Données projet'!$B$12,Paramètres!$A$1:$I$89,3,0)*0.475*44/12</f>
        <v>5.5394852321793015E-6</v>
      </c>
      <c r="CN120" s="24">
        <f t="shared" si="66"/>
        <v>135.66684936462391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-6.8212102632969618E-13</v>
      </c>
      <c r="CU120" s="18">
        <f>CT120*VLOOKUP('Données projet'!$B$13,Paramètres!$A$1:$I$89,3,0)*VLOOKUP('Données projet'!$B$13,Paramètres!$A$1:$I$89,5,0)</f>
        <v>-4.0790837374515837E-13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361.46923697840384</v>
      </c>
      <c r="CZ120" s="62">
        <f t="shared" si="96"/>
        <v>302.25424592654673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85.412718214843721</v>
      </c>
      <c r="DG120" s="23">
        <f>EXP(-LN(2)/25)*DG119+(1-EXP(-LN(2)/25))/(LN(2)/25)*Calculateur!DB120*Calculateur!DD120*VLOOKUP('Données projet'!$B$13,Paramètres!$A$1:$I$89,3,0)*0.475*44/12</f>
        <v>23.035978275169093</v>
      </c>
      <c r="DH120" s="23">
        <f>EXP(-LN(2)/2)*DH119+(1-EXP(-LN(2)/2))/(LN(2)/2)*DB120*DE120*VLOOKUP('Données projet'!$B$13,Paramètres!$A$1:$I$89,3,0)*0.475*44/12</f>
        <v>5.5425306143936569E-5</v>
      </c>
      <c r="DI120" s="24">
        <f t="shared" si="69"/>
        <v>108.44875191531897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-4.5474735088646412E-13</v>
      </c>
      <c r="O121" s="14">
        <f>N121*VLOOKUP('Données projet'!$B$9,Paramètres!$A$1:$I$89,3,0)*VLOOKUP('Données projet'!$B$9,Paramètres!$A$1:$I$89,5,0)</f>
        <v>-2.5420376914553347E-13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389.80719836281679</v>
      </c>
      <c r="T121" s="62">
        <f t="shared" si="88"/>
        <v>399.58193819355591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102.13004711167666</v>
      </c>
      <c r="AA121" s="23">
        <f>EXP(-LN(2)/25)*AA120+(1-EXP(-LN(2)/25))/(LN(2)/25)*Calculateur!V121*Calculateur!X121*VLOOKUP('Données projet'!$B$9,Paramètres!$A$1:$I$89,3,0)*0.475*44/12</f>
        <v>19.976952288547025</v>
      </c>
      <c r="AB121" s="23">
        <f>EXP(-LN(2)/2)*AB120+(1-EXP(-LN(2)/2))/(LN(2)/2)*V121*Y121*VLOOKUP('Données projet'!$B$9,Paramètres!$A$1:$I$89,3,0)*0.475*44/12</f>
        <v>3.5941579313339646E-6</v>
      </c>
      <c r="AC121" s="24">
        <f t="shared" si="57"/>
        <v>122.10700299438162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269.90083987531233</v>
      </c>
      <c r="AO121" s="62">
        <f t="shared" si="90"/>
        <v>183.4515835513518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70.336727816420208</v>
      </c>
      <c r="AV121" s="23">
        <f>EXP(-LN(2)/25)*AV120+(1-EXP(-LN(2)/25))/(LN(2)/25)*Calculateur!AQ121*Calculateur!AS121*VLOOKUP('Données projet'!$B$10,Paramètres!$A$1:$I$89,3,0)*0.475*44/12</f>
        <v>20.601463748947285</v>
      </c>
      <c r="AW121" s="23">
        <f>EXP(-LN(2)/2)*AW120+(1-EXP(-LN(2)/2))/(LN(2)/2)*AQ121*AT121*VLOOKUP('Données projet'!$B$10,Paramètres!$A$1:$I$89,3,0)*0.475*44/12</f>
        <v>1.2138983517732868E-4</v>
      </c>
      <c r="AX121" s="23">
        <f t="shared" si="60"/>
        <v>90.938312955202662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>
        <f>VLOOKUP(A121,'Données projet'!$A$87:$I$107,2,0)</f>
        <v>556.83000000000004</v>
      </c>
      <c r="BB121" s="13">
        <f>VLOOKUP(A121,'Données projet'!$A$87:$I$107,9,0)</f>
        <v>11.309000000000008</v>
      </c>
      <c r="BC121" s="13">
        <f t="array" ref="BC121">INDEX(BB:BB,MIN(IF(ISNUMBER(BB121:BB317),ROW(BB121:BB317),"")))</f>
        <v>11.309000000000008</v>
      </c>
      <c r="BD121" s="13">
        <f>IF('Données projet'!$A$88&gt;35,BD120+BC121-BL120,IF(A121&lt;'Données projet'!$A$88,$BA$205^A121,IF(A121='Données projet'!$A$88,'Données projet'!$B$88,BD120+BC121-BL120)))</f>
        <v>556.83000000000038</v>
      </c>
      <c r="BE121" s="14">
        <f>BD121*VLOOKUP('Données projet'!$B$11,Paramètres!$A$1:$I$89,3,0)*VLOOKUP('Données projet'!$B$11,Paramètres!$A$1:$I$89,5,0)</f>
        <v>267.83523000000019</v>
      </c>
      <c r="BF121" s="14">
        <f t="shared" si="91"/>
        <v>64.389635438575539</v>
      </c>
      <c r="BG121" s="22">
        <f t="shared" si="61"/>
        <v>578.62497397218613</v>
      </c>
      <c r="BH121" s="62">
        <f t="shared" si="62"/>
        <v>871.95830730551938</v>
      </c>
      <c r="BI121" s="62">
        <f ca="1">AVERAGE(OFFSET($BH$3,0,0,'Données projet'!$E$11+1,1))-AVERAGE(OFFSET($H$3,0,0,'Données projet'!$E$11+1,1))</f>
        <v>255.64417186544995</v>
      </c>
      <c r="BJ121" s="62">
        <f t="shared" si="92"/>
        <v>165.41802783289376</v>
      </c>
      <c r="BK121" s="16">
        <f>IF(ISNA(VLOOKUP(A121,'Données projet'!$A$87:$I$107,3,0)),0,VLOOKUP(A121,'Données projet'!$A$87:$I$107,3,0))</f>
        <v>8</v>
      </c>
      <c r="BL121" s="16">
        <f>IF(ISNA(VLOOKUP(A121,'Données projet'!$A$87:$I$107,4,0)),0,VLOOKUP(A121,'Données projet'!$A$87:$I$107,4,0))</f>
        <v>81.52</v>
      </c>
      <c r="BM121" s="17">
        <f>IF(ISNA(VLOOKUP(A121,'Données projet'!$A$87:$I$107,5,0)),0%,VLOOKUP(A121,'Données projet'!$A$87:$I$107,5,0)*VLOOKUP('Données projet'!$B$11,Paramètres!$A$1:$I$89,7,0))</f>
        <v>0.44000000000000006</v>
      </c>
      <c r="BN121" s="17">
        <f>IF(ISNA(VLOOKUP(A121,'Données projet'!$A$87:$I$107,6,0)),0%,VLOOKUP(A121,'Données projet'!$A$87:$I$107,6,0)*VLOOKUP('Données projet'!$B$11,Paramètres!$A$1:$I$89,7,0))</f>
        <v>6.0500000000000005E-2</v>
      </c>
      <c r="BO121" s="17">
        <f>IF(ISNA(VLOOKUP(A121,'Données projet'!$A$87:$I$107,7,0)),0%,VLOOKUP(A121,'Données projet'!$A$87:$I$107,7,0))</f>
        <v>0.09</v>
      </c>
      <c r="BP121" s="23">
        <f>EXP(-LN(2)/35)*BP120+(1-EXP(-LN(2)/35))/(LN(2)/35)*BL121*BM121*VLOOKUP('Données projet'!$B$11,Paramètres!$A$1:$I$89,3,0)*0.475*44/12</f>
        <v>87.093499347090543</v>
      </c>
      <c r="BQ121" s="23">
        <f>EXP(-LN(2)/25)*BQ120+(1-EXP(-LN(2)/25))/(LN(2)/25)*Calculateur!BL121*Calculateur!BN121*VLOOKUP('Données projet'!$B$11,Paramètres!$A$1:$I$89,3,0)*0.475*44/12</f>
        <v>24.094776197928663</v>
      </c>
      <c r="BR121" s="23">
        <f>EXP(-LN(2)/2)*BR120+(1-EXP(-LN(2)/2))/(LN(2)/2)*BL121*BO121*VLOOKUP('Données projet'!$B$11,Paramètres!$A$1:$I$89,3,0)*0.475*44/12</f>
        <v>4.1849834878184629</v>
      </c>
      <c r="BS121" s="24">
        <f t="shared" si="63"/>
        <v>115.37325903283767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465.49436272491818</v>
      </c>
      <c r="CE121" s="62">
        <f t="shared" si="94"/>
        <v>494.36941732405256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110.75639895396259</v>
      </c>
      <c r="CL121" s="23">
        <f>EXP(-LN(2)/25)*CL120+(1-EXP(-LN(2)/25))/(LN(2)/25)*Calculateur!CG121*Calculateur!CI121*VLOOKUP('Données projet'!$B$12,Paramètres!$A$1:$I$89,3,0)*0.475*44/12</f>
        <v>22.074538878847878</v>
      </c>
      <c r="CM121" s="23">
        <f>EXP(-LN(2)/2)*CM120+(1-EXP(-LN(2)/2))/(LN(2)/2)*CG121*CJ121*VLOOKUP('Données projet'!$B$12,Paramètres!$A$1:$I$89,3,0)*0.475*44/12</f>
        <v>3.9170075719567207E-6</v>
      </c>
      <c r="CN121" s="24">
        <f t="shared" si="66"/>
        <v>132.83094174981804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-6.8212102632969618E-13</v>
      </c>
      <c r="CU121" s="18">
        <f>CT121*VLOOKUP('Données projet'!$B$13,Paramètres!$A$1:$I$89,3,0)*VLOOKUP('Données projet'!$B$13,Paramètres!$A$1:$I$89,5,0)</f>
        <v>-4.0790837374515837E-13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361.46923697840384</v>
      </c>
      <c r="CZ121" s="62">
        <f t="shared" si="96"/>
        <v>302.25424592654673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83.737826907264633</v>
      </c>
      <c r="DG121" s="23">
        <f>EXP(-LN(2)/25)*DG120+(1-EXP(-LN(2)/25))/(LN(2)/25)*Calculateur!DB121*Calculateur!DD121*VLOOKUP('Données projet'!$B$13,Paramètres!$A$1:$I$89,3,0)*0.475*44/12</f>
        <v>22.406058237825146</v>
      </c>
      <c r="DH121" s="23">
        <f>EXP(-LN(2)/2)*DH120+(1-EXP(-LN(2)/2))/(LN(2)/2)*DB121*DE121*VLOOKUP('Données projet'!$B$13,Paramètres!$A$1:$I$89,3,0)*0.475*44/12</f>
        <v>3.9191609823717963E-5</v>
      </c>
      <c r="DI121" s="24">
        <f t="shared" si="69"/>
        <v>106.14392433669961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-4.5474735088646412E-13</v>
      </c>
      <c r="O122" s="14">
        <f>N122*VLOOKUP('Données projet'!$B$9,Paramètres!$A$1:$I$89,3,0)*VLOOKUP('Données projet'!$B$9,Paramètres!$A$1:$I$89,5,0)</f>
        <v>-2.5420376914553347E-13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389.80719836281679</v>
      </c>
      <c r="T122" s="62">
        <f t="shared" si="88"/>
        <v>399.58193819355591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100.12733918099448</v>
      </c>
      <c r="AA122" s="23">
        <f>EXP(-LN(2)/25)*AA121+(1-EXP(-LN(2)/25))/(LN(2)/25)*Calculateur!V122*Calculateur!X122*VLOOKUP('Données projet'!$B$9,Paramètres!$A$1:$I$89,3,0)*0.475*44/12</f>
        <v>19.430681477674444</v>
      </c>
      <c r="AB122" s="23">
        <f>EXP(-LN(2)/2)*AB121+(1-EXP(-LN(2)/2))/(LN(2)/2)*V122*Y122*VLOOKUP('Données projet'!$B$9,Paramètres!$A$1:$I$89,3,0)*0.475*44/12</f>
        <v>2.5414534459016599E-6</v>
      </c>
      <c r="AC122" s="24">
        <f t="shared" si="57"/>
        <v>119.55802320012236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269.90083987531233</v>
      </c>
      <c r="AO122" s="62">
        <f t="shared" si="90"/>
        <v>183.4515835513518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68.95746748510804</v>
      </c>
      <c r="AV122" s="23">
        <f>EXP(-LN(2)/25)*AV121+(1-EXP(-LN(2)/25))/(LN(2)/25)*Calculateur!AQ122*Calculateur!AS122*VLOOKUP('Données projet'!$B$10,Paramètres!$A$1:$I$89,3,0)*0.475*44/12</f>
        <v>20.03811563934843</v>
      </c>
      <c r="AW122" s="23">
        <f>EXP(-LN(2)/2)*AW121+(1-EXP(-LN(2)/2))/(LN(2)/2)*AQ122*AT122*VLOOKUP('Données projet'!$B$10,Paramètres!$A$1:$I$89,3,0)*0.475*44/12</f>
        <v>8.583557562100642E-5</v>
      </c>
      <c r="AX122" s="23">
        <f t="shared" si="60"/>
        <v>88.995668960032091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10.474999999999989</v>
      </c>
      <c r="BD122" s="13">
        <f>IF('Données projet'!$A$88&gt;35,BD121+BC122-BL121,IF(A122&lt;'Données projet'!$A$88,$BA$205^A122,IF(A122='Données projet'!$A$88,'Données projet'!$B$88,BD121+BC122-BL121)))</f>
        <v>485.78500000000042</v>
      </c>
      <c r="BE122" s="14">
        <f>BD122*VLOOKUP('Données projet'!$B$11,Paramètres!$A$1:$I$89,3,0)*VLOOKUP('Données projet'!$B$11,Paramètres!$A$1:$I$89,5,0)</f>
        <v>233.66258500000021</v>
      </c>
      <c r="BF122" s="14">
        <f t="shared" si="91"/>
        <v>57.073888391121244</v>
      </c>
      <c r="BG122" s="22">
        <f t="shared" si="61"/>
        <v>506.36602448953641</v>
      </c>
      <c r="BH122" s="62">
        <f t="shared" si="62"/>
        <v>799.69935782286973</v>
      </c>
      <c r="BI122" s="62">
        <f ca="1">AVERAGE(OFFSET($BH$3,0,0,'Données projet'!$E$11+1,1))-AVERAGE(OFFSET($H$3,0,0,'Données projet'!$E$11+1,1))</f>
        <v>255.64417186544995</v>
      </c>
      <c r="BJ122" s="62">
        <f t="shared" si="92"/>
        <v>165.41802783289376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85.385648946683361</v>
      </c>
      <c r="BQ122" s="23">
        <f>EXP(-LN(2)/25)*BQ121+(1-EXP(-LN(2)/25))/(LN(2)/25)*Calculateur!BL122*Calculateur!BN122*VLOOKUP('Données projet'!$B$11,Paramètres!$A$1:$I$89,3,0)*0.475*44/12</f>
        <v>23.435903275707094</v>
      </c>
      <c r="BR122" s="23">
        <f>EXP(-LN(2)/2)*BR121+(1-EXP(-LN(2)/2))/(LN(2)/2)*BL122*BO122*VLOOKUP('Données projet'!$B$11,Paramètres!$A$1:$I$89,3,0)*0.475*44/12</f>
        <v>2.9592302033901645</v>
      </c>
      <c r="BS122" s="24">
        <f t="shared" si="63"/>
        <v>111.78078242578061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465.49436272491818</v>
      </c>
      <c r="CE122" s="62">
        <f t="shared" si="94"/>
        <v>494.36941732405256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108.58453352520827</v>
      </c>
      <c r="CL122" s="23">
        <f>EXP(-LN(2)/25)*CL121+(1-EXP(-LN(2)/25))/(LN(2)/25)*Calculateur!CG122*Calculateur!CI122*VLOOKUP('Données projet'!$B$12,Paramètres!$A$1:$I$89,3,0)*0.475*44/12</f>
        <v>21.470909452356235</v>
      </c>
      <c r="CM122" s="23">
        <f>EXP(-LN(2)/2)*CM121+(1-EXP(-LN(2)/2))/(LN(2)/2)*CG122*CJ122*VLOOKUP('Données projet'!$B$12,Paramètres!$A$1:$I$89,3,0)*0.475*44/12</f>
        <v>2.7697426160896507E-6</v>
      </c>
      <c r="CN122" s="24">
        <f t="shared" si="66"/>
        <v>130.05544574730712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-6.8212102632969618E-13</v>
      </c>
      <c r="CU122" s="18">
        <f>CT122*VLOOKUP('Données projet'!$B$13,Paramètres!$A$1:$I$89,3,0)*VLOOKUP('Données projet'!$B$13,Paramètres!$A$1:$I$89,5,0)</f>
        <v>-4.0790837374515837E-13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361.46923697840384</v>
      </c>
      <c r="CZ122" s="62">
        <f t="shared" si="96"/>
        <v>302.25424592654673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82.095779196644344</v>
      </c>
      <c r="DG122" s="23">
        <f>EXP(-LN(2)/25)*DG121+(1-EXP(-LN(2)/25))/(LN(2)/25)*Calculateur!DB122*Calculateur!DD122*VLOOKUP('Données projet'!$B$13,Paramètres!$A$1:$I$89,3,0)*0.475*44/12</f>
        <v>21.793363397028426</v>
      </c>
      <c r="DH122" s="23">
        <f>EXP(-LN(2)/2)*DH121+(1-EXP(-LN(2)/2))/(LN(2)/2)*DB122*DE122*VLOOKUP('Données projet'!$B$13,Paramètres!$A$1:$I$89,3,0)*0.475*44/12</f>
        <v>2.7712653071968284E-5</v>
      </c>
      <c r="DI122" s="24">
        <f t="shared" si="69"/>
        <v>103.88917030632585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-4.5474735088646412E-13</v>
      </c>
      <c r="O123" s="14">
        <f>N123*VLOOKUP('Données projet'!$B$9,Paramètres!$A$1:$I$89,3,0)*VLOOKUP('Données projet'!$B$9,Paramètres!$A$1:$I$89,5,0)</f>
        <v>-2.5420376914553347E-13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389.80719836281679</v>
      </c>
      <c r="T123" s="62">
        <f t="shared" si="88"/>
        <v>399.58193819355591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98.163903131301751</v>
      </c>
      <c r="AA123" s="23">
        <f>EXP(-LN(2)/25)*AA122+(1-EXP(-LN(2)/25))/(LN(2)/25)*Calculateur!V123*Calculateur!X123*VLOOKUP('Données projet'!$B$9,Paramètres!$A$1:$I$89,3,0)*0.475*44/12</f>
        <v>18.899348470852306</v>
      </c>
      <c r="AB123" s="23">
        <f>EXP(-LN(2)/2)*AB122+(1-EXP(-LN(2)/2))/(LN(2)/2)*V123*Y123*VLOOKUP('Données projet'!$B$9,Paramètres!$A$1:$I$89,3,0)*0.475*44/12</f>
        <v>1.7970789656669823E-6</v>
      </c>
      <c r="AC123" s="24">
        <f t="shared" si="57"/>
        <v>117.06325339923302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269.90083987531233</v>
      </c>
      <c r="AO123" s="62">
        <f t="shared" si="90"/>
        <v>183.4515835513518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67.605253607627162</v>
      </c>
      <c r="AV123" s="23">
        <f>EXP(-LN(2)/25)*AV122+(1-EXP(-LN(2)/25))/(LN(2)/25)*Calculateur!AQ123*Calculateur!AS123*VLOOKUP('Données projet'!$B$10,Paramètres!$A$1:$I$89,3,0)*0.475*44/12</f>
        <v>19.490172313431742</v>
      </c>
      <c r="AW123" s="23">
        <f>EXP(-LN(2)/2)*AW122+(1-EXP(-LN(2)/2))/(LN(2)/2)*AQ123*AT123*VLOOKUP('Données projet'!$B$10,Paramètres!$A$1:$I$89,3,0)*0.475*44/12</f>
        <v>6.0694917588664344E-5</v>
      </c>
      <c r="AX123" s="23">
        <f t="shared" si="60"/>
        <v>87.095486615976498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10.474999999999989</v>
      </c>
      <c r="BD123" s="13">
        <f>IF('Données projet'!$A$88&gt;35,BD122+BC123-BL122,IF(A123&lt;'Données projet'!$A$88,$BA$205^A123,IF(A123='Données projet'!$A$88,'Données projet'!$B$88,BD122+BC123-BL122)))</f>
        <v>496.26000000000039</v>
      </c>
      <c r="BE123" s="14">
        <f>BD123*VLOOKUP('Données projet'!$B$11,Paramètres!$A$1:$I$89,3,0)*VLOOKUP('Données projet'!$B$11,Paramètres!$A$1:$I$89,5,0)</f>
        <v>238.70106000000018</v>
      </c>
      <c r="BF123" s="14">
        <f t="shared" si="91"/>
        <v>58.159969003646232</v>
      </c>
      <c r="BG123" s="22">
        <f t="shared" si="61"/>
        <v>517.03295884801753</v>
      </c>
      <c r="BH123" s="62">
        <f t="shared" si="62"/>
        <v>810.3662921813509</v>
      </c>
      <c r="BI123" s="62">
        <f ca="1">AVERAGE(OFFSET($BH$3,0,0,'Données projet'!$E$11+1,1))-AVERAGE(OFFSET($H$3,0,0,'Données projet'!$E$11+1,1))</f>
        <v>255.64417186544995</v>
      </c>
      <c r="BJ123" s="62">
        <f t="shared" si="92"/>
        <v>165.41802783289376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83.711288450942277</v>
      </c>
      <c r="BQ123" s="23">
        <f>EXP(-LN(2)/25)*BQ122+(1-EXP(-LN(2)/25))/(LN(2)/25)*Calculateur!BL123*Calculateur!BN123*VLOOKUP('Données projet'!$B$11,Paramètres!$A$1:$I$89,3,0)*0.475*44/12</f>
        <v>22.795047268192295</v>
      </c>
      <c r="BR123" s="23">
        <f>EXP(-LN(2)/2)*BR122+(1-EXP(-LN(2)/2))/(LN(2)/2)*BL123*BO123*VLOOKUP('Données projet'!$B$11,Paramètres!$A$1:$I$89,3,0)*0.475*44/12</f>
        <v>2.0924917439092319</v>
      </c>
      <c r="BS123" s="24">
        <f t="shared" si="63"/>
        <v>108.5988274630438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465.49436272491818</v>
      </c>
      <c r="CE123" s="62">
        <f t="shared" si="94"/>
        <v>494.36941732405256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106.45525705280471</v>
      </c>
      <c r="CL123" s="23">
        <f>EXP(-LN(2)/25)*CL122+(1-EXP(-LN(2)/25))/(LN(2)/25)*Calculateur!CG123*Calculateur!CI123*VLOOKUP('Données projet'!$B$12,Paramètres!$A$1:$I$89,3,0)*0.475*44/12</f>
        <v>20.8837863042755</v>
      </c>
      <c r="CM123" s="23">
        <f>EXP(-LN(2)/2)*CM122+(1-EXP(-LN(2)/2))/(LN(2)/2)*CG123*CJ123*VLOOKUP('Données projet'!$B$12,Paramètres!$A$1:$I$89,3,0)*0.475*44/12</f>
        <v>1.9585037859783604E-6</v>
      </c>
      <c r="CN123" s="24">
        <f t="shared" si="66"/>
        <v>127.339045315584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-6.8212102632969618E-13</v>
      </c>
      <c r="CU123" s="18">
        <f>CT123*VLOOKUP('Données projet'!$B$13,Paramètres!$A$1:$I$89,3,0)*VLOOKUP('Données projet'!$B$13,Paramètres!$A$1:$I$89,5,0)</f>
        <v>-4.0790837374515837E-13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361.46923697840384</v>
      </c>
      <c r="CZ123" s="62">
        <f t="shared" si="96"/>
        <v>302.25424592654673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80.485931040079109</v>
      </c>
      <c r="DG123" s="23">
        <f>EXP(-LN(2)/25)*DG122+(1-EXP(-LN(2)/25))/(LN(2)/25)*Calculateur!DB123*Calculateur!DD123*VLOOKUP('Données projet'!$B$13,Paramètres!$A$1:$I$89,3,0)*0.475*44/12</f>
        <v>21.197422728873512</v>
      </c>
      <c r="DH123" s="23">
        <f>EXP(-LN(2)/2)*DH122+(1-EXP(-LN(2)/2))/(LN(2)/2)*DB123*DE123*VLOOKUP('Données projet'!$B$13,Paramètres!$A$1:$I$89,3,0)*0.475*44/12</f>
        <v>1.9595804911858981E-5</v>
      </c>
      <c r="DI123" s="24">
        <f t="shared" si="69"/>
        <v>101.68337336475754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-4.5474735088646412E-13</v>
      </c>
      <c r="O124" s="14">
        <f>N124*VLOOKUP('Données projet'!$B$9,Paramètres!$A$1:$I$89,3,0)*VLOOKUP('Données projet'!$B$9,Paramètres!$A$1:$I$89,5,0)</f>
        <v>-2.5420376914553347E-13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389.80719836281679</v>
      </c>
      <c r="T124" s="62">
        <f t="shared" si="88"/>
        <v>399.58193819355591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96.238968864965756</v>
      </c>
      <c r="AA124" s="23">
        <f>EXP(-LN(2)/25)*AA123+(1-EXP(-LN(2)/25))/(LN(2)/25)*Calculateur!V124*Calculateur!X124*VLOOKUP('Données projet'!$B$9,Paramètres!$A$1:$I$89,3,0)*0.475*44/12</f>
        <v>18.382544793043309</v>
      </c>
      <c r="AB124" s="23">
        <f>EXP(-LN(2)/2)*AB123+(1-EXP(-LN(2)/2))/(LN(2)/2)*V124*Y124*VLOOKUP('Données projet'!$B$9,Paramètres!$A$1:$I$89,3,0)*0.475*44/12</f>
        <v>1.27072672295083E-6</v>
      </c>
      <c r="AC124" s="24">
        <f t="shared" si="57"/>
        <v>114.62151492873579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269.90083987531233</v>
      </c>
      <c r="AO124" s="62">
        <f t="shared" si="90"/>
        <v>183.4515835513518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66.27955581951467</v>
      </c>
      <c r="AV124" s="23">
        <f>EXP(-LN(2)/25)*AV123+(1-EXP(-LN(2)/25))/(LN(2)/25)*Calculateur!AQ124*Calculateur!AS124*VLOOKUP('Données projet'!$B$10,Paramètres!$A$1:$I$89,3,0)*0.475*44/12</f>
        <v>18.957212526577333</v>
      </c>
      <c r="AW124" s="23">
        <f>EXP(-LN(2)/2)*AW123+(1-EXP(-LN(2)/2))/(LN(2)/2)*AQ124*AT124*VLOOKUP('Données projet'!$B$10,Paramètres!$A$1:$I$89,3,0)*0.475*44/12</f>
        <v>4.2917787810503217E-5</v>
      </c>
      <c r="AX124" s="23">
        <f t="shared" si="60"/>
        <v>85.236811263879815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10.474999999999989</v>
      </c>
      <c r="BD124" s="13">
        <f>IF('Données projet'!$A$88&gt;35,BD123+BC124-BL123,IF(A124&lt;'Données projet'!$A$88,$BA$205^A124,IF(A124='Données projet'!$A$88,'Données projet'!$B$88,BD123+BC124-BL123)))</f>
        <v>506.73500000000035</v>
      </c>
      <c r="BE124" s="14">
        <f>BD124*VLOOKUP('Données projet'!$B$11,Paramètres!$A$1:$I$89,3,0)*VLOOKUP('Données projet'!$B$11,Paramètres!$A$1:$I$89,5,0)</f>
        <v>243.73953500000016</v>
      </c>
      <c r="BF124" s="14">
        <f t="shared" si="91"/>
        <v>59.243384227920053</v>
      </c>
      <c r="BG124" s="22">
        <f t="shared" si="61"/>
        <v>527.69525098862766</v>
      </c>
      <c r="BH124" s="62">
        <f t="shared" si="62"/>
        <v>821.02858432196103</v>
      </c>
      <c r="BI124" s="62">
        <f ca="1">AVERAGE(OFFSET($BH$3,0,0,'Données projet'!$E$11+1,1))-AVERAGE(OFFSET($H$3,0,0,'Données projet'!$E$11+1,1))</f>
        <v>255.64417186544995</v>
      </c>
      <c r="BJ124" s="62">
        <f t="shared" si="92"/>
        <v>165.41802783289376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82.069761143263605</v>
      </c>
      <c r="BQ124" s="23">
        <f>EXP(-LN(2)/25)*BQ123+(1-EXP(-LN(2)/25))/(LN(2)/25)*Calculateur!BL124*Calculateur!BN124*VLOOKUP('Données projet'!$B$11,Paramètres!$A$1:$I$89,3,0)*0.475*44/12</f>
        <v>22.171715501904139</v>
      </c>
      <c r="BR124" s="23">
        <f>EXP(-LN(2)/2)*BR123+(1-EXP(-LN(2)/2))/(LN(2)/2)*BL124*BO124*VLOOKUP('Données projet'!$B$11,Paramètres!$A$1:$I$89,3,0)*0.475*44/12</f>
        <v>1.4796151016950825</v>
      </c>
      <c r="BS124" s="24">
        <f t="shared" si="63"/>
        <v>105.72109174686284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465.49436272491818</v>
      </c>
      <c r="CE124" s="62">
        <f t="shared" si="94"/>
        <v>494.36941732405256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104.36773439329458</v>
      </c>
      <c r="CL124" s="23">
        <f>EXP(-LN(2)/25)*CL123+(1-EXP(-LN(2)/25))/(LN(2)/25)*Calculateur!CG124*Calculateur!CI124*VLOOKUP('Données projet'!$B$12,Paramètres!$A$1:$I$89,3,0)*0.475*44/12</f>
        <v>20.312718069554496</v>
      </c>
      <c r="CM124" s="23">
        <f>EXP(-LN(2)/2)*CM123+(1-EXP(-LN(2)/2))/(LN(2)/2)*CG124*CJ124*VLOOKUP('Données projet'!$B$12,Paramètres!$A$1:$I$89,3,0)*0.475*44/12</f>
        <v>1.3848713080448254E-6</v>
      </c>
      <c r="CN124" s="24">
        <f t="shared" si="66"/>
        <v>124.68045384772039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-6.8212102632969618E-13</v>
      </c>
      <c r="CU124" s="18">
        <f>CT124*VLOOKUP('Données projet'!$B$13,Paramètres!$A$1:$I$89,3,0)*VLOOKUP('Données projet'!$B$13,Paramètres!$A$1:$I$89,5,0)</f>
        <v>-4.0790837374515837E-13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361.46923697840384</v>
      </c>
      <c r="CZ124" s="62">
        <f t="shared" si="96"/>
        <v>302.25424592654673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78.907651023953704</v>
      </c>
      <c r="DG124" s="23">
        <f>EXP(-LN(2)/25)*DG123+(1-EXP(-LN(2)/25))/(LN(2)/25)*Calculateur!DB124*Calculateur!DD124*VLOOKUP('Données projet'!$B$13,Paramètres!$A$1:$I$89,3,0)*0.475*44/12</f>
        <v>20.617778089628452</v>
      </c>
      <c r="DH124" s="23">
        <f>EXP(-LN(2)/2)*DH123+(1-EXP(-LN(2)/2))/(LN(2)/2)*DB124*DE124*VLOOKUP('Données projet'!$B$13,Paramètres!$A$1:$I$89,3,0)*0.475*44/12</f>
        <v>1.3856326535984142E-5</v>
      </c>
      <c r="DI124" s="24">
        <f t="shared" si="69"/>
        <v>99.525442969908696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-4.5474735088646412E-13</v>
      </c>
      <c r="O125" s="14">
        <f>N125*VLOOKUP('Données projet'!$B$9,Paramètres!$A$1:$I$89,3,0)*VLOOKUP('Données projet'!$B$9,Paramètres!$A$1:$I$89,5,0)</f>
        <v>-2.5420376914553347E-13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389.80719836281679</v>
      </c>
      <c r="T125" s="62">
        <f t="shared" si="88"/>
        <v>399.58193819355591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94.35178138549864</v>
      </c>
      <c r="AA125" s="23">
        <f>EXP(-LN(2)/25)*AA124+(1-EXP(-LN(2)/25))/(LN(2)/25)*Calculateur!V125*Calculateur!X125*VLOOKUP('Données projet'!$B$9,Paramètres!$A$1:$I$89,3,0)*0.475*44/12</f>
        <v>17.879873138981523</v>
      </c>
      <c r="AB125" s="23">
        <f>EXP(-LN(2)/2)*AB124+(1-EXP(-LN(2)/2))/(LN(2)/2)*V125*Y125*VLOOKUP('Données projet'!$B$9,Paramètres!$A$1:$I$89,3,0)*0.475*44/12</f>
        <v>8.9853948283349114E-7</v>
      </c>
      <c r="AC125" s="24">
        <f t="shared" si="57"/>
        <v>112.23165542301965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269.90083987531233</v>
      </c>
      <c r="AO125" s="62">
        <f t="shared" si="90"/>
        <v>183.4515835513518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64.979854156431244</v>
      </c>
      <c r="AV125" s="23">
        <f>EXP(-LN(2)/25)*AV124+(1-EXP(-LN(2)/25))/(LN(2)/25)*Calculateur!AQ125*Calculateur!AS125*VLOOKUP('Données projet'!$B$10,Paramètres!$A$1:$I$89,3,0)*0.475*44/12</f>
        <v>18.438826553121597</v>
      </c>
      <c r="AW125" s="23">
        <f>EXP(-LN(2)/2)*AW124+(1-EXP(-LN(2)/2))/(LN(2)/2)*AQ125*AT125*VLOOKUP('Données projet'!$B$10,Paramètres!$A$1:$I$89,3,0)*0.475*44/12</f>
        <v>3.0347458794332176E-5</v>
      </c>
      <c r="AX125" s="23">
        <f t="shared" si="60"/>
        <v>83.418711057011635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10.474999999999989</v>
      </c>
      <c r="BD125" s="13">
        <f>IF('Données projet'!$A$88&gt;35,BD124+BC125-BL124,IF(A125&lt;'Données projet'!$A$88,$BA$205^A125,IF(A125='Données projet'!$A$88,'Données projet'!$B$88,BD124+BC125-BL124)))</f>
        <v>517.21000000000038</v>
      </c>
      <c r="BE125" s="14">
        <f>BD125*VLOOKUP('Données projet'!$B$11,Paramètres!$A$1:$I$89,3,0)*VLOOKUP('Données projet'!$B$11,Paramètres!$A$1:$I$89,5,0)</f>
        <v>248.77801000000017</v>
      </c>
      <c r="BF125" s="14">
        <f t="shared" si="91"/>
        <v>60.324195509925758</v>
      </c>
      <c r="BG125" s="22">
        <f t="shared" si="61"/>
        <v>538.35300792978762</v>
      </c>
      <c r="BH125" s="62">
        <f t="shared" si="62"/>
        <v>831.68634126312099</v>
      </c>
      <c r="BI125" s="62">
        <f ca="1">AVERAGE(OFFSET($BH$3,0,0,'Données projet'!$E$11+1,1))-AVERAGE(OFFSET($H$3,0,0,'Données projet'!$E$11+1,1))</f>
        <v>255.64417186544995</v>
      </c>
      <c r="BJ125" s="62">
        <f t="shared" si="92"/>
        <v>165.41802783289376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80.460423184855728</v>
      </c>
      <c r="BQ125" s="23">
        <f>EXP(-LN(2)/25)*BQ124+(1-EXP(-LN(2)/25))/(LN(2)/25)*Calculateur!BL125*Calculateur!BN125*VLOOKUP('Données projet'!$B$11,Paramètres!$A$1:$I$89,3,0)*0.475*44/12</f>
        <v>21.565428775544724</v>
      </c>
      <c r="BR125" s="23">
        <f>EXP(-LN(2)/2)*BR124+(1-EXP(-LN(2)/2))/(LN(2)/2)*BL125*BO125*VLOOKUP('Données projet'!$B$11,Paramètres!$A$1:$I$89,3,0)*0.475*44/12</f>
        <v>1.0462458719546159</v>
      </c>
      <c r="BS125" s="24">
        <f t="shared" si="63"/>
        <v>103.07209783235506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465.49436272491818</v>
      </c>
      <c r="CE125" s="62">
        <f t="shared" si="94"/>
        <v>494.36941732405256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102.32114677987435</v>
      </c>
      <c r="CL125" s="23">
        <f>EXP(-LN(2)/25)*CL124+(1-EXP(-LN(2)/25))/(LN(2)/25)*Calculateur!CG125*Calculateur!CI125*VLOOKUP('Données projet'!$B$12,Paramètres!$A$1:$I$89,3,0)*0.475*44/12</f>
        <v>19.75726572574311</v>
      </c>
      <c r="CM125" s="23">
        <f>EXP(-LN(2)/2)*CM124+(1-EXP(-LN(2)/2))/(LN(2)/2)*CG125*CJ125*VLOOKUP('Données projet'!$B$12,Paramètres!$A$1:$I$89,3,0)*0.475*44/12</f>
        <v>9.7925189298918018E-7</v>
      </c>
      <c r="CN125" s="24">
        <f t="shared" si="66"/>
        <v>122.07841348486936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-6.8212102632969618E-13</v>
      </c>
      <c r="CU125" s="18">
        <f>CT125*VLOOKUP('Données projet'!$B$13,Paramètres!$A$1:$I$89,3,0)*VLOOKUP('Données projet'!$B$13,Paramètres!$A$1:$I$89,5,0)</f>
        <v>-4.0790837374515837E-13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361.46923697840384</v>
      </c>
      <c r="CZ125" s="62">
        <f t="shared" si="96"/>
        <v>302.25424592654673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77.360320116288761</v>
      </c>
      <c r="DG125" s="23">
        <f>EXP(-LN(2)/25)*DG124+(1-EXP(-LN(2)/25))/(LN(2)/25)*Calculateur!DB125*Calculateur!DD125*VLOOKUP('Données projet'!$B$13,Paramètres!$A$1:$I$89,3,0)*0.475*44/12</f>
        <v>20.053983863525733</v>
      </c>
      <c r="DH125" s="23">
        <f>EXP(-LN(2)/2)*DH124+(1-EXP(-LN(2)/2))/(LN(2)/2)*DB125*DE125*VLOOKUP('Données projet'!$B$13,Paramètres!$A$1:$I$89,3,0)*0.475*44/12</f>
        <v>9.7979024559294907E-6</v>
      </c>
      <c r="DI125" s="24">
        <f t="shared" si="69"/>
        <v>97.414313777716941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-4.5474735088646412E-13</v>
      </c>
      <c r="O126" s="14">
        <f>N126*VLOOKUP('Données projet'!$B$9,Paramètres!$A$1:$I$89,3,0)*VLOOKUP('Données projet'!$B$9,Paramètres!$A$1:$I$89,5,0)</f>
        <v>-2.5420376914553347E-13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389.80719836281679</v>
      </c>
      <c r="T126" s="62">
        <f t="shared" si="88"/>
        <v>399.58193819355591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92.501600501433174</v>
      </c>
      <c r="AA126" s="23">
        <f>EXP(-LN(2)/25)*AA125+(1-EXP(-LN(2)/25))/(LN(2)/25)*Calculateur!V126*Calculateur!X126*VLOOKUP('Données projet'!$B$9,Paramètres!$A$1:$I$89,3,0)*0.475*44/12</f>
        <v>17.390947067734409</v>
      </c>
      <c r="AB126" s="23">
        <f>EXP(-LN(2)/2)*AB125+(1-EXP(-LN(2)/2))/(LN(2)/2)*V126*Y126*VLOOKUP('Données projet'!$B$9,Paramètres!$A$1:$I$89,3,0)*0.475*44/12</f>
        <v>6.3536336147541499E-7</v>
      </c>
      <c r="AC126" s="24">
        <f t="shared" si="57"/>
        <v>109.89254820453095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269.90083987531233</v>
      </c>
      <c r="AO126" s="62">
        <f t="shared" si="90"/>
        <v>183.4515835513518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63.705638850221149</v>
      </c>
      <c r="AV126" s="23">
        <f>EXP(-LN(2)/25)*AV125+(1-EXP(-LN(2)/25))/(LN(2)/25)*Calculateur!AQ126*Calculateur!AS126*VLOOKUP('Données projet'!$B$10,Paramètres!$A$1:$I$89,3,0)*0.475*44/12</f>
        <v>17.934615871370742</v>
      </c>
      <c r="AW126" s="23">
        <f>EXP(-LN(2)/2)*AW125+(1-EXP(-LN(2)/2))/(LN(2)/2)*AQ126*AT126*VLOOKUP('Données projet'!$B$10,Paramètres!$A$1:$I$89,3,0)*0.475*44/12</f>
        <v>2.1458893905251612E-5</v>
      </c>
      <c r="AX126" s="23">
        <f t="shared" si="60"/>
        <v>81.640276180485799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10.474999999999989</v>
      </c>
      <c r="BD126" s="13">
        <f>IF('Données projet'!$A$88&gt;35,BD125+BC126-BL125,IF(A126&lt;'Données projet'!$A$88,$BA$205^A126,IF(A126='Données projet'!$A$88,'Données projet'!$B$88,BD125+BC126-BL125)))</f>
        <v>527.6850000000004</v>
      </c>
      <c r="BE126" s="14">
        <f>BD126*VLOOKUP('Données projet'!$B$11,Paramètres!$A$1:$I$89,3,0)*VLOOKUP('Données projet'!$B$11,Paramètres!$A$1:$I$89,5,0)</f>
        <v>253.8164850000002</v>
      </c>
      <c r="BF126" s="14">
        <f t="shared" si="91"/>
        <v>61.402461664435577</v>
      </c>
      <c r="BG126" s="22">
        <f t="shared" si="61"/>
        <v>549.0063321072256</v>
      </c>
      <c r="BH126" s="62">
        <f t="shared" si="62"/>
        <v>842.33966544055897</v>
      </c>
      <c r="BI126" s="62">
        <f ca="1">AVERAGE(OFFSET($BH$3,0,0,'Données projet'!$E$11+1,1))-AVERAGE(OFFSET($H$3,0,0,'Données projet'!$E$11+1,1))</f>
        <v>255.64417186544995</v>
      </c>
      <c r="BJ126" s="62">
        <f t="shared" si="92"/>
        <v>165.41802783289376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78.882643362213003</v>
      </c>
      <c r="BQ126" s="23">
        <f>EXP(-LN(2)/25)*BQ125+(1-EXP(-LN(2)/25))/(LN(2)/25)*Calculateur!BL126*Calculateur!BN126*VLOOKUP('Données projet'!$B$11,Paramètres!$A$1:$I$89,3,0)*0.475*44/12</f>
        <v>20.975720991600841</v>
      </c>
      <c r="BR126" s="23">
        <f>EXP(-LN(2)/2)*BR125+(1-EXP(-LN(2)/2))/(LN(2)/2)*BL126*BO126*VLOOKUP('Données projet'!$B$11,Paramètres!$A$1:$I$89,3,0)*0.475*44/12</f>
        <v>0.73980755084754124</v>
      </c>
      <c r="BS126" s="24">
        <f t="shared" si="63"/>
        <v>100.59817190466138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465.49436272491818</v>
      </c>
      <c r="CE126" s="62">
        <f t="shared" si="94"/>
        <v>494.36941732405256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100.31469150125811</v>
      </c>
      <c r="CL126" s="23">
        <f>EXP(-LN(2)/25)*CL125+(1-EXP(-LN(2)/25))/(LN(2)/25)*Calculateur!CG126*Calculateur!CI126*VLOOKUP('Données projet'!$B$12,Paramètres!$A$1:$I$89,3,0)*0.475*44/12</f>
        <v>19.217002255483216</v>
      </c>
      <c r="CM126" s="23">
        <f>EXP(-LN(2)/2)*CM125+(1-EXP(-LN(2)/2))/(LN(2)/2)*CG126*CJ126*VLOOKUP('Données projet'!$B$12,Paramètres!$A$1:$I$89,3,0)*0.475*44/12</f>
        <v>6.9243565402241269E-7</v>
      </c>
      <c r="CN126" s="24">
        <f t="shared" si="66"/>
        <v>119.53169444917698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-6.8212102632969618E-13</v>
      </c>
      <c r="CU126" s="18">
        <f>CT126*VLOOKUP('Données projet'!$B$13,Paramètres!$A$1:$I$89,3,0)*VLOOKUP('Données projet'!$B$13,Paramètres!$A$1:$I$89,5,0)</f>
        <v>-4.0790837374515837E-13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361.46923697840384</v>
      </c>
      <c r="CZ126" s="62">
        <f t="shared" si="96"/>
        <v>302.25424592654673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75.843331423944463</v>
      </c>
      <c r="DG126" s="23">
        <f>EXP(-LN(2)/25)*DG125+(1-EXP(-LN(2)/25))/(LN(2)/25)*Calculateur!DB126*Calculateur!DD126*VLOOKUP('Données projet'!$B$13,Paramètres!$A$1:$I$89,3,0)*0.475*44/12</f>
        <v>19.505606620184444</v>
      </c>
      <c r="DH126" s="23">
        <f>EXP(-LN(2)/2)*DH125+(1-EXP(-LN(2)/2))/(LN(2)/2)*DB126*DE126*VLOOKUP('Données projet'!$B$13,Paramètres!$A$1:$I$89,3,0)*0.475*44/12</f>
        <v>6.9281632679920711E-6</v>
      </c>
      <c r="DI126" s="24">
        <f t="shared" si="69"/>
        <v>95.348944972292188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-4.5474735088646412E-13</v>
      </c>
      <c r="O127" s="14">
        <f>N127*VLOOKUP('Données projet'!$B$9,Paramètres!$A$1:$I$89,3,0)*VLOOKUP('Données projet'!$B$9,Paramètres!$A$1:$I$89,5,0)</f>
        <v>-2.5420376914553347E-13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389.80719836281679</v>
      </c>
      <c r="T127" s="62">
        <f t="shared" si="88"/>
        <v>399.58193819355591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90.687700536005323</v>
      </c>
      <c r="AA127" s="23">
        <f>EXP(-LN(2)/25)*AA126+(1-EXP(-LN(2)/25))/(LN(2)/25)*Calculateur!V127*Calculateur!X127*VLOOKUP('Données projet'!$B$9,Paramètres!$A$1:$I$89,3,0)*0.475*44/12</f>
        <v>16.915390705617053</v>
      </c>
      <c r="AB127" s="23">
        <f>EXP(-LN(2)/2)*AB126+(1-EXP(-LN(2)/2))/(LN(2)/2)*V127*Y127*VLOOKUP('Données projet'!$B$9,Paramètres!$A$1:$I$89,3,0)*0.475*44/12</f>
        <v>4.4926974141674557E-7</v>
      </c>
      <c r="AC127" s="24">
        <f t="shared" si="57"/>
        <v>107.60309169089213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269.90083987531233</v>
      </c>
      <c r="AO127" s="62">
        <f t="shared" si="90"/>
        <v>183.4515835513518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62.456410128971243</v>
      </c>
      <c r="AV127" s="23">
        <f>EXP(-LN(2)/25)*AV126+(1-EXP(-LN(2)/25))/(LN(2)/25)*Calculateur!AQ127*Calculateur!AS127*VLOOKUP('Données projet'!$B$10,Paramètres!$A$1:$I$89,3,0)*0.475*44/12</f>
        <v>17.444192857227652</v>
      </c>
      <c r="AW127" s="23">
        <f>EXP(-LN(2)/2)*AW126+(1-EXP(-LN(2)/2))/(LN(2)/2)*AQ127*AT127*VLOOKUP('Données projet'!$B$10,Paramètres!$A$1:$I$89,3,0)*0.475*44/12</f>
        <v>1.5173729397166091E-5</v>
      </c>
      <c r="AX127" s="23">
        <f t="shared" si="60"/>
        <v>79.900618159928285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10.474999999999989</v>
      </c>
      <c r="BD127" s="13">
        <f>IF('Données projet'!$A$88&gt;35,BD126+BC127-BL126,IF(A127&lt;'Données projet'!$A$88,$BA$205^A127,IF(A127='Données projet'!$A$88,'Données projet'!$B$88,BD126+BC127-BL126)))</f>
        <v>538.16000000000042</v>
      </c>
      <c r="BE127" s="14">
        <f>BD127*VLOOKUP('Données projet'!$B$11,Paramètres!$A$1:$I$89,3,0)*VLOOKUP('Données projet'!$B$11,Paramètres!$A$1:$I$89,5,0)</f>
        <v>258.85496000000018</v>
      </c>
      <c r="BF127" s="14">
        <f t="shared" si="91"/>
        <v>62.478239037641089</v>
      </c>
      <c r="BG127" s="22">
        <f t="shared" si="61"/>
        <v>559.65532165722527</v>
      </c>
      <c r="BH127" s="62">
        <f t="shared" si="62"/>
        <v>852.98865499055864</v>
      </c>
      <c r="BI127" s="62">
        <f ca="1">AVERAGE(OFFSET($BH$3,0,0,'Données projet'!$E$11+1,1))-AVERAGE(OFFSET($H$3,0,0,'Données projet'!$E$11+1,1))</f>
        <v>255.64417186544995</v>
      </c>
      <c r="BJ127" s="62">
        <f t="shared" si="92"/>
        <v>165.41802783289376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77.335802839541628</v>
      </c>
      <c r="BQ127" s="23">
        <f>EXP(-LN(2)/25)*BQ126+(1-EXP(-LN(2)/25))/(LN(2)/25)*Calculateur!BL127*Calculateur!BN127*VLOOKUP('Données projet'!$B$11,Paramètres!$A$1:$I$89,3,0)*0.475*44/12</f>
        <v>20.402138798020289</v>
      </c>
      <c r="BR127" s="23">
        <f>EXP(-LN(2)/2)*BR126+(1-EXP(-LN(2)/2))/(LN(2)/2)*BL127*BO127*VLOOKUP('Données projet'!$B$11,Paramètres!$A$1:$I$89,3,0)*0.475*44/12</f>
        <v>0.52312293597730797</v>
      </c>
      <c r="BS127" s="24">
        <f t="shared" si="63"/>
        <v>98.26106457353923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465.49436272491818</v>
      </c>
      <c r="CE127" s="62">
        <f t="shared" si="94"/>
        <v>494.36941732405256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98.347581586838643</v>
      </c>
      <c r="CL127" s="23">
        <f>EXP(-LN(2)/25)*CL126+(1-EXP(-LN(2)/25))/(LN(2)/25)*Calculateur!CG127*Calculateur!CI127*VLOOKUP('Données projet'!$B$12,Paramètres!$A$1:$I$89,3,0)*0.475*44/12</f>
        <v>18.691512318228799</v>
      </c>
      <c r="CM127" s="23">
        <f>EXP(-LN(2)/2)*CM126+(1-EXP(-LN(2)/2))/(LN(2)/2)*CG127*CJ127*VLOOKUP('Données projet'!$B$12,Paramètres!$A$1:$I$89,3,0)*0.475*44/12</f>
        <v>4.8962594649459009E-7</v>
      </c>
      <c r="CN127" s="24">
        <f t="shared" si="66"/>
        <v>117.03909439469339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-6.8212102632969618E-13</v>
      </c>
      <c r="CU127" s="18">
        <f>CT127*VLOOKUP('Données projet'!$B$13,Paramètres!$A$1:$I$89,3,0)*VLOOKUP('Données projet'!$B$13,Paramètres!$A$1:$I$89,5,0)</f>
        <v>-4.0790837374515837E-13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361.46923697840384</v>
      </c>
      <c r="CZ127" s="62">
        <f t="shared" si="96"/>
        <v>302.25424592654673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74.3560899545853</v>
      </c>
      <c r="DG127" s="23">
        <f>EXP(-LN(2)/25)*DG126+(1-EXP(-LN(2)/25))/(LN(2)/25)*Calculateur!DB127*Calculateur!DD127*VLOOKUP('Données projet'!$B$13,Paramètres!$A$1:$I$89,3,0)*0.475*44/12</f>
        <v>18.972224781400229</v>
      </c>
      <c r="DH127" s="23">
        <f>EXP(-LN(2)/2)*DH126+(1-EXP(-LN(2)/2))/(LN(2)/2)*DB127*DE127*VLOOKUP('Données projet'!$B$13,Paramètres!$A$1:$I$89,3,0)*0.475*44/12</f>
        <v>4.8989512279647453E-6</v>
      </c>
      <c r="DI127" s="24">
        <f t="shared" si="69"/>
        <v>93.328319634936761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-4.5474735088646412E-13</v>
      </c>
      <c r="O128" s="14">
        <f>N128*VLOOKUP('Données projet'!$B$9,Paramètres!$A$1:$I$89,3,0)*VLOOKUP('Données projet'!$B$9,Paramètres!$A$1:$I$89,5,0)</f>
        <v>-2.5420376914553347E-13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389.80719836281679</v>
      </c>
      <c r="T128" s="62">
        <f t="shared" si="88"/>
        <v>399.58193819355591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88.909370042529773</v>
      </c>
      <c r="AA128" s="23">
        <f>EXP(-LN(2)/25)*AA127+(1-EXP(-LN(2)/25))/(LN(2)/25)*Calculateur!V128*Calculateur!X128*VLOOKUP('Données projet'!$B$9,Paramètres!$A$1:$I$89,3,0)*0.475*44/12</f>
        <v>16.452838457230218</v>
      </c>
      <c r="AB128" s="23">
        <f>EXP(-LN(2)/2)*AB127+(1-EXP(-LN(2)/2))/(LN(2)/2)*V128*Y128*VLOOKUP('Données projet'!$B$9,Paramètres!$A$1:$I$89,3,0)*0.475*44/12</f>
        <v>3.1768168073770749E-7</v>
      </c>
      <c r="AC128" s="24">
        <f t="shared" si="57"/>
        <v>105.36220881744167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269.90083987531233</v>
      </c>
      <c r="AO128" s="62">
        <f t="shared" si="90"/>
        <v>183.4515835513518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61.231678020990763</v>
      </c>
      <c r="AV128" s="23">
        <f>EXP(-LN(2)/25)*AV127+(1-EXP(-LN(2)/25))/(LN(2)/25)*Calculateur!AQ128*Calculateur!AS128*VLOOKUP('Données projet'!$B$10,Paramètres!$A$1:$I$89,3,0)*0.475*44/12</f>
        <v>16.967180486196529</v>
      </c>
      <c r="AW128" s="23">
        <f>EXP(-LN(2)/2)*AW127+(1-EXP(-LN(2)/2))/(LN(2)/2)*AQ128*AT128*VLOOKUP('Données projet'!$B$10,Paramètres!$A$1:$I$89,3,0)*0.475*44/12</f>
        <v>1.0729446952625808E-5</v>
      </c>
      <c r="AX128" s="23">
        <f t="shared" si="60"/>
        <v>78.198869236634252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10.474999999999989</v>
      </c>
      <c r="BD128" s="13">
        <f>IF('Données projet'!$A$88&gt;35,BD127+BC128-BL127,IF(A128&lt;'Données projet'!$A$88,$BA$205^A128,IF(A128='Données projet'!$A$88,'Données projet'!$B$88,BD127+BC128-BL127)))</f>
        <v>548.63500000000045</v>
      </c>
      <c r="BE128" s="14">
        <f>BD128*VLOOKUP('Données projet'!$B$11,Paramètres!$A$1:$I$89,3,0)*VLOOKUP('Données projet'!$B$11,Paramètres!$A$1:$I$89,5,0)</f>
        <v>263.89343500000024</v>
      </c>
      <c r="BF128" s="14">
        <f t="shared" si="91"/>
        <v>63.551581656762842</v>
      </c>
      <c r="BG128" s="22">
        <f t="shared" si="61"/>
        <v>570.30007067719566</v>
      </c>
      <c r="BH128" s="62">
        <f t="shared" si="62"/>
        <v>863.63340401052892</v>
      </c>
      <c r="BI128" s="62">
        <f ca="1">AVERAGE(OFFSET($BH$3,0,0,'Données projet'!$E$11+1,1))-AVERAGE(OFFSET($H$3,0,0,'Données projet'!$E$11+1,1))</f>
        <v>255.64417186544995</v>
      </c>
      <c r="BJ128" s="62">
        <f t="shared" si="92"/>
        <v>165.41802783289376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75.819294916040278</v>
      </c>
      <c r="BQ128" s="23">
        <f>EXP(-LN(2)/25)*BQ127+(1-EXP(-LN(2)/25))/(LN(2)/25)*Calculateur!BL128*Calculateur!BN128*VLOOKUP('Données projet'!$B$11,Paramètres!$A$1:$I$89,3,0)*0.475*44/12</f>
        <v>19.844241239686575</v>
      </c>
      <c r="BR128" s="23">
        <f>EXP(-LN(2)/2)*BR127+(1-EXP(-LN(2)/2))/(LN(2)/2)*BL128*BO128*VLOOKUP('Données projet'!$B$11,Paramètres!$A$1:$I$89,3,0)*0.475*44/12</f>
        <v>0.36990377542377062</v>
      </c>
      <c r="BS128" s="24">
        <f t="shared" si="63"/>
        <v>96.033439931150625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465.49436272491818</v>
      </c>
      <c r="CE128" s="62">
        <f t="shared" si="94"/>
        <v>494.36941732405256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96.419045498022371</v>
      </c>
      <c r="CL128" s="23">
        <f>EXP(-LN(2)/25)*CL127+(1-EXP(-LN(2)/25))/(LN(2)/25)*Calculateur!CG128*Calculateur!CI128*VLOOKUP('Données projet'!$B$12,Paramètres!$A$1:$I$89,3,0)*0.475*44/12</f>
        <v>18.180391930942921</v>
      </c>
      <c r="CM128" s="23">
        <f>EXP(-LN(2)/2)*CM127+(1-EXP(-LN(2)/2))/(LN(2)/2)*CG128*CJ128*VLOOKUP('Données projet'!$B$12,Paramètres!$A$1:$I$89,3,0)*0.475*44/12</f>
        <v>3.4621782701120634E-7</v>
      </c>
      <c r="CN128" s="24">
        <f t="shared" si="66"/>
        <v>114.59943777518312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-6.8212102632969618E-13</v>
      </c>
      <c r="CU128" s="18">
        <f>CT128*VLOOKUP('Données projet'!$B$13,Paramètres!$A$1:$I$89,3,0)*VLOOKUP('Données projet'!$B$13,Paramètres!$A$1:$I$89,5,0)</f>
        <v>-4.0790837374515837E-13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361.46923697840384</v>
      </c>
      <c r="CZ128" s="62">
        <f t="shared" si="96"/>
        <v>302.25424592654673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72.898012383312548</v>
      </c>
      <c r="DG128" s="23">
        <f>EXP(-LN(2)/25)*DG127+(1-EXP(-LN(2)/25))/(LN(2)/25)*Calculateur!DB128*Calculateur!DD128*VLOOKUP('Données projet'!$B$13,Paramètres!$A$1:$I$89,3,0)*0.475*44/12</f>
        <v>18.453428297046901</v>
      </c>
      <c r="DH128" s="23">
        <f>EXP(-LN(2)/2)*DH127+(1-EXP(-LN(2)/2))/(LN(2)/2)*DB128*DE128*VLOOKUP('Données projet'!$B$13,Paramètres!$A$1:$I$89,3,0)*0.475*44/12</f>
        <v>3.4640816339960355E-6</v>
      </c>
      <c r="DI128" s="24">
        <f t="shared" si="69"/>
        <v>91.351444144441075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-4.5474735088646412E-13</v>
      </c>
      <c r="O129" s="14">
        <f>N129*VLOOKUP('Données projet'!$B$9,Paramètres!$A$1:$I$89,3,0)*VLOOKUP('Données projet'!$B$9,Paramètres!$A$1:$I$89,5,0)</f>
        <v>-2.5420376914553347E-13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389.80719836281679</v>
      </c>
      <c r="T129" s="62">
        <f t="shared" si="88"/>
        <v>399.58193819355591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87.16591152535679</v>
      </c>
      <c r="AA129" s="23">
        <f>EXP(-LN(2)/25)*AA128+(1-EXP(-LN(2)/25))/(LN(2)/25)*Calculateur!V129*Calculateur!X129*VLOOKUP('Données projet'!$B$9,Paramètres!$A$1:$I$89,3,0)*0.475*44/12</f>
        <v>16.002934724400088</v>
      </c>
      <c r="AB129" s="23">
        <f>EXP(-LN(2)/2)*AB128+(1-EXP(-LN(2)/2))/(LN(2)/2)*V129*Y129*VLOOKUP('Données projet'!$B$9,Paramètres!$A$1:$I$89,3,0)*0.475*44/12</f>
        <v>2.2463487070837278E-7</v>
      </c>
      <c r="AC129" s="24">
        <f t="shared" si="57"/>
        <v>103.16884647439176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269.90083987531233</v>
      </c>
      <c r="AO129" s="62">
        <f t="shared" si="90"/>
        <v>183.4515835513518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60.030962162634957</v>
      </c>
      <c r="AV129" s="23">
        <f>EXP(-LN(2)/25)*AV128+(1-EXP(-LN(2)/25))/(LN(2)/25)*Calculateur!AQ129*Calculateur!AS129*VLOOKUP('Données projet'!$B$10,Paramètres!$A$1:$I$89,3,0)*0.475*44/12</f>
        <v>16.503212043536241</v>
      </c>
      <c r="AW129" s="23">
        <f>EXP(-LN(2)/2)*AW128+(1-EXP(-LN(2)/2))/(LN(2)/2)*AQ129*AT129*VLOOKUP('Données projet'!$B$10,Paramètres!$A$1:$I$89,3,0)*0.475*44/12</f>
        <v>7.5868646985830464E-6</v>
      </c>
      <c r="AX129" s="23">
        <f t="shared" si="60"/>
        <v>76.534181793035899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10.474999999999989</v>
      </c>
      <c r="BD129" s="13">
        <f>IF('Données projet'!$A$88&gt;35,BD128+BC129-BL128,IF(A129&lt;'Données projet'!$A$88,$BA$205^A129,IF(A129='Données projet'!$A$88,'Données projet'!$B$88,BD128+BC129-BL128)))</f>
        <v>559.11000000000047</v>
      </c>
      <c r="BE129" s="14">
        <f>BD129*VLOOKUP('Données projet'!$B$11,Paramètres!$A$1:$I$89,3,0)*VLOOKUP('Données projet'!$B$11,Paramètres!$A$1:$I$89,5,0)</f>
        <v>268.93191000000024</v>
      </c>
      <c r="BF129" s="14">
        <f t="shared" si="91"/>
        <v>64.62254136791212</v>
      </c>
      <c r="BG129" s="22">
        <f t="shared" si="61"/>
        <v>580.94066946578062</v>
      </c>
      <c r="BH129" s="62">
        <f t="shared" si="62"/>
        <v>874.27400279911399</v>
      </c>
      <c r="BI129" s="62">
        <f ca="1">AVERAGE(OFFSET($BH$3,0,0,'Données projet'!$E$11+1,1))-AVERAGE(OFFSET($H$3,0,0,'Données projet'!$E$11+1,1))</f>
        <v>255.64417186544995</v>
      </c>
      <c r="BJ129" s="62">
        <f t="shared" si="92"/>
        <v>165.41802783289376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74.332524787940287</v>
      </c>
      <c r="BQ129" s="23">
        <f>EXP(-LN(2)/25)*BQ128+(1-EXP(-LN(2)/25))/(LN(2)/25)*Calculateur!BL129*Calculateur!BN129*VLOOKUP('Données projet'!$B$11,Paramètres!$A$1:$I$89,3,0)*0.475*44/12</f>
        <v>19.301599419424054</v>
      </c>
      <c r="BR129" s="23">
        <f>EXP(-LN(2)/2)*BR128+(1-EXP(-LN(2)/2))/(LN(2)/2)*BL129*BO129*VLOOKUP('Données projet'!$B$11,Paramètres!$A$1:$I$89,3,0)*0.475*44/12</f>
        <v>0.26156146798865398</v>
      </c>
      <c r="BS129" s="24">
        <f t="shared" si="63"/>
        <v>93.895685675352993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465.49436272491818</v>
      </c>
      <c r="CE129" s="62">
        <f t="shared" si="94"/>
        <v>494.36941732405256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94.528326825616915</v>
      </c>
      <c r="CL129" s="23">
        <f>EXP(-LN(2)/25)*CL128+(1-EXP(-LN(2)/25))/(LN(2)/25)*Calculateur!CG129*Calculateur!CI129*VLOOKUP('Données projet'!$B$12,Paramètres!$A$1:$I$89,3,0)*0.475*44/12</f>
        <v>17.683248157526027</v>
      </c>
      <c r="CM129" s="23">
        <f>EXP(-LN(2)/2)*CM128+(1-EXP(-LN(2)/2))/(LN(2)/2)*CG129*CJ129*VLOOKUP('Données projet'!$B$12,Paramètres!$A$1:$I$89,3,0)*0.475*44/12</f>
        <v>2.4481297324729505E-7</v>
      </c>
      <c r="CN129" s="24">
        <f t="shared" si="66"/>
        <v>112.2115752279559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-6.8212102632969618E-13</v>
      </c>
      <c r="CU129" s="18">
        <f>CT129*VLOOKUP('Données projet'!$B$13,Paramètres!$A$1:$I$89,3,0)*VLOOKUP('Données projet'!$B$13,Paramètres!$A$1:$I$89,5,0)</f>
        <v>-4.0790837374515837E-13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361.46923697840384</v>
      </c>
      <c r="CZ129" s="62">
        <f t="shared" si="96"/>
        <v>302.25424592654673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71.468526823872949</v>
      </c>
      <c r="DG129" s="23">
        <f>EXP(-LN(2)/25)*DG128+(1-EXP(-LN(2)/25))/(LN(2)/25)*Calculateur!DB129*Calculateur!DD129*VLOOKUP('Données projet'!$B$13,Paramètres!$A$1:$I$89,3,0)*0.475*44/12</f>
        <v>17.948818329840535</v>
      </c>
      <c r="DH129" s="23">
        <f>EXP(-LN(2)/2)*DH128+(1-EXP(-LN(2)/2))/(LN(2)/2)*DB129*DE129*VLOOKUP('Données projet'!$B$13,Paramètres!$A$1:$I$89,3,0)*0.475*44/12</f>
        <v>2.4494756139823727E-6</v>
      </c>
      <c r="DI129" s="24">
        <f t="shared" si="69"/>
        <v>89.4173476031891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-4.5474735088646412E-13</v>
      </c>
      <c r="O130" s="14">
        <f>N130*VLOOKUP('Données projet'!$B$9,Paramètres!$A$1:$I$89,3,0)*VLOOKUP('Données projet'!$B$9,Paramètres!$A$1:$I$89,5,0)</f>
        <v>-2.5420376914553347E-13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389.80719836281679</v>
      </c>
      <c r="T130" s="62">
        <f t="shared" si="88"/>
        <v>399.58193819355591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85.456641166300869</v>
      </c>
      <c r="AA130" s="23">
        <f>EXP(-LN(2)/25)*AA129+(1-EXP(-LN(2)/25))/(LN(2)/25)*Calculateur!V130*Calculateur!X130*VLOOKUP('Données projet'!$B$9,Paramètres!$A$1:$I$89,3,0)*0.475*44/12</f>
        <v>15.565333632803606</v>
      </c>
      <c r="AB130" s="23">
        <f>EXP(-LN(2)/2)*AB129+(1-EXP(-LN(2)/2))/(LN(2)/2)*V130*Y130*VLOOKUP('Données projet'!$B$9,Paramètres!$A$1:$I$89,3,0)*0.475*44/12</f>
        <v>1.5884084036885375E-7</v>
      </c>
      <c r="AC130" s="24">
        <f t="shared" si="57"/>
        <v>101.0219749579453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269.90083987531233</v>
      </c>
      <c r="AO130" s="62">
        <f t="shared" si="90"/>
        <v>183.4515835513518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58.853791609897144</v>
      </c>
      <c r="AV130" s="23">
        <f>EXP(-LN(2)/25)*AV129+(1-EXP(-LN(2)/25))/(LN(2)/25)*Calculateur!AQ130*Calculateur!AS130*VLOOKUP('Données projet'!$B$10,Paramètres!$A$1:$I$89,3,0)*0.475*44/12</f>
        <v>16.051930842339541</v>
      </c>
      <c r="AW130" s="23">
        <f>EXP(-LN(2)/2)*AW129+(1-EXP(-LN(2)/2))/(LN(2)/2)*AQ130*AT130*VLOOKUP('Données projet'!$B$10,Paramètres!$A$1:$I$89,3,0)*0.475*44/12</f>
        <v>5.3647234763129047E-6</v>
      </c>
      <c r="AX130" s="23">
        <f t="shared" si="60"/>
        <v>74.905727816960166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10.474999999999989</v>
      </c>
      <c r="BD130" s="13">
        <f>IF('Données projet'!$A$88&gt;35,BD129+BC130-BL129,IF(A130&lt;'Données projet'!$A$88,$BA$205^A130,IF(A130='Données projet'!$A$88,'Données projet'!$B$88,BD129+BC130-BL129)))</f>
        <v>569.58500000000049</v>
      </c>
      <c r="BE130" s="14">
        <f>BD130*VLOOKUP('Données projet'!$B$11,Paramètres!$A$1:$I$89,3,0)*VLOOKUP('Données projet'!$B$11,Paramètres!$A$1:$I$89,5,0)</f>
        <v>273.97038500000025</v>
      </c>
      <c r="BF130" s="14">
        <f t="shared" si="91"/>
        <v>65.691167963328112</v>
      </c>
      <c r="BG130" s="22">
        <f t="shared" si="61"/>
        <v>591.57720474446353</v>
      </c>
      <c r="BH130" s="62">
        <f t="shared" si="62"/>
        <v>884.9105380777969</v>
      </c>
      <c r="BI130" s="62">
        <f ca="1">AVERAGE(OFFSET($BH$3,0,0,'Données projet'!$E$11+1,1))-AVERAGE(OFFSET($H$3,0,0,'Données projet'!$E$11+1,1))</f>
        <v>255.64417186544995</v>
      </c>
      <c r="BJ130" s="62">
        <f t="shared" si="92"/>
        <v>165.41802783289376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72.874909315212108</v>
      </c>
      <c r="BQ130" s="23">
        <f>EXP(-LN(2)/25)*BQ129+(1-EXP(-LN(2)/25))/(LN(2)/25)*Calculateur!BL130*Calculateur!BN130*VLOOKUP('Données projet'!$B$11,Paramètres!$A$1:$I$89,3,0)*0.475*44/12</f>
        <v>18.773796168272906</v>
      </c>
      <c r="BR130" s="23">
        <f>EXP(-LN(2)/2)*BR129+(1-EXP(-LN(2)/2))/(LN(2)/2)*BL130*BO130*VLOOKUP('Données projet'!$B$11,Paramètres!$A$1:$I$89,3,0)*0.475*44/12</f>
        <v>0.18495188771188531</v>
      </c>
      <c r="BS130" s="24">
        <f t="shared" si="63"/>
        <v>91.833657371196907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465.49436272491818</v>
      </c>
      <c r="CE130" s="62">
        <f t="shared" si="94"/>
        <v>494.36941732405256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92.674683993152811</v>
      </c>
      <c r="CL130" s="23">
        <f>EXP(-LN(2)/25)*CL129+(1-EXP(-LN(2)/25))/(LN(2)/25)*Calculateur!CG130*Calculateur!CI130*VLOOKUP('Données projet'!$B$12,Paramètres!$A$1:$I$89,3,0)*0.475*44/12</f>
        <v>17.199698806736873</v>
      </c>
      <c r="CM130" s="23">
        <f>EXP(-LN(2)/2)*CM129+(1-EXP(-LN(2)/2))/(LN(2)/2)*CG130*CJ130*VLOOKUP('Données projet'!$B$12,Paramètres!$A$1:$I$89,3,0)*0.475*44/12</f>
        <v>1.7310891350560317E-7</v>
      </c>
      <c r="CN130" s="24">
        <f t="shared" si="66"/>
        <v>109.8743829729986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-6.8212102632969618E-13</v>
      </c>
      <c r="CU130" s="18">
        <f>CT130*VLOOKUP('Données projet'!$B$13,Paramètres!$A$1:$I$89,3,0)*VLOOKUP('Données projet'!$B$13,Paramètres!$A$1:$I$89,5,0)</f>
        <v>-4.0790837374515837E-13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361.46923697840384</v>
      </c>
      <c r="CZ130" s="62">
        <f t="shared" si="96"/>
        <v>302.25424592654673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70.067072604353854</v>
      </c>
      <c r="DG130" s="23">
        <f>EXP(-LN(2)/25)*DG129+(1-EXP(-LN(2)/25))/(LN(2)/25)*Calculateur!DB130*Calculateur!DD130*VLOOKUP('Données projet'!$B$13,Paramètres!$A$1:$I$89,3,0)*0.475*44/12</f>
        <v>17.45800694872371</v>
      </c>
      <c r="DH130" s="23">
        <f>EXP(-LN(2)/2)*DH129+(1-EXP(-LN(2)/2))/(LN(2)/2)*DB130*DE130*VLOOKUP('Données projet'!$B$13,Paramètres!$A$1:$I$89,3,0)*0.475*44/12</f>
        <v>1.7320408169980178E-6</v>
      </c>
      <c r="DI130" s="24">
        <f t="shared" si="69"/>
        <v>87.525081285118375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-4.5474735088646412E-13</v>
      </c>
      <c r="O131" s="14">
        <f>N131*VLOOKUP('Données projet'!$B$9,Paramètres!$A$1:$I$89,3,0)*VLOOKUP('Données projet'!$B$9,Paramètres!$A$1:$I$89,5,0)</f>
        <v>-2.5420376914553347E-13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389.80719836281679</v>
      </c>
      <c r="T131" s="62">
        <f t="shared" si="88"/>
        <v>399.58193819355591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83.780888556434064</v>
      </c>
      <c r="AA131" s="23">
        <f>EXP(-LN(2)/25)*AA130+(1-EXP(-LN(2)/25))/(LN(2)/25)*Calculateur!V131*Calculateur!X131*VLOOKUP('Données projet'!$B$9,Paramètres!$A$1:$I$89,3,0)*0.475*44/12</f>
        <v>15.139698766069271</v>
      </c>
      <c r="AB131" s="23">
        <f>EXP(-LN(2)/2)*AB130+(1-EXP(-LN(2)/2))/(LN(2)/2)*V131*Y131*VLOOKUP('Données projet'!$B$9,Paramètres!$A$1:$I$89,3,0)*0.475*44/12</f>
        <v>1.1231743535418639E-7</v>
      </c>
      <c r="AC131" s="24">
        <f t="shared" si="57"/>
        <v>98.920587434820774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269.90083987531233</v>
      </c>
      <c r="AO131" s="62">
        <f t="shared" si="90"/>
        <v>183.4515835513518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57.699704653695385</v>
      </c>
      <c r="AV131" s="23">
        <f>EXP(-LN(2)/25)*AV130+(1-EXP(-LN(2)/25))/(LN(2)/25)*Calculateur!AQ131*Calculateur!AS131*VLOOKUP('Données projet'!$B$10,Paramètres!$A$1:$I$89,3,0)*0.475*44/12</f>
        <v>15.61298994932141</v>
      </c>
      <c r="AW131" s="23">
        <f>EXP(-LN(2)/2)*AW130+(1-EXP(-LN(2)/2))/(LN(2)/2)*AQ131*AT131*VLOOKUP('Données projet'!$B$10,Paramètres!$A$1:$I$89,3,0)*0.475*44/12</f>
        <v>3.7934323492915241E-6</v>
      </c>
      <c r="AX131" s="23">
        <f t="shared" si="60"/>
        <v>73.31269839644915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>
        <f>VLOOKUP(A131,'Données projet'!$A$87:$I$107,2,0)</f>
        <v>580.05999999999995</v>
      </c>
      <c r="BB131" s="13">
        <f>VLOOKUP(A131,'Données projet'!$A$87:$I$107,9,0)</f>
        <v>10.474999999999989</v>
      </c>
      <c r="BC131" s="13">
        <f t="array" ref="BC131">INDEX(BB:BB,MIN(IF(ISNUMBER(BB131:BB327),ROW(BB131:BB327),"")))</f>
        <v>10.474999999999989</v>
      </c>
      <c r="BD131" s="13">
        <f>IF('Données projet'!$A$88&gt;35,BD130+BC131-BL130,IF(A131&lt;'Données projet'!$A$88,$BA$205^A131,IF(A131='Données projet'!$A$88,'Données projet'!$B$88,BD130+BC131-BL130)))</f>
        <v>580.06000000000051</v>
      </c>
      <c r="BE131" s="14">
        <f>BD131*VLOOKUP('Données projet'!$B$11,Paramètres!$A$1:$I$89,3,0)*VLOOKUP('Données projet'!$B$11,Paramètres!$A$1:$I$89,5,0)</f>
        <v>279.00886000000025</v>
      </c>
      <c r="BF131" s="14">
        <f t="shared" si="91"/>
        <v>66.75750929899101</v>
      </c>
      <c r="BG131" s="22">
        <f t="shared" si="61"/>
        <v>602.20975986240978</v>
      </c>
      <c r="BH131" s="62">
        <f t="shared" si="62"/>
        <v>895.54309319574304</v>
      </c>
      <c r="BI131" s="62">
        <f ca="1">AVERAGE(OFFSET($BH$3,0,0,'Données projet'!$E$11+1,1))-AVERAGE(OFFSET($H$3,0,0,'Données projet'!$E$11+1,1))</f>
        <v>255.64417186544995</v>
      </c>
      <c r="BJ131" s="62">
        <f t="shared" si="92"/>
        <v>165.41802783289376</v>
      </c>
      <c r="BK131" s="16">
        <f>IF(ISNA(VLOOKUP(A131,'Données projet'!$A$87:$I$107,3,0)),0,VLOOKUP(A131,'Données projet'!$A$87:$I$107,3,0))</f>
        <v>9</v>
      </c>
      <c r="BL131" s="16">
        <f>IF(ISNA(VLOOKUP(A131,'Données projet'!$A$87:$I$107,4,0)),0,VLOOKUP(A131,'Données projet'!$A$87:$I$107,4,0))</f>
        <v>580.05999999999995</v>
      </c>
      <c r="BM131" s="17">
        <f>IF(ISNA(VLOOKUP(A131,'Données projet'!$A$87:$I$107,5,0)),0%,VLOOKUP(A131,'Données projet'!$A$87:$I$107,5,0)*VLOOKUP('Données projet'!$B$11,Paramètres!$A$1:$I$89,7,0))</f>
        <v>0.44000000000000006</v>
      </c>
      <c r="BN131" s="17">
        <f>IF(ISNA(VLOOKUP(A131,'Données projet'!$A$87:$I$107,6,0)),0%,VLOOKUP(A131,'Données projet'!$A$87:$I$107,6,0)*VLOOKUP('Données projet'!$B$11,Paramètres!$A$1:$I$89,7,0))</f>
        <v>6.0500000000000005E-2</v>
      </c>
      <c r="BO131" s="17">
        <f>IF(ISNA(VLOOKUP(A131,'Données projet'!$A$87:$I$107,7,0)),0%,VLOOKUP(A131,'Données projet'!$A$87:$I$107,7,0))</f>
        <v>0.09</v>
      </c>
      <c r="BP131" s="23">
        <f>EXP(-LN(2)/35)*BP130+(1-EXP(-LN(2)/35))/(LN(2)/35)*BL131*BM131*VLOOKUP('Données projet'!$B$11,Paramètres!$A$1:$I$89,3,0)*0.475*44/12</f>
        <v>234.30010082147749</v>
      </c>
      <c r="BQ131" s="23">
        <f>EXP(-LN(2)/25)*BQ130+(1-EXP(-LN(2)/25))/(LN(2)/25)*Calculateur!BL131*Calculateur!BN131*VLOOKUP('Données projet'!$B$11,Paramètres!$A$1:$I$89,3,0)*0.475*44/12</f>
        <v>40.564713898022546</v>
      </c>
      <c r="BR131" s="23">
        <f>EXP(-LN(2)/2)*BR130+(1-EXP(-LN(2)/2))/(LN(2)/2)*BL131*BO131*VLOOKUP('Données projet'!$B$11,Paramètres!$A$1:$I$89,3,0)*0.475*44/12</f>
        <v>28.562036566917929</v>
      </c>
      <c r="BS131" s="24">
        <f t="shared" si="63"/>
        <v>303.42685128641796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465.49436272491818</v>
      </c>
      <c r="CE131" s="62">
        <f t="shared" si="94"/>
        <v>494.36941732405256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90.857389966022851</v>
      </c>
      <c r="CL131" s="23">
        <f>EXP(-LN(2)/25)*CL130+(1-EXP(-LN(2)/25))/(LN(2)/25)*Calculateur!CG131*Calculateur!CI131*VLOOKUP('Données projet'!$B$12,Paramètres!$A$1:$I$89,3,0)*0.475*44/12</f>
        <v>16.729372138373805</v>
      </c>
      <c r="CM131" s="23">
        <f>EXP(-LN(2)/2)*CM130+(1-EXP(-LN(2)/2))/(LN(2)/2)*CG131*CJ131*VLOOKUP('Données projet'!$B$12,Paramètres!$A$1:$I$89,3,0)*0.475*44/12</f>
        <v>1.2240648662364752E-7</v>
      </c>
      <c r="CN131" s="24">
        <f t="shared" si="66"/>
        <v>107.58676222680315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-6.8212102632969618E-13</v>
      </c>
      <c r="CU131" s="18">
        <f>CT131*VLOOKUP('Données projet'!$B$13,Paramètres!$A$1:$I$89,3,0)*VLOOKUP('Données projet'!$B$13,Paramètres!$A$1:$I$89,5,0)</f>
        <v>-4.0790837374515837E-13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361.46923697840384</v>
      </c>
      <c r="CZ131" s="62">
        <f t="shared" si="96"/>
        <v>302.25424592654673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68.693100047276872</v>
      </c>
      <c r="DG131" s="23">
        <f>EXP(-LN(2)/25)*DG130+(1-EXP(-LN(2)/25))/(LN(2)/25)*Calculateur!DB131*Calculateur!DD131*VLOOKUP('Données projet'!$B$13,Paramètres!$A$1:$I$89,3,0)*0.475*44/12</f>
        <v>16.980616830634176</v>
      </c>
      <c r="DH131" s="23">
        <f>EXP(-LN(2)/2)*DH130+(1-EXP(-LN(2)/2))/(LN(2)/2)*DB131*DE131*VLOOKUP('Données projet'!$B$13,Paramètres!$A$1:$I$89,3,0)*0.475*44/12</f>
        <v>1.2247378069911863E-6</v>
      </c>
      <c r="DI131" s="24">
        <f t="shared" si="69"/>
        <v>85.673718102648849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-4.5474735088646412E-13</v>
      </c>
      <c r="O132" s="14">
        <f>N132*VLOOKUP('Données projet'!$B$9,Paramètres!$A$1:$I$89,3,0)*VLOOKUP('Données projet'!$B$9,Paramètres!$A$1:$I$89,5,0)</f>
        <v>-2.5420376914553347E-13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389.80719836281679</v>
      </c>
      <c r="T132" s="62">
        <f t="shared" si="88"/>
        <v>399.58193819355591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82.137996433138582</v>
      </c>
      <c r="AA132" s="23">
        <f>EXP(-LN(2)/25)*AA131+(1-EXP(-LN(2)/25))/(LN(2)/25)*Calculateur!V132*Calculateur!X132*VLOOKUP('Données projet'!$B$9,Paramètres!$A$1:$I$89,3,0)*0.475*44/12</f>
        <v>14.725702907148952</v>
      </c>
      <c r="AB132" s="23">
        <f>EXP(-LN(2)/2)*AB131+(1-EXP(-LN(2)/2))/(LN(2)/2)*V132*Y132*VLOOKUP('Données projet'!$B$9,Paramètres!$A$1:$I$89,3,0)*0.475*44/12</f>
        <v>7.9420420184426873E-8</v>
      </c>
      <c r="AC132" s="24">
        <f t="shared" ref="AC132:AC153" si="111">SUM(Z132:AB132)</f>
        <v>96.863699419707956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269.90083987531233</v>
      </c>
      <c r="AO132" s="62">
        <f t="shared" si="90"/>
        <v>183.4515835513518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56.568248638781206</v>
      </c>
      <c r="AV132" s="23">
        <f>EXP(-LN(2)/25)*AV131+(1-EXP(-LN(2)/25))/(LN(2)/25)*Calculateur!AQ132*Calculateur!AS132*VLOOKUP('Données projet'!$B$10,Paramètres!$A$1:$I$89,3,0)*0.475*44/12</f>
        <v>15.186051918105758</v>
      </c>
      <c r="AW132" s="23">
        <f>EXP(-LN(2)/2)*AW131+(1-EXP(-LN(2)/2))/(LN(2)/2)*AQ132*AT132*VLOOKUP('Données projet'!$B$10,Paramètres!$A$1:$I$89,3,0)*0.475*44/12</f>
        <v>2.6823617381564528E-6</v>
      </c>
      <c r="AX132" s="23">
        <f t="shared" ref="AX132:AX153" si="114">SUM(AU132:AW132)</f>
        <v>71.754303239248699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5.6843418860808015E-13</v>
      </c>
      <c r="BE132" s="14">
        <f>BD132*VLOOKUP('Données projet'!$B$11,Paramètres!$A$1:$I$89,3,0)*VLOOKUP('Données projet'!$B$11,Paramètres!$A$1:$I$89,5,0)</f>
        <v>2.7341684472048658E-13</v>
      </c>
      <c r="BF132" s="14">
        <f t="shared" si="91"/>
        <v>3.653683054157169E-12</v>
      </c>
      <c r="BG132" s="22">
        <f t="shared" ref="BG132:BG153" si="115">(BE132+BF132)*0.475*44/12</f>
        <v>6.8396989905452503E-12</v>
      </c>
      <c r="BH132" s="62">
        <f t="shared" ref="BH132:BH195" si="116">BG132+(AY132+AZ132)*44/12</f>
        <v>293.33333333334014</v>
      </c>
      <c r="BI132" s="62">
        <f ca="1">AVERAGE(OFFSET($BH$3,0,0,'Données projet'!$E$11+1,1))-AVERAGE(OFFSET($H$3,0,0,'Données projet'!$E$11+1,1))</f>
        <v>255.64417186544995</v>
      </c>
      <c r="BJ132" s="62">
        <f t="shared" si="92"/>
        <v>165.41802783289376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229.70561875331873</v>
      </c>
      <c r="BQ132" s="23">
        <f>EXP(-LN(2)/25)*BQ131+(1-EXP(-LN(2)/25))/(LN(2)/25)*Calculateur!BL132*Calculateur!BN132*VLOOKUP('Données projet'!$B$11,Paramètres!$A$1:$I$89,3,0)*0.475*44/12</f>
        <v>39.45546966327553</v>
      </c>
      <c r="BR132" s="23">
        <f>EXP(-LN(2)/2)*BR131+(1-EXP(-LN(2)/2))/(LN(2)/2)*BL132*BO132*VLOOKUP('Données projet'!$B$11,Paramètres!$A$1:$I$89,3,0)*0.475*44/12</f>
        <v>20.196409740965805</v>
      </c>
      <c r="BS132" s="24">
        <f t="shared" ref="BS132:BS153" si="117">SUM(BP132:BR132)</f>
        <v>289.35749815756009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465.49436272491818</v>
      </c>
      <c r="CE132" s="62">
        <f t="shared" si="94"/>
        <v>494.36941732405256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89.075731966324994</v>
      </c>
      <c r="CL132" s="23">
        <f>EXP(-LN(2)/25)*CL131+(1-EXP(-LN(2)/25))/(LN(2)/25)*Calculateur!CG132*Calculateur!CI132*VLOOKUP('Données projet'!$B$12,Paramètres!$A$1:$I$89,3,0)*0.475*44/12</f>
        <v>16.271906577490526</v>
      </c>
      <c r="CM132" s="23">
        <f>EXP(-LN(2)/2)*CM131+(1-EXP(-LN(2)/2))/(LN(2)/2)*CG132*CJ132*VLOOKUP('Données projet'!$B$12,Paramètres!$A$1:$I$89,3,0)*0.475*44/12</f>
        <v>8.6554456752801586E-8</v>
      </c>
      <c r="CN132" s="24">
        <f t="shared" ref="CN132:CN153" si="120">SUM(CK132:CM132)</f>
        <v>105.34763863036997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-6.8212102632969618E-13</v>
      </c>
      <c r="CU132" s="18">
        <f>CT132*VLOOKUP('Données projet'!$B$13,Paramètres!$A$1:$I$89,3,0)*VLOOKUP('Données projet'!$B$13,Paramètres!$A$1:$I$89,5,0)</f>
        <v>-4.0790837374515837E-13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361.46923697840384</v>
      </c>
      <c r="CZ132" s="62">
        <f t="shared" si="96"/>
        <v>302.25424592654673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67.346070254003649</v>
      </c>
      <c r="DG132" s="23">
        <f>EXP(-LN(2)/25)*DG131+(1-EXP(-LN(2)/25))/(LN(2)/25)*Calculateur!DB132*Calculateur!DD132*VLOOKUP('Données projet'!$B$13,Paramètres!$A$1:$I$89,3,0)*0.475*44/12</f>
        <v>16.516280970428657</v>
      </c>
      <c r="DH132" s="23">
        <f>EXP(-LN(2)/2)*DH131+(1-EXP(-LN(2)/2))/(LN(2)/2)*DB132*DE132*VLOOKUP('Données projet'!$B$13,Paramètres!$A$1:$I$89,3,0)*0.475*44/12</f>
        <v>8.6602040849900889E-7</v>
      </c>
      <c r="DI132" s="24">
        <f t="shared" ref="DI132:DI153" si="123">SUM(DF132:DH132)</f>
        <v>83.862352090452717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-4.5474735088646412E-13</v>
      </c>
      <c r="O133" s="14">
        <f>N133*VLOOKUP('Données projet'!$B$9,Paramètres!$A$1:$I$89,3,0)*VLOOKUP('Données projet'!$B$9,Paramètres!$A$1:$I$89,5,0)</f>
        <v>-2.5420376914553347E-13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389.80719836281679</v>
      </c>
      <c r="T133" s="62">
        <f t="shared" ref="T133:T196" si="142">$T$3</f>
        <v>399.58193819355591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80.527320422315668</v>
      </c>
      <c r="AA133" s="23">
        <f>EXP(-LN(2)/25)*AA132+(1-EXP(-LN(2)/25))/(LN(2)/25)*Calculateur!V133*Calculateur!X133*VLOOKUP('Données projet'!$B$9,Paramètres!$A$1:$I$89,3,0)*0.475*44/12</f>
        <v>14.323027786761903</v>
      </c>
      <c r="AB133" s="23">
        <f>EXP(-LN(2)/2)*AB132+(1-EXP(-LN(2)/2))/(LN(2)/2)*V133*Y133*VLOOKUP('Données projet'!$B$9,Paramètres!$A$1:$I$89,3,0)*0.475*44/12</f>
        <v>5.6158717677093196E-8</v>
      </c>
      <c r="AC133" s="24">
        <f t="shared" si="111"/>
        <v>94.850348265236278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269.90083987531233</v>
      </c>
      <c r="AO133" s="62">
        <f t="shared" ref="AO133:AO196" si="144">$AO$3</f>
        <v>183.4515835513518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55.458979786199464</v>
      </c>
      <c r="AV133" s="23">
        <f>EXP(-LN(2)/25)*AV132+(1-EXP(-LN(2)/25))/(LN(2)/25)*Calculateur!AQ133*Calculateur!AS133*VLOOKUP('Données projet'!$B$10,Paramètres!$A$1:$I$89,3,0)*0.475*44/12</f>
        <v>14.770788529805394</v>
      </c>
      <c r="AW133" s="23">
        <f>EXP(-LN(2)/2)*AW132+(1-EXP(-LN(2)/2))/(LN(2)/2)*AQ133*AT133*VLOOKUP('Données projet'!$B$10,Paramètres!$A$1:$I$89,3,0)*0.475*44/12</f>
        <v>1.8967161746457622E-6</v>
      </c>
      <c r="AX133" s="23">
        <f t="shared" si="114"/>
        <v>70.229770212721021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5.6843418860808015E-13</v>
      </c>
      <c r="BE133" s="14">
        <f>BD133*VLOOKUP('Données projet'!$B$11,Paramètres!$A$1:$I$89,3,0)*VLOOKUP('Données projet'!$B$11,Paramètres!$A$1:$I$89,5,0)</f>
        <v>2.7341684472048658E-13</v>
      </c>
      <c r="BF133" s="14">
        <f t="shared" ref="BF133:BF153" si="145">EXP(-1.0587+0.8836*LN(BE133)+0.284)</f>
        <v>3.653683054157169E-12</v>
      </c>
      <c r="BG133" s="22">
        <f t="shared" si="115"/>
        <v>6.8396989905452503E-12</v>
      </c>
      <c r="BH133" s="62">
        <f t="shared" si="116"/>
        <v>293.33333333334014</v>
      </c>
      <c r="BI133" s="62">
        <f ca="1">AVERAGE(OFFSET($BH$3,0,0,'Données projet'!$E$11+1,1))-AVERAGE(OFFSET($H$3,0,0,'Données projet'!$E$11+1,1))</f>
        <v>255.64417186544995</v>
      </c>
      <c r="BJ133" s="62">
        <f t="shared" ref="BJ133:BJ196" si="146">$BJ$3</f>
        <v>165.41802783289376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225.20123167615921</v>
      </c>
      <c r="BQ133" s="23">
        <f>EXP(-LN(2)/25)*BQ132+(1-EXP(-LN(2)/25))/(LN(2)/25)*Calculateur!BL133*Calculateur!BN133*VLOOKUP('Données projet'!$B$11,Paramètres!$A$1:$I$89,3,0)*0.475*44/12</f>
        <v>38.376557770460288</v>
      </c>
      <c r="BR133" s="23">
        <f>EXP(-LN(2)/2)*BR132+(1-EXP(-LN(2)/2))/(LN(2)/2)*BL133*BO133*VLOOKUP('Données projet'!$B$11,Paramètres!$A$1:$I$89,3,0)*0.475*44/12</f>
        <v>14.281018283458966</v>
      </c>
      <c r="BS133" s="24">
        <f t="shared" si="117"/>
        <v>277.85880773007847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465.49436272491818</v>
      </c>
      <c r="CE133" s="62">
        <f t="shared" ref="CE133:CE196" si="148">$CE$3</f>
        <v>494.36941732405256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87.329011193297134</v>
      </c>
      <c r="CL133" s="23">
        <f>EXP(-LN(2)/25)*CL132+(1-EXP(-LN(2)/25))/(LN(2)/25)*Calculateur!CG133*Calculateur!CI133*VLOOKUP('Données projet'!$B$12,Paramètres!$A$1:$I$89,3,0)*0.475*44/12</f>
        <v>15.826950436426671</v>
      </c>
      <c r="CM133" s="23">
        <f>EXP(-LN(2)/2)*CM132+(1-EXP(-LN(2)/2))/(LN(2)/2)*CG133*CJ133*VLOOKUP('Données projet'!$B$12,Paramètres!$A$1:$I$89,3,0)*0.475*44/12</f>
        <v>6.1203243311823761E-8</v>
      </c>
      <c r="CN133" s="24">
        <f t="shared" si="120"/>
        <v>103.15596169092704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-6.8212102632969618E-13</v>
      </c>
      <c r="CU133" s="18">
        <f>CT133*VLOOKUP('Données projet'!$B$13,Paramètres!$A$1:$I$89,3,0)*VLOOKUP('Données projet'!$B$13,Paramètres!$A$1:$I$89,5,0)</f>
        <v>-4.0790837374515837E-13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361.46923697840384</v>
      </c>
      <c r="CZ133" s="62">
        <f t="shared" ref="CZ133:CZ196" si="150">$CZ$3</f>
        <v>302.25424592654673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66.025454893369471</v>
      </c>
      <c r="DG133" s="23">
        <f>EXP(-LN(2)/25)*DG132+(1-EXP(-LN(2)/25))/(LN(2)/25)*Calculateur!DB133*Calculateur!DD133*VLOOKUP('Données projet'!$B$13,Paramètres!$A$1:$I$89,3,0)*0.475*44/12</f>
        <v>16.064642398738819</v>
      </c>
      <c r="DH133" s="23">
        <f>EXP(-LN(2)/2)*DH132+(1-EXP(-LN(2)/2))/(LN(2)/2)*DB133*DE133*VLOOKUP('Données projet'!$B$13,Paramètres!$A$1:$I$89,3,0)*0.475*44/12</f>
        <v>6.1236890349559317E-7</v>
      </c>
      <c r="DI133" s="24">
        <f t="shared" si="123"/>
        <v>82.09009790447719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-4.5474735088646412E-13</v>
      </c>
      <c r="O134" s="14">
        <f>N134*VLOOKUP('Données projet'!$B$9,Paramètres!$A$1:$I$89,3,0)*VLOOKUP('Données projet'!$B$9,Paramètres!$A$1:$I$89,5,0)</f>
        <v>-2.5420376914553347E-13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389.80719836281679</v>
      </c>
      <c r="T134" s="62">
        <f t="shared" si="142"/>
        <v>399.58193819355591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78.948228785649633</v>
      </c>
      <c r="AA134" s="23">
        <f>EXP(-LN(2)/25)*AA133+(1-EXP(-LN(2)/25))/(LN(2)/25)*Calculateur!V134*Calculateur!X134*VLOOKUP('Données projet'!$B$9,Paramètres!$A$1:$I$89,3,0)*0.475*44/12</f>
        <v>13.931363838717603</v>
      </c>
      <c r="AB134" s="23">
        <f>EXP(-LN(2)/2)*AB133+(1-EXP(-LN(2)/2))/(LN(2)/2)*V134*Y134*VLOOKUP('Données projet'!$B$9,Paramètres!$A$1:$I$89,3,0)*0.475*44/12</f>
        <v>3.9710210092213437E-8</v>
      </c>
      <c r="AC134" s="24">
        <f t="shared" si="111"/>
        <v>92.87959266407745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269.90083987531233</v>
      </c>
      <c r="AO134" s="62">
        <f t="shared" si="144"/>
        <v>183.4515835513518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54.371463019229658</v>
      </c>
      <c r="AV134" s="23">
        <f>EXP(-LN(2)/25)*AV133+(1-EXP(-LN(2)/25))/(LN(2)/25)*Calculateur!AQ134*Calculateur!AS134*VLOOKUP('Données projet'!$B$10,Paramètres!$A$1:$I$89,3,0)*0.475*44/12</f>
        <v>14.366880540695856</v>
      </c>
      <c r="AW134" s="23">
        <f>EXP(-LN(2)/2)*AW133+(1-EXP(-LN(2)/2))/(LN(2)/2)*AQ134*AT134*VLOOKUP('Données projet'!$B$10,Paramètres!$A$1:$I$89,3,0)*0.475*44/12</f>
        <v>1.3411808690782266E-6</v>
      </c>
      <c r="AX134" s="23">
        <f t="shared" si="114"/>
        <v>68.738344901106373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5.6843418860808015E-13</v>
      </c>
      <c r="BE134" s="14">
        <f>BD134*VLOOKUP('Données projet'!$B$11,Paramètres!$A$1:$I$89,3,0)*VLOOKUP('Données projet'!$B$11,Paramètres!$A$1:$I$89,5,0)</f>
        <v>2.7341684472048658E-13</v>
      </c>
      <c r="BF134" s="14">
        <f t="shared" si="145"/>
        <v>3.653683054157169E-12</v>
      </c>
      <c r="BG134" s="22">
        <f t="shared" si="115"/>
        <v>6.8396989905452503E-12</v>
      </c>
      <c r="BH134" s="62">
        <f t="shared" si="116"/>
        <v>293.33333333334014</v>
      </c>
      <c r="BI134" s="62">
        <f ca="1">AVERAGE(OFFSET($BH$3,0,0,'Données projet'!$E$11+1,1))-AVERAGE(OFFSET($H$3,0,0,'Données projet'!$E$11+1,1))</f>
        <v>255.64417186544995</v>
      </c>
      <c r="BJ134" s="62">
        <f t="shared" si="146"/>
        <v>165.41802783289376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220.78517288217796</v>
      </c>
      <c r="BQ134" s="23">
        <f>EXP(-LN(2)/25)*BQ133+(1-EXP(-LN(2)/25))/(LN(2)/25)*Calculateur!BL134*Calculateur!BN134*VLOOKUP('Données projet'!$B$11,Paramètres!$A$1:$I$89,3,0)*0.475*44/12</f>
        <v>37.327148780091591</v>
      </c>
      <c r="BR134" s="23">
        <f>EXP(-LN(2)/2)*BR133+(1-EXP(-LN(2)/2))/(LN(2)/2)*BL134*BO134*VLOOKUP('Données projet'!$B$11,Paramètres!$A$1:$I$89,3,0)*0.475*44/12</f>
        <v>10.098204870482904</v>
      </c>
      <c r="BS134" s="24">
        <f t="shared" si="117"/>
        <v>268.21052653275245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465.49436272491818</v>
      </c>
      <c r="CE134" s="62">
        <f t="shared" si="148"/>
        <v>494.36941732405256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85.616542549233884</v>
      </c>
      <c r="CL134" s="23">
        <f>EXP(-LN(2)/25)*CL133+(1-EXP(-LN(2)/25))/(LN(2)/25)*Calculateur!CG134*Calculateur!CI134*VLOOKUP('Données projet'!$B$12,Paramètres!$A$1:$I$89,3,0)*0.475*44/12</f>
        <v>15.394161644439434</v>
      </c>
      <c r="CM134" s="23">
        <f>EXP(-LN(2)/2)*CM133+(1-EXP(-LN(2)/2))/(LN(2)/2)*CG134*CJ134*VLOOKUP('Données projet'!$B$12,Paramètres!$A$1:$I$89,3,0)*0.475*44/12</f>
        <v>4.3277228376400793E-8</v>
      </c>
      <c r="CN134" s="24">
        <f t="shared" si="120"/>
        <v>101.01070423695055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-6.8212102632969618E-13</v>
      </c>
      <c r="CU134" s="18">
        <f>CT134*VLOOKUP('Données projet'!$B$13,Paramètres!$A$1:$I$89,3,0)*VLOOKUP('Données projet'!$B$13,Paramètres!$A$1:$I$89,5,0)</f>
        <v>-4.0790837374515837E-13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361.46923697840384</v>
      </c>
      <c r="CZ134" s="62">
        <f t="shared" si="150"/>
        <v>302.25424592654673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64.730735994461497</v>
      </c>
      <c r="DG134" s="23">
        <f>EXP(-LN(2)/25)*DG133+(1-EXP(-LN(2)/25))/(LN(2)/25)*Calculateur!DB134*Calculateur!DD134*VLOOKUP('Données projet'!$B$13,Paramètres!$A$1:$I$89,3,0)*0.475*44/12</f>
        <v>15.625353907542479</v>
      </c>
      <c r="DH134" s="23">
        <f>EXP(-LN(2)/2)*DH133+(1-EXP(-LN(2)/2))/(LN(2)/2)*DB134*DE134*VLOOKUP('Données projet'!$B$13,Paramètres!$A$1:$I$89,3,0)*0.475*44/12</f>
        <v>4.3301020424950444E-7</v>
      </c>
      <c r="DI134" s="24">
        <f t="shared" si="123"/>
        <v>80.356090335014173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-4.5474735088646412E-13</v>
      </c>
      <c r="O135" s="14">
        <f>N135*VLOOKUP('Données projet'!$B$9,Paramètres!$A$1:$I$89,3,0)*VLOOKUP('Données projet'!$B$9,Paramètres!$A$1:$I$89,5,0)</f>
        <v>-2.5420376914553347E-13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389.80719836281679</v>
      </c>
      <c r="T135" s="62">
        <f t="shared" si="142"/>
        <v>399.58193819355591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77.400102172827829</v>
      </c>
      <c r="AA135" s="23">
        <f>EXP(-LN(2)/25)*AA134+(1-EXP(-LN(2)/25))/(LN(2)/25)*Calculateur!V135*Calculateur!X135*VLOOKUP('Données projet'!$B$9,Paramètres!$A$1:$I$89,3,0)*0.475*44/12</f>
        <v>13.550409961929287</v>
      </c>
      <c r="AB135" s="23">
        <f>EXP(-LN(2)/2)*AB134+(1-EXP(-LN(2)/2))/(LN(2)/2)*V135*Y135*VLOOKUP('Données projet'!$B$9,Paramètres!$A$1:$I$89,3,0)*0.475*44/12</f>
        <v>2.8079358838546598E-8</v>
      </c>
      <c r="AC135" s="24">
        <f t="shared" si="111"/>
        <v>90.950512162836475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269.90083987531233</v>
      </c>
      <c r="AO135" s="62">
        <f t="shared" si="144"/>
        <v>183.4515835513518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53.305271792740399</v>
      </c>
      <c r="AV135" s="23">
        <f>EXP(-LN(2)/25)*AV134+(1-EXP(-LN(2)/25))/(LN(2)/25)*Calculateur!AQ135*Calculateur!AS135*VLOOKUP('Données projet'!$B$10,Paramètres!$A$1:$I$89,3,0)*0.475*44/12</f>
        <v>13.974017436789117</v>
      </c>
      <c r="AW135" s="23">
        <f>EXP(-LN(2)/2)*AW134+(1-EXP(-LN(2)/2))/(LN(2)/2)*AQ135*AT135*VLOOKUP('Données projet'!$B$10,Paramètres!$A$1:$I$89,3,0)*0.475*44/12</f>
        <v>9.4835808732288123E-7</v>
      </c>
      <c r="AX135" s="23">
        <f t="shared" si="114"/>
        <v>67.279290177887603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5.6843418860808015E-13</v>
      </c>
      <c r="BE135" s="14">
        <f>BD135*VLOOKUP('Données projet'!$B$11,Paramètres!$A$1:$I$89,3,0)*VLOOKUP('Données projet'!$B$11,Paramètres!$A$1:$I$89,5,0)</f>
        <v>2.7341684472048658E-13</v>
      </c>
      <c r="BF135" s="14">
        <f t="shared" si="145"/>
        <v>3.653683054157169E-12</v>
      </c>
      <c r="BG135" s="22">
        <f t="shared" si="115"/>
        <v>6.8396989905452503E-12</v>
      </c>
      <c r="BH135" s="62">
        <f t="shared" si="116"/>
        <v>293.33333333334014</v>
      </c>
      <c r="BI135" s="62">
        <f ca="1">AVERAGE(OFFSET($BH$3,0,0,'Données projet'!$E$11+1,1))-AVERAGE(OFFSET($H$3,0,0,'Données projet'!$E$11+1,1))</f>
        <v>255.64417186544995</v>
      </c>
      <c r="BJ135" s="62">
        <f t="shared" si="146"/>
        <v>165.41802783289376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216.45571030761678</v>
      </c>
      <c r="BQ135" s="23">
        <f>EXP(-LN(2)/25)*BQ134+(1-EXP(-LN(2)/25))/(LN(2)/25)*Calculateur!BL135*Calculateur!BN135*VLOOKUP('Données projet'!$B$11,Paramètres!$A$1:$I$89,3,0)*0.475*44/12</f>
        <v>36.306435933750542</v>
      </c>
      <c r="BR135" s="23">
        <f>EXP(-LN(2)/2)*BR134+(1-EXP(-LN(2)/2))/(LN(2)/2)*BL135*BO135*VLOOKUP('Données projet'!$B$11,Paramètres!$A$1:$I$89,3,0)*0.475*44/12</f>
        <v>7.1405091417294839</v>
      </c>
      <c r="BS135" s="24">
        <f t="shared" si="117"/>
        <v>259.90265538309683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465.49436272491818</v>
      </c>
      <c r="CE135" s="62">
        <f t="shared" si="148"/>
        <v>494.36941732405256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83.937654370777977</v>
      </c>
      <c r="CL135" s="23">
        <f>EXP(-LN(2)/25)*CL134+(1-EXP(-LN(2)/25))/(LN(2)/25)*Calculateur!CG135*Calculateur!CI135*VLOOKUP('Données projet'!$B$12,Paramètres!$A$1:$I$89,3,0)*0.475*44/12</f>
        <v>14.97320748472846</v>
      </c>
      <c r="CM135" s="23">
        <f>EXP(-LN(2)/2)*CM134+(1-EXP(-LN(2)/2))/(LN(2)/2)*CG135*CJ135*VLOOKUP('Données projet'!$B$12,Paramètres!$A$1:$I$89,3,0)*0.475*44/12</f>
        <v>3.0601621655911881E-8</v>
      </c>
      <c r="CN135" s="24">
        <f t="shared" si="120"/>
        <v>98.910861886108066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-6.8212102632969618E-13</v>
      </c>
      <c r="CU135" s="18">
        <f>CT135*VLOOKUP('Données projet'!$B$13,Paramètres!$A$1:$I$89,3,0)*VLOOKUP('Données projet'!$B$13,Paramètres!$A$1:$I$89,5,0)</f>
        <v>-4.0790837374515837E-13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361.46923697840384</v>
      </c>
      <c r="CZ135" s="62">
        <f t="shared" si="150"/>
        <v>302.25424592654673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63.461405743460553</v>
      </c>
      <c r="DG135" s="23">
        <f>EXP(-LN(2)/25)*DG134+(1-EXP(-LN(2)/25))/(LN(2)/25)*Calculateur!DB135*Calculateur!DD135*VLOOKUP('Données projet'!$B$13,Paramètres!$A$1:$I$89,3,0)*0.475*44/12</f>
        <v>15.19807778323908</v>
      </c>
      <c r="DH135" s="23">
        <f>EXP(-LN(2)/2)*DH134+(1-EXP(-LN(2)/2))/(LN(2)/2)*DB135*DE135*VLOOKUP('Données projet'!$B$13,Paramètres!$A$1:$I$89,3,0)*0.475*44/12</f>
        <v>3.0618445174779658E-7</v>
      </c>
      <c r="DI135" s="24">
        <f t="shared" si="123"/>
        <v>78.659483832884078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-4.5474735088646412E-13</v>
      </c>
      <c r="O136" s="14">
        <f>N136*VLOOKUP('Données projet'!$B$9,Paramètres!$A$1:$I$89,3,0)*VLOOKUP('Données projet'!$B$9,Paramètres!$A$1:$I$89,5,0)</f>
        <v>-2.5420376914553347E-13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389.80719836281679</v>
      </c>
      <c r="T136" s="62">
        <f t="shared" si="142"/>
        <v>399.58193819355591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75.882333378619464</v>
      </c>
      <c r="AA136" s="23">
        <f>EXP(-LN(2)/25)*AA135+(1-EXP(-LN(2)/25))/(LN(2)/25)*Calculateur!V136*Calculateur!X136*VLOOKUP('Données projet'!$B$9,Paramètres!$A$1:$I$89,3,0)*0.475*44/12</f>
        <v>13.179873288935241</v>
      </c>
      <c r="AB136" s="23">
        <f>EXP(-LN(2)/2)*AB135+(1-EXP(-LN(2)/2))/(LN(2)/2)*V136*Y136*VLOOKUP('Données projet'!$B$9,Paramètres!$A$1:$I$89,3,0)*0.475*44/12</f>
        <v>1.9855105046106718E-8</v>
      </c>
      <c r="AC136" s="24">
        <f t="shared" si="111"/>
        <v>89.062206687409812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269.90083987531233</v>
      </c>
      <c r="AO136" s="62">
        <f t="shared" si="144"/>
        <v>183.4515835513518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52.259987925890158</v>
      </c>
      <c r="AV136" s="23">
        <f>EXP(-LN(2)/25)*AV135+(1-EXP(-LN(2)/25))/(LN(2)/25)*Calculateur!AQ136*Calculateur!AS136*VLOOKUP('Données projet'!$B$10,Paramètres!$A$1:$I$89,3,0)*0.475*44/12</f>
        <v>13.591897195118479</v>
      </c>
      <c r="AW136" s="23">
        <f>EXP(-LN(2)/2)*AW135+(1-EXP(-LN(2)/2))/(LN(2)/2)*AQ136*AT136*VLOOKUP('Données projet'!$B$10,Paramètres!$A$1:$I$89,3,0)*0.475*44/12</f>
        <v>6.705904345391134E-7</v>
      </c>
      <c r="AX136" s="23">
        <f t="shared" si="114"/>
        <v>65.851885791599074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5.6843418860808015E-13</v>
      </c>
      <c r="BE136" s="14">
        <f>BD136*VLOOKUP('Données projet'!$B$11,Paramètres!$A$1:$I$89,3,0)*VLOOKUP('Données projet'!$B$11,Paramètres!$A$1:$I$89,5,0)</f>
        <v>2.7341684472048658E-13</v>
      </c>
      <c r="BF136" s="14">
        <f t="shared" si="145"/>
        <v>3.653683054157169E-12</v>
      </c>
      <c r="BG136" s="22">
        <f t="shared" si="115"/>
        <v>6.8396989905452503E-12</v>
      </c>
      <c r="BH136" s="62">
        <f t="shared" si="116"/>
        <v>293.33333333334014</v>
      </c>
      <c r="BI136" s="62">
        <f ca="1">AVERAGE(OFFSET($BH$3,0,0,'Données projet'!$E$11+1,1))-AVERAGE(OFFSET($H$3,0,0,'Données projet'!$E$11+1,1))</f>
        <v>255.64417186544995</v>
      </c>
      <c r="BJ136" s="62">
        <f t="shared" si="146"/>
        <v>165.41802783289376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212.21114585343133</v>
      </c>
      <c r="BQ136" s="23">
        <f>EXP(-LN(2)/25)*BQ135+(1-EXP(-LN(2)/25))/(LN(2)/25)*Calculateur!BL136*Calculateur!BN136*VLOOKUP('Données projet'!$B$11,Paramètres!$A$1:$I$89,3,0)*0.475*44/12</f>
        <v>35.313634533869646</v>
      </c>
      <c r="BR136" s="23">
        <f>EXP(-LN(2)/2)*BR135+(1-EXP(-LN(2)/2))/(LN(2)/2)*BL136*BO136*VLOOKUP('Données projet'!$B$11,Paramètres!$A$1:$I$89,3,0)*0.475*44/12</f>
        <v>5.0491024352414531</v>
      </c>
      <c r="BS136" s="24">
        <f t="shared" si="117"/>
        <v>252.57388282254243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465.49436272491818</v>
      </c>
      <c r="CE136" s="62">
        <f t="shared" si="148"/>
        <v>494.36941732405256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82.291688165480906</v>
      </c>
      <c r="CL136" s="23">
        <f>EXP(-LN(2)/25)*CL135+(1-EXP(-LN(2)/25))/(LN(2)/25)*Calculateur!CG136*Calculateur!CI136*VLOOKUP('Données projet'!$B$12,Paramètres!$A$1:$I$89,3,0)*0.475*44/12</f>
        <v>14.563764338651801</v>
      </c>
      <c r="CM136" s="23">
        <f>EXP(-LN(2)/2)*CM135+(1-EXP(-LN(2)/2))/(LN(2)/2)*CG136*CJ136*VLOOKUP('Données projet'!$B$12,Paramètres!$A$1:$I$89,3,0)*0.475*44/12</f>
        <v>2.1638614188200396E-8</v>
      </c>
      <c r="CN136" s="24">
        <f t="shared" si="120"/>
        <v>96.855452525771312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-6.8212102632969618E-13</v>
      </c>
      <c r="CU136" s="18">
        <f>CT136*VLOOKUP('Données projet'!$B$13,Paramètres!$A$1:$I$89,3,0)*VLOOKUP('Données projet'!$B$13,Paramètres!$A$1:$I$89,5,0)</f>
        <v>-4.0790837374515837E-13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361.46923697840384</v>
      </c>
      <c r="CZ136" s="62">
        <f t="shared" si="150"/>
        <v>302.25424592654673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62.216966284466736</v>
      </c>
      <c r="DG136" s="23">
        <f>EXP(-LN(2)/25)*DG135+(1-EXP(-LN(2)/25))/(LN(2)/25)*Calculateur!DB136*Calculateur!DD136*VLOOKUP('Données projet'!$B$13,Paramètres!$A$1:$I$89,3,0)*0.475*44/12</f>
        <v>14.782485547024233</v>
      </c>
      <c r="DH136" s="23">
        <f>EXP(-LN(2)/2)*DH135+(1-EXP(-LN(2)/2))/(LN(2)/2)*DB136*DE136*VLOOKUP('Données projet'!$B$13,Paramètres!$A$1:$I$89,3,0)*0.475*44/12</f>
        <v>2.1650510212475222E-7</v>
      </c>
      <c r="DI136" s="24">
        <f t="shared" si="123"/>
        <v>76.999452047996073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-4.5474735088646412E-13</v>
      </c>
      <c r="O137" s="14">
        <f>N137*VLOOKUP('Données projet'!$B$9,Paramètres!$A$1:$I$89,3,0)*VLOOKUP('Données projet'!$B$9,Paramètres!$A$1:$I$89,5,0)</f>
        <v>-2.5420376914553347E-13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389.80719836281679</v>
      </c>
      <c r="T137" s="62">
        <f t="shared" si="142"/>
        <v>399.58193819355591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74.394327104717959</v>
      </c>
      <c r="AA137" s="23">
        <f>EXP(-LN(2)/25)*AA136+(1-EXP(-LN(2)/25))/(LN(2)/25)*Calculateur!V137*Calculateur!X137*VLOOKUP('Données projet'!$B$9,Paramètres!$A$1:$I$89,3,0)*0.475*44/12</f>
        <v>12.819468960749893</v>
      </c>
      <c r="AB137" s="23">
        <f>EXP(-LN(2)/2)*AB136+(1-EXP(-LN(2)/2))/(LN(2)/2)*V137*Y137*VLOOKUP('Données projet'!$B$9,Paramètres!$A$1:$I$89,3,0)*0.475*44/12</f>
        <v>1.4039679419273299E-8</v>
      </c>
      <c r="AC137" s="24">
        <f t="shared" si="111"/>
        <v>87.213796079507532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269.90083987531233</v>
      </c>
      <c r="AO137" s="62">
        <f t="shared" si="144"/>
        <v>183.4515835513518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51.235201438108646</v>
      </c>
      <c r="AV137" s="23">
        <f>EXP(-LN(2)/25)*AV136+(1-EXP(-LN(2)/25))/(LN(2)/25)*Calculateur!AQ137*Calculateur!AS137*VLOOKUP('Données projet'!$B$10,Paramètres!$A$1:$I$89,3,0)*0.475*44/12</f>
        <v>13.220226051551155</v>
      </c>
      <c r="AW137" s="23">
        <f>EXP(-LN(2)/2)*AW136+(1-EXP(-LN(2)/2))/(LN(2)/2)*AQ137*AT137*VLOOKUP('Données projet'!$B$10,Paramètres!$A$1:$I$89,3,0)*0.475*44/12</f>
        <v>4.7417904366144072E-7</v>
      </c>
      <c r="AX137" s="23">
        <f t="shared" si="114"/>
        <v>64.455427963838844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5.6843418860808015E-13</v>
      </c>
      <c r="BE137" s="14">
        <f>BD137*VLOOKUP('Données projet'!$B$11,Paramètres!$A$1:$I$89,3,0)*VLOOKUP('Données projet'!$B$11,Paramètres!$A$1:$I$89,5,0)</f>
        <v>2.7341684472048658E-13</v>
      </c>
      <c r="BF137" s="14">
        <f t="shared" si="145"/>
        <v>3.653683054157169E-12</v>
      </c>
      <c r="BG137" s="22">
        <f t="shared" si="115"/>
        <v>6.8396989905452503E-12</v>
      </c>
      <c r="BH137" s="62">
        <f t="shared" si="116"/>
        <v>293.33333333334014</v>
      </c>
      <c r="BI137" s="62">
        <f ca="1">AVERAGE(OFFSET($BH$3,0,0,'Données projet'!$E$11+1,1))-AVERAGE(OFFSET($H$3,0,0,'Données projet'!$E$11+1,1))</f>
        <v>255.64417186544995</v>
      </c>
      <c r="BJ137" s="62">
        <f t="shared" si="146"/>
        <v>165.41802783289376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208.04981471926376</v>
      </c>
      <c r="BQ137" s="23">
        <f>EXP(-LN(2)/25)*BQ136+(1-EXP(-LN(2)/25))/(LN(2)/25)*Calculateur!BL137*Calculateur!BN137*VLOOKUP('Données projet'!$B$11,Paramètres!$A$1:$I$89,3,0)*0.475*44/12</f>
        <v>34.347981340477652</v>
      </c>
      <c r="BR137" s="23">
        <f>EXP(-LN(2)/2)*BR136+(1-EXP(-LN(2)/2))/(LN(2)/2)*BL137*BO137*VLOOKUP('Données projet'!$B$11,Paramètres!$A$1:$I$89,3,0)*0.475*44/12</f>
        <v>3.5702545708647428</v>
      </c>
      <c r="BS137" s="24">
        <f t="shared" si="117"/>
        <v>245.96805063060614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465.49436272491818</v>
      </c>
      <c r="CE137" s="62">
        <f t="shared" si="148"/>
        <v>494.36941732405256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80.67799835352946</v>
      </c>
      <c r="CL137" s="23">
        <f>EXP(-LN(2)/25)*CL136+(1-EXP(-LN(2)/25))/(LN(2)/25)*Calculateur!CG137*Calculateur!CI137*VLOOKUP('Données projet'!$B$12,Paramètres!$A$1:$I$89,3,0)*0.475*44/12</f>
        <v>14.165517436936288</v>
      </c>
      <c r="CM137" s="23">
        <f>EXP(-LN(2)/2)*CM136+(1-EXP(-LN(2)/2))/(LN(2)/2)*CG137*CJ137*VLOOKUP('Données projet'!$B$12,Paramètres!$A$1:$I$89,3,0)*0.475*44/12</f>
        <v>1.530081082795594E-8</v>
      </c>
      <c r="CN137" s="24">
        <f t="shared" si="120"/>
        <v>94.843515805766557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-6.8212102632969618E-13</v>
      </c>
      <c r="CU137" s="18">
        <f>CT137*VLOOKUP('Données projet'!$B$13,Paramètres!$A$1:$I$89,3,0)*VLOOKUP('Données projet'!$B$13,Paramètres!$A$1:$I$89,5,0)</f>
        <v>-4.0790837374515837E-13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361.46923697840384</v>
      </c>
      <c r="CZ137" s="62">
        <f t="shared" si="150"/>
        <v>302.25424592654673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60.996929524230666</v>
      </c>
      <c r="DG137" s="23">
        <f>EXP(-LN(2)/25)*DG136+(1-EXP(-LN(2)/25))/(LN(2)/25)*Calculateur!DB137*Calculateur!DD137*VLOOKUP('Données projet'!$B$13,Paramètres!$A$1:$I$89,3,0)*0.475*44/12</f>
        <v>14.378257702363726</v>
      </c>
      <c r="DH137" s="23">
        <f>EXP(-LN(2)/2)*DH136+(1-EXP(-LN(2)/2))/(LN(2)/2)*DB137*DE137*VLOOKUP('Données projet'!$B$13,Paramètres!$A$1:$I$89,3,0)*0.475*44/12</f>
        <v>1.5309222587389829E-7</v>
      </c>
      <c r="DI137" s="24">
        <f t="shared" si="123"/>
        <v>75.375187379686622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-4.5474735088646412E-13</v>
      </c>
      <c r="O138" s="14">
        <f>N138*VLOOKUP('Données projet'!$B$9,Paramètres!$A$1:$I$89,3,0)*VLOOKUP('Données projet'!$B$9,Paramètres!$A$1:$I$89,5,0)</f>
        <v>-2.5420376914553347E-13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389.80719836281679</v>
      </c>
      <c r="T138" s="62">
        <f t="shared" si="142"/>
        <v>399.58193819355591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72.935499726253454</v>
      </c>
      <c r="AA138" s="23">
        <f>EXP(-LN(2)/25)*AA137+(1-EXP(-LN(2)/25))/(LN(2)/25)*Calculateur!V138*Calculateur!X138*VLOOKUP('Données projet'!$B$9,Paramètres!$A$1:$I$89,3,0)*0.475*44/12</f>
        <v>12.468919907871614</v>
      </c>
      <c r="AB138" s="23">
        <f>EXP(-LN(2)/2)*AB137+(1-EXP(-LN(2)/2))/(LN(2)/2)*V138*Y138*VLOOKUP('Données projet'!$B$9,Paramètres!$A$1:$I$89,3,0)*0.475*44/12</f>
        <v>9.9275525230533591E-9</v>
      </c>
      <c r="AC138" s="24">
        <f t="shared" si="111"/>
        <v>85.404419644052609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269.90083987531233</v>
      </c>
      <c r="AO138" s="62">
        <f t="shared" si="144"/>
        <v>183.4515835513518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50.230510388294491</v>
      </c>
      <c r="AV138" s="23">
        <f>EXP(-LN(2)/25)*AV137+(1-EXP(-LN(2)/25))/(LN(2)/25)*Calculateur!AQ138*Calculateur!AS138*VLOOKUP('Données projet'!$B$10,Paramètres!$A$1:$I$89,3,0)*0.475*44/12</f>
        <v>12.858718274950016</v>
      </c>
      <c r="AW138" s="23">
        <f>EXP(-LN(2)/2)*AW137+(1-EXP(-LN(2)/2))/(LN(2)/2)*AQ138*AT138*VLOOKUP('Données projet'!$B$10,Paramètres!$A$1:$I$89,3,0)*0.475*44/12</f>
        <v>3.3529521726955675E-7</v>
      </c>
      <c r="AX138" s="23">
        <f t="shared" si="114"/>
        <v>63.089228998539724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5.6843418860808015E-13</v>
      </c>
      <c r="BE138" s="14">
        <f>BD138*VLOOKUP('Données projet'!$B$11,Paramètres!$A$1:$I$89,3,0)*VLOOKUP('Données projet'!$B$11,Paramètres!$A$1:$I$89,5,0)</f>
        <v>2.7341684472048658E-13</v>
      </c>
      <c r="BF138" s="14">
        <f t="shared" si="145"/>
        <v>3.653683054157169E-12</v>
      </c>
      <c r="BG138" s="22">
        <f t="shared" si="115"/>
        <v>6.8396989905452503E-12</v>
      </c>
      <c r="BH138" s="62">
        <f t="shared" si="116"/>
        <v>293.33333333334014</v>
      </c>
      <c r="BI138" s="62">
        <f ca="1">AVERAGE(OFFSET($BH$3,0,0,'Données projet'!$E$11+1,1))-AVERAGE(OFFSET($H$3,0,0,'Données projet'!$E$11+1,1))</f>
        <v>255.64417186544995</v>
      </c>
      <c r="BJ138" s="62">
        <f t="shared" si="146"/>
        <v>165.41802783289376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203.97008475047585</v>
      </c>
      <c r="BQ138" s="23">
        <f>EXP(-LN(2)/25)*BQ137+(1-EXP(-LN(2)/25))/(LN(2)/25)*Calculateur!BL138*Calculateur!BN138*VLOOKUP('Données projet'!$B$11,Paramètres!$A$1:$I$89,3,0)*0.475*44/12</f>
        <v>33.408733984440453</v>
      </c>
      <c r="BR138" s="23">
        <f>EXP(-LN(2)/2)*BR137+(1-EXP(-LN(2)/2))/(LN(2)/2)*BL138*BO138*VLOOKUP('Données projet'!$B$11,Paramètres!$A$1:$I$89,3,0)*0.475*44/12</f>
        <v>2.524551217620727</v>
      </c>
      <c r="BS138" s="24">
        <f t="shared" si="117"/>
        <v>239.90336995253705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465.49436272491818</v>
      </c>
      <c r="CE138" s="62">
        <f t="shared" si="148"/>
        <v>494.36941732405256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79.095952014536792</v>
      </c>
      <c r="CL138" s="23">
        <f>EXP(-LN(2)/25)*CL137+(1-EXP(-LN(2)/25))/(LN(2)/25)*Calculateur!CG138*Calculateur!CI138*VLOOKUP('Données projet'!$B$12,Paramètres!$A$1:$I$89,3,0)*0.475*44/12</f>
        <v>13.778160617691078</v>
      </c>
      <c r="CM138" s="23">
        <f>EXP(-LN(2)/2)*CM137+(1-EXP(-LN(2)/2))/(LN(2)/2)*CG138*CJ138*VLOOKUP('Données projet'!$B$12,Paramètres!$A$1:$I$89,3,0)*0.475*44/12</f>
        <v>1.0819307094100198E-8</v>
      </c>
      <c r="CN138" s="24">
        <f t="shared" si="120"/>
        <v>92.874112643047184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-6.8212102632969618E-13</v>
      </c>
      <c r="CU138" s="18">
        <f>CT138*VLOOKUP('Données projet'!$B$13,Paramètres!$A$1:$I$89,3,0)*VLOOKUP('Données projet'!$B$13,Paramètres!$A$1:$I$89,5,0)</f>
        <v>-4.0790837374515837E-13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361.46923697840384</v>
      </c>
      <c r="CZ138" s="62">
        <f t="shared" si="150"/>
        <v>302.25424592654673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59.800816940713879</v>
      </c>
      <c r="DG138" s="23">
        <f>EXP(-LN(2)/25)*DG137+(1-EXP(-LN(2)/25))/(LN(2)/25)*Calculateur!DB138*Calculateur!DD138*VLOOKUP('Données projet'!$B$13,Paramètres!$A$1:$I$89,3,0)*0.475*44/12</f>
        <v>13.985083489372879</v>
      </c>
      <c r="DH138" s="23">
        <f>EXP(-LN(2)/2)*DH137+(1-EXP(-LN(2)/2))/(LN(2)/2)*DB138*DE138*VLOOKUP('Données projet'!$B$13,Paramètres!$A$1:$I$89,3,0)*0.475*44/12</f>
        <v>1.0825255106237611E-7</v>
      </c>
      <c r="DI138" s="24">
        <f t="shared" si="123"/>
        <v>73.785900538339305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-4.5474735088646412E-13</v>
      </c>
      <c r="O139" s="14">
        <f>N139*VLOOKUP('Données projet'!$B$9,Paramètres!$A$1:$I$89,3,0)*VLOOKUP('Données projet'!$B$9,Paramètres!$A$1:$I$89,5,0)</f>
        <v>-2.5420376914553347E-13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389.80719836281679</v>
      </c>
      <c r="T139" s="62">
        <f t="shared" si="142"/>
        <v>399.58193819355591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71.505279062883801</v>
      </c>
      <c r="AA139" s="23">
        <f>EXP(-LN(2)/25)*AA138+(1-EXP(-LN(2)/25))/(LN(2)/25)*Calculateur!V139*Calculateur!X139*VLOOKUP('Données projet'!$B$9,Paramètres!$A$1:$I$89,3,0)*0.475*44/12</f>
        <v>12.127956637278865</v>
      </c>
      <c r="AB139" s="23">
        <f>EXP(-LN(2)/2)*AB138+(1-EXP(-LN(2)/2))/(LN(2)/2)*V139*Y139*VLOOKUP('Données projet'!$B$9,Paramètres!$A$1:$I$89,3,0)*0.475*44/12</f>
        <v>7.0198397096366495E-9</v>
      </c>
      <c r="AC139" s="24">
        <f t="shared" si="111"/>
        <v>83.633235707182507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269.90083987531233</v>
      </c>
      <c r="AO139" s="62">
        <f t="shared" si="144"/>
        <v>183.4515835513518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49.245520717166166</v>
      </c>
      <c r="AV139" s="23">
        <f>EXP(-LN(2)/25)*AV138+(1-EXP(-LN(2)/25))/(LN(2)/25)*Calculateur!AQ139*Calculateur!AS139*VLOOKUP('Données projet'!$B$10,Paramètres!$A$1:$I$89,3,0)*0.475*44/12</f>
        <v>12.507095947510903</v>
      </c>
      <c r="AW139" s="23">
        <f>EXP(-LN(2)/2)*AW138+(1-EXP(-LN(2)/2))/(LN(2)/2)*AQ139*AT139*VLOOKUP('Données projet'!$B$10,Paramètres!$A$1:$I$89,3,0)*0.475*44/12</f>
        <v>2.3708952183072039E-7</v>
      </c>
      <c r="AX139" s="23">
        <f t="shared" si="114"/>
        <v>61.752616901766594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5.6843418860808015E-13</v>
      </c>
      <c r="BE139" s="14">
        <f>BD139*VLOOKUP('Données projet'!$B$11,Paramètres!$A$1:$I$89,3,0)*VLOOKUP('Données projet'!$B$11,Paramètres!$A$1:$I$89,5,0)</f>
        <v>2.7341684472048658E-13</v>
      </c>
      <c r="BF139" s="14">
        <f t="shared" si="145"/>
        <v>3.653683054157169E-12</v>
      </c>
      <c r="BG139" s="22">
        <f t="shared" si="115"/>
        <v>6.8396989905452503E-12</v>
      </c>
      <c r="BH139" s="62">
        <f t="shared" si="116"/>
        <v>293.33333333334014</v>
      </c>
      <c r="BI139" s="62">
        <f ca="1">AVERAGE(OFFSET($BH$3,0,0,'Données projet'!$E$11+1,1))-AVERAGE(OFFSET($H$3,0,0,'Données projet'!$E$11+1,1))</f>
        <v>255.64417186544995</v>
      </c>
      <c r="BJ139" s="62">
        <f t="shared" si="146"/>
        <v>165.41802783289376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199.97035579798629</v>
      </c>
      <c r="BQ139" s="23">
        <f>EXP(-LN(2)/25)*BQ138+(1-EXP(-LN(2)/25))/(LN(2)/25)*Calculateur!BL139*Calculateur!BN139*VLOOKUP('Données projet'!$B$11,Paramètres!$A$1:$I$89,3,0)*0.475*44/12</f>
        <v>32.495170396746964</v>
      </c>
      <c r="BR139" s="23">
        <f>EXP(-LN(2)/2)*BR138+(1-EXP(-LN(2)/2))/(LN(2)/2)*BL139*BO139*VLOOKUP('Données projet'!$B$11,Paramètres!$A$1:$I$89,3,0)*0.475*44/12</f>
        <v>1.7851272854323716</v>
      </c>
      <c r="BS139" s="24">
        <f t="shared" si="117"/>
        <v>234.25065348016562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465.49436272491818</v>
      </c>
      <c r="CE139" s="62">
        <f t="shared" si="148"/>
        <v>494.36941732405256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77.544928639298774</v>
      </c>
      <c r="CL139" s="23">
        <f>EXP(-LN(2)/25)*CL138+(1-EXP(-LN(2)/25))/(LN(2)/25)*Calculateur!CG139*Calculateur!CI139*VLOOKUP('Données projet'!$B$12,Paramètres!$A$1:$I$89,3,0)*0.475*44/12</f>
        <v>13.40139609103834</v>
      </c>
      <c r="CM139" s="23">
        <f>EXP(-LN(2)/2)*CM138+(1-EXP(-LN(2)/2))/(LN(2)/2)*CG139*CJ139*VLOOKUP('Données projet'!$B$12,Paramètres!$A$1:$I$89,3,0)*0.475*44/12</f>
        <v>7.6504054139779702E-9</v>
      </c>
      <c r="CN139" s="24">
        <f t="shared" si="120"/>
        <v>90.94632473798751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-6.8212102632969618E-13</v>
      </c>
      <c r="CU139" s="18">
        <f>CT139*VLOOKUP('Données projet'!$B$13,Paramètres!$A$1:$I$89,3,0)*VLOOKUP('Données projet'!$B$13,Paramètres!$A$1:$I$89,5,0)</f>
        <v>-4.0790837374515837E-13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361.46923697840384</v>
      </c>
      <c r="CZ139" s="62">
        <f t="shared" si="150"/>
        <v>302.25424592654673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58.628159395403216</v>
      </c>
      <c r="DG139" s="23">
        <f>EXP(-LN(2)/25)*DG138+(1-EXP(-LN(2)/25))/(LN(2)/25)*Calculateur!DB139*Calculateur!DD139*VLOOKUP('Données projet'!$B$13,Paramètres!$A$1:$I$89,3,0)*0.475*44/12</f>
        <v>13.602660645912401</v>
      </c>
      <c r="DH139" s="23">
        <f>EXP(-LN(2)/2)*DH138+(1-EXP(-LN(2)/2))/(LN(2)/2)*DB139*DE139*VLOOKUP('Données projet'!$B$13,Paramètres!$A$1:$I$89,3,0)*0.475*44/12</f>
        <v>7.6546112936949146E-8</v>
      </c>
      <c r="DI139" s="24">
        <f t="shared" si="123"/>
        <v>72.230820117861725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-4.5474735088646412E-13</v>
      </c>
      <c r="O140" s="14">
        <f>N140*VLOOKUP('Données projet'!$B$9,Paramètres!$A$1:$I$89,3,0)*VLOOKUP('Données projet'!$B$9,Paramètres!$A$1:$I$89,5,0)</f>
        <v>-2.5420376914553347E-13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389.80719836281679</v>
      </c>
      <c r="T140" s="62">
        <f t="shared" si="142"/>
        <v>399.58193819355591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70.103104154374364</v>
      </c>
      <c r="AA140" s="23">
        <f>EXP(-LN(2)/25)*AA139+(1-EXP(-LN(2)/25))/(LN(2)/25)*Calculateur!V140*Calculateur!X140*VLOOKUP('Données projet'!$B$9,Paramètres!$A$1:$I$89,3,0)*0.475*44/12</f>
        <v>11.796317025250953</v>
      </c>
      <c r="AB140" s="23">
        <f>EXP(-LN(2)/2)*AB139+(1-EXP(-LN(2)/2))/(LN(2)/2)*V140*Y140*VLOOKUP('Données projet'!$B$9,Paramètres!$A$1:$I$89,3,0)*0.475*44/12</f>
        <v>4.9637762615266796E-9</v>
      </c>
      <c r="AC140" s="24">
        <f t="shared" si="111"/>
        <v>81.899421184589102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269.90083987531233</v>
      </c>
      <c r="AO140" s="62">
        <f t="shared" si="144"/>
        <v>183.4515835513518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48.27984609270429</v>
      </c>
      <c r="AV140" s="23">
        <f>EXP(-LN(2)/25)*AV139+(1-EXP(-LN(2)/25))/(LN(2)/25)*Calculateur!AQ140*Calculateur!AS140*VLOOKUP('Données projet'!$B$10,Paramètres!$A$1:$I$89,3,0)*0.475*44/12</f>
        <v>12.165088751106627</v>
      </c>
      <c r="AW140" s="23">
        <f>EXP(-LN(2)/2)*AW139+(1-EXP(-LN(2)/2))/(LN(2)/2)*AQ140*AT140*VLOOKUP('Données projet'!$B$10,Paramètres!$A$1:$I$89,3,0)*0.475*44/12</f>
        <v>1.676476086347784E-7</v>
      </c>
      <c r="AX140" s="23">
        <f t="shared" si="114"/>
        <v>60.444935011458519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5.6843418860808015E-13</v>
      </c>
      <c r="BE140" s="14">
        <f>BD140*VLOOKUP('Données projet'!$B$11,Paramètres!$A$1:$I$89,3,0)*VLOOKUP('Données projet'!$B$11,Paramètres!$A$1:$I$89,5,0)</f>
        <v>2.7341684472048658E-13</v>
      </c>
      <c r="BF140" s="14">
        <f t="shared" si="145"/>
        <v>3.653683054157169E-12</v>
      </c>
      <c r="BG140" s="22">
        <f t="shared" si="115"/>
        <v>6.8396989905452503E-12</v>
      </c>
      <c r="BH140" s="62">
        <f t="shared" si="116"/>
        <v>293.33333333334014</v>
      </c>
      <c r="BI140" s="62">
        <f ca="1">AVERAGE(OFFSET($BH$3,0,0,'Données projet'!$E$11+1,1))-AVERAGE(OFFSET($H$3,0,0,'Données projet'!$E$11+1,1))</f>
        <v>255.64417186544995</v>
      </c>
      <c r="BJ140" s="62">
        <f t="shared" si="146"/>
        <v>165.41802783289376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196.04905909066127</v>
      </c>
      <c r="BQ140" s="23">
        <f>EXP(-LN(2)/25)*BQ139+(1-EXP(-LN(2)/25))/(LN(2)/25)*Calculateur!BL140*Calculateur!BN140*VLOOKUP('Données projet'!$B$11,Paramètres!$A$1:$I$89,3,0)*0.475*44/12</f>
        <v>31.606588253401174</v>
      </c>
      <c r="BR140" s="23">
        <f>EXP(-LN(2)/2)*BR139+(1-EXP(-LN(2)/2))/(LN(2)/2)*BL140*BO140*VLOOKUP('Données projet'!$B$11,Paramètres!$A$1:$I$89,3,0)*0.475*44/12</f>
        <v>1.2622756088103637</v>
      </c>
      <c r="BS140" s="24">
        <f t="shared" si="117"/>
        <v>228.91792295287283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465.49436272491818</v>
      </c>
      <c r="CE140" s="62">
        <f t="shared" si="148"/>
        <v>494.36941732405256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76.024319886418326</v>
      </c>
      <c r="CL140" s="23">
        <f>EXP(-LN(2)/25)*CL139+(1-EXP(-LN(2)/25))/(LN(2)/25)*Calculateur!CG140*Calculateur!CI140*VLOOKUP('Données projet'!$B$12,Paramètres!$A$1:$I$89,3,0)*0.475*44/12</f>
        <v>13.034934210180104</v>
      </c>
      <c r="CM140" s="23">
        <f>EXP(-LN(2)/2)*CM139+(1-EXP(-LN(2)/2))/(LN(2)/2)*CG140*CJ140*VLOOKUP('Données projet'!$B$12,Paramètres!$A$1:$I$89,3,0)*0.475*44/12</f>
        <v>5.4096535470500991E-9</v>
      </c>
      <c r="CN140" s="24">
        <f t="shared" si="120"/>
        <v>89.059254102008097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-6.8212102632969618E-13</v>
      </c>
      <c r="CU140" s="18">
        <f>CT140*VLOOKUP('Données projet'!$B$13,Paramètres!$A$1:$I$89,3,0)*VLOOKUP('Données projet'!$B$13,Paramètres!$A$1:$I$89,5,0)</f>
        <v>-4.0790837374515837E-13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361.46923697840384</v>
      </c>
      <c r="CZ140" s="62">
        <f t="shared" si="150"/>
        <v>302.25424592654673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57.478496949305615</v>
      </c>
      <c r="DG140" s="23">
        <f>EXP(-LN(2)/25)*DG139+(1-EXP(-LN(2)/25))/(LN(2)/25)*Calculateur!DB140*Calculateur!DD140*VLOOKUP('Données projet'!$B$13,Paramètres!$A$1:$I$89,3,0)*0.475*44/12</f>
        <v>13.230695175217093</v>
      </c>
      <c r="DH140" s="23">
        <f>EXP(-LN(2)/2)*DH139+(1-EXP(-LN(2)/2))/(LN(2)/2)*DB140*DE140*VLOOKUP('Données projet'!$B$13,Paramètres!$A$1:$I$89,3,0)*0.475*44/12</f>
        <v>5.4126275531188055E-8</v>
      </c>
      <c r="DI140" s="24">
        <f t="shared" si="123"/>
        <v>70.709192178648976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-4.5474735088646412E-13</v>
      </c>
      <c r="O141" s="14">
        <f>N141*VLOOKUP('Données projet'!$B$9,Paramètres!$A$1:$I$89,3,0)*VLOOKUP('Données projet'!$B$9,Paramètres!$A$1:$I$89,5,0)</f>
        <v>-2.5420376914553347E-13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389.80719836281679</v>
      </c>
      <c r="T141" s="62">
        <f t="shared" si="142"/>
        <v>399.58193819355591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68.728425040578543</v>
      </c>
      <c r="AA141" s="23">
        <f>EXP(-LN(2)/25)*AA140+(1-EXP(-LN(2)/25))/(LN(2)/25)*Calculateur!V141*Calculateur!X141*VLOOKUP('Données projet'!$B$9,Paramètres!$A$1:$I$89,3,0)*0.475*44/12</f>
        <v>11.473746115854114</v>
      </c>
      <c r="AB141" s="23">
        <f>EXP(-LN(2)/2)*AB140+(1-EXP(-LN(2)/2))/(LN(2)/2)*V141*Y141*VLOOKUP('Données projet'!$B$9,Paramètres!$A$1:$I$89,3,0)*0.475*44/12</f>
        <v>3.5099198548183248E-9</v>
      </c>
      <c r="AC141" s="24">
        <f t="shared" si="111"/>
        <v>80.20217115994258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269.90083987531233</v>
      </c>
      <c r="AO141" s="62">
        <f t="shared" si="144"/>
        <v>183.4515835513518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47.333107758624749</v>
      </c>
      <c r="AV141" s="23">
        <f>EXP(-LN(2)/25)*AV140+(1-EXP(-LN(2)/25))/(LN(2)/25)*Calculateur!AQ141*Calculateur!AS141*VLOOKUP('Données projet'!$B$10,Paramètres!$A$1:$I$89,3,0)*0.475*44/12</f>
        <v>11.832433759473401</v>
      </c>
      <c r="AW141" s="23">
        <f>EXP(-LN(2)/2)*AW140+(1-EXP(-LN(2)/2))/(LN(2)/2)*AQ141*AT141*VLOOKUP('Données projet'!$B$10,Paramètres!$A$1:$I$89,3,0)*0.475*44/12</f>
        <v>1.1854476091536022E-7</v>
      </c>
      <c r="AX141" s="23">
        <f t="shared" si="114"/>
        <v>59.165541636642914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5.6843418860808015E-13</v>
      </c>
      <c r="BE141" s="14">
        <f>BD141*VLOOKUP('Données projet'!$B$11,Paramètres!$A$1:$I$89,3,0)*VLOOKUP('Données projet'!$B$11,Paramètres!$A$1:$I$89,5,0)</f>
        <v>2.7341684472048658E-13</v>
      </c>
      <c r="BF141" s="14">
        <f t="shared" si="145"/>
        <v>3.653683054157169E-12</v>
      </c>
      <c r="BG141" s="22">
        <f t="shared" si="115"/>
        <v>6.8396989905452503E-12</v>
      </c>
      <c r="BH141" s="62">
        <f t="shared" si="116"/>
        <v>293.33333333334014</v>
      </c>
      <c r="BI141" s="62">
        <f ca="1">AVERAGE(OFFSET($BH$3,0,0,'Données projet'!$E$11+1,1))-AVERAGE(OFFSET($H$3,0,0,'Données projet'!$E$11+1,1))</f>
        <v>255.64417186544995</v>
      </c>
      <c r="BJ141" s="62">
        <f t="shared" si="146"/>
        <v>165.41802783289376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192.20465662001209</v>
      </c>
      <c r="BQ141" s="23">
        <f>EXP(-LN(2)/25)*BQ140+(1-EXP(-LN(2)/25))/(LN(2)/25)*Calculateur!BL141*Calculateur!BN141*VLOOKUP('Données projet'!$B$11,Paramètres!$A$1:$I$89,3,0)*0.475*44/12</f>
        <v>30.742304435493679</v>
      </c>
      <c r="BR141" s="23">
        <f>EXP(-LN(2)/2)*BR140+(1-EXP(-LN(2)/2))/(LN(2)/2)*BL141*BO141*VLOOKUP('Données projet'!$B$11,Paramètres!$A$1:$I$89,3,0)*0.475*44/12</f>
        <v>0.89256364271618593</v>
      </c>
      <c r="BS141" s="24">
        <f t="shared" si="117"/>
        <v>223.83952469822196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465.49436272491818</v>
      </c>
      <c r="CE141" s="62">
        <f t="shared" si="148"/>
        <v>494.36941732405256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74.533529343702114</v>
      </c>
      <c r="CL141" s="23">
        <f>EXP(-LN(2)/25)*CL140+(1-EXP(-LN(2)/25))/(LN(2)/25)*Calculateur!CG141*Calculateur!CI141*VLOOKUP('Données projet'!$B$12,Paramètres!$A$1:$I$89,3,0)*0.475*44/12</f>
        <v>12.678493248725331</v>
      </c>
      <c r="CM141" s="23">
        <f>EXP(-LN(2)/2)*CM140+(1-EXP(-LN(2)/2))/(LN(2)/2)*CG141*CJ141*VLOOKUP('Données projet'!$B$12,Paramètres!$A$1:$I$89,3,0)*0.475*44/12</f>
        <v>3.8252027069889851E-9</v>
      </c>
      <c r="CN141" s="24">
        <f t="shared" si="120"/>
        <v>87.212022596252652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-6.8212102632969618E-13</v>
      </c>
      <c r="CU141" s="18">
        <f>CT141*VLOOKUP('Données projet'!$B$13,Paramètres!$A$1:$I$89,3,0)*VLOOKUP('Données projet'!$B$13,Paramètres!$A$1:$I$89,5,0)</f>
        <v>-4.0790837374515837E-13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361.46923697840384</v>
      </c>
      <c r="CZ141" s="62">
        <f t="shared" si="150"/>
        <v>302.25424592654673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56.351378682551143</v>
      </c>
      <c r="DG141" s="23">
        <f>EXP(-LN(2)/25)*DG140+(1-EXP(-LN(2)/25))/(LN(2)/25)*Calculateur!DB141*Calculateur!DD141*VLOOKUP('Données projet'!$B$13,Paramètres!$A$1:$I$89,3,0)*0.475*44/12</f>
        <v>12.868901119878762</v>
      </c>
      <c r="DH141" s="23">
        <f>EXP(-LN(2)/2)*DH140+(1-EXP(-LN(2)/2))/(LN(2)/2)*DB141*DE141*VLOOKUP('Données projet'!$B$13,Paramètres!$A$1:$I$89,3,0)*0.475*44/12</f>
        <v>3.8273056468474573E-8</v>
      </c>
      <c r="DI141" s="24">
        <f t="shared" si="123"/>
        <v>69.220279840702958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-4.5474735088646412E-13</v>
      </c>
      <c r="O142" s="14">
        <f>N142*VLOOKUP('Données projet'!$B$9,Paramètres!$A$1:$I$89,3,0)*VLOOKUP('Données projet'!$B$9,Paramètres!$A$1:$I$89,5,0)</f>
        <v>-2.5420376914553347E-13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389.80719836281679</v>
      </c>
      <c r="T142" s="62">
        <f t="shared" si="142"/>
        <v>399.58193819355591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67.380702545732802</v>
      </c>
      <c r="AA142" s="23">
        <f>EXP(-LN(2)/25)*AA141+(1-EXP(-LN(2)/25))/(LN(2)/25)*Calculateur!V142*Calculateur!X142*VLOOKUP('Données projet'!$B$9,Paramètres!$A$1:$I$89,3,0)*0.475*44/12</f>
        <v>11.159995924937999</v>
      </c>
      <c r="AB142" s="23">
        <f>EXP(-LN(2)/2)*AB141+(1-EXP(-LN(2)/2))/(LN(2)/2)*V142*Y142*VLOOKUP('Données projet'!$B$9,Paramètres!$A$1:$I$89,3,0)*0.475*44/12</f>
        <v>2.4818881307633398E-9</v>
      </c>
      <c r="AC142" s="24">
        <f t="shared" si="111"/>
        <v>78.540698473152688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269.90083987531233</v>
      </c>
      <c r="AO142" s="62">
        <f t="shared" si="144"/>
        <v>183.4515835513518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46.40493438582314</v>
      </c>
      <c r="AV142" s="23">
        <f>EXP(-LN(2)/25)*AV141+(1-EXP(-LN(2)/25))/(LN(2)/25)*Calculateur!AQ142*Calculateur!AS142*VLOOKUP('Données projet'!$B$10,Paramètres!$A$1:$I$89,3,0)*0.475*44/12</f>
        <v>11.508875236079954</v>
      </c>
      <c r="AW142" s="23">
        <f>EXP(-LN(2)/2)*AW141+(1-EXP(-LN(2)/2))/(LN(2)/2)*AQ142*AT142*VLOOKUP('Données projet'!$B$10,Paramètres!$A$1:$I$89,3,0)*0.475*44/12</f>
        <v>8.3823804317389215E-8</v>
      </c>
      <c r="AX142" s="23">
        <f t="shared" si="114"/>
        <v>57.913809705726898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5.6843418860808015E-13</v>
      </c>
      <c r="BE142" s="14">
        <f>BD142*VLOOKUP('Données projet'!$B$11,Paramètres!$A$1:$I$89,3,0)*VLOOKUP('Données projet'!$B$11,Paramètres!$A$1:$I$89,5,0)</f>
        <v>2.7341684472048658E-13</v>
      </c>
      <c r="BF142" s="14">
        <f t="shared" si="145"/>
        <v>3.653683054157169E-12</v>
      </c>
      <c r="BG142" s="22">
        <f t="shared" si="115"/>
        <v>6.8396989905452503E-12</v>
      </c>
      <c r="BH142" s="62">
        <f t="shared" si="116"/>
        <v>293.33333333334014</v>
      </c>
      <c r="BI142" s="62">
        <f ca="1">AVERAGE(OFFSET($BH$3,0,0,'Données projet'!$E$11+1,1))-AVERAGE(OFFSET($H$3,0,0,'Données projet'!$E$11+1,1))</f>
        <v>255.64417186544995</v>
      </c>
      <c r="BJ142" s="62">
        <f t="shared" si="146"/>
        <v>165.41802783289376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188.43564053695837</v>
      </c>
      <c r="BQ142" s="23">
        <f>EXP(-LN(2)/25)*BQ141+(1-EXP(-LN(2)/25))/(LN(2)/25)*Calculateur!BL142*Calculateur!BN142*VLOOKUP('Données projet'!$B$11,Paramètres!$A$1:$I$89,3,0)*0.475*44/12</f>
        <v>29.901654504037577</v>
      </c>
      <c r="BR142" s="23">
        <f>EXP(-LN(2)/2)*BR141+(1-EXP(-LN(2)/2))/(LN(2)/2)*BL142*BO142*VLOOKUP('Données projet'!$B$11,Paramètres!$A$1:$I$89,3,0)*0.475*44/12</f>
        <v>0.63113780440518197</v>
      </c>
      <c r="BS142" s="24">
        <f t="shared" si="117"/>
        <v>218.96843284540111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465.49436272491818</v>
      </c>
      <c r="CE142" s="62">
        <f t="shared" si="148"/>
        <v>494.36941732405256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73.071972294236119</v>
      </c>
      <c r="CL142" s="23">
        <f>EXP(-LN(2)/25)*CL141+(1-EXP(-LN(2)/25))/(LN(2)/25)*Calculateur!CG142*Calculateur!CI142*VLOOKUP('Données projet'!$B$12,Paramètres!$A$1:$I$89,3,0)*0.475*44/12</f>
        <v>12.331799184105954</v>
      </c>
      <c r="CM142" s="23">
        <f>EXP(-LN(2)/2)*CM141+(1-EXP(-LN(2)/2))/(LN(2)/2)*CG142*CJ142*VLOOKUP('Données projet'!$B$12,Paramètres!$A$1:$I$89,3,0)*0.475*44/12</f>
        <v>2.7048267735250496E-9</v>
      </c>
      <c r="CN142" s="24">
        <f t="shared" si="120"/>
        <v>85.403771481046888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-6.8212102632969618E-13</v>
      </c>
      <c r="CU142" s="18">
        <f>CT142*VLOOKUP('Données projet'!$B$13,Paramètres!$A$1:$I$89,3,0)*VLOOKUP('Données projet'!$B$13,Paramètres!$A$1:$I$89,5,0)</f>
        <v>-4.0790837374515837E-13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361.46923697840384</v>
      </c>
      <c r="CZ142" s="62">
        <f t="shared" si="150"/>
        <v>302.25424592654673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55.246362517533463</v>
      </c>
      <c r="DG142" s="23">
        <f>EXP(-LN(2)/25)*DG141+(1-EXP(-LN(2)/25))/(LN(2)/25)*Calculateur!DB142*Calculateur!DD142*VLOOKUP('Données projet'!$B$13,Paramètres!$A$1:$I$89,3,0)*0.475*44/12</f>
        <v>12.517000342009579</v>
      </c>
      <c r="DH142" s="23">
        <f>EXP(-LN(2)/2)*DH141+(1-EXP(-LN(2)/2))/(LN(2)/2)*DB142*DE142*VLOOKUP('Données projet'!$B$13,Paramètres!$A$1:$I$89,3,0)*0.475*44/12</f>
        <v>2.7063137765594028E-8</v>
      </c>
      <c r="DI142" s="24">
        <f t="shared" si="123"/>
        <v>67.763362886606174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-4.5474735088646412E-13</v>
      </c>
      <c r="O143" s="14">
        <f>N143*VLOOKUP('Données projet'!$B$9,Paramètres!$A$1:$I$89,3,0)*VLOOKUP('Données projet'!$B$9,Paramètres!$A$1:$I$89,5,0)</f>
        <v>-2.5420376914553347E-13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389.80719836281679</v>
      </c>
      <c r="T143" s="62">
        <f t="shared" si="142"/>
        <v>399.58193819355591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66.059408066981433</v>
      </c>
      <c r="AA143" s="23">
        <f>EXP(-LN(2)/25)*AA142+(1-EXP(-LN(2)/25))/(LN(2)/25)*Calculateur!V143*Calculateur!X143*VLOOKUP('Données projet'!$B$9,Paramètres!$A$1:$I$89,3,0)*0.475*44/12</f>
        <v>10.85482524949189</v>
      </c>
      <c r="AB143" s="23">
        <f>EXP(-LN(2)/2)*AB142+(1-EXP(-LN(2)/2))/(LN(2)/2)*V143*Y143*VLOOKUP('Données projet'!$B$9,Paramètres!$A$1:$I$89,3,0)*0.475*44/12</f>
        <v>1.7549599274091624E-9</v>
      </c>
      <c r="AC143" s="24">
        <f t="shared" si="111"/>
        <v>76.914233318228284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269.90083987531233</v>
      </c>
      <c r="AO143" s="62">
        <f t="shared" si="144"/>
        <v>183.4515835513518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45.494961926732316</v>
      </c>
      <c r="AV143" s="23">
        <f>EXP(-LN(2)/25)*AV142+(1-EXP(-LN(2)/25))/(LN(2)/25)*Calculateur!AQ143*Calculateur!AS143*VLOOKUP('Données projet'!$B$10,Paramètres!$A$1:$I$89,3,0)*0.475*44/12</f>
        <v>11.194164437523902</v>
      </c>
      <c r="AW143" s="23">
        <f>EXP(-LN(2)/2)*AW142+(1-EXP(-LN(2)/2))/(LN(2)/2)*AQ143*AT143*VLOOKUP('Données projet'!$B$10,Paramètres!$A$1:$I$89,3,0)*0.475*44/12</f>
        <v>5.9272380457680117E-8</v>
      </c>
      <c r="AX143" s="23">
        <f t="shared" si="114"/>
        <v>56.689126423528599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5.6843418860808015E-13</v>
      </c>
      <c r="BE143" s="14">
        <f>BD143*VLOOKUP('Données projet'!$B$11,Paramètres!$A$1:$I$89,3,0)*VLOOKUP('Données projet'!$B$11,Paramètres!$A$1:$I$89,5,0)</f>
        <v>2.7341684472048658E-13</v>
      </c>
      <c r="BF143" s="14">
        <f t="shared" si="145"/>
        <v>3.653683054157169E-12</v>
      </c>
      <c r="BG143" s="22">
        <f t="shared" si="115"/>
        <v>6.8396989905452503E-12</v>
      </c>
      <c r="BH143" s="62">
        <f t="shared" si="116"/>
        <v>293.33333333334014</v>
      </c>
      <c r="BI143" s="62">
        <f ca="1">AVERAGE(OFFSET($BH$3,0,0,'Données projet'!$E$11+1,1))-AVERAGE(OFFSET($H$3,0,0,'Données projet'!$E$11+1,1))</f>
        <v>255.64417186544995</v>
      </c>
      <c r="BJ143" s="62">
        <f t="shared" si="146"/>
        <v>165.41802783289376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184.74053256042052</v>
      </c>
      <c r="BQ143" s="23">
        <f>EXP(-LN(2)/25)*BQ142+(1-EXP(-LN(2)/25))/(LN(2)/25)*Calculateur!BL143*Calculateur!BN143*VLOOKUP('Données projet'!$B$11,Paramètres!$A$1:$I$89,3,0)*0.475*44/12</f>
        <v>29.083992189164999</v>
      </c>
      <c r="BR143" s="23">
        <f>EXP(-LN(2)/2)*BR142+(1-EXP(-LN(2)/2))/(LN(2)/2)*BL143*BO143*VLOOKUP('Données projet'!$B$11,Paramètres!$A$1:$I$89,3,0)*0.475*44/12</f>
        <v>0.44628182135809308</v>
      </c>
      <c r="BS143" s="24">
        <f t="shared" si="117"/>
        <v>214.27080657094362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465.49436272491818</v>
      </c>
      <c r="CE143" s="62">
        <f t="shared" si="148"/>
        <v>494.36941732405256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71.639075487048373</v>
      </c>
      <c r="CL143" s="23">
        <f>EXP(-LN(2)/25)*CL142+(1-EXP(-LN(2)/25))/(LN(2)/25)*Calculateur!CG143*Calculateur!CI143*VLOOKUP('Données projet'!$B$12,Paramètres!$A$1:$I$89,3,0)*0.475*44/12</f>
        <v>11.994585486915442</v>
      </c>
      <c r="CM143" s="23">
        <f>EXP(-LN(2)/2)*CM142+(1-EXP(-LN(2)/2))/(LN(2)/2)*CG143*CJ143*VLOOKUP('Données projet'!$B$12,Paramètres!$A$1:$I$89,3,0)*0.475*44/12</f>
        <v>1.9126013534944925E-9</v>
      </c>
      <c r="CN143" s="24">
        <f t="shared" si="120"/>
        <v>83.63366097587641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-6.8212102632969618E-13</v>
      </c>
      <c r="CU143" s="18">
        <f>CT143*VLOOKUP('Données projet'!$B$13,Paramètres!$A$1:$I$89,3,0)*VLOOKUP('Données projet'!$B$13,Paramètres!$A$1:$I$89,5,0)</f>
        <v>-4.0790837374515837E-13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361.46923697840384</v>
      </c>
      <c r="CZ143" s="62">
        <f t="shared" si="150"/>
        <v>302.25424592654673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54.16301504551847</v>
      </c>
      <c r="DG143" s="23">
        <f>EXP(-LN(2)/25)*DG142+(1-EXP(-LN(2)/25))/(LN(2)/25)*Calculateur!DB143*Calculateur!DD143*VLOOKUP('Données projet'!$B$13,Paramètres!$A$1:$I$89,3,0)*0.475*44/12</f>
        <v>12.174722309416888</v>
      </c>
      <c r="DH143" s="23">
        <f>EXP(-LN(2)/2)*DH142+(1-EXP(-LN(2)/2))/(LN(2)/2)*DB143*DE143*VLOOKUP('Données projet'!$B$13,Paramètres!$A$1:$I$89,3,0)*0.475*44/12</f>
        <v>1.9136528234237287E-8</v>
      </c>
      <c r="DI143" s="24">
        <f t="shared" si="123"/>
        <v>66.337737374071878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-4.5474735088646412E-13</v>
      </c>
      <c r="O144" s="14">
        <f>N144*VLOOKUP('Données projet'!$B$9,Paramètres!$A$1:$I$89,3,0)*VLOOKUP('Données projet'!$B$9,Paramètres!$A$1:$I$89,5,0)</f>
        <v>-2.5420376914553347E-13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389.80719836281679</v>
      </c>
      <c r="T144" s="62">
        <f t="shared" si="142"/>
        <v>399.58193819355591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64.764023367048324</v>
      </c>
      <c r="AA144" s="23">
        <f>EXP(-LN(2)/25)*AA143+(1-EXP(-LN(2)/25))/(LN(2)/25)*Calculateur!V144*Calculateur!X144*VLOOKUP('Données projet'!$B$9,Paramètres!$A$1:$I$89,3,0)*0.475*44/12</f>
        <v>10.557999482214084</v>
      </c>
      <c r="AB144" s="23">
        <f>EXP(-LN(2)/2)*AB143+(1-EXP(-LN(2)/2))/(LN(2)/2)*V144*Y144*VLOOKUP('Données projet'!$B$9,Paramètres!$A$1:$I$89,3,0)*0.475*44/12</f>
        <v>1.2409440653816699E-9</v>
      </c>
      <c r="AC144" s="24">
        <f t="shared" si="111"/>
        <v>75.322022850503359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269.90083987531233</v>
      </c>
      <c r="AO144" s="62">
        <f t="shared" si="144"/>
        <v>183.4515835513518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44.602833472535863</v>
      </c>
      <c r="AV144" s="23">
        <f>EXP(-LN(2)/25)*AV143+(1-EXP(-LN(2)/25))/(LN(2)/25)*Calculateur!AQ144*Calculateur!AS144*VLOOKUP('Données projet'!$B$10,Paramètres!$A$1:$I$89,3,0)*0.475*44/12</f>
        <v>10.888059422304288</v>
      </c>
      <c r="AW144" s="23">
        <f>EXP(-LN(2)/2)*AW143+(1-EXP(-LN(2)/2))/(LN(2)/2)*AQ144*AT144*VLOOKUP('Données projet'!$B$10,Paramètres!$A$1:$I$89,3,0)*0.475*44/12</f>
        <v>4.1911902158694614E-8</v>
      </c>
      <c r="AX144" s="23">
        <f t="shared" si="114"/>
        <v>55.490892936752054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5.6843418860808015E-13</v>
      </c>
      <c r="BE144" s="14">
        <f>BD144*VLOOKUP('Données projet'!$B$11,Paramètres!$A$1:$I$89,3,0)*VLOOKUP('Données projet'!$B$11,Paramètres!$A$1:$I$89,5,0)</f>
        <v>2.7341684472048658E-13</v>
      </c>
      <c r="BF144" s="14">
        <f t="shared" si="145"/>
        <v>3.653683054157169E-12</v>
      </c>
      <c r="BG144" s="22">
        <f t="shared" si="115"/>
        <v>6.8396989905452503E-12</v>
      </c>
      <c r="BH144" s="62">
        <f t="shared" si="116"/>
        <v>293.33333333334014</v>
      </c>
      <c r="BI144" s="62">
        <f ca="1">AVERAGE(OFFSET($BH$3,0,0,'Données projet'!$E$11+1,1))-AVERAGE(OFFSET($H$3,0,0,'Données projet'!$E$11+1,1))</f>
        <v>255.64417186544995</v>
      </c>
      <c r="BJ144" s="62">
        <f t="shared" si="146"/>
        <v>165.41802783289376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181.11788339750925</v>
      </c>
      <c r="BQ144" s="23">
        <f>EXP(-LN(2)/25)*BQ143+(1-EXP(-LN(2)/25))/(LN(2)/25)*Calculateur!BL144*Calculateur!BN144*VLOOKUP('Données projet'!$B$11,Paramètres!$A$1:$I$89,3,0)*0.475*44/12</f>
        <v>28.288688893291607</v>
      </c>
      <c r="BR144" s="23">
        <f>EXP(-LN(2)/2)*BR143+(1-EXP(-LN(2)/2))/(LN(2)/2)*BL144*BO144*VLOOKUP('Données projet'!$B$11,Paramètres!$A$1:$I$89,3,0)*0.475*44/12</f>
        <v>0.31556890220259104</v>
      </c>
      <c r="BS144" s="24">
        <f t="shared" si="117"/>
        <v>209.72214119300344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465.49436272491818</v>
      </c>
      <c r="CE144" s="62">
        <f t="shared" si="148"/>
        <v>494.36941732405256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70.234276912268825</v>
      </c>
      <c r="CL144" s="23">
        <f>EXP(-LN(2)/25)*CL143+(1-EXP(-LN(2)/25))/(LN(2)/25)*Calculateur!CG144*Calculateur!CI144*VLOOKUP('Données projet'!$B$12,Paramètres!$A$1:$I$89,3,0)*0.475*44/12</f>
        <v>11.666592916007902</v>
      </c>
      <c r="CM144" s="23">
        <f>EXP(-LN(2)/2)*CM143+(1-EXP(-LN(2)/2))/(LN(2)/2)*CG144*CJ144*VLOOKUP('Données projet'!$B$12,Paramètres!$A$1:$I$89,3,0)*0.475*44/12</f>
        <v>1.3524133867625248E-9</v>
      </c>
      <c r="CN144" s="24">
        <f t="shared" si="120"/>
        <v>81.900869829629144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-6.8212102632969618E-13</v>
      </c>
      <c r="CU144" s="18">
        <f>CT144*VLOOKUP('Données projet'!$B$13,Paramètres!$A$1:$I$89,3,0)*VLOOKUP('Données projet'!$B$13,Paramètres!$A$1:$I$89,5,0)</f>
        <v>-4.0790837374515837E-13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361.46923697840384</v>
      </c>
      <c r="CZ144" s="62">
        <f t="shared" si="150"/>
        <v>302.25424592654673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53.100911356652979</v>
      </c>
      <c r="DG144" s="23">
        <f>EXP(-LN(2)/25)*DG143+(1-EXP(-LN(2)/25))/(LN(2)/25)*Calculateur!DB144*Calculateur!DD144*VLOOKUP('Données projet'!$B$13,Paramètres!$A$1:$I$89,3,0)*0.475*44/12</f>
        <v>11.841803887625062</v>
      </c>
      <c r="DH144" s="23">
        <f>EXP(-LN(2)/2)*DH143+(1-EXP(-LN(2)/2))/(LN(2)/2)*DB144*DE144*VLOOKUP('Données projet'!$B$13,Paramètres!$A$1:$I$89,3,0)*0.475*44/12</f>
        <v>1.3531568882797014E-8</v>
      </c>
      <c r="DI144" s="24">
        <f t="shared" si="123"/>
        <v>64.942715257809624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-4.5474735088646412E-13</v>
      </c>
      <c r="O145" s="14">
        <f>N145*VLOOKUP('Données projet'!$B$9,Paramètres!$A$1:$I$89,3,0)*VLOOKUP('Données projet'!$B$9,Paramètres!$A$1:$I$89,5,0)</f>
        <v>-2.5420376914553347E-13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389.80719836281679</v>
      </c>
      <c r="T145" s="62">
        <f t="shared" si="142"/>
        <v>399.58193819355591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63.494040370974247</v>
      </c>
      <c r="AA145" s="23">
        <f>EXP(-LN(2)/25)*AA144+(1-EXP(-LN(2)/25))/(LN(2)/25)*Calculateur!V145*Calculateur!X145*VLOOKUP('Données projet'!$B$9,Paramètres!$A$1:$I$89,3,0)*0.475*44/12</f>
        <v>10.269290431151878</v>
      </c>
      <c r="AB145" s="23">
        <f>EXP(-LN(2)/2)*AB144+(1-EXP(-LN(2)/2))/(LN(2)/2)*V145*Y145*VLOOKUP('Données projet'!$B$9,Paramètres!$A$1:$I$89,3,0)*0.475*44/12</f>
        <v>8.7747996370458119E-10</v>
      </c>
      <c r="AC145" s="24">
        <f t="shared" si="111"/>
        <v>73.763330803003598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269.90083987531233</v>
      </c>
      <c r="AO145" s="62">
        <f t="shared" si="144"/>
        <v>183.4515835513518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43.728199113181581</v>
      </c>
      <c r="AV145" s="23">
        <f>EXP(-LN(2)/25)*AV144+(1-EXP(-LN(2)/25))/(LN(2)/25)*Calculateur!AQ145*Calculateur!AS145*VLOOKUP('Données projet'!$B$10,Paramètres!$A$1:$I$89,3,0)*0.475*44/12</f>
        <v>10.590324864823216</v>
      </c>
      <c r="AW145" s="23">
        <f>EXP(-LN(2)/2)*AW144+(1-EXP(-LN(2)/2))/(LN(2)/2)*AQ145*AT145*VLOOKUP('Données projet'!$B$10,Paramètres!$A$1:$I$89,3,0)*0.475*44/12</f>
        <v>2.9636190228840065E-8</v>
      </c>
      <c r="AX145" s="23">
        <f t="shared" si="114"/>
        <v>54.318524007640988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5.6843418860808015E-13</v>
      </c>
      <c r="BE145" s="14">
        <f>BD145*VLOOKUP('Données projet'!$B$11,Paramètres!$A$1:$I$89,3,0)*VLOOKUP('Données projet'!$B$11,Paramètres!$A$1:$I$89,5,0)</f>
        <v>2.7341684472048658E-13</v>
      </c>
      <c r="BF145" s="14">
        <f t="shared" si="145"/>
        <v>3.653683054157169E-12</v>
      </c>
      <c r="BG145" s="22">
        <f t="shared" si="115"/>
        <v>6.8396989905452503E-12</v>
      </c>
      <c r="BH145" s="62">
        <f t="shared" si="116"/>
        <v>293.33333333334014</v>
      </c>
      <c r="BI145" s="62">
        <f ca="1">AVERAGE(OFFSET($BH$3,0,0,'Données projet'!$E$11+1,1))-AVERAGE(OFFSET($H$3,0,0,'Données projet'!$E$11+1,1))</f>
        <v>255.64417186544995</v>
      </c>
      <c r="BJ145" s="62">
        <f t="shared" si="146"/>
        <v>165.41802783289376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177.56627217508486</v>
      </c>
      <c r="BQ145" s="23">
        <f>EXP(-LN(2)/25)*BQ144+(1-EXP(-LN(2)/25))/(LN(2)/25)*Calculateur!BL145*Calculateur!BN145*VLOOKUP('Données projet'!$B$11,Paramètres!$A$1:$I$89,3,0)*0.475*44/12</f>
        <v>27.515133207867052</v>
      </c>
      <c r="BR145" s="23">
        <f>EXP(-LN(2)/2)*BR144+(1-EXP(-LN(2)/2))/(LN(2)/2)*BL145*BO145*VLOOKUP('Données projet'!$B$11,Paramètres!$A$1:$I$89,3,0)*0.475*44/12</f>
        <v>0.22314091067904657</v>
      </c>
      <c r="BS145" s="24">
        <f t="shared" si="117"/>
        <v>205.30454629363095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465.49436272491818</v>
      </c>
      <c r="CE145" s="62">
        <f t="shared" si="148"/>
        <v>494.36941732405256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68.857025580698178</v>
      </c>
      <c r="CL145" s="23">
        <f>EXP(-LN(2)/25)*CL144+(1-EXP(-LN(2)/25))/(LN(2)/25)*Calculateur!CG145*Calculateur!CI145*VLOOKUP('Données projet'!$B$12,Paramètres!$A$1:$I$89,3,0)*0.475*44/12</f>
        <v>11.347569319200209</v>
      </c>
      <c r="CM145" s="23">
        <f>EXP(-LN(2)/2)*CM144+(1-EXP(-LN(2)/2))/(LN(2)/2)*CG145*CJ145*VLOOKUP('Données projet'!$B$12,Paramètres!$A$1:$I$89,3,0)*0.475*44/12</f>
        <v>9.5630067674724627E-10</v>
      </c>
      <c r="CN145" s="24">
        <f t="shared" si="120"/>
        <v>80.204594900854687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-6.8212102632969618E-13</v>
      </c>
      <c r="CU145" s="18">
        <f>CT145*VLOOKUP('Données projet'!$B$13,Paramètres!$A$1:$I$89,3,0)*VLOOKUP('Données projet'!$B$13,Paramètres!$A$1:$I$89,5,0)</f>
        <v>-4.0790837374515837E-13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361.46923697840384</v>
      </c>
      <c r="CZ145" s="62">
        <f t="shared" si="150"/>
        <v>302.25424592654673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52.059634873306855</v>
      </c>
      <c r="DG145" s="23">
        <f>EXP(-LN(2)/25)*DG144+(1-EXP(-LN(2)/25))/(LN(2)/25)*Calculateur!DB145*Calculateur!DD145*VLOOKUP('Données projet'!$B$13,Paramètres!$A$1:$I$89,3,0)*0.475*44/12</f>
        <v>11.517989137584554</v>
      </c>
      <c r="DH145" s="23">
        <f>EXP(-LN(2)/2)*DH144+(1-EXP(-LN(2)/2))/(LN(2)/2)*DB145*DE145*VLOOKUP('Données projet'!$B$13,Paramètres!$A$1:$I$89,3,0)*0.475*44/12</f>
        <v>9.5682641171186433E-9</v>
      </c>
      <c r="DI145" s="24">
        <f t="shared" si="123"/>
        <v>63.577624020459673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-4.5474735088646412E-13</v>
      </c>
      <c r="O146" s="14">
        <f>N146*VLOOKUP('Données projet'!$B$9,Paramètres!$A$1:$I$89,3,0)*VLOOKUP('Données projet'!$B$9,Paramètres!$A$1:$I$89,5,0)</f>
        <v>-2.5420376914553347E-13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389.80719836281679</v>
      </c>
      <c r="T146" s="62">
        <f t="shared" si="142"/>
        <v>399.58193819355591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62.248960966840038</v>
      </c>
      <c r="AA146" s="23">
        <f>EXP(-LN(2)/25)*AA145+(1-EXP(-LN(2)/25))/(LN(2)/25)*Calculateur!V146*Calculateur!X146*VLOOKUP('Données projet'!$B$9,Paramètres!$A$1:$I$89,3,0)*0.475*44/12</f>
        <v>9.9884761442735179</v>
      </c>
      <c r="AB146" s="23">
        <f>EXP(-LN(2)/2)*AB145+(1-EXP(-LN(2)/2))/(LN(2)/2)*V146*Y146*VLOOKUP('Données projet'!$B$9,Paramètres!$A$1:$I$89,3,0)*0.475*44/12</f>
        <v>6.2047203269083495E-10</v>
      </c>
      <c r="AC146" s="24">
        <f t="shared" si="111"/>
        <v>72.237437111734025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269.90083987531233</v>
      </c>
      <c r="AO146" s="62">
        <f t="shared" si="144"/>
        <v>183.4515835513518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42.870715800139948</v>
      </c>
      <c r="AV146" s="23">
        <f>EXP(-LN(2)/25)*AV145+(1-EXP(-LN(2)/25))/(LN(2)/25)*Calculateur!AQ146*Calculateur!AS146*VLOOKUP('Données projet'!$B$10,Paramètres!$A$1:$I$89,3,0)*0.475*44/12</f>
        <v>10.300731874473646</v>
      </c>
      <c r="AW146" s="23">
        <f>EXP(-LN(2)/2)*AW145+(1-EXP(-LN(2)/2))/(LN(2)/2)*AQ146*AT146*VLOOKUP('Données projet'!$B$10,Paramètres!$A$1:$I$89,3,0)*0.475*44/12</f>
        <v>2.095595107934731E-8</v>
      </c>
      <c r="AX146" s="23">
        <f t="shared" si="114"/>
        <v>53.171447695569547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5.6843418860808015E-13</v>
      </c>
      <c r="BE146" s="14">
        <f>BD146*VLOOKUP('Données projet'!$B$11,Paramètres!$A$1:$I$89,3,0)*VLOOKUP('Données projet'!$B$11,Paramètres!$A$1:$I$89,5,0)</f>
        <v>2.7341684472048658E-13</v>
      </c>
      <c r="BF146" s="14">
        <f t="shared" si="145"/>
        <v>3.653683054157169E-12</v>
      </c>
      <c r="BG146" s="22">
        <f t="shared" si="115"/>
        <v>6.8396989905452503E-12</v>
      </c>
      <c r="BH146" s="62">
        <f t="shared" si="116"/>
        <v>293.33333333334014</v>
      </c>
      <c r="BI146" s="62">
        <f ca="1">AVERAGE(OFFSET($BH$3,0,0,'Données projet'!$E$11+1,1))-AVERAGE(OFFSET($H$3,0,0,'Données projet'!$E$11+1,1))</f>
        <v>255.64417186544995</v>
      </c>
      <c r="BJ146" s="62">
        <f t="shared" si="146"/>
        <v>165.41802783289376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174.08430588246327</v>
      </c>
      <c r="BQ146" s="23">
        <f>EXP(-LN(2)/25)*BQ145+(1-EXP(-LN(2)/25))/(LN(2)/25)*Calculateur!BL146*Calculateur!BN146*VLOOKUP('Données projet'!$B$11,Paramètres!$A$1:$I$89,3,0)*0.475*44/12</f>
        <v>26.762730443339958</v>
      </c>
      <c r="BR146" s="23">
        <f>EXP(-LN(2)/2)*BR145+(1-EXP(-LN(2)/2))/(LN(2)/2)*BL146*BO146*VLOOKUP('Données projet'!$B$11,Paramètres!$A$1:$I$89,3,0)*0.475*44/12</f>
        <v>0.15778445110129555</v>
      </c>
      <c r="BS146" s="24">
        <f t="shared" si="117"/>
        <v>201.00482077690452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465.49436272491818</v>
      </c>
      <c r="CE146" s="62">
        <f t="shared" si="148"/>
        <v>494.36941732405256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67.506781307699271</v>
      </c>
      <c r="CL146" s="23">
        <f>EXP(-LN(2)/25)*CL145+(1-EXP(-LN(2)/25))/(LN(2)/25)*Calculateur!CG146*Calculateur!CI146*VLOOKUP('Données projet'!$B$12,Paramètres!$A$1:$I$89,3,0)*0.475*44/12</f>
        <v>11.037269439423945</v>
      </c>
      <c r="CM146" s="23">
        <f>EXP(-LN(2)/2)*CM145+(1-EXP(-LN(2)/2))/(LN(2)/2)*CG146*CJ146*VLOOKUP('Données projet'!$B$12,Paramètres!$A$1:$I$89,3,0)*0.475*44/12</f>
        <v>6.7620669338126239E-10</v>
      </c>
      <c r="CN146" s="24">
        <f t="shared" si="120"/>
        <v>78.544050747799417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-6.8212102632969618E-13</v>
      </c>
      <c r="CU146" s="18">
        <f>CT146*VLOOKUP('Données projet'!$B$13,Paramètres!$A$1:$I$89,3,0)*VLOOKUP('Données projet'!$B$13,Paramètres!$A$1:$I$89,5,0)</f>
        <v>-4.0790837374515837E-13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361.46923697840384</v>
      </c>
      <c r="CZ146" s="62">
        <f t="shared" si="150"/>
        <v>302.25424592654673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51.038777186683205</v>
      </c>
      <c r="DG146" s="23">
        <f>EXP(-LN(2)/25)*DG145+(1-EXP(-LN(2)/25))/(LN(2)/25)*Calculateur!DB146*Calculateur!DD146*VLOOKUP('Données projet'!$B$13,Paramètres!$A$1:$I$89,3,0)*0.475*44/12</f>
        <v>11.20302911891258</v>
      </c>
      <c r="DH146" s="23">
        <f>EXP(-LN(2)/2)*DH145+(1-EXP(-LN(2)/2))/(LN(2)/2)*DB146*DE146*VLOOKUP('Données projet'!$B$13,Paramètres!$A$1:$I$89,3,0)*0.475*44/12</f>
        <v>6.7657844413985069E-9</v>
      </c>
      <c r="DI146" s="24">
        <f t="shared" si="123"/>
        <v>62.241806312361575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-4.5474735088646412E-13</v>
      </c>
      <c r="O147" s="14">
        <f>N147*VLOOKUP('Données projet'!$B$9,Paramètres!$A$1:$I$89,3,0)*VLOOKUP('Données projet'!$B$9,Paramètres!$A$1:$I$89,5,0)</f>
        <v>-2.5420376914553347E-13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389.80719836281679</v>
      </c>
      <c r="T147" s="62">
        <f t="shared" si="142"/>
        <v>399.58193819355591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61.028296810397457</v>
      </c>
      <c r="AA147" s="23">
        <f>EXP(-LN(2)/25)*AA146+(1-EXP(-LN(2)/25))/(LN(2)/25)*Calculateur!V147*Calculateur!X147*VLOOKUP('Données projet'!$B$9,Paramètres!$A$1:$I$89,3,0)*0.475*44/12</f>
        <v>9.7153407388372273</v>
      </c>
      <c r="AB147" s="23">
        <f>EXP(-LN(2)/2)*AB146+(1-EXP(-LN(2)/2))/(LN(2)/2)*V147*Y147*VLOOKUP('Données projet'!$B$9,Paramètres!$A$1:$I$89,3,0)*0.475*44/12</f>
        <v>4.3873998185229059E-10</v>
      </c>
      <c r="AC147" s="24">
        <f t="shared" si="111"/>
        <v>70.743637549673423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269.90083987531233</v>
      </c>
      <c r="AO147" s="62">
        <f t="shared" si="144"/>
        <v>183.4515835513518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42.030047211853883</v>
      </c>
      <c r="AV147" s="23">
        <f>EXP(-LN(2)/25)*AV146+(1-EXP(-LN(2)/25))/(LN(2)/25)*Calculateur!AQ147*Calculateur!AS147*VLOOKUP('Données projet'!$B$10,Paramètres!$A$1:$I$89,3,0)*0.475*44/12</f>
        <v>10.019057819674218</v>
      </c>
      <c r="AW147" s="23">
        <f>EXP(-LN(2)/2)*AW146+(1-EXP(-LN(2)/2))/(LN(2)/2)*AQ147*AT147*VLOOKUP('Données projet'!$B$10,Paramètres!$A$1:$I$89,3,0)*0.475*44/12</f>
        <v>1.4818095114420034E-8</v>
      </c>
      <c r="AX147" s="23">
        <f t="shared" si="114"/>
        <v>52.049105046346192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5.6843418860808015E-13</v>
      </c>
      <c r="BE147" s="14">
        <f>BD147*VLOOKUP('Données projet'!$B$11,Paramètres!$A$1:$I$89,3,0)*VLOOKUP('Données projet'!$B$11,Paramètres!$A$1:$I$89,5,0)</f>
        <v>2.7341684472048658E-13</v>
      </c>
      <c r="BF147" s="14">
        <f t="shared" si="145"/>
        <v>3.653683054157169E-12</v>
      </c>
      <c r="BG147" s="22">
        <f t="shared" si="115"/>
        <v>6.8396989905452503E-12</v>
      </c>
      <c r="BH147" s="62">
        <f t="shared" si="116"/>
        <v>293.33333333334014</v>
      </c>
      <c r="BI147" s="62">
        <f ca="1">AVERAGE(OFFSET($BH$3,0,0,'Données projet'!$E$11+1,1))-AVERAGE(OFFSET($H$3,0,0,'Données projet'!$E$11+1,1))</f>
        <v>255.64417186544995</v>
      </c>
      <c r="BJ147" s="62">
        <f t="shared" si="146"/>
        <v>165.41802783289376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170.67061882505027</v>
      </c>
      <c r="BQ147" s="23">
        <f>EXP(-LN(2)/25)*BQ146+(1-EXP(-LN(2)/25))/(LN(2)/25)*Calculateur!BL147*Calculateur!BN147*VLOOKUP('Données projet'!$B$11,Paramètres!$A$1:$I$89,3,0)*0.475*44/12</f>
        <v>26.030902171975999</v>
      </c>
      <c r="BR147" s="23">
        <f>EXP(-LN(2)/2)*BR146+(1-EXP(-LN(2)/2))/(LN(2)/2)*BL147*BO147*VLOOKUP('Données projet'!$B$11,Paramètres!$A$1:$I$89,3,0)*0.475*44/12</f>
        <v>0.11157045533952331</v>
      </c>
      <c r="BS147" s="24">
        <f t="shared" si="117"/>
        <v>196.8130914523658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465.49436272491818</v>
      </c>
      <c r="CE147" s="62">
        <f t="shared" si="148"/>
        <v>494.36941732405256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66.183014501326184</v>
      </c>
      <c r="CL147" s="23">
        <f>EXP(-LN(2)/25)*CL146+(1-EXP(-LN(2)/25))/(LN(2)/25)*Calculateur!CG147*Calculateur!CI147*VLOOKUP('Données projet'!$B$12,Paramètres!$A$1:$I$89,3,0)*0.475*44/12</f>
        <v>10.735454726178123</v>
      </c>
      <c r="CM147" s="23">
        <f>EXP(-LN(2)/2)*CM146+(1-EXP(-LN(2)/2))/(LN(2)/2)*CG147*CJ147*VLOOKUP('Données projet'!$B$12,Paramètres!$A$1:$I$89,3,0)*0.475*44/12</f>
        <v>4.7815033837362314E-10</v>
      </c>
      <c r="CN147" s="24">
        <f t="shared" si="120"/>
        <v>76.918469227982456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-6.8212102632969618E-13</v>
      </c>
      <c r="CU147" s="18">
        <f>CT147*VLOOKUP('Données projet'!$B$13,Paramètres!$A$1:$I$89,3,0)*VLOOKUP('Données projet'!$B$13,Paramètres!$A$1:$I$89,5,0)</f>
        <v>-4.0790837374515837E-13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361.46923697840384</v>
      </c>
      <c r="CZ147" s="62">
        <f t="shared" si="150"/>
        <v>302.25424592654673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50.037937896632542</v>
      </c>
      <c r="DG147" s="23">
        <f>EXP(-LN(2)/25)*DG146+(1-EXP(-LN(2)/25))/(LN(2)/25)*Calculateur!DB147*Calculateur!DD147*VLOOKUP('Données projet'!$B$13,Paramètres!$A$1:$I$89,3,0)*0.475*44/12</f>
        <v>10.89668169851422</v>
      </c>
      <c r="DH147" s="23">
        <f>EXP(-LN(2)/2)*DH146+(1-EXP(-LN(2)/2))/(LN(2)/2)*DB147*DE147*VLOOKUP('Données projet'!$B$13,Paramètres!$A$1:$I$89,3,0)*0.475*44/12</f>
        <v>4.7841320585593216E-9</v>
      </c>
      <c r="DI147" s="24">
        <f t="shared" si="123"/>
        <v>60.934619599930897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-4.5474735088646412E-13</v>
      </c>
      <c r="O148" s="14">
        <f>N148*VLOOKUP('Données projet'!$B$9,Paramètres!$A$1:$I$89,3,0)*VLOOKUP('Données projet'!$B$9,Paramètres!$A$1:$I$89,5,0)</f>
        <v>-2.5420376914553347E-13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389.80719836281679</v>
      </c>
      <c r="T148" s="62">
        <f t="shared" si="142"/>
        <v>399.58193819355591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59.83156913353109</v>
      </c>
      <c r="AA148" s="23">
        <f>EXP(-LN(2)/25)*AA147+(1-EXP(-LN(2)/25))/(LN(2)/25)*Calculateur!V148*Calculateur!X148*VLOOKUP('Données projet'!$B$9,Paramètres!$A$1:$I$89,3,0)*0.475*44/12</f>
        <v>9.4496742354261585</v>
      </c>
      <c r="AB148" s="23">
        <f>EXP(-LN(2)/2)*AB147+(1-EXP(-LN(2)/2))/(LN(2)/2)*V148*Y148*VLOOKUP('Données projet'!$B$9,Paramètres!$A$1:$I$89,3,0)*0.475*44/12</f>
        <v>3.1023601634541747E-10</v>
      </c>
      <c r="AC148" s="24">
        <f t="shared" si="111"/>
        <v>69.281243369267486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269.90083987531233</v>
      </c>
      <c r="AO148" s="62">
        <f t="shared" si="144"/>
        <v>183.4515835513518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41.2058636218269</v>
      </c>
      <c r="AV148" s="23">
        <f>EXP(-LN(2)/25)*AV147+(1-EXP(-LN(2)/25))/(LN(2)/25)*Calculateur!AQ148*Calculateur!AS148*VLOOKUP('Données projet'!$B$10,Paramètres!$A$1:$I$89,3,0)*0.475*44/12</f>
        <v>9.7450861567158746</v>
      </c>
      <c r="AW148" s="23">
        <f>EXP(-LN(2)/2)*AW147+(1-EXP(-LN(2)/2))/(LN(2)/2)*AQ148*AT148*VLOOKUP('Données projet'!$B$10,Paramètres!$A$1:$I$89,3,0)*0.475*44/12</f>
        <v>1.0477975539673657E-8</v>
      </c>
      <c r="AX148" s="23">
        <f t="shared" si="114"/>
        <v>50.950949789020754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5.6843418860808015E-13</v>
      </c>
      <c r="BE148" s="14">
        <f>BD148*VLOOKUP('Données projet'!$B$11,Paramètres!$A$1:$I$89,3,0)*VLOOKUP('Données projet'!$B$11,Paramètres!$A$1:$I$89,5,0)</f>
        <v>2.7341684472048658E-13</v>
      </c>
      <c r="BF148" s="14">
        <f t="shared" si="145"/>
        <v>3.653683054157169E-12</v>
      </c>
      <c r="BG148" s="22">
        <f t="shared" si="115"/>
        <v>6.8396989905452503E-12</v>
      </c>
      <c r="BH148" s="62">
        <f t="shared" si="116"/>
        <v>293.33333333334014</v>
      </c>
      <c r="BI148" s="62">
        <f ca="1">AVERAGE(OFFSET($BH$3,0,0,'Données projet'!$E$11+1,1))-AVERAGE(OFFSET($H$3,0,0,'Données projet'!$E$11+1,1))</f>
        <v>255.64417186544995</v>
      </c>
      <c r="BJ148" s="62">
        <f t="shared" si="146"/>
        <v>165.41802783289376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167.32387208868963</v>
      </c>
      <c r="BQ148" s="23">
        <f>EXP(-LN(2)/25)*BQ147+(1-EXP(-LN(2)/25))/(LN(2)/25)*Calculateur!BL148*Calculateur!BN148*VLOOKUP('Données projet'!$B$11,Paramètres!$A$1:$I$89,3,0)*0.475*44/12</f>
        <v>25.319085783177666</v>
      </c>
      <c r="BR148" s="23">
        <f>EXP(-LN(2)/2)*BR147+(1-EXP(-LN(2)/2))/(LN(2)/2)*BL148*BO148*VLOOKUP('Données projet'!$B$11,Paramètres!$A$1:$I$89,3,0)*0.475*44/12</f>
        <v>7.8892225550647788E-2</v>
      </c>
      <c r="BS148" s="24">
        <f t="shared" si="117"/>
        <v>192.72185009741793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465.49436272491818</v>
      </c>
      <c r="CE148" s="62">
        <f t="shared" si="148"/>
        <v>494.36941732405256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64.885205954608054</v>
      </c>
      <c r="CL148" s="23">
        <f>EXP(-LN(2)/25)*CL147+(1-EXP(-LN(2)/25))/(LN(2)/25)*Calculateur!CG148*Calculateur!CI148*VLOOKUP('Données projet'!$B$12,Paramètres!$A$1:$I$89,3,0)*0.475*44/12</f>
        <v>10.441893152137753</v>
      </c>
      <c r="CM148" s="23">
        <f>EXP(-LN(2)/2)*CM147+(1-EXP(-LN(2)/2))/(LN(2)/2)*CG148*CJ148*VLOOKUP('Données projet'!$B$12,Paramètres!$A$1:$I$89,3,0)*0.475*44/12</f>
        <v>3.3810334669063119E-10</v>
      </c>
      <c r="CN148" s="24">
        <f t="shared" si="120"/>
        <v>75.32709910708391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-6.8212102632969618E-13</v>
      </c>
      <c r="CU148" s="18">
        <f>CT148*VLOOKUP('Données projet'!$B$13,Paramètres!$A$1:$I$89,3,0)*VLOOKUP('Données projet'!$B$13,Paramètres!$A$1:$I$89,5,0)</f>
        <v>-4.0790837374515837E-13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361.46923697840384</v>
      </c>
      <c r="CZ148" s="62">
        <f t="shared" si="150"/>
        <v>302.25424592654673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49.05672445460808</v>
      </c>
      <c r="DG148" s="23">
        <f>EXP(-LN(2)/25)*DG147+(1-EXP(-LN(2)/25))/(LN(2)/25)*Calculateur!DB148*Calculateur!DD148*VLOOKUP('Données projet'!$B$13,Paramètres!$A$1:$I$89,3,0)*0.475*44/12</f>
        <v>10.598711364436763</v>
      </c>
      <c r="DH148" s="23">
        <f>EXP(-LN(2)/2)*DH147+(1-EXP(-LN(2)/2))/(LN(2)/2)*DB148*DE148*VLOOKUP('Données projet'!$B$13,Paramètres!$A$1:$I$89,3,0)*0.475*44/12</f>
        <v>3.3828922206992535E-9</v>
      </c>
      <c r="DI148" s="24">
        <f t="shared" si="123"/>
        <v>59.655435822427734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-4.5474735088646412E-13</v>
      </c>
      <c r="O149" s="14">
        <f>N149*VLOOKUP('Données projet'!$B$9,Paramètres!$A$1:$I$89,3,0)*VLOOKUP('Données projet'!$B$9,Paramètres!$A$1:$I$89,5,0)</f>
        <v>-2.5420376914553347E-13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389.80719836281679</v>
      </c>
      <c r="T149" s="62">
        <f t="shared" si="142"/>
        <v>399.58193819355591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58.658308556476271</v>
      </c>
      <c r="AA149" s="23">
        <f>EXP(-LN(2)/25)*AA148+(1-EXP(-LN(2)/25))/(LN(2)/25)*Calculateur!V149*Calculateur!X149*VLOOKUP('Données projet'!$B$9,Paramètres!$A$1:$I$89,3,0)*0.475*44/12</f>
        <v>9.1912723965216596</v>
      </c>
      <c r="AB149" s="23">
        <f>EXP(-LN(2)/2)*AB148+(1-EXP(-LN(2)/2))/(LN(2)/2)*V149*Y149*VLOOKUP('Données projet'!$B$9,Paramètres!$A$1:$I$89,3,0)*0.475*44/12</f>
        <v>2.193699909261453E-10</v>
      </c>
      <c r="AC149" s="24">
        <f t="shared" si="111"/>
        <v>67.849580953217298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269.90083987531233</v>
      </c>
      <c r="AO149" s="62">
        <f t="shared" si="144"/>
        <v>183.4515835513518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40.397841769297997</v>
      </c>
      <c r="AV149" s="23">
        <f>EXP(-LN(2)/25)*AV148+(1-EXP(-LN(2)/25))/(LN(2)/25)*Calculateur!AQ149*Calculateur!AS149*VLOOKUP('Données projet'!$B$10,Paramètres!$A$1:$I$89,3,0)*0.475*44/12</f>
        <v>9.4786062632886701</v>
      </c>
      <c r="AW149" s="23">
        <f>EXP(-LN(2)/2)*AW148+(1-EXP(-LN(2)/2))/(LN(2)/2)*AQ149*AT149*VLOOKUP('Données projet'!$B$10,Paramètres!$A$1:$I$89,3,0)*0.475*44/12</f>
        <v>7.4090475572100179E-9</v>
      </c>
      <c r="AX149" s="23">
        <f t="shared" si="114"/>
        <v>49.876448039995715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5.6843418860808015E-13</v>
      </c>
      <c r="BE149" s="14">
        <f>BD149*VLOOKUP('Données projet'!$B$11,Paramètres!$A$1:$I$89,3,0)*VLOOKUP('Données projet'!$B$11,Paramètres!$A$1:$I$89,5,0)</f>
        <v>2.7341684472048658E-13</v>
      </c>
      <c r="BF149" s="14">
        <f t="shared" si="145"/>
        <v>3.653683054157169E-12</v>
      </c>
      <c r="BG149" s="22">
        <f t="shared" si="115"/>
        <v>6.8396989905452503E-12</v>
      </c>
      <c r="BH149" s="62">
        <f t="shared" si="116"/>
        <v>293.33333333334014</v>
      </c>
      <c r="BI149" s="62">
        <f ca="1">AVERAGE(OFFSET($BH$3,0,0,'Données projet'!$E$11+1,1))-AVERAGE(OFFSET($H$3,0,0,'Données projet'!$E$11+1,1))</f>
        <v>255.64417186544995</v>
      </c>
      <c r="BJ149" s="62">
        <f t="shared" si="146"/>
        <v>165.41802783289376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164.04275301451506</v>
      </c>
      <c r="BQ149" s="23">
        <f>EXP(-LN(2)/25)*BQ148+(1-EXP(-LN(2)/25))/(LN(2)/25)*Calculateur!BL149*Calculateur!BN149*VLOOKUP('Données projet'!$B$11,Paramètres!$A$1:$I$89,3,0)*0.475*44/12</f>
        <v>24.626734050963819</v>
      </c>
      <c r="BR149" s="23">
        <f>EXP(-LN(2)/2)*BR148+(1-EXP(-LN(2)/2))/(LN(2)/2)*BL149*BO149*VLOOKUP('Données projet'!$B$11,Paramètres!$A$1:$I$89,3,0)*0.475*44/12</f>
        <v>5.5785227669761663E-2</v>
      </c>
      <c r="BS149" s="24">
        <f t="shared" si="117"/>
        <v>188.72527229314863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465.49436272491818</v>
      </c>
      <c r="CE149" s="62">
        <f t="shared" si="148"/>
        <v>494.36941732405256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63.61284664190601</v>
      </c>
      <c r="CL149" s="23">
        <f>EXP(-LN(2)/25)*CL148+(1-EXP(-LN(2)/25))/(LN(2)/25)*Calculateur!CG149*Calculateur!CI149*VLOOKUP('Données projet'!$B$12,Paramètres!$A$1:$I$89,3,0)*0.475*44/12</f>
        <v>10.156359034777251</v>
      </c>
      <c r="CM149" s="23">
        <f>EXP(-LN(2)/2)*CM148+(1-EXP(-LN(2)/2))/(LN(2)/2)*CG149*CJ149*VLOOKUP('Données projet'!$B$12,Paramètres!$A$1:$I$89,3,0)*0.475*44/12</f>
        <v>2.3907516918681157E-10</v>
      </c>
      <c r="CN149" s="24">
        <f t="shared" si="120"/>
        <v>73.769205676922326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-6.8212102632969618E-13</v>
      </c>
      <c r="CU149" s="18">
        <f>CT149*VLOOKUP('Données projet'!$B$13,Paramètres!$A$1:$I$89,3,0)*VLOOKUP('Données projet'!$B$13,Paramètres!$A$1:$I$89,5,0)</f>
        <v>-4.0790837374515837E-13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361.46923697840384</v>
      </c>
      <c r="CZ149" s="62">
        <f t="shared" si="150"/>
        <v>302.25424592654673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48.094752009700613</v>
      </c>
      <c r="DG149" s="23">
        <f>EXP(-LN(2)/25)*DG148+(1-EXP(-LN(2)/25))/(LN(2)/25)*Calculateur!DB149*Calculateur!DD149*VLOOKUP('Données projet'!$B$13,Paramètres!$A$1:$I$89,3,0)*0.475*44/12</f>
        <v>10.308889044814233</v>
      </c>
      <c r="DH149" s="23">
        <f>EXP(-LN(2)/2)*DH148+(1-EXP(-LN(2)/2))/(LN(2)/2)*DB149*DE149*VLOOKUP('Données projet'!$B$13,Paramètres!$A$1:$I$89,3,0)*0.475*44/12</f>
        <v>2.3920660292796608E-9</v>
      </c>
      <c r="DI149" s="24">
        <f t="shared" si="123"/>
        <v>58.403641056906913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-4.5474735088646412E-13</v>
      </c>
      <c r="O150" s="14">
        <f>N150*VLOOKUP('Données projet'!$B$9,Paramètres!$A$1:$I$89,3,0)*VLOOKUP('Données projet'!$B$9,Paramètres!$A$1:$I$89,5,0)</f>
        <v>-2.5420376914553347E-13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389.80719836281679</v>
      </c>
      <c r="T150" s="62">
        <f t="shared" si="142"/>
        <v>399.58193819355591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57.508054903719206</v>
      </c>
      <c r="AA150" s="23">
        <f>EXP(-LN(2)/25)*AA149+(1-EXP(-LN(2)/25))/(LN(2)/25)*Calculateur!V150*Calculateur!X150*VLOOKUP('Données projet'!$B$9,Paramètres!$A$1:$I$89,3,0)*0.475*44/12</f>
        <v>8.9399365694907669</v>
      </c>
      <c r="AB150" s="23">
        <f>EXP(-LN(2)/2)*AB149+(1-EXP(-LN(2)/2))/(LN(2)/2)*V150*Y150*VLOOKUP('Données projet'!$B$9,Paramètres!$A$1:$I$89,3,0)*0.475*44/12</f>
        <v>1.5511800817270874E-10</v>
      </c>
      <c r="AC150" s="24">
        <f t="shared" si="111"/>
        <v>66.447991473365079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269.90083987531233</v>
      </c>
      <c r="AO150" s="62">
        <f t="shared" si="144"/>
        <v>183.4515835513518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39.605664732452517</v>
      </c>
      <c r="AV150" s="23">
        <f>EXP(-LN(2)/25)*AV149+(1-EXP(-LN(2)/25))/(LN(2)/25)*Calculateur!AQ150*Calculateur!AS150*VLOOKUP('Données projet'!$B$10,Paramètres!$A$1:$I$89,3,0)*0.475*44/12</f>
        <v>9.2194132765608021</v>
      </c>
      <c r="AW150" s="23">
        <f>EXP(-LN(2)/2)*AW149+(1-EXP(-LN(2)/2))/(LN(2)/2)*AQ150*AT150*VLOOKUP('Données projet'!$B$10,Paramètres!$A$1:$I$89,3,0)*0.475*44/12</f>
        <v>5.2389877698368292E-9</v>
      </c>
      <c r="AX150" s="23">
        <f t="shared" si="114"/>
        <v>48.825078014252306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5.6843418860808015E-13</v>
      </c>
      <c r="BE150" s="14">
        <f>BD150*VLOOKUP('Données projet'!$B$11,Paramètres!$A$1:$I$89,3,0)*VLOOKUP('Données projet'!$B$11,Paramètres!$A$1:$I$89,5,0)</f>
        <v>2.7341684472048658E-13</v>
      </c>
      <c r="BF150" s="14">
        <f t="shared" si="145"/>
        <v>3.653683054157169E-12</v>
      </c>
      <c r="BG150" s="22">
        <f t="shared" si="115"/>
        <v>6.8396989905452503E-12</v>
      </c>
      <c r="BH150" s="62">
        <f t="shared" si="116"/>
        <v>293.33333333334014</v>
      </c>
      <c r="BI150" s="62">
        <f ca="1">AVERAGE(OFFSET($BH$3,0,0,'Données projet'!$E$11+1,1))-AVERAGE(OFFSET($H$3,0,0,'Données projet'!$E$11+1,1))</f>
        <v>255.64417186544995</v>
      </c>
      <c r="BJ150" s="62">
        <f t="shared" si="146"/>
        <v>165.41802783289376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160.82597468410003</v>
      </c>
      <c r="BQ150" s="23">
        <f>EXP(-LN(2)/25)*BQ149+(1-EXP(-LN(2)/25))/(LN(2)/25)*Calculateur!BL150*Calculateur!BN150*VLOOKUP('Données projet'!$B$11,Paramètres!$A$1:$I$89,3,0)*0.475*44/12</f>
        <v>23.953314713276555</v>
      </c>
      <c r="BR150" s="23">
        <f>EXP(-LN(2)/2)*BR149+(1-EXP(-LN(2)/2))/(LN(2)/2)*BL150*BO150*VLOOKUP('Données projet'!$B$11,Paramètres!$A$1:$I$89,3,0)*0.475*44/12</f>
        <v>3.9446112775323901E-2</v>
      </c>
      <c r="BS150" s="24">
        <f t="shared" si="117"/>
        <v>184.81873551015192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465.49436272491818</v>
      </c>
      <c r="CE150" s="62">
        <f t="shared" si="148"/>
        <v>494.36941732405256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62.365437519263502</v>
      </c>
      <c r="CL150" s="23">
        <f>EXP(-LN(2)/25)*CL149+(1-EXP(-LN(2)/25))/(LN(2)/25)*Calculateur!CG150*Calculateur!CI150*VLOOKUP('Données projet'!$B$12,Paramètres!$A$1:$I$89,3,0)*0.475*44/12</f>
        <v>9.8786328628715587</v>
      </c>
      <c r="CM150" s="23">
        <f>EXP(-LN(2)/2)*CM149+(1-EXP(-LN(2)/2))/(LN(2)/2)*CG150*CJ150*VLOOKUP('Données projet'!$B$12,Paramètres!$A$1:$I$89,3,0)*0.475*44/12</f>
        <v>1.690516733453156E-10</v>
      </c>
      <c r="CN150" s="24">
        <f t="shared" si="120"/>
        <v>72.244070382304116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-6.8212102632969618E-13</v>
      </c>
      <c r="CU150" s="18">
        <f>CT150*VLOOKUP('Données projet'!$B$13,Paramètres!$A$1:$I$89,3,0)*VLOOKUP('Données projet'!$B$13,Paramètres!$A$1:$I$89,5,0)</f>
        <v>-4.0790837374515837E-13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361.46923697840384</v>
      </c>
      <c r="CZ150" s="62">
        <f t="shared" si="150"/>
        <v>302.25424592654673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47.151643257692527</v>
      </c>
      <c r="DG150" s="23">
        <f>EXP(-LN(2)/25)*DG149+(1-EXP(-LN(2)/25))/(LN(2)/25)*Calculateur!DB150*Calculateur!DD150*VLOOKUP('Données projet'!$B$13,Paramètres!$A$1:$I$89,3,0)*0.475*44/12</f>
        <v>10.026991931762874</v>
      </c>
      <c r="DH150" s="23">
        <f>EXP(-LN(2)/2)*DH149+(1-EXP(-LN(2)/2))/(LN(2)/2)*DB150*DE150*VLOOKUP('Données projet'!$B$13,Paramètres!$A$1:$I$89,3,0)*0.475*44/12</f>
        <v>1.6914461103496267E-9</v>
      </c>
      <c r="DI150" s="24">
        <f t="shared" si="123"/>
        <v>57.178635191146846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-4.5474735088646412E-13</v>
      </c>
      <c r="O151" s="14">
        <f>N151*VLOOKUP('Données projet'!$B$9,Paramètres!$A$1:$I$89,3,0)*VLOOKUP('Données projet'!$B$9,Paramètres!$A$1:$I$89,5,0)</f>
        <v>-2.5420376914553347E-13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389.80719836281679</v>
      </c>
      <c r="T151" s="62">
        <f t="shared" si="142"/>
        <v>399.58193819355591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56.380357023507251</v>
      </c>
      <c r="AA151" s="23">
        <f>EXP(-LN(2)/25)*AA150+(1-EXP(-LN(2)/25))/(LN(2)/25)*Calculateur!V151*Calculateur!X151*VLOOKUP('Données projet'!$B$9,Paramètres!$A$1:$I$89,3,0)*0.475*44/12</f>
        <v>8.6954735338672098</v>
      </c>
      <c r="AB151" s="23">
        <f>EXP(-LN(2)/2)*AB150+(1-EXP(-LN(2)/2))/(LN(2)/2)*V151*Y151*VLOOKUP('Données projet'!$B$9,Paramètres!$A$1:$I$89,3,0)*0.475*44/12</f>
        <v>1.0968499546307265E-10</v>
      </c>
      <c r="AC151" s="24">
        <f t="shared" si="111"/>
        <v>65.075830557484139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269.90083987531233</v>
      </c>
      <c r="AO151" s="62">
        <f t="shared" si="144"/>
        <v>183.4515835513518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38.8290218041193</v>
      </c>
      <c r="AV151" s="23">
        <f>EXP(-LN(2)/25)*AV150+(1-EXP(-LN(2)/25))/(LN(2)/25)*Calculateur!AQ151*Calculateur!AS151*VLOOKUP('Données projet'!$B$10,Paramètres!$A$1:$I$89,3,0)*0.475*44/12</f>
        <v>8.9673079356853744</v>
      </c>
      <c r="AW151" s="23">
        <f>EXP(-LN(2)/2)*AW150+(1-EXP(-LN(2)/2))/(LN(2)/2)*AQ151*AT151*VLOOKUP('Données projet'!$B$10,Paramètres!$A$1:$I$89,3,0)*0.475*44/12</f>
        <v>3.7045237786050098E-9</v>
      </c>
      <c r="AX151" s="23">
        <f t="shared" si="114"/>
        <v>47.796329743509197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5.6843418860808015E-13</v>
      </c>
      <c r="BE151" s="14">
        <f>BD151*VLOOKUP('Données projet'!$B$11,Paramètres!$A$1:$I$89,3,0)*VLOOKUP('Données projet'!$B$11,Paramètres!$A$1:$I$89,5,0)</f>
        <v>2.7341684472048658E-13</v>
      </c>
      <c r="BF151" s="14">
        <f t="shared" si="145"/>
        <v>3.653683054157169E-12</v>
      </c>
      <c r="BG151" s="22">
        <f t="shared" si="115"/>
        <v>6.8396989905452503E-12</v>
      </c>
      <c r="BH151" s="62">
        <f t="shared" si="116"/>
        <v>293.33333333334014</v>
      </c>
      <c r="BI151" s="62">
        <f ca="1">AVERAGE(OFFSET($BH$3,0,0,'Données projet'!$E$11+1,1))-AVERAGE(OFFSET($H$3,0,0,'Données projet'!$E$11+1,1))</f>
        <v>255.64417186544995</v>
      </c>
      <c r="BJ151" s="62">
        <f t="shared" si="146"/>
        <v>165.41802783289376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157.67227541470339</v>
      </c>
      <c r="BQ151" s="23">
        <f>EXP(-LN(2)/25)*BQ150+(1-EXP(-LN(2)/25))/(LN(2)/25)*Calculateur!BL151*Calculateur!BN151*VLOOKUP('Données projet'!$B$11,Paramètres!$A$1:$I$89,3,0)*0.475*44/12</f>
        <v>23.298310062791934</v>
      </c>
      <c r="BR151" s="23">
        <f>EXP(-LN(2)/2)*BR150+(1-EXP(-LN(2)/2))/(LN(2)/2)*BL151*BO151*VLOOKUP('Données projet'!$B$11,Paramètres!$A$1:$I$89,3,0)*0.475*44/12</f>
        <v>2.7892613834880835E-2</v>
      </c>
      <c r="BS151" s="24">
        <f t="shared" si="117"/>
        <v>180.99847809133021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465.49436272491818</v>
      </c>
      <c r="CE151" s="62">
        <f t="shared" si="148"/>
        <v>494.36941732405256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61.142489328671573</v>
      </c>
      <c r="CL151" s="23">
        <f>EXP(-LN(2)/25)*CL150+(1-EXP(-LN(2)/25))/(LN(2)/25)*Calculateur!CG151*Calculateur!CI151*VLOOKUP('Données projet'!$B$12,Paramètres!$A$1:$I$89,3,0)*0.475*44/12</f>
        <v>9.6085011277416115</v>
      </c>
      <c r="CM151" s="23">
        <f>EXP(-LN(2)/2)*CM150+(1-EXP(-LN(2)/2))/(LN(2)/2)*CG151*CJ151*VLOOKUP('Données projet'!$B$12,Paramètres!$A$1:$I$89,3,0)*0.475*44/12</f>
        <v>1.1953758459340578E-10</v>
      </c>
      <c r="CN151" s="24">
        <f t="shared" si="120"/>
        <v>70.750990456532719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-6.8212102632969618E-13</v>
      </c>
      <c r="CU151" s="18">
        <f>CT151*VLOOKUP('Données projet'!$B$13,Paramètres!$A$1:$I$89,3,0)*VLOOKUP('Données projet'!$B$13,Paramètres!$A$1:$I$89,5,0)</f>
        <v>-4.0790837374515837E-13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361.46923697840384</v>
      </c>
      <c r="CZ151" s="62">
        <f t="shared" si="150"/>
        <v>302.25424592654673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46.227028293071783</v>
      </c>
      <c r="DG151" s="23">
        <f>EXP(-LN(2)/25)*DG150+(1-EXP(-LN(2)/25))/(LN(2)/25)*Calculateur!DB151*Calculateur!DD151*VLOOKUP('Données projet'!$B$13,Paramètres!$A$1:$I$89,3,0)*0.475*44/12</f>
        <v>9.7528033100922293</v>
      </c>
      <c r="DH151" s="23">
        <f>EXP(-LN(2)/2)*DH150+(1-EXP(-LN(2)/2))/(LN(2)/2)*DB151*DE151*VLOOKUP('Données projet'!$B$13,Paramètres!$A$1:$I$89,3,0)*0.475*44/12</f>
        <v>1.1960330146398304E-9</v>
      </c>
      <c r="DI151" s="24">
        <f t="shared" si="123"/>
        <v>55.979831604360051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-4.5474735088646412E-13</v>
      </c>
      <c r="O152" s="14">
        <f>N152*VLOOKUP('Données projet'!$B$9,Paramètres!$A$1:$I$89,3,0)*VLOOKUP('Données projet'!$B$9,Paramètres!$A$1:$I$89,5,0)</f>
        <v>-2.5420376914553347E-13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389.80719836281679</v>
      </c>
      <c r="T152" s="62">
        <f t="shared" si="142"/>
        <v>399.58193819355591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55.274772610898466</v>
      </c>
      <c r="AA152" s="23">
        <f>EXP(-LN(2)/25)*AA151+(1-EXP(-LN(2)/25))/(LN(2)/25)*Calculateur!V152*Calculateur!X152*VLOOKUP('Données projet'!$B$9,Paramètres!$A$1:$I$89,3,0)*0.475*44/12</f>
        <v>8.4576953528085319</v>
      </c>
      <c r="AB152" s="23">
        <f>EXP(-LN(2)/2)*AB151+(1-EXP(-LN(2)/2))/(LN(2)/2)*V152*Y152*VLOOKUP('Données projet'!$B$9,Paramètres!$A$1:$I$89,3,0)*0.475*44/12</f>
        <v>7.7559004086354368E-11</v>
      </c>
      <c r="AC152" s="24">
        <f t="shared" si="111"/>
        <v>63.732467963784551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269.90083987531233</v>
      </c>
      <c r="AO152" s="62">
        <f t="shared" si="144"/>
        <v>183.4515835513518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38.06760836990528</v>
      </c>
      <c r="AV152" s="23">
        <f>EXP(-LN(2)/25)*AV151+(1-EXP(-LN(2)/25))/(LN(2)/25)*Calculateur!AQ152*Calculateur!AS152*VLOOKUP('Données projet'!$B$10,Paramètres!$A$1:$I$89,3,0)*0.475*44/12</f>
        <v>8.7220964286138294</v>
      </c>
      <c r="AW152" s="23">
        <f>EXP(-LN(2)/2)*AW151+(1-EXP(-LN(2)/2))/(LN(2)/2)*AQ152*AT152*VLOOKUP('Données projet'!$B$10,Paramètres!$A$1:$I$89,3,0)*0.475*44/12</f>
        <v>2.619493884918415E-9</v>
      </c>
      <c r="AX152" s="23">
        <f t="shared" si="114"/>
        <v>46.789704801138605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5.6843418860808015E-13</v>
      </c>
      <c r="BE152" s="14">
        <f>BD152*VLOOKUP('Données projet'!$B$11,Paramètres!$A$1:$I$89,3,0)*VLOOKUP('Données projet'!$B$11,Paramètres!$A$1:$I$89,5,0)</f>
        <v>2.7341684472048658E-13</v>
      </c>
      <c r="BF152" s="14">
        <f t="shared" si="145"/>
        <v>3.653683054157169E-12</v>
      </c>
      <c r="BG152" s="22">
        <f t="shared" si="115"/>
        <v>6.8396989905452503E-12</v>
      </c>
      <c r="BH152" s="62">
        <f t="shared" si="116"/>
        <v>293.33333333334014</v>
      </c>
      <c r="BI152" s="62">
        <f ca="1">AVERAGE(OFFSET($BH$3,0,0,'Données projet'!$E$11+1,1))-AVERAGE(OFFSET($H$3,0,0,'Données projet'!$E$11+1,1))</f>
        <v>255.64417186544995</v>
      </c>
      <c r="BJ152" s="62">
        <f t="shared" si="146"/>
        <v>165.41802783289376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154.580418264413</v>
      </c>
      <c r="BQ152" s="23">
        <f>EXP(-LN(2)/25)*BQ151+(1-EXP(-LN(2)/25))/(LN(2)/25)*Calculateur!BL152*Calculateur!BN152*VLOOKUP('Données projet'!$B$11,Paramètres!$A$1:$I$89,3,0)*0.475*44/12</f>
        <v>22.661216548920013</v>
      </c>
      <c r="BR152" s="23">
        <f>EXP(-LN(2)/2)*BR151+(1-EXP(-LN(2)/2))/(LN(2)/2)*BL152*BO152*VLOOKUP('Données projet'!$B$11,Paramètres!$A$1:$I$89,3,0)*0.475*44/12</f>
        <v>1.972305638766195E-2</v>
      </c>
      <c r="BS152" s="24">
        <f t="shared" si="117"/>
        <v>177.26135786972068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465.49436272491818</v>
      </c>
      <c r="CE152" s="62">
        <f t="shared" si="148"/>
        <v>494.36941732405256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59.943522406172413</v>
      </c>
      <c r="CL152" s="23">
        <f>EXP(-LN(2)/25)*CL151+(1-EXP(-LN(2)/25))/(LN(2)/25)*Calculateur!CG152*Calculateur!CI152*VLOOKUP('Données projet'!$B$12,Paramètres!$A$1:$I$89,3,0)*0.475*44/12</f>
        <v>9.3457561591144032</v>
      </c>
      <c r="CM152" s="23">
        <f>EXP(-LN(2)/2)*CM151+(1-EXP(-LN(2)/2))/(LN(2)/2)*CG152*CJ152*VLOOKUP('Données projet'!$B$12,Paramètres!$A$1:$I$89,3,0)*0.475*44/12</f>
        <v>8.4525836672657799E-11</v>
      </c>
      <c r="CN152" s="24">
        <f t="shared" si="120"/>
        <v>69.289278565371347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-6.8212102632969618E-13</v>
      </c>
      <c r="CU152" s="18">
        <f>CT152*VLOOKUP('Données projet'!$B$13,Paramètres!$A$1:$I$89,3,0)*VLOOKUP('Données projet'!$B$13,Paramètres!$A$1:$I$89,5,0)</f>
        <v>-4.0790837374515837E-13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361.46923697840384</v>
      </c>
      <c r="CZ152" s="62">
        <f t="shared" si="150"/>
        <v>302.25424592654673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45.320544463947812</v>
      </c>
      <c r="DG152" s="23">
        <f>EXP(-LN(2)/25)*DG151+(1-EXP(-LN(2)/25))/(LN(2)/25)*Calculateur!DB152*Calculateur!DD152*VLOOKUP('Données projet'!$B$13,Paramètres!$A$1:$I$89,3,0)*0.475*44/12</f>
        <v>9.4861123907001215</v>
      </c>
      <c r="DH152" s="23">
        <f>EXP(-LN(2)/2)*DH151+(1-EXP(-LN(2)/2))/(LN(2)/2)*DB152*DE152*VLOOKUP('Données projet'!$B$13,Paramètres!$A$1:$I$89,3,0)*0.475*44/12</f>
        <v>8.4572305517481337E-10</v>
      </c>
      <c r="DI152" s="24">
        <f t="shared" si="123"/>
        <v>54.806656855493657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-4.5474735088646412E-13</v>
      </c>
      <c r="O153" s="14">
        <f>N153*VLOOKUP('Données projet'!$B$9,Paramètres!$A$1:$I$89,3,0)*VLOOKUP('Données projet'!$B$9,Paramètres!$A$1:$I$89,5,0)</f>
        <v>-2.5420376914553347E-13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389.80719836281679</v>
      </c>
      <c r="T153" s="62">
        <f t="shared" si="142"/>
        <v>399.58193819355591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54.190868034281031</v>
      </c>
      <c r="AA153" s="23">
        <f>EXP(-LN(2)/25)*AA152+(1-EXP(-LN(2)/25))/(LN(2)/25)*Calculateur!V153*Calculateur!X153*VLOOKUP('Données projet'!$B$9,Paramètres!$A$1:$I$89,3,0)*0.475*44/12</f>
        <v>8.2264192286151143</v>
      </c>
      <c r="AB153" s="23">
        <f>EXP(-LN(2)/2)*AB152+(1-EXP(-LN(2)/2))/(LN(2)/2)*V153*Y153*VLOOKUP('Données projet'!$B$9,Paramètres!$A$1:$I$89,3,0)*0.475*44/12</f>
        <v>5.4842497731536324E-11</v>
      </c>
      <c r="AC153" s="24">
        <f t="shared" si="111"/>
        <v>62.417287262950985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269.90083987531233</v>
      </c>
      <c r="AO153" s="62">
        <f t="shared" si="144"/>
        <v>183.4515835513518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37.321125788719861</v>
      </c>
      <c r="AV153" s="23">
        <f>EXP(-LN(2)/25)*AV152+(1-EXP(-LN(2)/25))/(LN(2)/25)*Calculateur!AQ153*Calculateur!AS153*VLOOKUP('Données projet'!$B$10,Paramètres!$A$1:$I$89,3,0)*0.475*44/12</f>
        <v>8.4835902430982681</v>
      </c>
      <c r="AW153" s="23">
        <f>EXP(-LN(2)/2)*AW152+(1-EXP(-LN(2)/2))/(LN(2)/2)*AQ153*AT153*VLOOKUP('Données projet'!$B$10,Paramètres!$A$1:$I$89,3,0)*0.475*44/12</f>
        <v>1.8522618893025051E-9</v>
      </c>
      <c r="AX153" s="23">
        <f t="shared" si="114"/>
        <v>45.804716033670395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5.6843418860808015E-13</v>
      </c>
      <c r="BE153" s="14">
        <f>BD153*VLOOKUP('Données projet'!$B$11,Paramètres!$A$1:$I$89,3,0)*VLOOKUP('Données projet'!$B$11,Paramètres!$A$1:$I$89,5,0)</f>
        <v>2.7341684472048658E-13</v>
      </c>
      <c r="BF153" s="14">
        <f t="shared" si="145"/>
        <v>3.653683054157169E-12</v>
      </c>
      <c r="BG153" s="22">
        <f t="shared" si="115"/>
        <v>6.8396989905452503E-12</v>
      </c>
      <c r="BH153" s="62">
        <f t="shared" si="116"/>
        <v>293.33333333334014</v>
      </c>
      <c r="BI153" s="62">
        <f ca="1">AVERAGE(OFFSET($BH$3,0,0,'Données projet'!$E$11+1,1))-AVERAGE(OFFSET($H$3,0,0,'Données projet'!$E$11+1,1))</f>
        <v>255.64417186544995</v>
      </c>
      <c r="BJ153" s="62">
        <f t="shared" si="146"/>
        <v>165.41802783289376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151.54919054699315</v>
      </c>
      <c r="BQ153" s="23">
        <f>EXP(-LN(2)/25)*BQ152+(1-EXP(-LN(2)/25))/(LN(2)/25)*Calculateur!BL153*Calculateur!BN153*VLOOKUP('Données projet'!$B$11,Paramètres!$A$1:$I$89,3,0)*0.475*44/12</f>
        <v>22.041544390688209</v>
      </c>
      <c r="BR153" s="23">
        <f>EXP(-LN(2)/2)*BR152+(1-EXP(-LN(2)/2))/(LN(2)/2)*BL153*BO153*VLOOKUP('Données projet'!$B$11,Paramètres!$A$1:$I$89,3,0)*0.475*44/12</f>
        <v>1.3946306917440417E-2</v>
      </c>
      <c r="BS153" s="24">
        <f t="shared" si="117"/>
        <v>173.60468124459879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465.49436272491818</v>
      </c>
      <c r="CE153" s="62">
        <f t="shared" si="148"/>
        <v>494.36941732405256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58.768066493725847</v>
      </c>
      <c r="CL153" s="23">
        <f>EXP(-LN(2)/25)*CL152+(1-EXP(-LN(2)/25))/(LN(2)/25)*Calculateur!CG153*Calculateur!CI153*VLOOKUP('Données projet'!$B$12,Paramètres!$A$1:$I$89,3,0)*0.475*44/12</f>
        <v>9.0901959654714641</v>
      </c>
      <c r="CM153" s="23">
        <f>EXP(-LN(2)/2)*CM152+(1-EXP(-LN(2)/2))/(LN(2)/2)*CG153*CJ153*VLOOKUP('Données projet'!$B$12,Paramètres!$A$1:$I$89,3,0)*0.475*44/12</f>
        <v>5.9768792296702892E-11</v>
      </c>
      <c r="CN153" s="24">
        <f t="shared" si="120"/>
        <v>67.858262459257077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-6.8212102632969618E-13</v>
      </c>
      <c r="CU153" s="18">
        <f>CT153*VLOOKUP('Données projet'!$B$13,Paramètres!$A$1:$I$89,3,0)*VLOOKUP('Données projet'!$B$13,Paramètres!$A$1:$I$89,5,0)</f>
        <v>-4.0790837374515837E-13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361.46923697840384</v>
      </c>
      <c r="CZ153" s="62">
        <f t="shared" si="150"/>
        <v>302.25424592654673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44.431836229812419</v>
      </c>
      <c r="DG153" s="23">
        <f>EXP(-LN(2)/25)*DG152+(1-EXP(-LN(2)/25))/(LN(2)/25)*Calculateur!DB153*Calculateur!DD153*VLOOKUP('Données projet'!$B$13,Paramètres!$A$1:$I$89,3,0)*0.475*44/12</f>
        <v>9.2267141485234561</v>
      </c>
      <c r="DH153" s="23">
        <f>EXP(-LN(2)/2)*DH152+(1-EXP(-LN(2)/2))/(LN(2)/2)*DB153*DE153*VLOOKUP('Données projet'!$B$13,Paramètres!$A$1:$I$89,3,0)*0.475*44/12</f>
        <v>5.980165073199152E-10</v>
      </c>
      <c r="DI153" s="24">
        <f t="shared" si="123"/>
        <v>53.658550378933889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-4.5474735088646412E-13</v>
      </c>
      <c r="O154" s="14">
        <f>N154*VLOOKUP('Données projet'!$B$9,Paramètres!$A$1:$I$89,3,0)*VLOOKUP('Données projet'!$B$9,Paramètres!$A$1:$I$89,5,0)</f>
        <v>-2.5420376914553347E-13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389.80719836281679</v>
      </c>
      <c r="T154" s="62">
        <f t="shared" si="142"/>
        <v>399.58193819355591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53.128218165294555</v>
      </c>
      <c r="AA154" s="23">
        <f>EXP(-LN(2)/25)*AA153+(1-EXP(-LN(2)/25))/(LN(2)/25)*Calculateur!V154*Calculateur!X154*VLOOKUP('Données projet'!$B$9,Paramètres!$A$1:$I$89,3,0)*0.475*44/12</f>
        <v>8.0014673622000494</v>
      </c>
      <c r="AB154" s="23">
        <f>EXP(-LN(2)/2)*AB153+(1-EXP(-LN(2)/2))/(LN(2)/2)*V154*Y154*VLOOKUP('Données projet'!$B$9,Paramètres!$A$1:$I$89,3,0)*0.475*44/12</f>
        <v>3.8779502043177184E-11</v>
      </c>
      <c r="AC154" s="24">
        <f t="shared" ref="AC154:AC203" si="163">SUM(Z154:AB154)</f>
        <v>61.129685527533383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269.90083987531233</v>
      </c>
      <c r="AO154" s="62">
        <f t="shared" si="144"/>
        <v>183.4515835513518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36.589281275642072</v>
      </c>
      <c r="AV154" s="23">
        <f>EXP(-LN(2)/25)*AV153+(1-EXP(-LN(2)/25))/(LN(2)/25)*Calculateur!AQ154*Calculateur!AS154*VLOOKUP('Données projet'!$B$10,Paramètres!$A$1:$I$89,3,0)*0.475*44/12</f>
        <v>8.251606021768124</v>
      </c>
      <c r="AW154" s="23">
        <f>EXP(-LN(2)/2)*AW153+(1-EXP(-LN(2)/2))/(LN(2)/2)*AQ154*AT154*VLOOKUP('Données projet'!$B$10,Paramètres!$A$1:$I$89,3,0)*0.475*44/12</f>
        <v>1.3097469424592077E-9</v>
      </c>
      <c r="AX154" s="23">
        <f t="shared" ref="AX154:AX203" si="166">SUM(AU154:AW154)</f>
        <v>44.840887298719942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5.6843418860808015E-13</v>
      </c>
      <c r="BE154" s="14">
        <f>BD154*VLOOKUP('Données projet'!$B$11,Paramètres!$A$1:$I$89,3,0)*VLOOKUP('Données projet'!$B$11,Paramètres!$A$1:$I$89,5,0)</f>
        <v>2.7341684472048658E-13</v>
      </c>
      <c r="BF154" s="14">
        <f t="shared" ref="BF154:BF203" si="167">EXP(-1.0587+0.8836*LN(BE154)+0.284)</f>
        <v>3.653683054157169E-12</v>
      </c>
      <c r="BG154" s="22">
        <f t="shared" ref="BG154:BG203" si="168">(BE154+BF154)*0.475*44/12</f>
        <v>6.8396989905452503E-12</v>
      </c>
      <c r="BH154" s="62">
        <f t="shared" si="116"/>
        <v>293.33333333334014</v>
      </c>
      <c r="BI154" s="62">
        <f ca="1">AVERAGE(OFFSET($BH$3,0,0,'Données projet'!$E$11+1,1))-AVERAGE(OFFSET($H$3,0,0,'Données projet'!$E$11+1,1))</f>
        <v>255.64417186544995</v>
      </c>
      <c r="BJ154" s="62">
        <f t="shared" si="146"/>
        <v>165.41802783289376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148.57740335624555</v>
      </c>
      <c r="BQ154" s="23">
        <f>EXP(-LN(2)/25)*BQ153+(1-EXP(-LN(2)/25))/(LN(2)/25)*Calculateur!BL154*Calculateur!BN154*VLOOKUP('Données projet'!$B$11,Paramètres!$A$1:$I$89,3,0)*0.475*44/12</f>
        <v>21.438817200210398</v>
      </c>
      <c r="BR154" s="23">
        <f>EXP(-LN(2)/2)*BR153+(1-EXP(-LN(2)/2))/(LN(2)/2)*BL154*BO154*VLOOKUP('Données projet'!$B$11,Paramètres!$A$1:$I$89,3,0)*0.475*44/12</f>
        <v>9.8615281938309752E-3</v>
      </c>
      <c r="BS154" s="24">
        <f t="shared" ref="BS154:BS203" si="169">SUM(BP154:BR154)</f>
        <v>170.02608208464977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465.49436272491818</v>
      </c>
      <c r="CE154" s="62">
        <f t="shared" si="148"/>
        <v>494.36941732405256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57.615660554765043</v>
      </c>
      <c r="CL154" s="23">
        <f>EXP(-LN(2)/25)*CL153+(1-EXP(-LN(2)/25))/(LN(2)/25)*Calculateur!CG154*Calculateur!CI154*VLOOKUP('Données projet'!$B$12,Paramètres!$A$1:$I$89,3,0)*0.475*44/12</f>
        <v>8.8416240787630169</v>
      </c>
      <c r="CM154" s="23">
        <f>EXP(-LN(2)/2)*CM153+(1-EXP(-LN(2)/2))/(LN(2)/2)*CG154*CJ154*VLOOKUP('Données projet'!$B$12,Paramètres!$A$1:$I$89,3,0)*0.475*44/12</f>
        <v>4.2262918336328899E-11</v>
      </c>
      <c r="CN154" s="24">
        <f t="shared" ref="CN154:CN203" si="172">SUM(CK154:CM154)</f>
        <v>66.457284633570325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-6.8212102632969618E-13</v>
      </c>
      <c r="CU154" s="18">
        <f>CT154*VLOOKUP('Données projet'!$B$13,Paramètres!$A$1:$I$89,3,0)*VLOOKUP('Données projet'!$B$13,Paramètres!$A$1:$I$89,5,0)</f>
        <v>-4.0790837374515837E-13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361.46923697840384</v>
      </c>
      <c r="CZ154" s="62">
        <f t="shared" si="150"/>
        <v>302.25424592654673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43.560555022089922</v>
      </c>
      <c r="DG154" s="23">
        <f>EXP(-LN(2)/25)*DG153+(1-EXP(-LN(2)/25))/(LN(2)/25)*Calculateur!DB154*Calculateur!DD154*VLOOKUP('Données projet'!$B$13,Paramètres!$A$1:$I$89,3,0)*0.475*44/12</f>
        <v>8.9744091649202726</v>
      </c>
      <c r="DH154" s="23">
        <f>EXP(-LN(2)/2)*DH153+(1-EXP(-LN(2)/2))/(LN(2)/2)*DB154*DE154*VLOOKUP('Données projet'!$B$13,Paramètres!$A$1:$I$89,3,0)*0.475*44/12</f>
        <v>4.2286152758740668E-10</v>
      </c>
      <c r="DI154" s="24">
        <f t="shared" ref="DI154:DI203" si="175">SUM(DF154:DH154)</f>
        <v>52.534964187433054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-4.5474735088646412E-13</v>
      </c>
      <c r="O155" s="14">
        <f>N155*VLOOKUP('Données projet'!$B$9,Paramètres!$A$1:$I$89,3,0)*VLOOKUP('Données projet'!$B$9,Paramètres!$A$1:$I$89,5,0)</f>
        <v>-2.5420376914553347E-13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389.80719836281679</v>
      </c>
      <c r="T155" s="62">
        <f t="shared" si="142"/>
        <v>399.58193819355591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52.08640621208648</v>
      </c>
      <c r="AA155" s="23">
        <f>EXP(-LN(2)/25)*AA154+(1-EXP(-LN(2)/25))/(LN(2)/25)*Calculateur!V155*Calculateur!X155*VLOOKUP('Données projet'!$B$9,Paramètres!$A$1:$I$89,3,0)*0.475*44/12</f>
        <v>7.7826668164018082</v>
      </c>
      <c r="AB155" s="23">
        <f>EXP(-LN(2)/2)*AB154+(1-EXP(-LN(2)/2))/(LN(2)/2)*V155*Y155*VLOOKUP('Données projet'!$B$9,Paramètres!$A$1:$I$89,3,0)*0.475*44/12</f>
        <v>2.7421248865768162E-11</v>
      </c>
      <c r="AC155" s="24">
        <f t="shared" si="163"/>
        <v>59.869073028515707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269.90083987531233</v>
      </c>
      <c r="AO155" s="62">
        <f t="shared" si="144"/>
        <v>183.4515835513518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35.871787787084664</v>
      </c>
      <c r="AV155" s="23">
        <f>EXP(-LN(2)/25)*AV154+(1-EXP(-LN(2)/25))/(LN(2)/25)*Calculateur!AQ155*Calculateur!AS155*VLOOKUP('Données projet'!$B$10,Paramètres!$A$1:$I$89,3,0)*0.475*44/12</f>
        <v>8.025965421169774</v>
      </c>
      <c r="AW155" s="23">
        <f>EXP(-LN(2)/2)*AW154+(1-EXP(-LN(2)/2))/(LN(2)/2)*AQ155*AT155*VLOOKUP('Données projet'!$B$10,Paramètres!$A$1:$I$89,3,0)*0.475*44/12</f>
        <v>9.2613094465125275E-10</v>
      </c>
      <c r="AX155" s="23">
        <f t="shared" si="166"/>
        <v>43.897753209180564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5.6843418860808015E-13</v>
      </c>
      <c r="BE155" s="14">
        <f>BD155*VLOOKUP('Données projet'!$B$11,Paramètres!$A$1:$I$89,3,0)*VLOOKUP('Données projet'!$B$11,Paramètres!$A$1:$I$89,5,0)</f>
        <v>2.7341684472048658E-13</v>
      </c>
      <c r="BF155" s="14">
        <f t="shared" si="167"/>
        <v>3.653683054157169E-12</v>
      </c>
      <c r="BG155" s="22">
        <f t="shared" si="168"/>
        <v>6.8396989905452503E-12</v>
      </c>
      <c r="BH155" s="62">
        <f t="shared" si="116"/>
        <v>293.33333333334014</v>
      </c>
      <c r="BI155" s="62">
        <f ca="1">AVERAGE(OFFSET($BH$3,0,0,'Données projet'!$E$11+1,1))-AVERAGE(OFFSET($H$3,0,0,'Données projet'!$E$11+1,1))</f>
        <v>255.64417186544995</v>
      </c>
      <c r="BJ155" s="62">
        <f t="shared" si="146"/>
        <v>165.41802783289376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145.66389109969731</v>
      </c>
      <c r="BQ155" s="23">
        <f>EXP(-LN(2)/25)*BQ154+(1-EXP(-LN(2)/25))/(LN(2)/25)*Calculateur!BL155*Calculateur!BN155*VLOOKUP('Données projet'!$B$11,Paramètres!$A$1:$I$89,3,0)*0.475*44/12</f>
        <v>20.852571616452249</v>
      </c>
      <c r="BR155" s="23">
        <f>EXP(-LN(2)/2)*BR154+(1-EXP(-LN(2)/2))/(LN(2)/2)*BL155*BO155*VLOOKUP('Données projet'!$B$11,Paramètres!$A$1:$I$89,3,0)*0.475*44/12</f>
        <v>6.9731534587202087E-3</v>
      </c>
      <c r="BS155" s="24">
        <f t="shared" si="169"/>
        <v>166.52343586960828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465.49436272491818</v>
      </c>
      <c r="CE155" s="62">
        <f t="shared" si="148"/>
        <v>494.36941732405256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56.485852593369046</v>
      </c>
      <c r="CL155" s="23">
        <f>EXP(-LN(2)/25)*CL154+(1-EXP(-LN(2)/25))/(LN(2)/25)*Calculateur!CG155*Calculateur!CI155*VLOOKUP('Données projet'!$B$12,Paramètres!$A$1:$I$89,3,0)*0.475*44/12</f>
        <v>8.5998494033684398</v>
      </c>
      <c r="CM155" s="23">
        <f>EXP(-LN(2)/2)*CM154+(1-EXP(-LN(2)/2))/(LN(2)/2)*CG155*CJ155*VLOOKUP('Données projet'!$B$12,Paramètres!$A$1:$I$89,3,0)*0.475*44/12</f>
        <v>2.9884396148351446E-11</v>
      </c>
      <c r="CN155" s="24">
        <f t="shared" si="172"/>
        <v>65.085701996767369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-6.8212102632969618E-13</v>
      </c>
      <c r="CU155" s="18">
        <f>CT155*VLOOKUP('Données projet'!$B$13,Paramètres!$A$1:$I$89,3,0)*VLOOKUP('Données projet'!$B$13,Paramètres!$A$1:$I$89,5,0)</f>
        <v>-4.0790837374515837E-13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361.46923697840384</v>
      </c>
      <c r="CZ155" s="62">
        <f t="shared" si="150"/>
        <v>302.25424592654673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42.706359107421797</v>
      </c>
      <c r="DG155" s="23">
        <f>EXP(-LN(2)/25)*DG154+(1-EXP(-LN(2)/25))/(LN(2)/25)*Calculateur!DB155*Calculateur!DD155*VLOOKUP('Données projet'!$B$13,Paramètres!$A$1:$I$89,3,0)*0.475*44/12</f>
        <v>8.7290034743618605</v>
      </c>
      <c r="DH155" s="23">
        <f>EXP(-LN(2)/2)*DH154+(1-EXP(-LN(2)/2))/(LN(2)/2)*DB155*DE155*VLOOKUP('Données projet'!$B$13,Paramètres!$A$1:$I$89,3,0)*0.475*44/12</f>
        <v>2.990082536599576E-10</v>
      </c>
      <c r="DI155" s="24">
        <f t="shared" si="175"/>
        <v>51.435362582082668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-4.5474735088646412E-13</v>
      </c>
      <c r="O156" s="14">
        <f>N156*VLOOKUP('Données projet'!$B$9,Paramètres!$A$1:$I$89,3,0)*VLOOKUP('Données projet'!$B$9,Paramètres!$A$1:$I$89,5,0)</f>
        <v>-2.5420376914553347E-13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389.80719836281679</v>
      </c>
      <c r="T156" s="62">
        <f t="shared" si="142"/>
        <v>399.58193819355591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51.065023555838266</v>
      </c>
      <c r="AA156" s="23">
        <f>EXP(-LN(2)/25)*AA155+(1-EXP(-LN(2)/25))/(LN(2)/25)*Calculateur!V156*Calculateur!X156*VLOOKUP('Données projet'!$B$9,Paramètres!$A$1:$I$89,3,0)*0.475*44/12</f>
        <v>7.5698493830346401</v>
      </c>
      <c r="AB156" s="23">
        <f>EXP(-LN(2)/2)*AB155+(1-EXP(-LN(2)/2))/(LN(2)/2)*V156*Y156*VLOOKUP('Données projet'!$B$9,Paramètres!$A$1:$I$89,3,0)*0.475*44/12</f>
        <v>1.9389751021588592E-11</v>
      </c>
      <c r="AC156" s="24">
        <f t="shared" si="163"/>
        <v>58.634872938892293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269.90083987531233</v>
      </c>
      <c r="AO156" s="62">
        <f t="shared" si="144"/>
        <v>183.4515835513518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35.168363908210047</v>
      </c>
      <c r="AV156" s="23">
        <f>EXP(-LN(2)/25)*AV155+(1-EXP(-LN(2)/25))/(LN(2)/25)*Calculateur!AQ156*Calculateur!AS156*VLOOKUP('Données projet'!$B$10,Paramètres!$A$1:$I$89,3,0)*0.475*44/12</f>
        <v>7.8064949746607084</v>
      </c>
      <c r="AW156" s="23">
        <f>EXP(-LN(2)/2)*AW155+(1-EXP(-LN(2)/2))/(LN(2)/2)*AQ156*AT156*VLOOKUP('Données projet'!$B$10,Paramètres!$A$1:$I$89,3,0)*0.475*44/12</f>
        <v>6.5487347122960396E-10</v>
      </c>
      <c r="AX156" s="23">
        <f t="shared" si="166"/>
        <v>42.974858883525627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5.6843418860808015E-13</v>
      </c>
      <c r="BE156" s="14">
        <f>BD156*VLOOKUP('Données projet'!$B$11,Paramètres!$A$1:$I$89,3,0)*VLOOKUP('Données projet'!$B$11,Paramètres!$A$1:$I$89,5,0)</f>
        <v>2.7341684472048658E-13</v>
      </c>
      <c r="BF156" s="14">
        <f t="shared" si="167"/>
        <v>3.653683054157169E-12</v>
      </c>
      <c r="BG156" s="22">
        <f t="shared" si="168"/>
        <v>6.8396989905452503E-12</v>
      </c>
      <c r="BH156" s="62">
        <f t="shared" si="116"/>
        <v>293.33333333334014</v>
      </c>
      <c r="BI156" s="62">
        <f ca="1">AVERAGE(OFFSET($BH$3,0,0,'Données projet'!$E$11+1,1))-AVERAGE(OFFSET($H$3,0,0,'Données projet'!$E$11+1,1))</f>
        <v>255.64417186544995</v>
      </c>
      <c r="BJ156" s="62">
        <f t="shared" si="146"/>
        <v>165.41802783289376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142.80751104143297</v>
      </c>
      <c r="BQ156" s="23">
        <f>EXP(-LN(2)/25)*BQ155+(1-EXP(-LN(2)/25))/(LN(2)/25)*Calculateur!BL156*Calculateur!BN156*VLOOKUP('Données projet'!$B$11,Paramètres!$A$1:$I$89,3,0)*0.475*44/12</f>
        <v>20.28235694901128</v>
      </c>
      <c r="BR156" s="23">
        <f>EXP(-LN(2)/2)*BR155+(1-EXP(-LN(2)/2))/(LN(2)/2)*BL156*BO156*VLOOKUP('Données projet'!$B$11,Paramètres!$A$1:$I$89,3,0)*0.475*44/12</f>
        <v>4.9307640969154876E-3</v>
      </c>
      <c r="BS156" s="24">
        <f t="shared" si="169"/>
        <v>163.09479875454116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465.49436272491818</v>
      </c>
      <c r="CE156" s="62">
        <f t="shared" si="148"/>
        <v>494.36941732405256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55.378199476981216</v>
      </c>
      <c r="CL156" s="23">
        <f>EXP(-LN(2)/25)*CL155+(1-EXP(-LN(2)/25))/(LN(2)/25)*Calculateur!CG156*Calculateur!CI156*VLOOKUP('Données projet'!$B$12,Paramètres!$A$1:$I$89,3,0)*0.475*44/12</f>
        <v>8.3646860691869058</v>
      </c>
      <c r="CM156" s="23">
        <f>EXP(-LN(2)/2)*CM155+(1-EXP(-LN(2)/2))/(LN(2)/2)*CG156*CJ156*VLOOKUP('Données projet'!$B$12,Paramètres!$A$1:$I$89,3,0)*0.475*44/12</f>
        <v>2.113145916816445E-11</v>
      </c>
      <c r="CN156" s="24">
        <f t="shared" si="172"/>
        <v>63.742885546189257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-6.8212102632969618E-13</v>
      </c>
      <c r="CU156" s="18">
        <f>CT156*VLOOKUP('Données projet'!$B$13,Paramètres!$A$1:$I$89,3,0)*VLOOKUP('Données projet'!$B$13,Paramètres!$A$1:$I$89,5,0)</f>
        <v>-4.0790837374515837E-13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361.46923697840384</v>
      </c>
      <c r="CZ156" s="62">
        <f t="shared" si="150"/>
        <v>302.25424592654673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41.868913453632253</v>
      </c>
      <c r="DG156" s="23">
        <f>EXP(-LN(2)/25)*DG155+(1-EXP(-LN(2)/25))/(LN(2)/25)*Calculateur!DB156*Calculateur!DD156*VLOOKUP('Données projet'!$B$13,Paramètres!$A$1:$I$89,3,0)*0.475*44/12</f>
        <v>8.4903084153170933</v>
      </c>
      <c r="DH156" s="23">
        <f>EXP(-LN(2)/2)*DH155+(1-EXP(-LN(2)/2))/(LN(2)/2)*DB156*DE156*VLOOKUP('Données projet'!$B$13,Paramètres!$A$1:$I$89,3,0)*0.475*44/12</f>
        <v>2.1143076379370334E-10</v>
      </c>
      <c r="DI156" s="24">
        <f t="shared" si="175"/>
        <v>50.359221869160777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-4.5474735088646412E-13</v>
      </c>
      <c r="O157" s="14">
        <f>N157*VLOOKUP('Données projet'!$B$9,Paramètres!$A$1:$I$89,3,0)*VLOOKUP('Données projet'!$B$9,Paramètres!$A$1:$I$89,5,0)</f>
        <v>-2.5420376914553347E-13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389.80719836281679</v>
      </c>
      <c r="T157" s="62">
        <f t="shared" si="142"/>
        <v>399.58193819355591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50.063669590497177</v>
      </c>
      <c r="AA157" s="23">
        <f>EXP(-LN(2)/25)*AA156+(1-EXP(-LN(2)/25))/(LN(2)/25)*Calculateur!V157*Calculateur!X157*VLOOKUP('Données projet'!$B$9,Paramètres!$A$1:$I$89,3,0)*0.475*44/12</f>
        <v>7.3628514535744802</v>
      </c>
      <c r="AB157" s="23">
        <f>EXP(-LN(2)/2)*AB156+(1-EXP(-LN(2)/2))/(LN(2)/2)*V157*Y157*VLOOKUP('Données projet'!$B$9,Paramètres!$A$1:$I$89,3,0)*0.475*44/12</f>
        <v>1.3710624432884081E-11</v>
      </c>
      <c r="AC157" s="24">
        <f t="shared" si="163"/>
        <v>57.426521044085369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269.90083987531233</v>
      </c>
      <c r="AO157" s="62">
        <f t="shared" si="144"/>
        <v>183.4515835513518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34.478733742553963</v>
      </c>
      <c r="AV157" s="23">
        <f>EXP(-LN(2)/25)*AV156+(1-EXP(-LN(2)/25))/(LN(2)/25)*Calculateur!AQ157*Calculateur!AS157*VLOOKUP('Données projet'!$B$10,Paramètres!$A$1:$I$89,3,0)*0.475*44/12</f>
        <v>7.5930259590528824</v>
      </c>
      <c r="AW157" s="23">
        <f>EXP(-LN(2)/2)*AW156+(1-EXP(-LN(2)/2))/(LN(2)/2)*AQ157*AT157*VLOOKUP('Données projet'!$B$10,Paramètres!$A$1:$I$89,3,0)*0.475*44/12</f>
        <v>4.6306547232562643E-10</v>
      </c>
      <c r="AX157" s="23">
        <f t="shared" si="166"/>
        <v>42.071759702069912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5.6843418860808015E-13</v>
      </c>
      <c r="BE157" s="14">
        <f>BD157*VLOOKUP('Données projet'!$B$11,Paramètres!$A$1:$I$89,3,0)*VLOOKUP('Données projet'!$B$11,Paramètres!$A$1:$I$89,5,0)</f>
        <v>2.7341684472048658E-13</v>
      </c>
      <c r="BF157" s="14">
        <f t="shared" si="167"/>
        <v>3.653683054157169E-12</v>
      </c>
      <c r="BG157" s="22">
        <f t="shared" si="168"/>
        <v>6.8396989905452503E-12</v>
      </c>
      <c r="BH157" s="62">
        <f t="shared" si="116"/>
        <v>293.33333333334014</v>
      </c>
      <c r="BI157" s="62">
        <f ca="1">AVERAGE(OFFSET($BH$3,0,0,'Données projet'!$E$11+1,1))-AVERAGE(OFFSET($H$3,0,0,'Données projet'!$E$11+1,1))</f>
        <v>255.64417186544995</v>
      </c>
      <c r="BJ157" s="62">
        <f t="shared" si="146"/>
        <v>165.41802783289376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140.00714285389139</v>
      </c>
      <c r="BQ157" s="23">
        <f>EXP(-LN(2)/25)*BQ156+(1-EXP(-LN(2)/25))/(LN(2)/25)*Calculateur!BL157*Calculateur!BN157*VLOOKUP('Données projet'!$B$11,Paramètres!$A$1:$I$89,3,0)*0.475*44/12</f>
        <v>19.727734831637772</v>
      </c>
      <c r="BR157" s="23">
        <f>EXP(-LN(2)/2)*BR156+(1-EXP(-LN(2)/2))/(LN(2)/2)*BL157*BO157*VLOOKUP('Données projet'!$B$11,Paramètres!$A$1:$I$89,3,0)*0.475*44/12</f>
        <v>3.4865767293601043E-3</v>
      </c>
      <c r="BS157" s="24">
        <f t="shared" si="169"/>
        <v>159.73836426225853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465.49436272491818</v>
      </c>
      <c r="CE157" s="62">
        <f t="shared" si="148"/>
        <v>494.36941732405256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54.292266762604058</v>
      </c>
      <c r="CL157" s="23">
        <f>EXP(-LN(2)/25)*CL156+(1-EXP(-LN(2)/25))/(LN(2)/25)*Calculateur!CG157*Calculateur!CI157*VLOOKUP('Données projet'!$B$12,Paramètres!$A$1:$I$89,3,0)*0.475*44/12</f>
        <v>8.1359532887452666</v>
      </c>
      <c r="CM157" s="23">
        <f>EXP(-LN(2)/2)*CM156+(1-EXP(-LN(2)/2))/(LN(2)/2)*CG157*CJ157*VLOOKUP('Données projet'!$B$12,Paramètres!$A$1:$I$89,3,0)*0.475*44/12</f>
        <v>1.4942198074175723E-11</v>
      </c>
      <c r="CN157" s="24">
        <f t="shared" si="172"/>
        <v>62.428220051364271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-6.8212102632969618E-13</v>
      </c>
      <c r="CU157" s="18">
        <f>CT157*VLOOKUP('Données projet'!$B$13,Paramètres!$A$1:$I$89,3,0)*VLOOKUP('Données projet'!$B$13,Paramètres!$A$1:$I$89,5,0)</f>
        <v>-4.0790837374515837E-13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361.46923697840384</v>
      </c>
      <c r="CZ157" s="62">
        <f t="shared" si="150"/>
        <v>302.25424592654673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41.047889598322108</v>
      </c>
      <c r="DG157" s="23">
        <f>EXP(-LN(2)/25)*DG156+(1-EXP(-LN(2)/25))/(LN(2)/25)*Calculateur!DB157*Calculateur!DD157*VLOOKUP('Données projet'!$B$13,Paramètres!$A$1:$I$89,3,0)*0.475*44/12</f>
        <v>8.2581404852143319</v>
      </c>
      <c r="DH157" s="23">
        <f>EXP(-LN(2)/2)*DH156+(1-EXP(-LN(2)/2))/(LN(2)/2)*DB157*DE157*VLOOKUP('Données projet'!$B$13,Paramètres!$A$1:$I$89,3,0)*0.475*44/12</f>
        <v>1.495041268299788E-10</v>
      </c>
      <c r="DI157" s="24">
        <f t="shared" si="175"/>
        <v>49.306030083685947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-4.5474735088646412E-13</v>
      </c>
      <c r="O158" s="14">
        <f>N158*VLOOKUP('Données projet'!$B$9,Paramètres!$A$1:$I$89,3,0)*VLOOKUP('Données projet'!$B$9,Paramètres!$A$1:$I$89,5,0)</f>
        <v>-2.5420376914553347E-13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389.80719836281679</v>
      </c>
      <c r="T158" s="62">
        <f t="shared" si="142"/>
        <v>399.58193819355591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49.081951565650819</v>
      </c>
      <c r="AA158" s="23">
        <f>EXP(-LN(2)/25)*AA157+(1-EXP(-LN(2)/25))/(LN(2)/25)*Calculateur!V158*Calculateur!X158*VLOOKUP('Données projet'!$B$9,Paramètres!$A$1:$I$89,3,0)*0.475*44/12</f>
        <v>7.1615138933809561</v>
      </c>
      <c r="AB158" s="23">
        <f>EXP(-LN(2)/2)*AB157+(1-EXP(-LN(2)/2))/(LN(2)/2)*V158*Y158*VLOOKUP('Données projet'!$B$9,Paramètres!$A$1:$I$89,3,0)*0.475*44/12</f>
        <v>9.694875510794296E-12</v>
      </c>
      <c r="AC158" s="24">
        <f t="shared" si="163"/>
        <v>56.243465459041467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269.90083987531233</v>
      </c>
      <c r="AO158" s="62">
        <f t="shared" si="144"/>
        <v>183.4515835513518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33.802626803813531</v>
      </c>
      <c r="AV158" s="23">
        <f>EXP(-LN(2)/25)*AV157+(1-EXP(-LN(2)/25))/(LN(2)/25)*Calculateur!AQ158*Calculateur!AS158*VLOOKUP('Données projet'!$B$10,Paramètres!$A$1:$I$89,3,0)*0.475*44/12</f>
        <v>7.3853942649027005</v>
      </c>
      <c r="AW158" s="23">
        <f>EXP(-LN(2)/2)*AW157+(1-EXP(-LN(2)/2))/(LN(2)/2)*AQ158*AT158*VLOOKUP('Données projet'!$B$10,Paramètres!$A$1:$I$89,3,0)*0.475*44/12</f>
        <v>3.2743673561480203E-10</v>
      </c>
      <c r="AX158" s="23">
        <f t="shared" si="166"/>
        <v>41.188021069043671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5.6843418860808015E-13</v>
      </c>
      <c r="BE158" s="14">
        <f>BD158*VLOOKUP('Données projet'!$B$11,Paramètres!$A$1:$I$89,3,0)*VLOOKUP('Données projet'!$B$11,Paramètres!$A$1:$I$89,5,0)</f>
        <v>2.7341684472048658E-13</v>
      </c>
      <c r="BF158" s="14">
        <f t="shared" si="167"/>
        <v>3.653683054157169E-12</v>
      </c>
      <c r="BG158" s="22">
        <f t="shared" si="168"/>
        <v>6.8396989905452503E-12</v>
      </c>
      <c r="BH158" s="62">
        <f t="shared" si="116"/>
        <v>293.33333333334014</v>
      </c>
      <c r="BI158" s="62">
        <f ca="1">AVERAGE(OFFSET($BH$3,0,0,'Données projet'!$E$11+1,1))-AVERAGE(OFFSET($H$3,0,0,'Données projet'!$E$11+1,1))</f>
        <v>255.64417186544995</v>
      </c>
      <c r="BJ158" s="62">
        <f t="shared" si="146"/>
        <v>165.41802783289376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137.26168817845158</v>
      </c>
      <c r="BQ158" s="23">
        <f>EXP(-LN(2)/25)*BQ157+(1-EXP(-LN(2)/25))/(LN(2)/25)*Calculateur!BL158*Calculateur!BN158*VLOOKUP('Données projet'!$B$11,Paramètres!$A$1:$I$89,3,0)*0.475*44/12</f>
        <v>19.188278885230151</v>
      </c>
      <c r="BR158" s="23">
        <f>EXP(-LN(2)/2)*BR157+(1-EXP(-LN(2)/2))/(LN(2)/2)*BL158*BO158*VLOOKUP('Données projet'!$B$11,Paramètres!$A$1:$I$89,3,0)*0.475*44/12</f>
        <v>2.4653820484577438E-3</v>
      </c>
      <c r="BS158" s="24">
        <f t="shared" si="169"/>
        <v>156.45243244573018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465.49436272491818</v>
      </c>
      <c r="CE158" s="62">
        <f t="shared" si="148"/>
        <v>494.36941732405256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53.227628526402285</v>
      </c>
      <c r="CL158" s="23">
        <f>EXP(-LN(2)/25)*CL157+(1-EXP(-LN(2)/25))/(LN(2)/25)*Calculateur!CG158*Calculateur!CI158*VLOOKUP('Données projet'!$B$12,Paramètres!$A$1:$I$89,3,0)*0.475*44/12</f>
        <v>7.913475218213339</v>
      </c>
      <c r="CM158" s="23">
        <f>EXP(-LN(2)/2)*CM157+(1-EXP(-LN(2)/2))/(LN(2)/2)*CG158*CJ158*VLOOKUP('Données projet'!$B$12,Paramètres!$A$1:$I$89,3,0)*0.475*44/12</f>
        <v>1.0565729584082225E-11</v>
      </c>
      <c r="CN158" s="24">
        <f t="shared" si="172"/>
        <v>61.141103744626186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-6.8212102632969618E-13</v>
      </c>
      <c r="CU158" s="18">
        <f>CT158*VLOOKUP('Données projet'!$B$13,Paramètres!$A$1:$I$89,3,0)*VLOOKUP('Données projet'!$B$13,Paramètres!$A$1:$I$89,5,0)</f>
        <v>-4.0790837374515837E-13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361.46923697840384</v>
      </c>
      <c r="CZ158" s="62">
        <f t="shared" si="150"/>
        <v>302.25424592654673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40.24296552003949</v>
      </c>
      <c r="DG158" s="23">
        <f>EXP(-LN(2)/25)*DG157+(1-EXP(-LN(2)/25))/(LN(2)/25)*Calculateur!DB158*Calculateur!DD158*VLOOKUP('Données projet'!$B$13,Paramètres!$A$1:$I$89,3,0)*0.475*44/12</f>
        <v>8.0323211993694112</v>
      </c>
      <c r="DH158" s="23">
        <f>EXP(-LN(2)/2)*DH157+(1-EXP(-LN(2)/2))/(LN(2)/2)*DB158*DE158*VLOOKUP('Données projet'!$B$13,Paramètres!$A$1:$I$89,3,0)*0.475*44/12</f>
        <v>1.0571538189685167E-10</v>
      </c>
      <c r="DI158" s="24">
        <f t="shared" si="175"/>
        <v>48.275286719514618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-4.5474735088646412E-13</v>
      </c>
      <c r="O159" s="14">
        <f>N159*VLOOKUP('Données projet'!$B$9,Paramètres!$A$1:$I$89,3,0)*VLOOKUP('Données projet'!$B$9,Paramètres!$A$1:$I$89,5,0)</f>
        <v>-2.5420376914553347E-13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389.80719836281679</v>
      </c>
      <c r="T159" s="62">
        <f t="shared" si="142"/>
        <v>399.58193819355591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48.119484432482828</v>
      </c>
      <c r="AA159" s="23">
        <f>EXP(-LN(2)/25)*AA158+(1-EXP(-LN(2)/25))/(LN(2)/25)*Calculateur!V159*Calculateur!X159*VLOOKUP('Données projet'!$B$9,Paramètres!$A$1:$I$89,3,0)*0.475*44/12</f>
        <v>6.965681919358806</v>
      </c>
      <c r="AB159" s="23">
        <f>EXP(-LN(2)/2)*AB158+(1-EXP(-LN(2)/2))/(LN(2)/2)*V159*Y159*VLOOKUP('Données projet'!$B$9,Paramètres!$A$1:$I$89,3,0)*0.475*44/12</f>
        <v>6.8553122164420405E-12</v>
      </c>
      <c r="AC159" s="24">
        <f t="shared" si="163"/>
        <v>55.085166351848493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269.90083987531233</v>
      </c>
      <c r="AO159" s="62">
        <f t="shared" si="144"/>
        <v>183.4515835513518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33.139777909757285</v>
      </c>
      <c r="AV159" s="23">
        <f>EXP(-LN(2)/25)*AV158+(1-EXP(-LN(2)/25))/(LN(2)/25)*Calculateur!AQ159*Calculateur!AS159*VLOOKUP('Données projet'!$B$10,Paramètres!$A$1:$I$89,3,0)*0.475*44/12</f>
        <v>7.1834402703479316</v>
      </c>
      <c r="AW159" s="23">
        <f>EXP(-LN(2)/2)*AW158+(1-EXP(-LN(2)/2))/(LN(2)/2)*AQ159*AT159*VLOOKUP('Données projet'!$B$10,Paramètres!$A$1:$I$89,3,0)*0.475*44/12</f>
        <v>2.3153273616281324E-10</v>
      </c>
      <c r="AX159" s="23">
        <f t="shared" si="166"/>
        <v>40.323218180336745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5.6843418860808015E-13</v>
      </c>
      <c r="BE159" s="14">
        <f>BD159*VLOOKUP('Données projet'!$B$11,Paramètres!$A$1:$I$89,3,0)*VLOOKUP('Données projet'!$B$11,Paramètres!$A$1:$I$89,5,0)</f>
        <v>2.7341684472048658E-13</v>
      </c>
      <c r="BF159" s="14">
        <f t="shared" si="167"/>
        <v>3.653683054157169E-12</v>
      </c>
      <c r="BG159" s="22">
        <f t="shared" si="168"/>
        <v>6.8396989905452503E-12</v>
      </c>
      <c r="BH159" s="62">
        <f t="shared" si="116"/>
        <v>293.33333333334014</v>
      </c>
      <c r="BI159" s="62">
        <f ca="1">AVERAGE(OFFSET($BH$3,0,0,'Données projet'!$E$11+1,1))-AVERAGE(OFFSET($H$3,0,0,'Données projet'!$E$11+1,1))</f>
        <v>255.64417186544995</v>
      </c>
      <c r="BJ159" s="62">
        <f t="shared" si="146"/>
        <v>165.41802783289376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134.57007019463512</v>
      </c>
      <c r="BQ159" s="23">
        <f>EXP(-LN(2)/25)*BQ158+(1-EXP(-LN(2)/25))/(LN(2)/25)*Calculateur!BL159*Calculateur!BN159*VLOOKUP('Données projet'!$B$11,Paramètres!$A$1:$I$89,3,0)*0.475*44/12</f>
        <v>18.663574390045802</v>
      </c>
      <c r="BR159" s="23">
        <f>EXP(-LN(2)/2)*BR158+(1-EXP(-LN(2)/2))/(LN(2)/2)*BL159*BO159*VLOOKUP('Données projet'!$B$11,Paramètres!$A$1:$I$89,3,0)*0.475*44/12</f>
        <v>1.7432883646800522E-3</v>
      </c>
      <c r="BS159" s="24">
        <f t="shared" si="169"/>
        <v>153.2353878730456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465.49436272491818</v>
      </c>
      <c r="CE159" s="62">
        <f t="shared" si="148"/>
        <v>494.36941732405256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52.183867196647221</v>
      </c>
      <c r="CL159" s="23">
        <f>EXP(-LN(2)/25)*CL158+(1-EXP(-LN(2)/25))/(LN(2)/25)*Calculateur!CG159*Calculateur!CI159*VLOOKUP('Données projet'!$B$12,Paramètres!$A$1:$I$89,3,0)*0.475*44/12</f>
        <v>7.6970808222197196</v>
      </c>
      <c r="CM159" s="23">
        <f>EXP(-LN(2)/2)*CM158+(1-EXP(-LN(2)/2))/(LN(2)/2)*CG159*CJ159*VLOOKUP('Données projet'!$B$12,Paramètres!$A$1:$I$89,3,0)*0.475*44/12</f>
        <v>7.4710990370878615E-12</v>
      </c>
      <c r="CN159" s="24">
        <f t="shared" si="172"/>
        <v>59.880948018874406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-6.8212102632969618E-13</v>
      </c>
      <c r="CU159" s="18">
        <f>CT159*VLOOKUP('Données projet'!$B$13,Paramètres!$A$1:$I$89,3,0)*VLOOKUP('Données projet'!$B$13,Paramètres!$A$1:$I$89,5,0)</f>
        <v>-4.0790837374515837E-13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361.46923697840384</v>
      </c>
      <c r="CZ159" s="62">
        <f t="shared" si="150"/>
        <v>302.25424592654673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39.453825511976788</v>
      </c>
      <c r="DG159" s="23">
        <f>EXP(-LN(2)/25)*DG158+(1-EXP(-LN(2)/25))/(LN(2)/25)*Calculateur!DB159*Calculateur!DD159*VLOOKUP('Données projet'!$B$13,Paramètres!$A$1:$I$89,3,0)*0.475*44/12</f>
        <v>7.8126769537712413</v>
      </c>
      <c r="DH159" s="23">
        <f>EXP(-LN(2)/2)*DH158+(1-EXP(-LN(2)/2))/(LN(2)/2)*DB159*DE159*VLOOKUP('Données projet'!$B$13,Paramètres!$A$1:$I$89,3,0)*0.475*44/12</f>
        <v>7.47520634149894E-11</v>
      </c>
      <c r="DI159" s="24">
        <f t="shared" si="175"/>
        <v>47.266502465822782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-4.5474735088646412E-13</v>
      </c>
      <c r="O160" s="14">
        <f>N160*VLOOKUP('Données projet'!$B$9,Paramètres!$A$1:$I$89,3,0)*VLOOKUP('Données projet'!$B$9,Paramètres!$A$1:$I$89,5,0)</f>
        <v>-2.5420376914553347E-13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389.80719836281679</v>
      </c>
      <c r="T160" s="62">
        <f t="shared" si="142"/>
        <v>399.58193819355591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47.17589069274927</v>
      </c>
      <c r="AA160" s="23">
        <f>EXP(-LN(2)/25)*AA159+(1-EXP(-LN(2)/25))/(LN(2)/25)*Calculateur!V160*Calculateur!X160*VLOOKUP('Données projet'!$B$9,Paramètres!$A$1:$I$89,3,0)*0.475*44/12</f>
        <v>6.7752049809646477</v>
      </c>
      <c r="AB160" s="23">
        <f>EXP(-LN(2)/2)*AB159+(1-EXP(-LN(2)/2))/(LN(2)/2)*V160*Y160*VLOOKUP('Données projet'!$B$9,Paramètres!$A$1:$I$89,3,0)*0.475*44/12</f>
        <v>4.847437755397148E-12</v>
      </c>
      <c r="AC160" s="24">
        <f t="shared" si="163"/>
        <v>53.951095673718761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269.90083987531233</v>
      </c>
      <c r="AO160" s="62">
        <f t="shared" si="144"/>
        <v>183.4515835513518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32.489927078215572</v>
      </c>
      <c r="AV160" s="23">
        <f>EXP(-LN(2)/25)*AV159+(1-EXP(-LN(2)/25))/(LN(2)/25)*Calculateur!AQ160*Calculateur!AS160*VLOOKUP('Données projet'!$B$10,Paramètres!$A$1:$I$89,3,0)*0.475*44/12</f>
        <v>6.9870087183945619</v>
      </c>
      <c r="AW160" s="23">
        <f>EXP(-LN(2)/2)*AW159+(1-EXP(-LN(2)/2))/(LN(2)/2)*AQ160*AT160*VLOOKUP('Données projet'!$B$10,Paramètres!$A$1:$I$89,3,0)*0.475*44/12</f>
        <v>1.6371836780740104E-10</v>
      </c>
      <c r="AX160" s="23">
        <f t="shared" si="166"/>
        <v>39.476935796773851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5.6843418860808015E-13</v>
      </c>
      <c r="BE160" s="14">
        <f>BD160*VLOOKUP('Données projet'!$B$11,Paramètres!$A$1:$I$89,3,0)*VLOOKUP('Données projet'!$B$11,Paramètres!$A$1:$I$89,5,0)</f>
        <v>2.7341684472048658E-13</v>
      </c>
      <c r="BF160" s="14">
        <f t="shared" si="167"/>
        <v>3.653683054157169E-12</v>
      </c>
      <c r="BG160" s="22">
        <f t="shared" si="168"/>
        <v>6.8396989905452503E-12</v>
      </c>
      <c r="BH160" s="62">
        <f t="shared" si="116"/>
        <v>293.33333333334014</v>
      </c>
      <c r="BI160" s="62">
        <f ca="1">AVERAGE(OFFSET($BH$3,0,0,'Données projet'!$E$11+1,1))-AVERAGE(OFFSET($H$3,0,0,'Données projet'!$E$11+1,1))</f>
        <v>255.64417186544995</v>
      </c>
      <c r="BJ160" s="62">
        <f t="shared" si="146"/>
        <v>165.41802783289376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131.93123319775646</v>
      </c>
      <c r="BQ160" s="23">
        <f>EXP(-LN(2)/25)*BQ159+(1-EXP(-LN(2)/25))/(LN(2)/25)*Calculateur!BL160*Calculateur!BN160*VLOOKUP('Données projet'!$B$11,Paramètres!$A$1:$I$89,3,0)*0.475*44/12</f>
        <v>18.153217966875278</v>
      </c>
      <c r="BR160" s="23">
        <f>EXP(-LN(2)/2)*BR159+(1-EXP(-LN(2)/2))/(LN(2)/2)*BL160*BO160*VLOOKUP('Données projet'!$B$11,Paramètres!$A$1:$I$89,3,0)*0.475*44/12</f>
        <v>1.2326910242288719E-3</v>
      </c>
      <c r="BS160" s="24">
        <f t="shared" si="169"/>
        <v>150.08568385565596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465.49436272491818</v>
      </c>
      <c r="CE160" s="62">
        <f t="shared" si="148"/>
        <v>494.36941732405256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51.160573389937106</v>
      </c>
      <c r="CL160" s="23">
        <f>EXP(-LN(2)/25)*CL159+(1-EXP(-LN(2)/25))/(LN(2)/25)*Calculateur!CG160*Calculateur!CI160*VLOOKUP('Données projet'!$B$12,Paramètres!$A$1:$I$89,3,0)*0.475*44/12</f>
        <v>7.4866037423642329</v>
      </c>
      <c r="CM160" s="23">
        <f>EXP(-LN(2)/2)*CM159+(1-EXP(-LN(2)/2))/(LN(2)/2)*CG160*CJ160*VLOOKUP('Données projet'!$B$12,Paramètres!$A$1:$I$89,3,0)*0.475*44/12</f>
        <v>5.2828647920411124E-12</v>
      </c>
      <c r="CN160" s="24">
        <f t="shared" si="172"/>
        <v>58.647177132306616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-6.8212102632969618E-13</v>
      </c>
      <c r="CU160" s="18">
        <f>CT160*VLOOKUP('Données projet'!$B$13,Paramètres!$A$1:$I$89,3,0)*VLOOKUP('Données projet'!$B$13,Paramètres!$A$1:$I$89,5,0)</f>
        <v>-4.0790837374515837E-13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361.46923697840384</v>
      </c>
      <c r="CZ160" s="62">
        <f t="shared" si="150"/>
        <v>302.25424592654673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38.680160058144317</v>
      </c>
      <c r="DG160" s="23">
        <f>EXP(-LN(2)/25)*DG159+(1-EXP(-LN(2)/25))/(LN(2)/25)*Calculateur!DB160*Calculateur!DD160*VLOOKUP('Données projet'!$B$13,Paramètres!$A$1:$I$89,3,0)*0.475*44/12</f>
        <v>7.5990388916195419</v>
      </c>
      <c r="DH160" s="23">
        <f>EXP(-LN(2)/2)*DH159+(1-EXP(-LN(2)/2))/(LN(2)/2)*DB160*DE160*VLOOKUP('Données projet'!$B$13,Paramètres!$A$1:$I$89,3,0)*0.475*44/12</f>
        <v>5.2857690948425835E-11</v>
      </c>
      <c r="DI160" s="24">
        <f t="shared" si="175"/>
        <v>46.279198949816717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-4.5474735088646412E-13</v>
      </c>
      <c r="O161" s="14">
        <f>N161*VLOOKUP('Données projet'!$B$9,Paramètres!$A$1:$I$89,3,0)*VLOOKUP('Données projet'!$B$9,Paramètres!$A$1:$I$89,5,0)</f>
        <v>-2.5420376914553347E-13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389.80719836281679</v>
      </c>
      <c r="T161" s="62">
        <f t="shared" si="142"/>
        <v>399.58193819355591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46.250800250716537</v>
      </c>
      <c r="AA161" s="23">
        <f>EXP(-LN(2)/25)*AA160+(1-EXP(-LN(2)/25))/(LN(2)/25)*Calculateur!V161*Calculateur!X161*VLOOKUP('Données projet'!$B$9,Paramètres!$A$1:$I$89,3,0)*0.475*44/12</f>
        <v>6.5899366444676248</v>
      </c>
      <c r="AB161" s="23">
        <f>EXP(-LN(2)/2)*AB160+(1-EXP(-LN(2)/2))/(LN(2)/2)*V161*Y161*VLOOKUP('Données projet'!$B$9,Paramètres!$A$1:$I$89,3,0)*0.475*44/12</f>
        <v>3.4276561082210203E-12</v>
      </c>
      <c r="AC161" s="24">
        <f t="shared" si="163"/>
        <v>52.84073689518759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269.90083987531233</v>
      </c>
      <c r="AO161" s="62">
        <f t="shared" si="144"/>
        <v>183.4515835513518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31.852819425110528</v>
      </c>
      <c r="AV161" s="23">
        <f>EXP(-LN(2)/25)*AV160+(1-EXP(-LN(2)/25))/(LN(2)/25)*Calculateur!AQ161*Calculateur!AS161*VLOOKUP('Données projet'!$B$10,Paramètres!$A$1:$I$89,3,0)*0.475*44/12</f>
        <v>6.7959485975592431</v>
      </c>
      <c r="AW161" s="23">
        <f>EXP(-LN(2)/2)*AW160+(1-EXP(-LN(2)/2))/(LN(2)/2)*AQ161*AT161*VLOOKUP('Données projet'!$B$10,Paramètres!$A$1:$I$89,3,0)*0.475*44/12</f>
        <v>1.1576636808140665E-10</v>
      </c>
      <c r="AX161" s="23">
        <f t="shared" si="166"/>
        <v>38.648768022785539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5.6843418860808015E-13</v>
      </c>
      <c r="BE161" s="14">
        <f>BD161*VLOOKUP('Données projet'!$B$11,Paramètres!$A$1:$I$89,3,0)*VLOOKUP('Données projet'!$B$11,Paramètres!$A$1:$I$89,5,0)</f>
        <v>2.7341684472048658E-13</v>
      </c>
      <c r="BF161" s="14">
        <f t="shared" si="167"/>
        <v>3.653683054157169E-12</v>
      </c>
      <c r="BG161" s="22">
        <f t="shared" si="168"/>
        <v>6.8396989905452503E-12</v>
      </c>
      <c r="BH161" s="62">
        <f t="shared" si="116"/>
        <v>293.33333333334014</v>
      </c>
      <c r="BI161" s="62">
        <f ca="1">AVERAGE(OFFSET($BH$3,0,0,'Données projet'!$E$11+1,1))-AVERAGE(OFFSET($H$3,0,0,'Données projet'!$E$11+1,1))</f>
        <v>255.64417186544995</v>
      </c>
      <c r="BJ161" s="62">
        <f t="shared" si="146"/>
        <v>165.41802783289376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129.34414218485495</v>
      </c>
      <c r="BQ161" s="23">
        <f>EXP(-LN(2)/25)*BQ160+(1-EXP(-LN(2)/25))/(LN(2)/25)*Calculateur!BL161*Calculateur!BN161*VLOOKUP('Données projet'!$B$11,Paramètres!$A$1:$I$89,3,0)*0.475*44/12</f>
        <v>17.65681726693483</v>
      </c>
      <c r="BR161" s="23">
        <f>EXP(-LN(2)/2)*BR160+(1-EXP(-LN(2)/2))/(LN(2)/2)*BL161*BO161*VLOOKUP('Données projet'!$B$11,Paramètres!$A$1:$I$89,3,0)*0.475*44/12</f>
        <v>8.7164418234002609E-4</v>
      </c>
      <c r="BS161" s="24">
        <f t="shared" si="169"/>
        <v>147.00183109597214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465.49436272491818</v>
      </c>
      <c r="CE161" s="62">
        <f t="shared" si="148"/>
        <v>494.36941732405256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50.157345750628984</v>
      </c>
      <c r="CL161" s="23">
        <f>EXP(-LN(2)/25)*CL160+(1-EXP(-LN(2)/25))/(LN(2)/25)*Calculateur!CG161*Calculateur!CI161*VLOOKUP('Données projet'!$B$12,Paramètres!$A$1:$I$89,3,0)*0.475*44/12</f>
        <v>7.281882169325903</v>
      </c>
      <c r="CM161" s="23">
        <f>EXP(-LN(2)/2)*CM160+(1-EXP(-LN(2)/2))/(LN(2)/2)*CG161*CJ161*VLOOKUP('Données projet'!$B$12,Paramètres!$A$1:$I$89,3,0)*0.475*44/12</f>
        <v>3.7355495185439307E-12</v>
      </c>
      <c r="CN161" s="24">
        <f t="shared" si="172"/>
        <v>57.439227919958626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-6.8212102632969618E-13</v>
      </c>
      <c r="CU161" s="18">
        <f>CT161*VLOOKUP('Données projet'!$B$13,Paramètres!$A$1:$I$89,3,0)*VLOOKUP('Données projet'!$B$13,Paramètres!$A$1:$I$89,5,0)</f>
        <v>-4.0790837374515837E-13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361.46923697840384</v>
      </c>
      <c r="CZ161" s="62">
        <f t="shared" si="150"/>
        <v>302.25424592654673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37.921665711972167</v>
      </c>
      <c r="DG161" s="23">
        <f>EXP(-LN(2)/25)*DG160+(1-EXP(-LN(2)/25))/(LN(2)/25)*Calculateur!DB161*Calculateur!DD161*VLOOKUP('Données projet'!$B$13,Paramètres!$A$1:$I$89,3,0)*0.475*44/12</f>
        <v>7.3912427735121184</v>
      </c>
      <c r="DH161" s="23">
        <f>EXP(-LN(2)/2)*DH160+(1-EXP(-LN(2)/2))/(LN(2)/2)*DB161*DE161*VLOOKUP('Données projet'!$B$13,Paramètres!$A$1:$I$89,3,0)*0.475*44/12</f>
        <v>3.73760317074947E-11</v>
      </c>
      <c r="DI161" s="24">
        <f t="shared" si="175"/>
        <v>45.31290848552166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-4.5474735088646412E-13</v>
      </c>
      <c r="O162" s="14">
        <f>N162*VLOOKUP('Données projet'!$B$9,Paramètres!$A$1:$I$89,3,0)*VLOOKUP('Données projet'!$B$9,Paramètres!$A$1:$I$89,5,0)</f>
        <v>-2.5420376914553347E-13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389.80719836281679</v>
      </c>
      <c r="T162" s="62">
        <f t="shared" si="142"/>
        <v>399.58193819355591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45.343850268002612</v>
      </c>
      <c r="AA162" s="23">
        <f>EXP(-LN(2)/25)*AA161+(1-EXP(-LN(2)/25))/(LN(2)/25)*Calculateur!V162*Calculateur!X162*VLOOKUP('Données projet'!$B$9,Paramètres!$A$1:$I$89,3,0)*0.475*44/12</f>
        <v>6.4097344803749507</v>
      </c>
      <c r="AB162" s="23">
        <f>EXP(-LN(2)/2)*AB161+(1-EXP(-LN(2)/2))/(LN(2)/2)*V162*Y162*VLOOKUP('Données projet'!$B$9,Paramètres!$A$1:$I$89,3,0)*0.475*44/12</f>
        <v>2.423718877698574E-12</v>
      </c>
      <c r="AC162" s="24">
        <f t="shared" si="163"/>
        <v>51.753584748379986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269.90083987531233</v>
      </c>
      <c r="AO162" s="62">
        <f t="shared" si="144"/>
        <v>183.4515835513518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31.228205064485575</v>
      </c>
      <c r="AV162" s="23">
        <f>EXP(-LN(2)/25)*AV161+(1-EXP(-LN(2)/25))/(LN(2)/25)*Calculateur!AQ162*Calculateur!AS162*VLOOKUP('Données projet'!$B$10,Paramètres!$A$1:$I$89,3,0)*0.475*44/12</f>
        <v>6.6101130257755809</v>
      </c>
      <c r="AW162" s="23">
        <f>EXP(-LN(2)/2)*AW161+(1-EXP(-LN(2)/2))/(LN(2)/2)*AQ162*AT162*VLOOKUP('Données projet'!$B$10,Paramètres!$A$1:$I$89,3,0)*0.475*44/12</f>
        <v>8.1859183903700534E-11</v>
      </c>
      <c r="AX162" s="23">
        <f t="shared" si="166"/>
        <v>37.838318090343016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5.6843418860808015E-13</v>
      </c>
      <c r="BE162" s="14">
        <f>BD162*VLOOKUP('Données projet'!$B$11,Paramètres!$A$1:$I$89,3,0)*VLOOKUP('Données projet'!$B$11,Paramètres!$A$1:$I$89,5,0)</f>
        <v>2.7341684472048658E-13</v>
      </c>
      <c r="BF162" s="14">
        <f t="shared" si="167"/>
        <v>3.653683054157169E-12</v>
      </c>
      <c r="BG162" s="22">
        <f t="shared" si="168"/>
        <v>6.8396989905452503E-12</v>
      </c>
      <c r="BH162" s="62">
        <f t="shared" si="116"/>
        <v>293.33333333334014</v>
      </c>
      <c r="BI162" s="62">
        <f ca="1">AVERAGE(OFFSET($BH$3,0,0,'Données projet'!$E$11+1,1))-AVERAGE(OFFSET($H$3,0,0,'Données projet'!$E$11+1,1))</f>
        <v>255.64417186544995</v>
      </c>
      <c r="BJ162" s="62">
        <f t="shared" si="146"/>
        <v>165.41802783289376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126.80778244874672</v>
      </c>
      <c r="BQ162" s="23">
        <f>EXP(-LN(2)/25)*BQ161+(1-EXP(-LN(2)/25))/(LN(2)/25)*Calculateur!BL162*Calculateur!BN162*VLOOKUP('Données projet'!$B$11,Paramètres!$A$1:$I$89,3,0)*0.475*44/12</f>
        <v>17.173990670238833</v>
      </c>
      <c r="BR162" s="23">
        <f>EXP(-LN(2)/2)*BR161+(1-EXP(-LN(2)/2))/(LN(2)/2)*BL162*BO162*VLOOKUP('Données projet'!$B$11,Paramètres!$A$1:$I$89,3,0)*0.475*44/12</f>
        <v>6.1634551211443595E-4</v>
      </c>
      <c r="BS162" s="24">
        <f t="shared" si="169"/>
        <v>143.98238946449769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465.49436272491818</v>
      </c>
      <c r="CE162" s="62">
        <f t="shared" si="148"/>
        <v>494.36941732405256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49.173790793419251</v>
      </c>
      <c r="CL162" s="23">
        <f>EXP(-LN(2)/25)*CL161+(1-EXP(-LN(2)/25))/(LN(2)/25)*Calculateur!CG162*Calculateur!CI162*VLOOKUP('Données projet'!$B$12,Paramètres!$A$1:$I$89,3,0)*0.475*44/12</f>
        <v>7.0827587184681455</v>
      </c>
      <c r="CM162" s="23">
        <f>EXP(-LN(2)/2)*CM161+(1-EXP(-LN(2)/2))/(LN(2)/2)*CG162*CJ162*VLOOKUP('Données projet'!$B$12,Paramètres!$A$1:$I$89,3,0)*0.475*44/12</f>
        <v>2.6414323960205562E-12</v>
      </c>
      <c r="CN162" s="24">
        <f t="shared" si="172"/>
        <v>56.256549511890043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-6.8212102632969618E-13</v>
      </c>
      <c r="CU162" s="18">
        <f>CT162*VLOOKUP('Données projet'!$B$13,Paramètres!$A$1:$I$89,3,0)*VLOOKUP('Données projet'!$B$13,Paramètres!$A$1:$I$89,5,0)</f>
        <v>-4.0790837374515837E-13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361.46923697840384</v>
      </c>
      <c r="CZ162" s="62">
        <f t="shared" si="150"/>
        <v>302.25424592654673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37.178044977292586</v>
      </c>
      <c r="DG162" s="23">
        <f>EXP(-LN(2)/25)*DG161+(1-EXP(-LN(2)/25))/(LN(2)/25)*Calculateur!DB162*Calculateur!DD162*VLOOKUP('Données projet'!$B$13,Paramètres!$A$1:$I$89,3,0)*0.475*44/12</f>
        <v>7.1891288511818647</v>
      </c>
      <c r="DH162" s="23">
        <f>EXP(-LN(2)/2)*DH161+(1-EXP(-LN(2)/2))/(LN(2)/2)*DB162*DE162*VLOOKUP('Données projet'!$B$13,Paramètres!$A$1:$I$89,3,0)*0.475*44/12</f>
        <v>2.6428845474212918E-11</v>
      </c>
      <c r="DI162" s="24">
        <f t="shared" si="175"/>
        <v>44.367173828500881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-4.5474735088646412E-13</v>
      </c>
      <c r="O163" s="14">
        <f>N163*VLOOKUP('Données projet'!$B$9,Paramètres!$A$1:$I$89,3,0)*VLOOKUP('Données projet'!$B$9,Paramètres!$A$1:$I$89,5,0)</f>
        <v>-2.5420376914553347E-13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389.80719836281679</v>
      </c>
      <c r="T163" s="62">
        <f t="shared" si="142"/>
        <v>399.58193819355591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44.454685021264844</v>
      </c>
      <c r="AA163" s="23">
        <f>EXP(-LN(2)/25)*AA162+(1-EXP(-LN(2)/25))/(LN(2)/25)*Calculateur!V163*Calculateur!X163*VLOOKUP('Données projet'!$B$9,Paramètres!$A$1:$I$89,3,0)*0.475*44/12</f>
        <v>6.2344599539358114</v>
      </c>
      <c r="AB163" s="23">
        <f>EXP(-LN(2)/2)*AB162+(1-EXP(-LN(2)/2))/(LN(2)/2)*V163*Y163*VLOOKUP('Données projet'!$B$9,Paramètres!$A$1:$I$89,3,0)*0.475*44/12</f>
        <v>1.7138280541105101E-12</v>
      </c>
      <c r="AC163" s="24">
        <f t="shared" si="163"/>
        <v>50.689144975202368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269.90083987531233</v>
      </c>
      <c r="AO163" s="62">
        <f t="shared" si="144"/>
        <v>183.4515835513518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30.615839010495336</v>
      </c>
      <c r="AV163" s="23">
        <f>EXP(-LN(2)/25)*AV162+(1-EXP(-LN(2)/25))/(LN(2)/25)*Calculateur!AQ163*Calculateur!AS163*VLOOKUP('Données projet'!$B$10,Paramètres!$A$1:$I$89,3,0)*0.475*44/12</f>
        <v>6.4293591374750116</v>
      </c>
      <c r="AW163" s="23">
        <f>EXP(-LN(2)/2)*AW162+(1-EXP(-LN(2)/2))/(LN(2)/2)*AQ163*AT163*VLOOKUP('Données projet'!$B$10,Paramètres!$A$1:$I$89,3,0)*0.475*44/12</f>
        <v>5.7883184040703329E-11</v>
      </c>
      <c r="AX163" s="23">
        <f t="shared" si="166"/>
        <v>37.045198148028227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5.6843418860808015E-13</v>
      </c>
      <c r="BE163" s="14">
        <f>BD163*VLOOKUP('Données projet'!$B$11,Paramètres!$A$1:$I$89,3,0)*VLOOKUP('Données projet'!$B$11,Paramètres!$A$1:$I$89,5,0)</f>
        <v>2.7341684472048658E-13</v>
      </c>
      <c r="BF163" s="14">
        <f t="shared" si="167"/>
        <v>3.653683054157169E-12</v>
      </c>
      <c r="BG163" s="22">
        <f t="shared" si="168"/>
        <v>6.8396989905452503E-12</v>
      </c>
      <c r="BH163" s="62">
        <f t="shared" si="116"/>
        <v>293.33333333334014</v>
      </c>
      <c r="BI163" s="62">
        <f ca="1">AVERAGE(OFFSET($BH$3,0,0,'Données projet'!$E$11+1,1))-AVERAGE(OFFSET($H$3,0,0,'Données projet'!$E$11+1,1))</f>
        <v>255.64417186544995</v>
      </c>
      <c r="BJ163" s="62">
        <f t="shared" si="146"/>
        <v>165.41802783289376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124.3211591800369</v>
      </c>
      <c r="BQ163" s="23">
        <f>EXP(-LN(2)/25)*BQ162+(1-EXP(-LN(2)/25))/(LN(2)/25)*Calculateur!BL163*Calculateur!BN163*VLOOKUP('Données projet'!$B$11,Paramètres!$A$1:$I$89,3,0)*0.475*44/12</f>
        <v>16.704366992220233</v>
      </c>
      <c r="BR163" s="23">
        <f>EXP(-LN(2)/2)*BR162+(1-EXP(-LN(2)/2))/(LN(2)/2)*BL163*BO163*VLOOKUP('Données projet'!$B$11,Paramètres!$A$1:$I$89,3,0)*0.475*44/12</f>
        <v>4.3582209117001304E-4</v>
      </c>
      <c r="BS163" s="24">
        <f t="shared" si="169"/>
        <v>141.02596199434831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465.49436272491818</v>
      </c>
      <c r="CE163" s="62">
        <f t="shared" si="148"/>
        <v>494.36941732405256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48.209522749011114</v>
      </c>
      <c r="CL163" s="23">
        <f>EXP(-LN(2)/25)*CL162+(1-EXP(-LN(2)/25))/(LN(2)/25)*Calculateur!CG163*Calculateur!CI163*VLOOKUP('Données projet'!$B$12,Paramètres!$A$1:$I$89,3,0)*0.475*44/12</f>
        <v>6.889080308845541</v>
      </c>
      <c r="CM163" s="23">
        <f>EXP(-LN(2)/2)*CM162+(1-EXP(-LN(2)/2))/(LN(2)/2)*CG163*CJ163*VLOOKUP('Données projet'!$B$12,Paramètres!$A$1:$I$89,3,0)*0.475*44/12</f>
        <v>1.8677747592719654E-12</v>
      </c>
      <c r="CN163" s="24">
        <f t="shared" si="172"/>
        <v>55.098603057858526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-6.8212102632969618E-13</v>
      </c>
      <c r="CU163" s="18">
        <f>CT163*VLOOKUP('Données projet'!$B$13,Paramètres!$A$1:$I$89,3,0)*VLOOKUP('Données projet'!$B$13,Paramètres!$A$1:$I$89,5,0)</f>
        <v>-4.0790837374515837E-13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361.46923697840384</v>
      </c>
      <c r="CZ163" s="62">
        <f t="shared" si="150"/>
        <v>302.25424592654673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36.44900619165621</v>
      </c>
      <c r="DG163" s="23">
        <f>EXP(-LN(2)/25)*DG162+(1-EXP(-LN(2)/25))/(LN(2)/25)*Calculateur!DB163*Calculateur!DD163*VLOOKUP('Données projet'!$B$13,Paramètres!$A$1:$I$89,3,0)*0.475*44/12</f>
        <v>6.9925417446864415</v>
      </c>
      <c r="DH163" s="23">
        <f>EXP(-LN(2)/2)*DH162+(1-EXP(-LN(2)/2))/(LN(2)/2)*DB163*DE163*VLOOKUP('Données projet'!$B$13,Paramètres!$A$1:$I$89,3,0)*0.475*44/12</f>
        <v>1.868801585374735E-11</v>
      </c>
      <c r="DI163" s="24">
        <f t="shared" si="175"/>
        <v>43.441547936361339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-4.5474735088646412E-13</v>
      </c>
      <c r="O164" s="14">
        <f>N164*VLOOKUP('Données projet'!$B$9,Paramètres!$A$1:$I$89,3,0)*VLOOKUP('Données projet'!$B$9,Paramètres!$A$1:$I$89,5,0)</f>
        <v>-2.5420376914553347E-13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389.80719836281679</v>
      </c>
      <c r="T164" s="62">
        <f t="shared" si="142"/>
        <v>399.58193819355591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43.582955762678353</v>
      </c>
      <c r="AA164" s="23">
        <f>EXP(-LN(2)/25)*AA163+(1-EXP(-LN(2)/25))/(LN(2)/25)*Calculateur!V164*Calculateur!X164*VLOOKUP('Données projet'!$B$9,Paramètres!$A$1:$I$89,3,0)*0.475*44/12</f>
        <v>6.0639783186394371</v>
      </c>
      <c r="AB164" s="23">
        <f>EXP(-LN(2)/2)*AB163+(1-EXP(-LN(2)/2))/(LN(2)/2)*V164*Y164*VLOOKUP('Données projet'!$B$9,Paramètres!$A$1:$I$89,3,0)*0.475*44/12</f>
        <v>1.211859438849287E-12</v>
      </c>
      <c r="AC164" s="24">
        <f t="shared" si="163"/>
        <v>49.646934081319003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269.90083987531233</v>
      </c>
      <c r="AO164" s="62">
        <f t="shared" si="144"/>
        <v>183.4515835513518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30.015481081317432</v>
      </c>
      <c r="AV164" s="23">
        <f>EXP(-LN(2)/25)*AV163+(1-EXP(-LN(2)/25))/(LN(2)/25)*Calculateur!AQ164*Calculateur!AS164*VLOOKUP('Données projet'!$B$10,Paramètres!$A$1:$I$89,3,0)*0.475*44/12</f>
        <v>6.2535479737554551</v>
      </c>
      <c r="AW164" s="23">
        <f>EXP(-LN(2)/2)*AW163+(1-EXP(-LN(2)/2))/(LN(2)/2)*AQ164*AT164*VLOOKUP('Données projet'!$B$10,Paramètres!$A$1:$I$89,3,0)*0.475*44/12</f>
        <v>4.0929591951850274E-11</v>
      </c>
      <c r="AX164" s="23">
        <f t="shared" si="166"/>
        <v>36.269029055113812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5.6843418860808015E-13</v>
      </c>
      <c r="BE164" s="14">
        <f>BD164*VLOOKUP('Données projet'!$B$11,Paramètres!$A$1:$I$89,3,0)*VLOOKUP('Données projet'!$B$11,Paramètres!$A$1:$I$89,5,0)</f>
        <v>2.7341684472048658E-13</v>
      </c>
      <c r="BF164" s="14">
        <f t="shared" si="167"/>
        <v>3.653683054157169E-12</v>
      </c>
      <c r="BG164" s="22">
        <f t="shared" si="168"/>
        <v>6.8396989905452503E-12</v>
      </c>
      <c r="BH164" s="62">
        <f t="shared" si="116"/>
        <v>293.33333333334014</v>
      </c>
      <c r="BI164" s="62">
        <f ca="1">AVERAGE(OFFSET($BH$3,0,0,'Données projet'!$E$11+1,1))-AVERAGE(OFFSET($H$3,0,0,'Données projet'!$E$11+1,1))</f>
        <v>255.64417186544995</v>
      </c>
      <c r="BJ164" s="62">
        <f t="shared" si="146"/>
        <v>165.41802783289376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121.88329707693605</v>
      </c>
      <c r="BQ164" s="23">
        <f>EXP(-LN(2)/25)*BQ163+(1-EXP(-LN(2)/25))/(LN(2)/25)*Calculateur!BL164*Calculateur!BN164*VLOOKUP('Données projet'!$B$11,Paramètres!$A$1:$I$89,3,0)*0.475*44/12</f>
        <v>16.247585198373489</v>
      </c>
      <c r="BR164" s="23">
        <f>EXP(-LN(2)/2)*BR163+(1-EXP(-LN(2)/2))/(LN(2)/2)*BL164*BO164*VLOOKUP('Données projet'!$B$11,Paramètres!$A$1:$I$89,3,0)*0.475*44/12</f>
        <v>3.0817275605721797E-4</v>
      </c>
      <c r="BS164" s="24">
        <f t="shared" si="169"/>
        <v>138.13119044806561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465.49436272491818</v>
      </c>
      <c r="CE164" s="62">
        <f t="shared" si="148"/>
        <v>494.36941732405256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47.264163412808387</v>
      </c>
      <c r="CL164" s="23">
        <f>EXP(-LN(2)/25)*CL163+(1-EXP(-LN(2)/25))/(LN(2)/25)*Calculateur!CG164*Calculateur!CI164*VLOOKUP('Données projet'!$B$12,Paramètres!$A$1:$I$89,3,0)*0.475*44/12</f>
        <v>6.7006980455191716</v>
      </c>
      <c r="CM164" s="23">
        <f>EXP(-LN(2)/2)*CM163+(1-EXP(-LN(2)/2))/(LN(2)/2)*CG164*CJ164*VLOOKUP('Données projet'!$B$12,Paramètres!$A$1:$I$89,3,0)*0.475*44/12</f>
        <v>1.3207161980102781E-12</v>
      </c>
      <c r="CN164" s="24">
        <f t="shared" si="172"/>
        <v>53.964861458328883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-6.8212102632969618E-13</v>
      </c>
      <c r="CU164" s="18">
        <f>CT164*VLOOKUP('Données projet'!$B$13,Paramètres!$A$1:$I$89,3,0)*VLOOKUP('Données projet'!$B$13,Paramètres!$A$1:$I$89,5,0)</f>
        <v>-4.0790837374515837E-13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361.46923697840384</v>
      </c>
      <c r="CZ164" s="62">
        <f t="shared" si="150"/>
        <v>302.25424592654673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35.734263411936411</v>
      </c>
      <c r="DG164" s="23">
        <f>EXP(-LN(2)/25)*DG163+(1-EXP(-LN(2)/25))/(LN(2)/25)*Calculateur!DB164*Calculateur!DD164*VLOOKUP('Données projet'!$B$13,Paramètres!$A$1:$I$89,3,0)*0.475*44/12</f>
        <v>6.8013303229562023</v>
      </c>
      <c r="DH164" s="23">
        <f>EXP(-LN(2)/2)*DH163+(1-EXP(-LN(2)/2))/(LN(2)/2)*DB164*DE164*VLOOKUP('Données projet'!$B$13,Paramètres!$A$1:$I$89,3,0)*0.475*44/12</f>
        <v>1.3214422737106459E-11</v>
      </c>
      <c r="DI164" s="24">
        <f t="shared" si="175"/>
        <v>42.535593734905831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-4.5474735088646412E-13</v>
      </c>
      <c r="O165" s="14">
        <f>N165*VLOOKUP('Données projet'!$B$9,Paramètres!$A$1:$I$89,3,0)*VLOOKUP('Données projet'!$B$9,Paramètres!$A$1:$I$89,5,0)</f>
        <v>-2.5420376914553347E-13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389.80719836281679</v>
      </c>
      <c r="T165" s="62">
        <f t="shared" si="142"/>
        <v>399.58193819355591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42.728320583150392</v>
      </c>
      <c r="AA165" s="23">
        <f>EXP(-LN(2)/25)*AA164+(1-EXP(-LN(2)/25))/(LN(2)/25)*Calculateur!V165*Calculateur!X165*VLOOKUP('Données projet'!$B$9,Paramètres!$A$1:$I$89,3,0)*0.475*44/12</f>
        <v>5.8981585126254812</v>
      </c>
      <c r="AB165" s="23">
        <f>EXP(-LN(2)/2)*AB164+(1-EXP(-LN(2)/2))/(LN(2)/2)*V165*Y165*VLOOKUP('Données projet'!$B$9,Paramètres!$A$1:$I$89,3,0)*0.475*44/12</f>
        <v>8.5691402705525507E-13</v>
      </c>
      <c r="AC165" s="24">
        <f t="shared" si="163"/>
        <v>48.62647909577673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269.90083987531233</v>
      </c>
      <c r="AO165" s="62">
        <f t="shared" si="144"/>
        <v>183.4515835513518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29.426895804948529</v>
      </c>
      <c r="AV165" s="23">
        <f>EXP(-LN(2)/25)*AV164+(1-EXP(-LN(2)/25))/(LN(2)/25)*Calculateur!AQ165*Calculateur!AS165*VLOOKUP('Données projet'!$B$10,Paramètres!$A$1:$I$89,3,0)*0.475*44/12</f>
        <v>6.0825443755533168</v>
      </c>
      <c r="AW165" s="23">
        <f>EXP(-LN(2)/2)*AW164+(1-EXP(-LN(2)/2))/(LN(2)/2)*AQ165*AT165*VLOOKUP('Données projet'!$B$10,Paramètres!$A$1:$I$89,3,0)*0.475*44/12</f>
        <v>2.8941592020351671E-11</v>
      </c>
      <c r="AX165" s="23">
        <f t="shared" si="166"/>
        <v>35.509440180530788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5.6843418860808015E-13</v>
      </c>
      <c r="BE165" s="14">
        <f>BD165*VLOOKUP('Données projet'!$B$11,Paramètres!$A$1:$I$89,3,0)*VLOOKUP('Données projet'!$B$11,Paramètres!$A$1:$I$89,5,0)</f>
        <v>2.7341684472048658E-13</v>
      </c>
      <c r="BF165" s="14">
        <f t="shared" si="167"/>
        <v>3.653683054157169E-12</v>
      </c>
      <c r="BG165" s="22">
        <f t="shared" si="168"/>
        <v>6.8396989905452503E-12</v>
      </c>
      <c r="BH165" s="62">
        <f t="shared" si="116"/>
        <v>293.33333333334014</v>
      </c>
      <c r="BI165" s="62">
        <f ca="1">AVERAGE(OFFSET($BH$3,0,0,'Données projet'!$E$11+1,1))-AVERAGE(OFFSET($H$3,0,0,'Données projet'!$E$11+1,1))</f>
        <v>255.64417186544995</v>
      </c>
      <c r="BJ165" s="62">
        <f t="shared" si="146"/>
        <v>165.41802783289376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119.49323996272794</v>
      </c>
      <c r="BQ165" s="23">
        <f>EXP(-LN(2)/25)*BQ164+(1-EXP(-LN(2)/25))/(LN(2)/25)*Calculateur!BL165*Calculateur!BN165*VLOOKUP('Données projet'!$B$11,Paramètres!$A$1:$I$89,3,0)*0.475*44/12</f>
        <v>15.803294126700594</v>
      </c>
      <c r="BR165" s="23">
        <f>EXP(-LN(2)/2)*BR164+(1-EXP(-LN(2)/2))/(LN(2)/2)*BL165*BO165*VLOOKUP('Données projet'!$B$11,Paramètres!$A$1:$I$89,3,0)*0.475*44/12</f>
        <v>2.1791104558500652E-4</v>
      </c>
      <c r="BS165" s="24">
        <f t="shared" si="169"/>
        <v>135.29675200047413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465.49436272491818</v>
      </c>
      <c r="CE165" s="62">
        <f t="shared" si="148"/>
        <v>494.36941732405256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46.337341996576342</v>
      </c>
      <c r="CL165" s="23">
        <f>EXP(-LN(2)/25)*CL164+(1-EXP(-LN(2)/25))/(LN(2)/25)*Calculateur!CG165*Calculateur!CI165*VLOOKUP('Données projet'!$B$12,Paramètres!$A$1:$I$89,3,0)*0.475*44/12</f>
        <v>6.5174671050900539</v>
      </c>
      <c r="CM165" s="23">
        <f>EXP(-LN(2)/2)*CM164+(1-EXP(-LN(2)/2))/(LN(2)/2)*CG165*CJ165*VLOOKUP('Données projet'!$B$12,Paramètres!$A$1:$I$89,3,0)*0.475*44/12</f>
        <v>9.3388737963598269E-13</v>
      </c>
      <c r="CN165" s="24">
        <f t="shared" si="172"/>
        <v>52.854809101667328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-6.8212102632969618E-13</v>
      </c>
      <c r="CU165" s="18">
        <f>CT165*VLOOKUP('Données projet'!$B$13,Paramètres!$A$1:$I$89,3,0)*VLOOKUP('Données projet'!$B$13,Paramètres!$A$1:$I$89,5,0)</f>
        <v>-4.0790837374515837E-13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361.46923697840384</v>
      </c>
      <c r="CZ165" s="62">
        <f t="shared" si="150"/>
        <v>302.25424592654673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35.03353630217687</v>
      </c>
      <c r="DG165" s="23">
        <f>EXP(-LN(2)/25)*DG164+(1-EXP(-LN(2)/25))/(LN(2)/25)*Calculateur!DB165*Calculateur!DD165*VLOOKUP('Données projet'!$B$13,Paramètres!$A$1:$I$89,3,0)*0.475*44/12</f>
        <v>6.6153475876085484</v>
      </c>
      <c r="DH165" s="23">
        <f>EXP(-LN(2)/2)*DH164+(1-EXP(-LN(2)/2))/(LN(2)/2)*DB165*DE165*VLOOKUP('Données projet'!$B$13,Paramètres!$A$1:$I$89,3,0)*0.475*44/12</f>
        <v>9.3440079268736751E-12</v>
      </c>
      <c r="DI165" s="24">
        <f t="shared" si="175"/>
        <v>41.64888388979476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-4.5474735088646412E-13</v>
      </c>
      <c r="O166" s="14">
        <f>N166*VLOOKUP('Données projet'!$B$9,Paramètres!$A$1:$I$89,3,0)*VLOOKUP('Données projet'!$B$9,Paramètres!$A$1:$I$89,5,0)</f>
        <v>-2.5420376914553347E-13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389.80719836281679</v>
      </c>
      <c r="T166" s="62">
        <f t="shared" si="142"/>
        <v>399.58193819355591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41.890444278216989</v>
      </c>
      <c r="AA166" s="23">
        <f>EXP(-LN(2)/25)*AA165+(1-EXP(-LN(2)/25))/(LN(2)/25)*Calculateur!V166*Calculateur!X166*VLOOKUP('Données projet'!$B$9,Paramètres!$A$1:$I$89,3,0)*0.475*44/12</f>
        <v>5.7368730579270615</v>
      </c>
      <c r="AB166" s="23">
        <f>EXP(-LN(2)/2)*AB165+(1-EXP(-LN(2)/2))/(LN(2)/2)*V166*Y166*VLOOKUP('Données projet'!$B$9,Paramètres!$A$1:$I$89,3,0)*0.475*44/12</f>
        <v>6.059297194246435E-13</v>
      </c>
      <c r="AC166" s="24">
        <f t="shared" si="163"/>
        <v>47.627317336144657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269.90083987531233</v>
      </c>
      <c r="AO166" s="62">
        <f t="shared" si="144"/>
        <v>183.4515835513518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28.84985232684765</v>
      </c>
      <c r="AV166" s="23">
        <f>EXP(-LN(2)/25)*AV165+(1-EXP(-LN(2)/25))/(LN(2)/25)*Calculateur!AQ166*Calculateur!AS166*VLOOKUP('Données projet'!$B$10,Paramètres!$A$1:$I$89,3,0)*0.475*44/12</f>
        <v>5.9162168797367043</v>
      </c>
      <c r="AW166" s="23">
        <f>EXP(-LN(2)/2)*AW165+(1-EXP(-LN(2)/2))/(LN(2)/2)*AQ166*AT166*VLOOKUP('Données projet'!$B$10,Paramètres!$A$1:$I$89,3,0)*0.475*44/12</f>
        <v>2.046479597592514E-11</v>
      </c>
      <c r="AX166" s="23">
        <f t="shared" si="166"/>
        <v>34.766069206604818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5.6843418860808015E-13</v>
      </c>
      <c r="BE166" s="14">
        <f>BD166*VLOOKUP('Données projet'!$B$11,Paramètres!$A$1:$I$89,3,0)*VLOOKUP('Données projet'!$B$11,Paramètres!$A$1:$I$89,5,0)</f>
        <v>2.7341684472048658E-13</v>
      </c>
      <c r="BF166" s="14">
        <f t="shared" si="167"/>
        <v>3.653683054157169E-12</v>
      </c>
      <c r="BG166" s="22">
        <f t="shared" si="168"/>
        <v>6.8396989905452503E-12</v>
      </c>
      <c r="BH166" s="62">
        <f t="shared" si="116"/>
        <v>293.33333333334014</v>
      </c>
      <c r="BI166" s="62">
        <f ca="1">AVERAGE(OFFSET($BH$3,0,0,'Données projet'!$E$11+1,1))-AVERAGE(OFFSET($H$3,0,0,'Données projet'!$E$11+1,1))</f>
        <v>255.64417186544995</v>
      </c>
      <c r="BJ166" s="62">
        <f t="shared" si="146"/>
        <v>165.41802783289376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117.15005041073856</v>
      </c>
      <c r="BQ166" s="23">
        <f>EXP(-LN(2)/25)*BQ165+(1-EXP(-LN(2)/25))/(LN(2)/25)*Calculateur!BL166*Calculateur!BN166*VLOOKUP('Données projet'!$B$11,Paramètres!$A$1:$I$89,3,0)*0.475*44/12</f>
        <v>15.371152217746847</v>
      </c>
      <c r="BR166" s="23">
        <f>EXP(-LN(2)/2)*BR165+(1-EXP(-LN(2)/2))/(LN(2)/2)*BL166*BO166*VLOOKUP('Données projet'!$B$11,Paramètres!$A$1:$I$89,3,0)*0.475*44/12</f>
        <v>1.5408637802860899E-4</v>
      </c>
      <c r="BS166" s="24">
        <f t="shared" si="169"/>
        <v>132.52135671486343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465.49436272491818</v>
      </c>
      <c r="CE166" s="62">
        <f t="shared" si="148"/>
        <v>494.36941732405256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45.428694983011361</v>
      </c>
      <c r="CL166" s="23">
        <f>EXP(-LN(2)/25)*CL165+(1-EXP(-LN(2)/25))/(LN(2)/25)*Calculateur!CG166*Calculateur!CI166*VLOOKUP('Données projet'!$B$12,Paramètres!$A$1:$I$89,3,0)*0.475*44/12</f>
        <v>6.3392466243626675</v>
      </c>
      <c r="CM166" s="23">
        <f>EXP(-LN(2)/2)*CM165+(1-EXP(-LN(2)/2))/(LN(2)/2)*CG166*CJ166*VLOOKUP('Données projet'!$B$12,Paramètres!$A$1:$I$89,3,0)*0.475*44/12</f>
        <v>6.6035809900513905E-13</v>
      </c>
      <c r="CN166" s="24">
        <f t="shared" si="172"/>
        <v>51.767941607374688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-6.8212102632969618E-13</v>
      </c>
      <c r="CU166" s="18">
        <f>CT166*VLOOKUP('Données projet'!$B$13,Paramètres!$A$1:$I$89,3,0)*VLOOKUP('Données projet'!$B$13,Paramètres!$A$1:$I$89,5,0)</f>
        <v>-4.0790837374515837E-13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361.46923697840384</v>
      </c>
      <c r="CZ166" s="62">
        <f t="shared" si="150"/>
        <v>302.25424592654673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34.346550023638379</v>
      </c>
      <c r="DG166" s="23">
        <f>EXP(-LN(2)/25)*DG165+(1-EXP(-LN(2)/25))/(LN(2)/25)*Calculateur!DB166*Calculateur!DD166*VLOOKUP('Données projet'!$B$13,Paramètres!$A$1:$I$89,3,0)*0.475*44/12</f>
        <v>6.4344505599393829</v>
      </c>
      <c r="DH166" s="23">
        <f>EXP(-LN(2)/2)*DH165+(1-EXP(-LN(2)/2))/(LN(2)/2)*DB166*DE166*VLOOKUP('Données projet'!$B$13,Paramètres!$A$1:$I$89,3,0)*0.475*44/12</f>
        <v>6.6072113685532294E-12</v>
      </c>
      <c r="DI166" s="24">
        <f t="shared" si="175"/>
        <v>40.781000583584373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-4.5474735088646412E-13</v>
      </c>
      <c r="O167" s="14">
        <f>N167*VLOOKUP('Données projet'!$B$9,Paramètres!$A$1:$I$89,3,0)*VLOOKUP('Données projet'!$B$9,Paramètres!$A$1:$I$89,5,0)</f>
        <v>-2.5420376914553347E-13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389.80719836281679</v>
      </c>
      <c r="T167" s="62">
        <f t="shared" si="142"/>
        <v>399.58193819355591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41.068998216569248</v>
      </c>
      <c r="AA167" s="23">
        <f>EXP(-LN(2)/25)*AA166+(1-EXP(-LN(2)/25))/(LN(2)/25)*Calculateur!V167*Calculateur!X167*VLOOKUP('Données projet'!$B$9,Paramètres!$A$1:$I$89,3,0)*0.475*44/12</f>
        <v>5.5799979624690037</v>
      </c>
      <c r="AB167" s="23">
        <f>EXP(-LN(2)/2)*AB166+(1-EXP(-LN(2)/2))/(LN(2)/2)*V167*Y167*VLOOKUP('Données projet'!$B$9,Paramètres!$A$1:$I$89,3,0)*0.475*44/12</f>
        <v>4.2845701352762753E-13</v>
      </c>
      <c r="AC167" s="24">
        <f t="shared" si="163"/>
        <v>46.648996179038676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269.90083987531233</v>
      </c>
      <c r="AO167" s="62">
        <f t="shared" si="144"/>
        <v>183.4515835513518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28.28412431939056</v>
      </c>
      <c r="AV167" s="23">
        <f>EXP(-LN(2)/25)*AV166+(1-EXP(-LN(2)/25))/(LN(2)/25)*Calculateur!AQ167*Calculateur!AS167*VLOOKUP('Données projet'!$B$10,Paramètres!$A$1:$I$89,3,0)*0.475*44/12</f>
        <v>5.7544376180399803</v>
      </c>
      <c r="AW167" s="23">
        <f>EXP(-LN(2)/2)*AW166+(1-EXP(-LN(2)/2))/(LN(2)/2)*AQ167*AT167*VLOOKUP('Données projet'!$B$10,Paramètres!$A$1:$I$89,3,0)*0.475*44/12</f>
        <v>1.4470796010175837E-11</v>
      </c>
      <c r="AX167" s="23">
        <f t="shared" si="166"/>
        <v>34.038561937445017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5.6843418860808015E-13</v>
      </c>
      <c r="BE167" s="14">
        <f>BD167*VLOOKUP('Données projet'!$B$11,Paramètres!$A$1:$I$89,3,0)*VLOOKUP('Données projet'!$B$11,Paramètres!$A$1:$I$89,5,0)</f>
        <v>2.7341684472048658E-13</v>
      </c>
      <c r="BF167" s="14">
        <f t="shared" si="167"/>
        <v>3.653683054157169E-12</v>
      </c>
      <c r="BG167" s="22">
        <f t="shared" si="168"/>
        <v>6.8396989905452503E-12</v>
      </c>
      <c r="BH167" s="62">
        <f t="shared" si="116"/>
        <v>293.33333333334014</v>
      </c>
      <c r="BI167" s="62">
        <f ca="1">AVERAGE(OFFSET($BH$3,0,0,'Données projet'!$E$11+1,1))-AVERAGE(OFFSET($H$3,0,0,'Données projet'!$E$11+1,1))</f>
        <v>255.64417186544995</v>
      </c>
      <c r="BJ167" s="62">
        <f t="shared" si="146"/>
        <v>165.41802783289376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114.85280937665918</v>
      </c>
      <c r="BQ167" s="23">
        <f>EXP(-LN(2)/25)*BQ166+(1-EXP(-LN(2)/25))/(LN(2)/25)*Calculateur!BL167*Calculateur!BN167*VLOOKUP('Données projet'!$B$11,Paramètres!$A$1:$I$89,3,0)*0.475*44/12</f>
        <v>14.950827252018795</v>
      </c>
      <c r="BR167" s="23">
        <f>EXP(-LN(2)/2)*BR166+(1-EXP(-LN(2)/2))/(LN(2)/2)*BL167*BO167*VLOOKUP('Données projet'!$B$11,Paramètres!$A$1:$I$89,3,0)*0.475*44/12</f>
        <v>1.0895552279250326E-4</v>
      </c>
      <c r="BS167" s="24">
        <f t="shared" si="169"/>
        <v>129.80374558420075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465.49436272491818</v>
      </c>
      <c r="CE167" s="62">
        <f t="shared" si="148"/>
        <v>494.36941732405256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44.537865983162433</v>
      </c>
      <c r="CL167" s="23">
        <f>EXP(-LN(2)/25)*CL166+(1-EXP(-LN(2)/25))/(LN(2)/25)*Calculateur!CG167*Calculateur!CI167*VLOOKUP('Données projet'!$B$12,Paramètres!$A$1:$I$89,3,0)*0.475*44/12</f>
        <v>6.1658995920529787</v>
      </c>
      <c r="CM167" s="23">
        <f>EXP(-LN(2)/2)*CM166+(1-EXP(-LN(2)/2))/(LN(2)/2)*CG167*CJ167*VLOOKUP('Données projet'!$B$12,Paramètres!$A$1:$I$89,3,0)*0.475*44/12</f>
        <v>4.6694368981799134E-13</v>
      </c>
      <c r="CN167" s="24">
        <f t="shared" si="172"/>
        <v>50.703765575215883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-6.8212102632969618E-13</v>
      </c>
      <c r="CU167" s="18">
        <f>CT167*VLOOKUP('Données projet'!$B$13,Paramètres!$A$1:$I$89,3,0)*VLOOKUP('Données projet'!$B$13,Paramètres!$A$1:$I$89,5,0)</f>
        <v>-4.0790837374515837E-13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361.46923697840384</v>
      </c>
      <c r="CZ167" s="62">
        <f t="shared" si="150"/>
        <v>302.25424592654673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33.673035127001768</v>
      </c>
      <c r="DG167" s="23">
        <f>EXP(-LN(2)/25)*DG166+(1-EXP(-LN(2)/25))/(LN(2)/25)*Calculateur!DB167*Calculateur!DD167*VLOOKUP('Données projet'!$B$13,Paramètres!$A$1:$I$89,3,0)*0.475*44/12</f>
        <v>6.2585001710047914</v>
      </c>
      <c r="DH167" s="23">
        <f>EXP(-LN(2)/2)*DH166+(1-EXP(-LN(2)/2))/(LN(2)/2)*DB167*DE167*VLOOKUP('Données projet'!$B$13,Paramètres!$A$1:$I$89,3,0)*0.475*44/12</f>
        <v>4.6720039634368375E-12</v>
      </c>
      <c r="DI167" s="24">
        <f t="shared" si="175"/>
        <v>39.931535298011234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-4.5474735088646412E-13</v>
      </c>
      <c r="O168" s="14">
        <f>N168*VLOOKUP('Données projet'!$B$9,Paramètres!$A$1:$I$89,3,0)*VLOOKUP('Données projet'!$B$9,Paramètres!$A$1:$I$89,5,0)</f>
        <v>-2.5420376914553347E-13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389.80719836281679</v>
      </c>
      <c r="T168" s="62">
        <f t="shared" si="142"/>
        <v>399.58193819355591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40.263660211157791</v>
      </c>
      <c r="AA168" s="23">
        <f>EXP(-LN(2)/25)*AA167+(1-EXP(-LN(2)/25))/(LN(2)/25)*Calculateur!V168*Calculateur!X168*VLOOKUP('Données projet'!$B$9,Paramètres!$A$1:$I$89,3,0)*0.475*44/12</f>
        <v>5.4274126247459495</v>
      </c>
      <c r="AB168" s="23">
        <f>EXP(-LN(2)/2)*AB167+(1-EXP(-LN(2)/2))/(LN(2)/2)*V168*Y168*VLOOKUP('Données projet'!$B$9,Paramètres!$A$1:$I$89,3,0)*0.475*44/12</f>
        <v>3.0296485971232175E-13</v>
      </c>
      <c r="AC168" s="24">
        <f t="shared" si="163"/>
        <v>45.691072835904045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269.90083987531233</v>
      </c>
      <c r="AO168" s="62">
        <f t="shared" si="144"/>
        <v>183.4515835513518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27.729489893099693</v>
      </c>
      <c r="AV168" s="23">
        <f>EXP(-LN(2)/25)*AV167+(1-EXP(-LN(2)/25))/(LN(2)/25)*Calculateur!AQ168*Calculateur!AS168*VLOOKUP('Données projet'!$B$10,Paramètres!$A$1:$I$89,3,0)*0.475*44/12</f>
        <v>5.5970822187619547</v>
      </c>
      <c r="AW168" s="23">
        <f>EXP(-LN(2)/2)*AW167+(1-EXP(-LN(2)/2))/(LN(2)/2)*AQ168*AT168*VLOOKUP('Données projet'!$B$10,Paramètres!$A$1:$I$89,3,0)*0.475*44/12</f>
        <v>1.0232397987962572E-11</v>
      </c>
      <c r="AX168" s="23">
        <f t="shared" si="166"/>
        <v>33.326572111871883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5.6843418860808015E-13</v>
      </c>
      <c r="BE168" s="14">
        <f>BD168*VLOOKUP('Données projet'!$B$11,Paramètres!$A$1:$I$89,3,0)*VLOOKUP('Données projet'!$B$11,Paramètres!$A$1:$I$89,5,0)</f>
        <v>2.7341684472048658E-13</v>
      </c>
      <c r="BF168" s="14">
        <f t="shared" si="167"/>
        <v>3.653683054157169E-12</v>
      </c>
      <c r="BG168" s="22">
        <f t="shared" si="168"/>
        <v>6.8396989905452503E-12</v>
      </c>
      <c r="BH168" s="62">
        <f t="shared" si="116"/>
        <v>293.33333333334014</v>
      </c>
      <c r="BI168" s="62">
        <f ca="1">AVERAGE(OFFSET($BH$3,0,0,'Données projet'!$E$11+1,1))-AVERAGE(OFFSET($H$3,0,0,'Données projet'!$E$11+1,1))</f>
        <v>255.64417186544995</v>
      </c>
      <c r="BJ168" s="62">
        <f t="shared" si="146"/>
        <v>165.41802783289376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112.60061583807942</v>
      </c>
      <c r="BQ168" s="23">
        <f>EXP(-LN(2)/25)*BQ167+(1-EXP(-LN(2)/25))/(LN(2)/25)*Calculateur!BL168*Calculateur!BN168*VLOOKUP('Données projet'!$B$11,Paramètres!$A$1:$I$89,3,0)*0.475*44/12</f>
        <v>14.541996094582506</v>
      </c>
      <c r="BR168" s="23">
        <f>EXP(-LN(2)/2)*BR167+(1-EXP(-LN(2)/2))/(LN(2)/2)*BL168*BO168*VLOOKUP('Données projet'!$B$11,Paramètres!$A$1:$I$89,3,0)*0.475*44/12</f>
        <v>7.7043189014304494E-5</v>
      </c>
      <c r="BS168" s="24">
        <f t="shared" si="169"/>
        <v>127.14268897585093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465.49436272491818</v>
      </c>
      <c r="CE168" s="62">
        <f t="shared" si="148"/>
        <v>494.36941732405256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43.664505596648503</v>
      </c>
      <c r="CL168" s="23">
        <f>EXP(-LN(2)/25)*CL167+(1-EXP(-LN(2)/25))/(LN(2)/25)*Calculateur!CG168*Calculateur!CI168*VLOOKUP('Données projet'!$B$12,Paramètres!$A$1:$I$89,3,0)*0.475*44/12</f>
        <v>5.9972927434577228</v>
      </c>
      <c r="CM168" s="23">
        <f>EXP(-LN(2)/2)*CM167+(1-EXP(-LN(2)/2))/(LN(2)/2)*CG168*CJ168*VLOOKUP('Données projet'!$B$12,Paramètres!$A$1:$I$89,3,0)*0.475*44/12</f>
        <v>3.3017904950256953E-13</v>
      </c>
      <c r="CN168" s="24">
        <f t="shared" si="172"/>
        <v>49.66179834010655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-6.8212102632969618E-13</v>
      </c>
      <c r="CU168" s="18">
        <f>CT168*VLOOKUP('Données projet'!$B$13,Paramètres!$A$1:$I$89,3,0)*VLOOKUP('Données projet'!$B$13,Paramètres!$A$1:$I$89,5,0)</f>
        <v>-4.0790837374515837E-13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361.46923697840384</v>
      </c>
      <c r="CZ168" s="62">
        <f t="shared" si="150"/>
        <v>302.25424592654673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33.012727446684679</v>
      </c>
      <c r="DG168" s="23">
        <f>EXP(-LN(2)/25)*DG167+(1-EXP(-LN(2)/25))/(LN(2)/25)*Calculateur!DB168*Calculateur!DD168*VLOOKUP('Données projet'!$B$13,Paramètres!$A$1:$I$89,3,0)*0.475*44/12</f>
        <v>6.0873611547084456</v>
      </c>
      <c r="DH168" s="23">
        <f>EXP(-LN(2)/2)*DH167+(1-EXP(-LN(2)/2))/(LN(2)/2)*DB168*DE168*VLOOKUP('Données projet'!$B$13,Paramètres!$A$1:$I$89,3,0)*0.475*44/12</f>
        <v>3.3036056842766147E-12</v>
      </c>
      <c r="DI168" s="24">
        <f t="shared" si="175"/>
        <v>39.100088601396429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-4.5474735088646412E-13</v>
      </c>
      <c r="O169" s="14">
        <f>N169*VLOOKUP('Données projet'!$B$9,Paramètres!$A$1:$I$89,3,0)*VLOOKUP('Données projet'!$B$9,Paramètres!$A$1:$I$89,5,0)</f>
        <v>-2.5420376914553347E-13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389.80719836281679</v>
      </c>
      <c r="T169" s="62">
        <f t="shared" si="142"/>
        <v>399.58193819355591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39.474114392824774</v>
      </c>
      <c r="AA169" s="23">
        <f>EXP(-LN(2)/25)*AA168+(1-EXP(-LN(2)/25))/(LN(2)/25)*Calculateur!V169*Calculateur!X169*VLOOKUP('Données projet'!$B$9,Paramètres!$A$1:$I$89,3,0)*0.475*44/12</f>
        <v>5.2789997411070457</v>
      </c>
      <c r="AB169" s="23">
        <f>EXP(-LN(2)/2)*AB168+(1-EXP(-LN(2)/2))/(LN(2)/2)*V169*Y169*VLOOKUP('Données projet'!$B$9,Paramètres!$A$1:$I$89,3,0)*0.475*44/12</f>
        <v>2.1422850676381377E-13</v>
      </c>
      <c r="AC169" s="24">
        <f t="shared" si="163"/>
        <v>44.75311413393203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269.90083987531233</v>
      </c>
      <c r="AO169" s="62">
        <f t="shared" si="144"/>
        <v>183.4515835513518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27.18573150961479</v>
      </c>
      <c r="AV169" s="23">
        <f>EXP(-LN(2)/25)*AV168+(1-EXP(-LN(2)/25))/(LN(2)/25)*Calculateur!AQ169*Calculateur!AS169*VLOOKUP('Données projet'!$B$10,Paramètres!$A$1:$I$89,3,0)*0.475*44/12</f>
        <v>5.4440297111521474</v>
      </c>
      <c r="AW169" s="23">
        <f>EXP(-LN(2)/2)*AW168+(1-EXP(-LN(2)/2))/(LN(2)/2)*AQ169*AT169*VLOOKUP('Données projet'!$B$10,Paramètres!$A$1:$I$89,3,0)*0.475*44/12</f>
        <v>7.2353980050879194E-12</v>
      </c>
      <c r="AX169" s="23">
        <f t="shared" si="166"/>
        <v>32.629761220774171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5.6843418860808015E-13</v>
      </c>
      <c r="BE169" s="14">
        <f>BD169*VLOOKUP('Données projet'!$B$11,Paramètres!$A$1:$I$89,3,0)*VLOOKUP('Données projet'!$B$11,Paramètres!$A$1:$I$89,5,0)</f>
        <v>2.7341684472048658E-13</v>
      </c>
      <c r="BF169" s="14">
        <f t="shared" si="167"/>
        <v>3.653683054157169E-12</v>
      </c>
      <c r="BG169" s="22">
        <f t="shared" si="168"/>
        <v>6.8396989905452503E-12</v>
      </c>
      <c r="BH169" s="62">
        <f t="shared" si="116"/>
        <v>293.33333333334014</v>
      </c>
      <c r="BI169" s="62">
        <f ca="1">AVERAGE(OFFSET($BH$3,0,0,'Données projet'!$E$11+1,1))-AVERAGE(OFFSET($H$3,0,0,'Données projet'!$E$11+1,1))</f>
        <v>255.64417186544995</v>
      </c>
      <c r="BJ169" s="62">
        <f t="shared" si="146"/>
        <v>165.41802783289376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110.3925864410888</v>
      </c>
      <c r="BQ169" s="23">
        <f>EXP(-LN(2)/25)*BQ168+(1-EXP(-LN(2)/25))/(LN(2)/25)*Calculateur!BL169*Calculateur!BN169*VLOOKUP('Données projet'!$B$11,Paramètres!$A$1:$I$89,3,0)*0.475*44/12</f>
        <v>14.144344446645809</v>
      </c>
      <c r="BR169" s="23">
        <f>EXP(-LN(2)/2)*BR168+(1-EXP(-LN(2)/2))/(LN(2)/2)*BL169*BO169*VLOOKUP('Données projet'!$B$11,Paramètres!$A$1:$I$89,3,0)*0.475*44/12</f>
        <v>5.447776139625163E-5</v>
      </c>
      <c r="BS169" s="24">
        <f t="shared" si="169"/>
        <v>124.53698536549599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465.49436272491818</v>
      </c>
      <c r="CE169" s="62">
        <f t="shared" si="148"/>
        <v>494.36941732405256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42.808271274616878</v>
      </c>
      <c r="CL169" s="23">
        <f>EXP(-LN(2)/25)*CL168+(1-EXP(-LN(2)/25))/(LN(2)/25)*Calculateur!CG169*Calculateur!CI169*VLOOKUP('Données projet'!$B$12,Paramètres!$A$1:$I$89,3,0)*0.475*44/12</f>
        <v>5.8332964580039528</v>
      </c>
      <c r="CM169" s="23">
        <f>EXP(-LN(2)/2)*CM168+(1-EXP(-LN(2)/2))/(LN(2)/2)*CG169*CJ169*VLOOKUP('Données projet'!$B$12,Paramètres!$A$1:$I$89,3,0)*0.475*44/12</f>
        <v>2.3347184490899567E-13</v>
      </c>
      <c r="CN169" s="24">
        <f t="shared" si="172"/>
        <v>48.641567732621063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-6.8212102632969618E-13</v>
      </c>
      <c r="CU169" s="18">
        <f>CT169*VLOOKUP('Données projet'!$B$13,Paramètres!$A$1:$I$89,3,0)*VLOOKUP('Données projet'!$B$13,Paramètres!$A$1:$I$89,5,0)</f>
        <v>-4.0790837374515837E-13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361.46923697840384</v>
      </c>
      <c r="CZ169" s="62">
        <f t="shared" si="150"/>
        <v>302.25424592654673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32.365367997230692</v>
      </c>
      <c r="DG169" s="23">
        <f>EXP(-LN(2)/25)*DG168+(1-EXP(-LN(2)/25))/(LN(2)/25)*Calculateur!DB169*Calculateur!DD169*VLOOKUP('Données projet'!$B$13,Paramètres!$A$1:$I$89,3,0)*0.475*44/12</f>
        <v>5.9209019438125328</v>
      </c>
      <c r="DH169" s="23">
        <f>EXP(-LN(2)/2)*DH168+(1-EXP(-LN(2)/2))/(LN(2)/2)*DB169*DE169*VLOOKUP('Données projet'!$B$13,Paramètres!$A$1:$I$89,3,0)*0.475*44/12</f>
        <v>2.3360019817184188E-12</v>
      </c>
      <c r="DI169" s="24">
        <f t="shared" si="175"/>
        <v>38.28626994104556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-4.5474735088646412E-13</v>
      </c>
      <c r="O170" s="14">
        <f>N170*VLOOKUP('Données projet'!$B$9,Paramètres!$A$1:$I$89,3,0)*VLOOKUP('Données projet'!$B$9,Paramètres!$A$1:$I$89,5,0)</f>
        <v>-2.5420376914553347E-13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389.80719836281679</v>
      </c>
      <c r="T170" s="62">
        <f t="shared" si="142"/>
        <v>399.58193819355591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38.700051086413872</v>
      </c>
      <c r="AA170" s="23">
        <f>EXP(-LN(2)/25)*AA169+(1-EXP(-LN(2)/25))/(LN(2)/25)*Calculateur!V170*Calculateur!X170*VLOOKUP('Données projet'!$B$9,Paramètres!$A$1:$I$89,3,0)*0.475*44/12</f>
        <v>5.1346452155759428</v>
      </c>
      <c r="AB170" s="23">
        <f>EXP(-LN(2)/2)*AB169+(1-EXP(-LN(2)/2))/(LN(2)/2)*V170*Y170*VLOOKUP('Données projet'!$B$9,Paramètres!$A$1:$I$89,3,0)*0.475*44/12</f>
        <v>1.5148242985616088E-13</v>
      </c>
      <c r="AC170" s="24">
        <f t="shared" si="163"/>
        <v>43.834696301989965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269.90083987531233</v>
      </c>
      <c r="AO170" s="62">
        <f t="shared" si="144"/>
        <v>183.4515835513518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26.65263589637016</v>
      </c>
      <c r="AV170" s="23">
        <f>EXP(-LN(2)/25)*AV169+(1-EXP(-LN(2)/25))/(LN(2)/25)*Calculateur!AQ170*Calculateur!AS170*VLOOKUP('Données projet'!$B$10,Paramètres!$A$1:$I$89,3,0)*0.475*44/12</f>
        <v>5.2951624324116118</v>
      </c>
      <c r="AW170" s="23">
        <f>EXP(-LN(2)/2)*AW169+(1-EXP(-LN(2)/2))/(LN(2)/2)*AQ170*AT170*VLOOKUP('Données projet'!$B$10,Paramètres!$A$1:$I$89,3,0)*0.475*44/12</f>
        <v>5.1161989939812866E-12</v>
      </c>
      <c r="AX170" s="23">
        <f t="shared" si="166"/>
        <v>31.947798328786888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5.6843418860808015E-13</v>
      </c>
      <c r="BE170" s="14">
        <f>BD170*VLOOKUP('Données projet'!$B$11,Paramètres!$A$1:$I$89,3,0)*VLOOKUP('Données projet'!$B$11,Paramètres!$A$1:$I$89,5,0)</f>
        <v>2.7341684472048658E-13</v>
      </c>
      <c r="BF170" s="14">
        <f t="shared" si="167"/>
        <v>3.653683054157169E-12</v>
      </c>
      <c r="BG170" s="22">
        <f t="shared" si="168"/>
        <v>6.8396989905452503E-12</v>
      </c>
      <c r="BH170" s="62">
        <f t="shared" si="116"/>
        <v>293.33333333334014</v>
      </c>
      <c r="BI170" s="62">
        <f ca="1">AVERAGE(OFFSET($BH$3,0,0,'Données projet'!$E$11+1,1))-AVERAGE(OFFSET($H$3,0,0,'Données projet'!$E$11+1,1))</f>
        <v>255.64417186544995</v>
      </c>
      <c r="BJ170" s="62">
        <f t="shared" si="146"/>
        <v>165.41802783289376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108.22785515380821</v>
      </c>
      <c r="BQ170" s="23">
        <f>EXP(-LN(2)/25)*BQ169+(1-EXP(-LN(2)/25))/(LN(2)/25)*Calculateur!BL170*Calculateur!BN170*VLOOKUP('Données projet'!$B$11,Paramètres!$A$1:$I$89,3,0)*0.475*44/12</f>
        <v>13.757566603933531</v>
      </c>
      <c r="BR170" s="23">
        <f>EXP(-LN(2)/2)*BR169+(1-EXP(-LN(2)/2))/(LN(2)/2)*BL170*BO170*VLOOKUP('Données projet'!$B$11,Paramètres!$A$1:$I$89,3,0)*0.475*44/12</f>
        <v>3.8521594507152247E-5</v>
      </c>
      <c r="BS170" s="24">
        <f t="shared" si="169"/>
        <v>121.98546027933624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465.49436272491818</v>
      </c>
      <c r="CE170" s="62">
        <f t="shared" si="148"/>
        <v>494.36941732405256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41.968827185388925</v>
      </c>
      <c r="CL170" s="23">
        <f>EXP(-LN(2)/25)*CL169+(1-EXP(-LN(2)/25))/(LN(2)/25)*Calculateur!CG170*Calculateur!CI170*VLOOKUP('Données projet'!$B$12,Paramètres!$A$1:$I$89,3,0)*0.475*44/12</f>
        <v>5.6737846596001065</v>
      </c>
      <c r="CM170" s="23">
        <f>EXP(-LN(2)/2)*CM169+(1-EXP(-LN(2)/2))/(LN(2)/2)*CG170*CJ170*VLOOKUP('Données projet'!$B$12,Paramètres!$A$1:$I$89,3,0)*0.475*44/12</f>
        <v>1.6508952475128476E-13</v>
      </c>
      <c r="CN170" s="24">
        <f t="shared" si="172"/>
        <v>47.642611844989197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-6.8212102632969618E-13</v>
      </c>
      <c r="CU170" s="18">
        <f>CT170*VLOOKUP('Données projet'!$B$13,Paramètres!$A$1:$I$89,3,0)*VLOOKUP('Données projet'!$B$13,Paramètres!$A$1:$I$89,5,0)</f>
        <v>-4.0790837374515837E-13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361.46923697840384</v>
      </c>
      <c r="CZ170" s="62">
        <f t="shared" si="150"/>
        <v>302.25424592654673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31.730702871730223</v>
      </c>
      <c r="DG170" s="23">
        <f>EXP(-LN(2)/25)*DG169+(1-EXP(-LN(2)/25))/(LN(2)/25)*Calculateur!DB170*Calculateur!DD170*VLOOKUP('Données projet'!$B$13,Paramètres!$A$1:$I$89,3,0)*0.475*44/12</f>
        <v>5.7589945687922786</v>
      </c>
      <c r="DH170" s="23">
        <f>EXP(-LN(2)/2)*DH169+(1-EXP(-LN(2)/2))/(LN(2)/2)*DB170*DE170*VLOOKUP('Données projet'!$B$13,Paramètres!$A$1:$I$89,3,0)*0.475*44/12</f>
        <v>1.6518028421383074E-12</v>
      </c>
      <c r="DI170" s="24">
        <f t="shared" si="175"/>
        <v>37.489697440524154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-4.5474735088646412E-13</v>
      </c>
      <c r="O171" s="14">
        <f>N171*VLOOKUP('Données projet'!$B$9,Paramètres!$A$1:$I$89,3,0)*VLOOKUP('Données projet'!$B$9,Paramètres!$A$1:$I$89,5,0)</f>
        <v>-2.5420376914553347E-13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389.80719836281679</v>
      </c>
      <c r="T171" s="62">
        <f t="shared" si="142"/>
        <v>399.58193819355591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37.941166689309689</v>
      </c>
      <c r="AA171" s="23">
        <f>EXP(-LN(2)/25)*AA170+(1-EXP(-LN(2)/25))/(LN(2)/25)*Calculateur!V171*Calculateur!X171*VLOOKUP('Données projet'!$B$9,Paramètres!$A$1:$I$89,3,0)*0.475*44/12</f>
        <v>4.9942380721367625</v>
      </c>
      <c r="AB171" s="23">
        <f>EXP(-LN(2)/2)*AB170+(1-EXP(-LN(2)/2))/(LN(2)/2)*V171*Y171*VLOOKUP('Données projet'!$B$9,Paramètres!$A$1:$I$89,3,0)*0.475*44/12</f>
        <v>1.0711425338190688E-13</v>
      </c>
      <c r="AC171" s="24">
        <f t="shared" si="163"/>
        <v>42.935404761446556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269.90083987531233</v>
      </c>
      <c r="AO171" s="62">
        <f t="shared" si="144"/>
        <v>183.4515835513518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26.129993962945044</v>
      </c>
      <c r="AV171" s="23">
        <f>EXP(-LN(2)/25)*AV170+(1-EXP(-LN(2)/25))/(LN(2)/25)*Calculateur!AQ171*Calculateur!AS171*VLOOKUP('Données projet'!$B$10,Paramètres!$A$1:$I$89,3,0)*0.475*44/12</f>
        <v>5.1503659372368258</v>
      </c>
      <c r="AW171" s="23">
        <f>EXP(-LN(2)/2)*AW170+(1-EXP(-LN(2)/2))/(LN(2)/2)*AQ171*AT171*VLOOKUP('Données projet'!$B$10,Paramètres!$A$1:$I$89,3,0)*0.475*44/12</f>
        <v>3.6176990025439605E-12</v>
      </c>
      <c r="AX171" s="23">
        <f t="shared" si="166"/>
        <v>31.280359900185488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5.6843418860808015E-13</v>
      </c>
      <c r="BE171" s="14">
        <f>BD171*VLOOKUP('Données projet'!$B$11,Paramètres!$A$1:$I$89,3,0)*VLOOKUP('Données projet'!$B$11,Paramètres!$A$1:$I$89,5,0)</f>
        <v>2.7341684472048658E-13</v>
      </c>
      <c r="BF171" s="14">
        <f t="shared" si="167"/>
        <v>3.653683054157169E-12</v>
      </c>
      <c r="BG171" s="22">
        <f t="shared" si="168"/>
        <v>6.8396989905452503E-12</v>
      </c>
      <c r="BH171" s="62">
        <f t="shared" si="116"/>
        <v>293.33333333334014</v>
      </c>
      <c r="BI171" s="62">
        <f ca="1">AVERAGE(OFFSET($BH$3,0,0,'Données projet'!$E$11+1,1))-AVERAGE(OFFSET($H$3,0,0,'Données projet'!$E$11+1,1))</f>
        <v>255.64417186544995</v>
      </c>
      <c r="BJ171" s="62">
        <f t="shared" si="146"/>
        <v>165.41802783289376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106.10557292671548</v>
      </c>
      <c r="BQ171" s="23">
        <f>EXP(-LN(2)/25)*BQ170+(1-EXP(-LN(2)/25))/(LN(2)/25)*Calculateur!BL171*Calculateur!BN171*VLOOKUP('Données projet'!$B$11,Paramètres!$A$1:$I$89,3,0)*0.475*44/12</f>
        <v>13.381365221669984</v>
      </c>
      <c r="BR171" s="23">
        <f>EXP(-LN(2)/2)*BR170+(1-EXP(-LN(2)/2))/(LN(2)/2)*BL171*BO171*VLOOKUP('Données projet'!$B$11,Paramètres!$A$1:$I$89,3,0)*0.475*44/12</f>
        <v>2.7238880698125815E-5</v>
      </c>
      <c r="BS171" s="24">
        <f t="shared" si="169"/>
        <v>119.48696538726617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465.49436272491818</v>
      </c>
      <c r="CE171" s="62">
        <f t="shared" si="148"/>
        <v>494.36941732405256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41.145844082740396</v>
      </c>
      <c r="CL171" s="23">
        <f>EXP(-LN(2)/25)*CL170+(1-EXP(-LN(2)/25))/(LN(2)/25)*Calculateur!CG171*Calculateur!CI171*VLOOKUP('Données projet'!$B$12,Paramètres!$A$1:$I$89,3,0)*0.475*44/12</f>
        <v>5.5186347197119741</v>
      </c>
      <c r="CM171" s="23">
        <f>EXP(-LN(2)/2)*CM170+(1-EXP(-LN(2)/2))/(LN(2)/2)*CG171*CJ171*VLOOKUP('Données projet'!$B$12,Paramètres!$A$1:$I$89,3,0)*0.475*44/12</f>
        <v>1.1673592245449784E-13</v>
      </c>
      <c r="CN171" s="24">
        <f t="shared" si="172"/>
        <v>46.664478802452486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-6.8212102632969618E-13</v>
      </c>
      <c r="CU171" s="18">
        <f>CT171*VLOOKUP('Données projet'!$B$13,Paramètres!$A$1:$I$89,3,0)*VLOOKUP('Données projet'!$B$13,Paramètres!$A$1:$I$89,5,0)</f>
        <v>-4.0790837374515837E-13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361.46923697840384</v>
      </c>
      <c r="CZ171" s="62">
        <f t="shared" si="150"/>
        <v>302.25424592654673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31.108483142233315</v>
      </c>
      <c r="DG171" s="23">
        <f>EXP(-LN(2)/25)*DG170+(1-EXP(-LN(2)/25))/(LN(2)/25)*Calculateur!DB171*Calculateur!DD171*VLOOKUP('Données projet'!$B$13,Paramètres!$A$1:$I$89,3,0)*0.475*44/12</f>
        <v>5.6015145594562918</v>
      </c>
      <c r="DH171" s="23">
        <f>EXP(-LN(2)/2)*DH170+(1-EXP(-LN(2)/2))/(LN(2)/2)*DB171*DE171*VLOOKUP('Données projet'!$B$13,Paramètres!$A$1:$I$89,3,0)*0.475*44/12</f>
        <v>1.1680009908592094E-12</v>
      </c>
      <c r="DI171" s="24">
        <f t="shared" si="175"/>
        <v>36.709997701690774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-4.5474735088646412E-13</v>
      </c>
      <c r="O172" s="14">
        <f>N172*VLOOKUP('Données projet'!$B$9,Paramètres!$A$1:$I$89,3,0)*VLOOKUP('Données projet'!$B$9,Paramètres!$A$1:$I$89,5,0)</f>
        <v>-2.5420376914553347E-13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389.80719836281679</v>
      </c>
      <c r="T172" s="62">
        <f t="shared" si="142"/>
        <v>399.58193819355591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37.197163552358944</v>
      </c>
      <c r="AA172" s="23">
        <f>EXP(-LN(2)/25)*AA171+(1-EXP(-LN(2)/25))/(LN(2)/25)*Calculateur!V172*Calculateur!X172*VLOOKUP('Données projet'!$B$9,Paramètres!$A$1:$I$89,3,0)*0.475*44/12</f>
        <v>4.8576703694186172</v>
      </c>
      <c r="AB172" s="23">
        <f>EXP(-LN(2)/2)*AB171+(1-EXP(-LN(2)/2))/(LN(2)/2)*V172*Y172*VLOOKUP('Données projet'!$B$9,Paramètres!$A$1:$I$89,3,0)*0.475*44/12</f>
        <v>7.5741214928080438E-14</v>
      </c>
      <c r="AC172" s="24">
        <f t="shared" si="163"/>
        <v>42.054833921777636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269.90083987531233</v>
      </c>
      <c r="AO172" s="62">
        <f t="shared" si="144"/>
        <v>183.4515835513518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25.617600719054288</v>
      </c>
      <c r="AV172" s="23">
        <f>EXP(-LN(2)/25)*AV171+(1-EXP(-LN(2)/25))/(LN(2)/25)*Calculateur!AQ172*Calculateur!AS172*VLOOKUP('Données projet'!$B$10,Paramètres!$A$1:$I$89,3,0)*0.475*44/12</f>
        <v>5.0095289098371119</v>
      </c>
      <c r="AW172" s="23">
        <f>EXP(-LN(2)/2)*AW171+(1-EXP(-LN(2)/2))/(LN(2)/2)*AQ172*AT172*VLOOKUP('Données projet'!$B$10,Paramètres!$A$1:$I$89,3,0)*0.475*44/12</f>
        <v>2.5580994969906437E-12</v>
      </c>
      <c r="AX172" s="23">
        <f t="shared" si="166"/>
        <v>30.627129628893957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5.6843418860808015E-13</v>
      </c>
      <c r="BE172" s="14">
        <f>BD172*VLOOKUP('Données projet'!$B$11,Paramètres!$A$1:$I$89,3,0)*VLOOKUP('Données projet'!$B$11,Paramètres!$A$1:$I$89,5,0)</f>
        <v>2.7341684472048658E-13</v>
      </c>
      <c r="BF172" s="14">
        <f t="shared" si="167"/>
        <v>3.653683054157169E-12</v>
      </c>
      <c r="BG172" s="22">
        <f t="shared" si="168"/>
        <v>6.8396989905452503E-12</v>
      </c>
      <c r="BH172" s="62">
        <f t="shared" si="116"/>
        <v>293.33333333334014</v>
      </c>
      <c r="BI172" s="62">
        <f ca="1">AVERAGE(OFFSET($BH$3,0,0,'Données projet'!$E$11+1,1))-AVERAGE(OFFSET($H$3,0,0,'Données projet'!$E$11+1,1))</f>
        <v>255.64417186544995</v>
      </c>
      <c r="BJ172" s="62">
        <f t="shared" si="146"/>
        <v>165.41802783289376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104.0249073596317</v>
      </c>
      <c r="BQ172" s="23">
        <f>EXP(-LN(2)/25)*BQ171+(1-EXP(-LN(2)/25))/(LN(2)/25)*Calculateur!BL172*Calculateur!BN172*VLOOKUP('Données projet'!$B$11,Paramètres!$A$1:$I$89,3,0)*0.475*44/12</f>
        <v>13.015451085988005</v>
      </c>
      <c r="BR172" s="23">
        <f>EXP(-LN(2)/2)*BR171+(1-EXP(-LN(2)/2))/(LN(2)/2)*BL172*BO172*VLOOKUP('Données projet'!$B$11,Paramètres!$A$1:$I$89,3,0)*0.475*44/12</f>
        <v>1.9260797253576123E-5</v>
      </c>
      <c r="BS172" s="24">
        <f t="shared" si="169"/>
        <v>117.04037770641696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465.49436272491818</v>
      </c>
      <c r="CE172" s="62">
        <f t="shared" si="148"/>
        <v>494.36941732405256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40.338999176764673</v>
      </c>
      <c r="CL172" s="23">
        <f>EXP(-LN(2)/25)*CL171+(1-EXP(-LN(2)/25))/(LN(2)/25)*Calculateur!CG172*Calculateur!CI172*VLOOKUP('Données projet'!$B$12,Paramètres!$A$1:$I$89,3,0)*0.475*44/12</f>
        <v>5.3677273630890632</v>
      </c>
      <c r="CM172" s="23">
        <f>EXP(-LN(2)/2)*CM171+(1-EXP(-LN(2)/2))/(LN(2)/2)*CG172*CJ172*VLOOKUP('Données projet'!$B$12,Paramètres!$A$1:$I$89,3,0)*0.475*44/12</f>
        <v>8.2544762375642381E-14</v>
      </c>
      <c r="CN172" s="24">
        <f t="shared" si="172"/>
        <v>45.706726539853818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-6.8212102632969618E-13</v>
      </c>
      <c r="CU172" s="18">
        <f>CT172*VLOOKUP('Données projet'!$B$13,Paramètres!$A$1:$I$89,3,0)*VLOOKUP('Données projet'!$B$13,Paramètres!$A$1:$I$89,5,0)</f>
        <v>-4.0790837374515837E-13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361.46923697840384</v>
      </c>
      <c r="CZ172" s="62">
        <f t="shared" si="150"/>
        <v>302.25424592654673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30.49846476211528</v>
      </c>
      <c r="DG172" s="23">
        <f>EXP(-LN(2)/25)*DG171+(1-EXP(-LN(2)/25))/(LN(2)/25)*Calculateur!DB172*Calculateur!DD172*VLOOKUP('Données projet'!$B$13,Paramètres!$A$1:$I$89,3,0)*0.475*44/12</f>
        <v>5.4483408492571117</v>
      </c>
      <c r="DH172" s="23">
        <f>EXP(-LN(2)/2)*DH171+(1-EXP(-LN(2)/2))/(LN(2)/2)*DB172*DE172*VLOOKUP('Données projet'!$B$13,Paramètres!$A$1:$I$89,3,0)*0.475*44/12</f>
        <v>8.2590142106915368E-13</v>
      </c>
      <c r="DI172" s="24">
        <f t="shared" si="175"/>
        <v>35.946805611373215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-4.5474735088646412E-13</v>
      </c>
      <c r="O173" s="14">
        <f>N173*VLOOKUP('Données projet'!$B$9,Paramètres!$A$1:$I$89,3,0)*VLOOKUP('Données projet'!$B$9,Paramètres!$A$1:$I$89,5,0)</f>
        <v>-2.5420376914553347E-13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389.80719836281679</v>
      </c>
      <c r="T173" s="62">
        <f t="shared" si="142"/>
        <v>399.58193819355591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36.467749863126699</v>
      </c>
      <c r="AA173" s="23">
        <f>EXP(-LN(2)/25)*AA172+(1-EXP(-LN(2)/25))/(LN(2)/25)*Calculateur!V173*Calculateur!X173*VLOOKUP('Données projet'!$B$9,Paramètres!$A$1:$I$89,3,0)*0.475*44/12</f>
        <v>4.7248371177130828</v>
      </c>
      <c r="AB173" s="23">
        <f>EXP(-LN(2)/2)*AB172+(1-EXP(-LN(2)/2))/(LN(2)/2)*V173*Y173*VLOOKUP('Données projet'!$B$9,Paramètres!$A$1:$I$89,3,0)*0.475*44/12</f>
        <v>5.3557126690953442E-14</v>
      </c>
      <c r="AC173" s="24">
        <f t="shared" si="163"/>
        <v>41.192586980839835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269.90083987531233</v>
      </c>
      <c r="AO173" s="62">
        <f t="shared" si="144"/>
        <v>183.4515835513518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25.115255194147213</v>
      </c>
      <c r="AV173" s="23">
        <f>EXP(-LN(2)/25)*AV172+(1-EXP(-LN(2)/25))/(LN(2)/25)*Calculateur!AQ173*Calculateur!AS173*VLOOKUP('Données projet'!$B$10,Paramètres!$A$1:$I$89,3,0)*0.475*44/12</f>
        <v>4.87254307835794</v>
      </c>
      <c r="AW173" s="23">
        <f>EXP(-LN(2)/2)*AW172+(1-EXP(-LN(2)/2))/(LN(2)/2)*AQ173*AT173*VLOOKUP('Données projet'!$B$10,Paramètres!$A$1:$I$89,3,0)*0.475*44/12</f>
        <v>1.8088495012719805E-12</v>
      </c>
      <c r="AX173" s="23">
        <f t="shared" si="166"/>
        <v>29.987798272506961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5.6843418860808015E-13</v>
      </c>
      <c r="BE173" s="14">
        <f>BD173*VLOOKUP('Données projet'!$B$11,Paramètres!$A$1:$I$89,3,0)*VLOOKUP('Données projet'!$B$11,Paramètres!$A$1:$I$89,5,0)</f>
        <v>2.7341684472048658E-13</v>
      </c>
      <c r="BF173" s="14">
        <f t="shared" si="167"/>
        <v>3.653683054157169E-12</v>
      </c>
      <c r="BG173" s="22">
        <f t="shared" si="168"/>
        <v>6.8396989905452503E-12</v>
      </c>
      <c r="BH173" s="62">
        <f t="shared" si="116"/>
        <v>293.33333333334014</v>
      </c>
      <c r="BI173" s="62">
        <f ca="1">AVERAGE(OFFSET($BH$3,0,0,'Données projet'!$E$11+1,1))-AVERAGE(OFFSET($H$3,0,0,'Données projet'!$E$11+1,1))</f>
        <v>255.64417186544995</v>
      </c>
      <c r="BJ173" s="62">
        <f t="shared" si="146"/>
        <v>165.41802783289376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101.98504237523775</v>
      </c>
      <c r="BQ173" s="23">
        <f>EXP(-LN(2)/25)*BQ172+(1-EXP(-LN(2)/25))/(LN(2)/25)*Calculateur!BL173*Calculateur!BN173*VLOOKUP('Données projet'!$B$11,Paramètres!$A$1:$I$89,3,0)*0.475*44/12</f>
        <v>12.659542891588837</v>
      </c>
      <c r="BR173" s="23">
        <f>EXP(-LN(2)/2)*BR172+(1-EXP(-LN(2)/2))/(LN(2)/2)*BL173*BO173*VLOOKUP('Données projet'!$B$11,Paramètres!$A$1:$I$89,3,0)*0.475*44/12</f>
        <v>1.3619440349062908E-5</v>
      </c>
      <c r="BS173" s="24">
        <f t="shared" si="169"/>
        <v>114.64459888626695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465.49436272491818</v>
      </c>
      <c r="CE173" s="62">
        <f t="shared" si="148"/>
        <v>494.36941732405256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39.547976007268339</v>
      </c>
      <c r="CL173" s="23">
        <f>EXP(-LN(2)/25)*CL172+(1-EXP(-LN(2)/25))/(LN(2)/25)*Calculateur!CG173*Calculateur!CI173*VLOOKUP('Données projet'!$B$12,Paramètres!$A$1:$I$89,3,0)*0.475*44/12</f>
        <v>5.2209465760688785</v>
      </c>
      <c r="CM173" s="23">
        <f>EXP(-LN(2)/2)*CM172+(1-EXP(-LN(2)/2))/(LN(2)/2)*CG173*CJ173*VLOOKUP('Données projet'!$B$12,Paramètres!$A$1:$I$89,3,0)*0.475*44/12</f>
        <v>5.8367961227248918E-14</v>
      </c>
      <c r="CN173" s="24">
        <f t="shared" si="172"/>
        <v>44.768922583337272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-6.8212102632969618E-13</v>
      </c>
      <c r="CU173" s="18">
        <f>CT173*VLOOKUP('Données projet'!$B$13,Paramètres!$A$1:$I$89,3,0)*VLOOKUP('Données projet'!$B$13,Paramètres!$A$1:$I$89,5,0)</f>
        <v>-4.0790837374515837E-13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361.46923697840384</v>
      </c>
      <c r="CZ173" s="62">
        <f t="shared" si="150"/>
        <v>302.25424592654673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29.900408470356886</v>
      </c>
      <c r="DG173" s="23">
        <f>EXP(-LN(2)/25)*DG172+(1-EXP(-LN(2)/25))/(LN(2)/25)*Calculateur!DB173*Calculateur!DD173*VLOOKUP('Données projet'!$B$13,Paramètres!$A$1:$I$89,3,0)*0.475*44/12</f>
        <v>5.2993556822183834</v>
      </c>
      <c r="DH173" s="23">
        <f>EXP(-LN(2)/2)*DH172+(1-EXP(-LN(2)/2))/(LN(2)/2)*DB173*DE173*VLOOKUP('Données projet'!$B$13,Paramètres!$A$1:$I$89,3,0)*0.475*44/12</f>
        <v>5.8400049542960469E-13</v>
      </c>
      <c r="DI173" s="24">
        <f t="shared" si="175"/>
        <v>35.199764152575852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-4.5474735088646412E-13</v>
      </c>
      <c r="O174" s="14">
        <f>N174*VLOOKUP('Données projet'!$B$9,Paramètres!$A$1:$I$89,3,0)*VLOOKUP('Données projet'!$B$9,Paramètres!$A$1:$I$89,5,0)</f>
        <v>-2.5420376914553347E-13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389.80719836281679</v>
      </c>
      <c r="T174" s="62">
        <f t="shared" si="142"/>
        <v>399.58193819355591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35.752639531441872</v>
      </c>
      <c r="AA174" s="23">
        <f>EXP(-LN(2)/25)*AA173+(1-EXP(-LN(2)/25))/(LN(2)/25)*Calculateur!V174*Calculateur!X174*VLOOKUP('Données projet'!$B$9,Paramètres!$A$1:$I$89,3,0)*0.475*44/12</f>
        <v>4.5956361982608334</v>
      </c>
      <c r="AB174" s="23">
        <f>EXP(-LN(2)/2)*AB173+(1-EXP(-LN(2)/2))/(LN(2)/2)*V174*Y174*VLOOKUP('Données projet'!$B$9,Paramètres!$A$1:$I$89,3,0)*0.475*44/12</f>
        <v>3.7870607464040219E-14</v>
      </c>
      <c r="AC174" s="24">
        <f t="shared" si="163"/>
        <v>40.348275729702742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269.90083987531233</v>
      </c>
      <c r="AO174" s="62">
        <f t="shared" si="144"/>
        <v>183.4515835513518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24.622760358583051</v>
      </c>
      <c r="AV174" s="23">
        <f>EXP(-LN(2)/25)*AV173+(1-EXP(-LN(2)/25))/(LN(2)/25)*Calculateur!AQ174*Calculateur!AS174*VLOOKUP('Données projet'!$B$10,Paramètres!$A$1:$I$89,3,0)*0.475*44/12</f>
        <v>4.7393031316443377</v>
      </c>
      <c r="AW174" s="23">
        <f>EXP(-LN(2)/2)*AW173+(1-EXP(-LN(2)/2))/(LN(2)/2)*AQ174*AT174*VLOOKUP('Données projet'!$B$10,Paramètres!$A$1:$I$89,3,0)*0.475*44/12</f>
        <v>1.2790497484953221E-12</v>
      </c>
      <c r="AX174" s="23">
        <f t="shared" si="166"/>
        <v>29.362063490228667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5.6843418860808015E-13</v>
      </c>
      <c r="BE174" s="14">
        <f>BD174*VLOOKUP('Données projet'!$B$11,Paramètres!$A$1:$I$89,3,0)*VLOOKUP('Données projet'!$B$11,Paramètres!$A$1:$I$89,5,0)</f>
        <v>2.7341684472048658E-13</v>
      </c>
      <c r="BF174" s="14">
        <f t="shared" si="167"/>
        <v>3.653683054157169E-12</v>
      </c>
      <c r="BG174" s="22">
        <f t="shared" si="168"/>
        <v>6.8396989905452503E-12</v>
      </c>
      <c r="BH174" s="62">
        <f t="shared" si="116"/>
        <v>293.33333333334014</v>
      </c>
      <c r="BI174" s="62">
        <f ca="1">AVERAGE(OFFSET($BH$3,0,0,'Données projet'!$E$11+1,1))-AVERAGE(OFFSET($H$3,0,0,'Données projet'!$E$11+1,1))</f>
        <v>255.64417186544995</v>
      </c>
      <c r="BJ174" s="62">
        <f t="shared" si="146"/>
        <v>165.41802783289376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99.985177898992987</v>
      </c>
      <c r="BQ174" s="23">
        <f>EXP(-LN(2)/25)*BQ173+(1-EXP(-LN(2)/25))/(LN(2)/25)*Calculateur!BL174*Calculateur!BN174*VLOOKUP('Données projet'!$B$11,Paramètres!$A$1:$I$89,3,0)*0.475*44/12</f>
        <v>12.313367025481913</v>
      </c>
      <c r="BR174" s="23">
        <f>EXP(-LN(2)/2)*BR173+(1-EXP(-LN(2)/2))/(LN(2)/2)*BL174*BO174*VLOOKUP('Données projet'!$B$11,Paramètres!$A$1:$I$89,3,0)*0.475*44/12</f>
        <v>9.6303986267880617E-6</v>
      </c>
      <c r="BS174" s="24">
        <f t="shared" si="169"/>
        <v>112.29855455487352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465.49436272491818</v>
      </c>
      <c r="CE174" s="62">
        <f t="shared" si="148"/>
        <v>494.36941732405256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38.77246431964933</v>
      </c>
      <c r="CL174" s="23">
        <f>EXP(-LN(2)/25)*CL173+(1-EXP(-LN(2)/25))/(LN(2)/25)*Calculateur!CG174*Calculateur!CI174*VLOOKUP('Données projet'!$B$12,Paramètres!$A$1:$I$89,3,0)*0.475*44/12</f>
        <v>5.0781795173886275</v>
      </c>
      <c r="CM174" s="23">
        <f>EXP(-LN(2)/2)*CM173+(1-EXP(-LN(2)/2))/(LN(2)/2)*CG174*CJ174*VLOOKUP('Données projet'!$B$12,Paramètres!$A$1:$I$89,3,0)*0.475*44/12</f>
        <v>4.1272381187821191E-14</v>
      </c>
      <c r="CN174" s="24">
        <f t="shared" si="172"/>
        <v>43.850643837038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-6.8212102632969618E-13</v>
      </c>
      <c r="CU174" s="18">
        <f>CT174*VLOOKUP('Données projet'!$B$13,Paramètres!$A$1:$I$89,3,0)*VLOOKUP('Données projet'!$B$13,Paramètres!$A$1:$I$89,5,0)</f>
        <v>-4.0790837374515837E-13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361.46923697840384</v>
      </c>
      <c r="CZ174" s="62">
        <f t="shared" si="150"/>
        <v>302.25424592654673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29.314079697701555</v>
      </c>
      <c r="DG174" s="23">
        <f>EXP(-LN(2)/25)*DG173+(1-EXP(-LN(2)/25))/(LN(2)/25)*Calculateur!DB174*Calculateur!DD174*VLOOKUP('Données projet'!$B$13,Paramètres!$A$1:$I$89,3,0)*0.475*44/12</f>
        <v>5.1544445224071183</v>
      </c>
      <c r="DH174" s="23">
        <f>EXP(-LN(2)/2)*DH173+(1-EXP(-LN(2)/2))/(LN(2)/2)*DB174*DE174*VLOOKUP('Données projet'!$B$13,Paramètres!$A$1:$I$89,3,0)*0.475*44/12</f>
        <v>4.1295071053457684E-13</v>
      </c>
      <c r="DI174" s="24">
        <f t="shared" si="175"/>
        <v>34.468524220109089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-4.5474735088646412E-13</v>
      </c>
      <c r="O175" s="14">
        <f>N175*VLOOKUP('Données projet'!$B$9,Paramètres!$A$1:$I$89,3,0)*VLOOKUP('Données projet'!$B$9,Paramètres!$A$1:$I$89,5,0)</f>
        <v>-2.5420376914553347E-13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389.80719836281679</v>
      </c>
      <c r="T175" s="62">
        <f t="shared" si="142"/>
        <v>399.58193819355591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35.051552077187154</v>
      </c>
      <c r="AA175" s="23">
        <f>EXP(-LN(2)/25)*AA174+(1-EXP(-LN(2)/25))/(LN(2)/25)*Calculateur!V175*Calculateur!X175*VLOOKUP('Données projet'!$B$9,Paramètres!$A$1:$I$89,3,0)*0.475*44/12</f>
        <v>4.469968284745387</v>
      </c>
      <c r="AB175" s="23">
        <f>EXP(-LN(2)/2)*AB174+(1-EXP(-LN(2)/2))/(LN(2)/2)*V175*Y175*VLOOKUP('Données projet'!$B$9,Paramètres!$A$1:$I$89,3,0)*0.475*44/12</f>
        <v>2.6778563345476721E-14</v>
      </c>
      <c r="AC175" s="24">
        <f t="shared" si="163"/>
        <v>39.521520361932566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269.90083987531233</v>
      </c>
      <c r="AO175" s="62">
        <f t="shared" si="144"/>
        <v>183.4515835513518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24.139923046352113</v>
      </c>
      <c r="AV175" s="23">
        <f>EXP(-LN(2)/25)*AV174+(1-EXP(-LN(2)/25))/(LN(2)/25)*Calculateur!AQ175*Calculateur!AS175*VLOOKUP('Données projet'!$B$10,Paramètres!$A$1:$I$89,3,0)*0.475*44/12</f>
        <v>4.6097066382804037</v>
      </c>
      <c r="AW175" s="23">
        <f>EXP(-LN(2)/2)*AW174+(1-EXP(-LN(2)/2))/(LN(2)/2)*AQ175*AT175*VLOOKUP('Données projet'!$B$10,Paramètres!$A$1:$I$89,3,0)*0.475*44/12</f>
        <v>9.0442475063599043E-13</v>
      </c>
      <c r="AX175" s="23">
        <f t="shared" si="166"/>
        <v>28.749629684633422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5.6843418860808015E-13</v>
      </c>
      <c r="BE175" s="14">
        <f>BD175*VLOOKUP('Données projet'!$B$11,Paramètres!$A$1:$I$89,3,0)*VLOOKUP('Données projet'!$B$11,Paramètres!$A$1:$I$89,5,0)</f>
        <v>2.7341684472048658E-13</v>
      </c>
      <c r="BF175" s="14">
        <f t="shared" si="167"/>
        <v>3.653683054157169E-12</v>
      </c>
      <c r="BG175" s="22">
        <f t="shared" si="168"/>
        <v>6.8396989905452503E-12</v>
      </c>
      <c r="BH175" s="62">
        <f t="shared" si="116"/>
        <v>293.33333333334014</v>
      </c>
      <c r="BI175" s="62">
        <f ca="1">AVERAGE(OFFSET($BH$3,0,0,'Données projet'!$E$11+1,1))-AVERAGE(OFFSET($H$3,0,0,'Données projet'!$E$11+1,1))</f>
        <v>255.64417186544995</v>
      </c>
      <c r="BJ175" s="62">
        <f t="shared" si="146"/>
        <v>165.41802783289376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98.024529545330495</v>
      </c>
      <c r="BQ175" s="23">
        <f>EXP(-LN(2)/25)*BQ174+(1-EXP(-LN(2)/25))/(LN(2)/25)*Calculateur!BL175*Calculateur!BN175*VLOOKUP('Données projet'!$B$11,Paramètres!$A$1:$I$89,3,0)*0.475*44/12</f>
        <v>11.976657356638281</v>
      </c>
      <c r="BR175" s="23">
        <f>EXP(-LN(2)/2)*BR174+(1-EXP(-LN(2)/2))/(LN(2)/2)*BL175*BO175*VLOOKUP('Données projet'!$B$11,Paramètres!$A$1:$I$89,3,0)*0.475*44/12</f>
        <v>6.8097201745314538E-6</v>
      </c>
      <c r="BS175" s="24">
        <f t="shared" si="169"/>
        <v>110.00119371168896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465.49436272491818</v>
      </c>
      <c r="CE175" s="62">
        <f t="shared" si="148"/>
        <v>494.36941732405256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38.012159943209113</v>
      </c>
      <c r="CL175" s="23">
        <f>EXP(-LN(2)/25)*CL174+(1-EXP(-LN(2)/25))/(LN(2)/25)*Calculateur!CG175*Calculateur!CI175*VLOOKUP('Données projet'!$B$12,Paramètres!$A$1:$I$89,3,0)*0.475*44/12</f>
        <v>4.9393164314357811</v>
      </c>
      <c r="CM175" s="23">
        <f>EXP(-LN(2)/2)*CM174+(1-EXP(-LN(2)/2))/(LN(2)/2)*CG175*CJ175*VLOOKUP('Données projet'!$B$12,Paramètres!$A$1:$I$89,3,0)*0.475*44/12</f>
        <v>2.9183980613624459E-14</v>
      </c>
      <c r="CN175" s="24">
        <f t="shared" si="172"/>
        <v>42.951476374644926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-6.8212102632969618E-13</v>
      </c>
      <c r="CU175" s="18">
        <f>CT175*VLOOKUP('Données projet'!$B$13,Paramètres!$A$1:$I$89,3,0)*VLOOKUP('Données projet'!$B$13,Paramètres!$A$1:$I$89,5,0)</f>
        <v>-4.0790837374515837E-13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361.46923697840384</v>
      </c>
      <c r="CZ175" s="62">
        <f t="shared" si="150"/>
        <v>302.25424592654673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28.739248474652758</v>
      </c>
      <c r="DG175" s="23">
        <f>EXP(-LN(2)/25)*DG174+(1-EXP(-LN(2)/25))/(LN(2)/25)*Calculateur!DB175*Calculateur!DD175*VLOOKUP('Données projet'!$B$13,Paramètres!$A$1:$I$89,3,0)*0.475*44/12</f>
        <v>5.0134959658814386</v>
      </c>
      <c r="DH175" s="23">
        <f>EXP(-LN(2)/2)*DH174+(1-EXP(-LN(2)/2))/(LN(2)/2)*DB175*DE175*VLOOKUP('Données projet'!$B$13,Paramètres!$A$1:$I$89,3,0)*0.475*44/12</f>
        <v>2.9200024771480235E-13</v>
      </c>
      <c r="DI175" s="24">
        <f t="shared" si="175"/>
        <v>33.752744440534485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-4.5474735088646412E-13</v>
      </c>
      <c r="O176" s="14">
        <f>N176*VLOOKUP('Données projet'!$B$9,Paramètres!$A$1:$I$89,3,0)*VLOOKUP('Données projet'!$B$9,Paramètres!$A$1:$I$89,5,0)</f>
        <v>-2.5420376914553347E-13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389.80719836281679</v>
      </c>
      <c r="T176" s="62">
        <f t="shared" si="142"/>
        <v>399.58193819355591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34.364212520289243</v>
      </c>
      <c r="AA176" s="23">
        <f>EXP(-LN(2)/25)*AA175+(1-EXP(-LN(2)/25))/(LN(2)/25)*Calculateur!V176*Calculateur!X176*VLOOKUP('Données projet'!$B$9,Paramètres!$A$1:$I$89,3,0)*0.475*44/12</f>
        <v>4.3477367669336084</v>
      </c>
      <c r="AB176" s="23">
        <f>EXP(-LN(2)/2)*AB175+(1-EXP(-LN(2)/2))/(LN(2)/2)*V176*Y176*VLOOKUP('Données projet'!$B$9,Paramètres!$A$1:$I$89,3,0)*0.475*44/12</f>
        <v>1.8935303732020109E-14</v>
      </c>
      <c r="AC176" s="24">
        <f t="shared" si="163"/>
        <v>38.711949287222872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269.90083987531233</v>
      </c>
      <c r="AO176" s="62">
        <f t="shared" si="144"/>
        <v>183.4515835513518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23.666553879312342</v>
      </c>
      <c r="AV176" s="23">
        <f>EXP(-LN(2)/25)*AV175+(1-EXP(-LN(2)/25))/(LN(2)/25)*Calculateur!AQ176*Calculateur!AS176*VLOOKUP('Données projet'!$B$10,Paramètres!$A$1:$I$89,3,0)*0.475*44/12</f>
        <v>4.4836539678426899</v>
      </c>
      <c r="AW176" s="23">
        <f>EXP(-LN(2)/2)*AW175+(1-EXP(-LN(2)/2))/(LN(2)/2)*AQ176*AT176*VLOOKUP('Données projet'!$B$10,Paramètres!$A$1:$I$89,3,0)*0.475*44/12</f>
        <v>6.3952487424766113E-13</v>
      </c>
      <c r="AX176" s="23">
        <f t="shared" si="166"/>
        <v>28.15020784715567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5.6843418860808015E-13</v>
      </c>
      <c r="BE176" s="14">
        <f>BD176*VLOOKUP('Données projet'!$B$11,Paramètres!$A$1:$I$89,3,0)*VLOOKUP('Données projet'!$B$11,Paramètres!$A$1:$I$89,5,0)</f>
        <v>2.7341684472048658E-13</v>
      </c>
      <c r="BF176" s="14">
        <f t="shared" si="167"/>
        <v>3.653683054157169E-12</v>
      </c>
      <c r="BG176" s="22">
        <f t="shared" si="168"/>
        <v>6.8396989905452503E-12</v>
      </c>
      <c r="BH176" s="62">
        <f t="shared" si="116"/>
        <v>293.33333333334014</v>
      </c>
      <c r="BI176" s="62">
        <f ca="1">AVERAGE(OFFSET($BH$3,0,0,'Données projet'!$E$11+1,1))-AVERAGE(OFFSET($H$3,0,0,'Données projet'!$E$11+1,1))</f>
        <v>255.64417186544995</v>
      </c>
      <c r="BJ176" s="62">
        <f t="shared" si="146"/>
        <v>165.41802783289376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96.102328310005902</v>
      </c>
      <c r="BQ176" s="23">
        <f>EXP(-LN(2)/25)*BQ175+(1-EXP(-LN(2)/25))/(LN(2)/25)*Calculateur!BL176*Calculateur!BN176*VLOOKUP('Données projet'!$B$11,Paramètres!$A$1:$I$89,3,0)*0.475*44/12</f>
        <v>11.649155031395971</v>
      </c>
      <c r="BR176" s="23">
        <f>EXP(-LN(2)/2)*BR175+(1-EXP(-LN(2)/2))/(LN(2)/2)*BL176*BO176*VLOOKUP('Données projet'!$B$11,Paramètres!$A$1:$I$89,3,0)*0.475*44/12</f>
        <v>4.8151993133940309E-6</v>
      </c>
      <c r="BS176" s="24">
        <f t="shared" si="169"/>
        <v>107.75148815660118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465.49436272491818</v>
      </c>
      <c r="CE176" s="62">
        <f t="shared" si="148"/>
        <v>494.36941732405256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37.266764671851007</v>
      </c>
      <c r="CL176" s="23">
        <f>EXP(-LN(2)/25)*CL175+(1-EXP(-LN(2)/25))/(LN(2)/25)*Calculateur!CG176*Calculateur!CI176*VLOOKUP('Données projet'!$B$12,Paramètres!$A$1:$I$89,3,0)*0.475*44/12</f>
        <v>4.8042505638708075</v>
      </c>
      <c r="CM176" s="23">
        <f>EXP(-LN(2)/2)*CM175+(1-EXP(-LN(2)/2))/(LN(2)/2)*CG176*CJ176*VLOOKUP('Données projet'!$B$12,Paramètres!$A$1:$I$89,3,0)*0.475*44/12</f>
        <v>2.0636190593910595E-14</v>
      </c>
      <c r="CN176" s="24">
        <f t="shared" si="172"/>
        <v>42.071015235721838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-6.8212102632969618E-13</v>
      </c>
      <c r="CU176" s="18">
        <f>CT176*VLOOKUP('Données projet'!$B$13,Paramètres!$A$1:$I$89,3,0)*VLOOKUP('Données projet'!$B$13,Paramètres!$A$1:$I$89,5,0)</f>
        <v>-4.0790837374515837E-13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361.46923697840384</v>
      </c>
      <c r="CZ176" s="62">
        <f t="shared" si="150"/>
        <v>302.25424592654673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28.175689341275522</v>
      </c>
      <c r="DG176" s="23">
        <f>EXP(-LN(2)/25)*DG175+(1-EXP(-LN(2)/25))/(LN(2)/25)*Calculateur!DB176*Calculateur!DD176*VLOOKUP('Données projet'!$B$13,Paramètres!$A$1:$I$89,3,0)*0.475*44/12</f>
        <v>4.8764016550461164</v>
      </c>
      <c r="DH176" s="23">
        <f>EXP(-LN(2)/2)*DH175+(1-EXP(-LN(2)/2))/(LN(2)/2)*DB176*DE176*VLOOKUP('Données projet'!$B$13,Paramètres!$A$1:$I$89,3,0)*0.475*44/12</f>
        <v>2.0647535526728842E-13</v>
      </c>
      <c r="DI176" s="24">
        <f t="shared" si="175"/>
        <v>33.052090996321844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-4.5474735088646412E-13</v>
      </c>
      <c r="O177" s="14">
        <f>N177*VLOOKUP('Données projet'!$B$9,Paramètres!$A$1:$I$89,3,0)*VLOOKUP('Données projet'!$B$9,Paramètres!$A$1:$I$89,5,0)</f>
        <v>-2.5420376914553347E-13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389.80719836281679</v>
      </c>
      <c r="T177" s="62">
        <f t="shared" si="142"/>
        <v>399.58193819355591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33.690351272866373</v>
      </c>
      <c r="AA177" s="23">
        <f>EXP(-LN(2)/25)*AA176+(1-EXP(-LN(2)/25))/(LN(2)/25)*Calculateur!V177*Calculateur!X177*VLOOKUP('Données projet'!$B$9,Paramètres!$A$1:$I$89,3,0)*0.475*44/12</f>
        <v>4.2288476764042695</v>
      </c>
      <c r="AB177" s="23">
        <f>EXP(-LN(2)/2)*AB176+(1-EXP(-LN(2)/2))/(LN(2)/2)*V177*Y177*VLOOKUP('Données projet'!$B$9,Paramètres!$A$1:$I$89,3,0)*0.475*44/12</f>
        <v>1.338928167273836E-14</v>
      </c>
      <c r="AC177" s="24">
        <f t="shared" si="163"/>
        <v>37.919198949270658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269.90083987531233</v>
      </c>
      <c r="AO177" s="62">
        <f t="shared" si="144"/>
        <v>183.4515835513518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23.202467192911538</v>
      </c>
      <c r="AV177" s="23">
        <f>EXP(-LN(2)/25)*AV176+(1-EXP(-LN(2)/25))/(LN(2)/25)*Calculateur!AQ177*Calculateur!AS177*VLOOKUP('Données projet'!$B$10,Paramètres!$A$1:$I$89,3,0)*0.475*44/12</f>
        <v>4.3610482143069165</v>
      </c>
      <c r="AW177" s="23">
        <f>EXP(-LN(2)/2)*AW176+(1-EXP(-LN(2)/2))/(LN(2)/2)*AQ177*AT177*VLOOKUP('Données projet'!$B$10,Paramètres!$A$1:$I$89,3,0)*0.475*44/12</f>
        <v>4.5221237531799526E-13</v>
      </c>
      <c r="AX177" s="23">
        <f t="shared" si="166"/>
        <v>27.563515407218905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5.6843418860808015E-13</v>
      </c>
      <c r="BE177" s="14">
        <f>BD177*VLOOKUP('Données projet'!$B$11,Paramètres!$A$1:$I$89,3,0)*VLOOKUP('Données projet'!$B$11,Paramètres!$A$1:$I$89,5,0)</f>
        <v>2.7341684472048658E-13</v>
      </c>
      <c r="BF177" s="14">
        <f t="shared" si="167"/>
        <v>3.653683054157169E-12</v>
      </c>
      <c r="BG177" s="22">
        <f t="shared" si="168"/>
        <v>6.8396989905452503E-12</v>
      </c>
      <c r="BH177" s="62">
        <f t="shared" si="116"/>
        <v>293.33333333334014</v>
      </c>
      <c r="BI177" s="62">
        <f ca="1">AVERAGE(OFFSET($BH$3,0,0,'Données projet'!$E$11+1,1))-AVERAGE(OFFSET($H$3,0,0,'Données projet'!$E$11+1,1))</f>
        <v>255.64417186544995</v>
      </c>
      <c r="BJ177" s="62">
        <f t="shared" si="146"/>
        <v>165.41802783289376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94.217820268479045</v>
      </c>
      <c r="BQ177" s="23">
        <f>EXP(-LN(2)/25)*BQ176+(1-EXP(-LN(2)/25))/(LN(2)/25)*Calculateur!BL177*Calculateur!BN177*VLOOKUP('Données projet'!$B$11,Paramètres!$A$1:$I$89,3,0)*0.475*44/12</f>
        <v>11.33060827446001</v>
      </c>
      <c r="BR177" s="23">
        <f>EXP(-LN(2)/2)*BR176+(1-EXP(-LN(2)/2))/(LN(2)/2)*BL177*BO177*VLOOKUP('Données projet'!$B$11,Paramètres!$A$1:$I$89,3,0)*0.475*44/12</f>
        <v>3.4048600872657269E-6</v>
      </c>
      <c r="BS177" s="24">
        <f t="shared" si="169"/>
        <v>105.54843194779913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465.49436272491818</v>
      </c>
      <c r="CE177" s="62">
        <f t="shared" si="148"/>
        <v>494.36941732405256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36.53598614711801</v>
      </c>
      <c r="CL177" s="23">
        <f>EXP(-LN(2)/25)*CL176+(1-EXP(-LN(2)/25))/(LN(2)/25)*Calculateur!CG177*Calculateur!CI177*VLOOKUP('Données projet'!$B$12,Paramètres!$A$1:$I$89,3,0)*0.475*44/12</f>
        <v>4.6728780795572034</v>
      </c>
      <c r="CM177" s="23">
        <f>EXP(-LN(2)/2)*CM176+(1-EXP(-LN(2)/2))/(LN(2)/2)*CG177*CJ177*VLOOKUP('Données projet'!$B$12,Paramètres!$A$1:$I$89,3,0)*0.475*44/12</f>
        <v>1.4591990306812229E-14</v>
      </c>
      <c r="CN177" s="24">
        <f t="shared" si="172"/>
        <v>41.208864226675225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-6.8212102632969618E-13</v>
      </c>
      <c r="CU177" s="18">
        <f>CT177*VLOOKUP('Données projet'!$B$13,Paramètres!$A$1:$I$89,3,0)*VLOOKUP('Données projet'!$B$13,Paramètres!$A$1:$I$89,5,0)</f>
        <v>-4.0790837374515837E-13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361.46923697840384</v>
      </c>
      <c r="CZ177" s="62">
        <f t="shared" si="150"/>
        <v>302.25424592654673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27.623181258766682</v>
      </c>
      <c r="DG177" s="23">
        <f>EXP(-LN(2)/25)*DG176+(1-EXP(-LN(2)/25))/(LN(2)/25)*Calculateur!DB177*Calculateur!DD177*VLOOKUP('Données projet'!$B$13,Paramètres!$A$1:$I$89,3,0)*0.475*44/12</f>
        <v>4.7430561953500625</v>
      </c>
      <c r="DH177" s="23">
        <f>EXP(-LN(2)/2)*DH176+(1-EXP(-LN(2)/2))/(LN(2)/2)*DB177*DE177*VLOOKUP('Données projet'!$B$13,Paramètres!$A$1:$I$89,3,0)*0.475*44/12</f>
        <v>1.4600012385740117E-13</v>
      </c>
      <c r="DI177" s="24">
        <f t="shared" si="175"/>
        <v>32.366237454116892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-4.5474735088646412E-13</v>
      </c>
      <c r="O178" s="14">
        <f>N178*VLOOKUP('Données projet'!$B$9,Paramètres!$A$1:$I$89,3,0)*VLOOKUP('Données projet'!$B$9,Paramètres!$A$1:$I$89,5,0)</f>
        <v>-2.5420376914553347E-13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389.80719836281679</v>
      </c>
      <c r="T178" s="62">
        <f t="shared" si="142"/>
        <v>399.58193819355591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33.029704033490688</v>
      </c>
      <c r="AA178" s="23">
        <f>EXP(-LN(2)/25)*AA177+(1-EXP(-LN(2)/25))/(LN(2)/25)*Calculateur!V178*Calculateur!X178*VLOOKUP('Données projet'!$B$9,Paramètres!$A$1:$I$89,3,0)*0.475*44/12</f>
        <v>4.1132096143075607</v>
      </c>
      <c r="AB178" s="23">
        <f>EXP(-LN(2)/2)*AB177+(1-EXP(-LN(2)/2))/(LN(2)/2)*V178*Y178*VLOOKUP('Données projet'!$B$9,Paramètres!$A$1:$I$89,3,0)*0.475*44/12</f>
        <v>9.4676518660100547E-15</v>
      </c>
      <c r="AC178" s="24">
        <f t="shared" si="163"/>
        <v>37.14291364779826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269.90083987531233</v>
      </c>
      <c r="AO178" s="62">
        <f t="shared" si="144"/>
        <v>183.4515835513518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22.747480963366126</v>
      </c>
      <c r="AV178" s="23">
        <f>EXP(-LN(2)/25)*AV177+(1-EXP(-LN(2)/25))/(LN(2)/25)*Calculateur!AQ178*Calculateur!AS178*VLOOKUP('Données projet'!$B$10,Paramètres!$A$1:$I$89,3,0)*0.475*44/12</f>
        <v>4.2417951215491358</v>
      </c>
      <c r="AW178" s="23">
        <f>EXP(-LN(2)/2)*AW177+(1-EXP(-LN(2)/2))/(LN(2)/2)*AQ178*AT178*VLOOKUP('Données projet'!$B$10,Paramètres!$A$1:$I$89,3,0)*0.475*44/12</f>
        <v>3.1976243712383062E-13</v>
      </c>
      <c r="AX178" s="23">
        <f t="shared" si="166"/>
        <v>26.989276084915581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5.6843418860808015E-13</v>
      </c>
      <c r="BE178" s="14">
        <f>BD178*VLOOKUP('Données projet'!$B$11,Paramètres!$A$1:$I$89,3,0)*VLOOKUP('Données projet'!$B$11,Paramètres!$A$1:$I$89,5,0)</f>
        <v>2.7341684472048658E-13</v>
      </c>
      <c r="BF178" s="14">
        <f t="shared" si="167"/>
        <v>3.653683054157169E-12</v>
      </c>
      <c r="BG178" s="22">
        <f t="shared" si="168"/>
        <v>6.8396989905452503E-12</v>
      </c>
      <c r="BH178" s="62">
        <f t="shared" si="116"/>
        <v>293.33333333334014</v>
      </c>
      <c r="BI178" s="62">
        <f ca="1">AVERAGE(OFFSET($BH$3,0,0,'Données projet'!$E$11+1,1))-AVERAGE(OFFSET($H$3,0,0,'Données projet'!$E$11+1,1))</f>
        <v>255.64417186544995</v>
      </c>
      <c r="BJ178" s="62">
        <f t="shared" si="146"/>
        <v>165.41802783289376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92.370266280210117</v>
      </c>
      <c r="BQ178" s="23">
        <f>EXP(-LN(2)/25)*BQ177+(1-EXP(-LN(2)/25))/(LN(2)/25)*Calculateur!BL178*Calculateur!BN178*VLOOKUP('Données projet'!$B$11,Paramètres!$A$1:$I$89,3,0)*0.475*44/12</f>
        <v>11.020772195344108</v>
      </c>
      <c r="BR178" s="23">
        <f>EXP(-LN(2)/2)*BR177+(1-EXP(-LN(2)/2))/(LN(2)/2)*BL178*BO178*VLOOKUP('Données projet'!$B$11,Paramètres!$A$1:$I$89,3,0)*0.475*44/12</f>
        <v>2.4075996566970154E-6</v>
      </c>
      <c r="BS178" s="24">
        <f t="shared" si="169"/>
        <v>103.39104088315388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465.49436272491818</v>
      </c>
      <c r="CE178" s="62">
        <f t="shared" si="148"/>
        <v>494.36941732405256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35.819537743524137</v>
      </c>
      <c r="CL178" s="23">
        <f>EXP(-LN(2)/25)*CL177+(1-EXP(-LN(2)/25))/(LN(2)/25)*Calculateur!CG178*Calculateur!CI178*VLOOKUP('Données projet'!$B$12,Paramètres!$A$1:$I$89,3,0)*0.475*44/12</f>
        <v>4.5450979827357338</v>
      </c>
      <c r="CM178" s="23">
        <f>EXP(-LN(2)/2)*CM177+(1-EXP(-LN(2)/2))/(LN(2)/2)*CG178*CJ178*VLOOKUP('Données projet'!$B$12,Paramètres!$A$1:$I$89,3,0)*0.475*44/12</f>
        <v>1.0318095296955298E-14</v>
      </c>
      <c r="CN178" s="24">
        <f t="shared" si="172"/>
        <v>40.364635726259877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-6.8212102632969618E-13</v>
      </c>
      <c r="CU178" s="18">
        <f>CT178*VLOOKUP('Données projet'!$B$13,Paramètres!$A$1:$I$89,3,0)*VLOOKUP('Données projet'!$B$13,Paramètres!$A$1:$I$89,5,0)</f>
        <v>-4.0790837374515837E-13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361.46923697840384</v>
      </c>
      <c r="CZ178" s="62">
        <f t="shared" si="150"/>
        <v>302.25424592654673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27.081507522759185</v>
      </c>
      <c r="DG178" s="23">
        <f>EXP(-LN(2)/25)*DG177+(1-EXP(-LN(2)/25))/(LN(2)/25)*Calculateur!DB178*Calculateur!DD178*VLOOKUP('Données projet'!$B$13,Paramètres!$A$1:$I$89,3,0)*0.475*44/12</f>
        <v>4.6133570742617298</v>
      </c>
      <c r="DH178" s="23">
        <f>EXP(-LN(2)/2)*DH177+(1-EXP(-LN(2)/2))/(LN(2)/2)*DB178*DE178*VLOOKUP('Données projet'!$B$13,Paramètres!$A$1:$I$89,3,0)*0.475*44/12</f>
        <v>1.0323767763364421E-13</v>
      </c>
      <c r="DI178" s="24">
        <f t="shared" si="175"/>
        <v>31.69486459702102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-4.5474735088646412E-13</v>
      </c>
      <c r="O179" s="14">
        <f>N179*VLOOKUP('Données projet'!$B$9,Paramètres!$A$1:$I$89,3,0)*VLOOKUP('Données projet'!$B$9,Paramètres!$A$1:$I$89,5,0)</f>
        <v>-2.5420376914553347E-13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389.80719836281679</v>
      </c>
      <c r="T179" s="62">
        <f t="shared" si="142"/>
        <v>399.58193819355591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32.382011683524134</v>
      </c>
      <c r="AA179" s="23">
        <f>EXP(-LN(2)/25)*AA178+(1-EXP(-LN(2)/25))/(LN(2)/25)*Calculateur!V179*Calculateur!X179*VLOOKUP('Données projet'!$B$9,Paramètres!$A$1:$I$89,3,0)*0.475*44/12</f>
        <v>4.0007336811000274</v>
      </c>
      <c r="AB179" s="23">
        <f>EXP(-LN(2)/2)*AB178+(1-EXP(-LN(2)/2))/(LN(2)/2)*V179*Y179*VLOOKUP('Données projet'!$B$9,Paramètres!$A$1:$I$89,3,0)*0.475*44/12</f>
        <v>6.6946408363691802E-15</v>
      </c>
      <c r="AC179" s="24">
        <f t="shared" si="163"/>
        <v>36.382745364624171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269.90083987531233</v>
      </c>
      <c r="AO179" s="62">
        <f t="shared" si="144"/>
        <v>183.4515835513518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22.301416736267903</v>
      </c>
      <c r="AV179" s="23">
        <f>EXP(-LN(2)/25)*AV178+(1-EXP(-LN(2)/25))/(LN(2)/25)*Calculateur!AQ179*Calculateur!AS179*VLOOKUP('Données projet'!$B$10,Paramètres!$A$1:$I$89,3,0)*0.475*44/12</f>
        <v>4.1258030108840638</v>
      </c>
      <c r="AW179" s="23">
        <f>EXP(-LN(2)/2)*AW178+(1-EXP(-LN(2)/2))/(LN(2)/2)*AQ179*AT179*VLOOKUP('Données projet'!$B$10,Paramètres!$A$1:$I$89,3,0)*0.475*44/12</f>
        <v>2.2610618765899768E-13</v>
      </c>
      <c r="AX179" s="23">
        <f t="shared" si="166"/>
        <v>26.427219747152193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5.6843418860808015E-13</v>
      </c>
      <c r="BE179" s="14">
        <f>BD179*VLOOKUP('Données projet'!$B$11,Paramètres!$A$1:$I$89,3,0)*VLOOKUP('Données projet'!$B$11,Paramètres!$A$1:$I$89,5,0)</f>
        <v>2.7341684472048658E-13</v>
      </c>
      <c r="BF179" s="14">
        <f t="shared" si="167"/>
        <v>3.653683054157169E-12</v>
      </c>
      <c r="BG179" s="22">
        <f t="shared" si="168"/>
        <v>6.8396989905452503E-12</v>
      </c>
      <c r="BH179" s="62">
        <f t="shared" si="116"/>
        <v>293.33333333334014</v>
      </c>
      <c r="BI179" s="62">
        <f ca="1">AVERAGE(OFFSET($BH$3,0,0,'Données projet'!$E$11+1,1))-AVERAGE(OFFSET($H$3,0,0,'Données projet'!$E$11+1,1))</f>
        <v>255.64417186544995</v>
      </c>
      <c r="BJ179" s="62">
        <f t="shared" si="146"/>
        <v>165.41802783289376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90.558941698754481</v>
      </c>
      <c r="BQ179" s="23">
        <f>EXP(-LN(2)/25)*BQ178+(1-EXP(-LN(2)/25))/(LN(2)/25)*Calculateur!BL179*Calculateur!BN179*VLOOKUP('Données projet'!$B$11,Paramètres!$A$1:$I$89,3,0)*0.475*44/12</f>
        <v>10.719408600105202</v>
      </c>
      <c r="BR179" s="23">
        <f>EXP(-LN(2)/2)*BR178+(1-EXP(-LN(2)/2))/(LN(2)/2)*BL179*BO179*VLOOKUP('Données projet'!$B$11,Paramètres!$A$1:$I$89,3,0)*0.475*44/12</f>
        <v>1.7024300436328634E-6</v>
      </c>
      <c r="BS179" s="24">
        <f t="shared" si="169"/>
        <v>101.27835200128972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465.49436272491818</v>
      </c>
      <c r="CE179" s="62">
        <f t="shared" si="148"/>
        <v>494.36941732405256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35.117138456134363</v>
      </c>
      <c r="CL179" s="23">
        <f>EXP(-LN(2)/25)*CL178+(1-EXP(-LN(2)/25))/(LN(2)/25)*Calculateur!CG179*Calculateur!CI179*VLOOKUP('Données projet'!$B$12,Paramètres!$A$1:$I$89,3,0)*0.475*44/12</f>
        <v>4.4208120393815102</v>
      </c>
      <c r="CM179" s="23">
        <f>EXP(-LN(2)/2)*CM178+(1-EXP(-LN(2)/2))/(LN(2)/2)*CG179*CJ179*VLOOKUP('Données projet'!$B$12,Paramètres!$A$1:$I$89,3,0)*0.475*44/12</f>
        <v>7.2959951534061147E-15</v>
      </c>
      <c r="CN179" s="24">
        <f t="shared" si="172"/>
        <v>39.537950495515879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-6.8212102632969618E-13</v>
      </c>
      <c r="CU179" s="18">
        <f>CT179*VLOOKUP('Données projet'!$B$13,Paramètres!$A$1:$I$89,3,0)*VLOOKUP('Données projet'!$B$13,Paramètres!$A$1:$I$89,5,0)</f>
        <v>-4.0790837374515837E-13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361.46923697840384</v>
      </c>
      <c r="CZ179" s="62">
        <f t="shared" si="150"/>
        <v>302.25424592654673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26.55045567832644</v>
      </c>
      <c r="DG179" s="23">
        <f>EXP(-LN(2)/25)*DG178+(1-EXP(-LN(2)/25))/(LN(2)/25)*Calculateur!DB179*Calculateur!DD179*VLOOKUP('Données projet'!$B$13,Paramètres!$A$1:$I$89,3,0)*0.475*44/12</f>
        <v>4.4872045824601381</v>
      </c>
      <c r="DH179" s="23">
        <f>EXP(-LN(2)/2)*DH178+(1-EXP(-LN(2)/2))/(LN(2)/2)*DB179*DE179*VLOOKUP('Données projet'!$B$13,Paramètres!$A$1:$I$89,3,0)*0.475*44/12</f>
        <v>7.3000061928700586E-14</v>
      </c>
      <c r="DI179" s="24">
        <f t="shared" si="175"/>
        <v>31.037660260786652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-4.5474735088646412E-13</v>
      </c>
      <c r="O180" s="14">
        <f>N180*VLOOKUP('Données projet'!$B$9,Paramètres!$A$1:$I$89,3,0)*VLOOKUP('Données projet'!$B$9,Paramètres!$A$1:$I$89,5,0)</f>
        <v>-2.5420376914553347E-13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389.80719836281679</v>
      </c>
      <c r="T180" s="62">
        <f t="shared" si="142"/>
        <v>399.58193819355591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31.747020185487095</v>
      </c>
      <c r="AA180" s="23">
        <f>EXP(-LN(2)/25)*AA179+(1-EXP(-LN(2)/25))/(LN(2)/25)*Calculateur!V180*Calculateur!X180*VLOOKUP('Données projet'!$B$9,Paramètres!$A$1:$I$89,3,0)*0.475*44/12</f>
        <v>3.8913334082009068</v>
      </c>
      <c r="AB180" s="23">
        <f>EXP(-LN(2)/2)*AB179+(1-EXP(-LN(2)/2))/(LN(2)/2)*V180*Y180*VLOOKUP('Données projet'!$B$9,Paramètres!$A$1:$I$89,3,0)*0.475*44/12</f>
        <v>4.7338259330050274E-15</v>
      </c>
      <c r="AC180" s="24">
        <f t="shared" si="163"/>
        <v>35.638353593688009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269.90083987531233</v>
      </c>
      <c r="AO180" s="62">
        <f t="shared" si="144"/>
        <v>183.4515835513518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21.864099556590762</v>
      </c>
      <c r="AV180" s="23">
        <f>EXP(-LN(2)/25)*AV179+(1-EXP(-LN(2)/25))/(LN(2)/25)*Calculateur!AQ180*Calculateur!AS180*VLOOKUP('Données projet'!$B$10,Paramètres!$A$1:$I$89,3,0)*0.475*44/12</f>
        <v>4.0129827105848888</v>
      </c>
      <c r="AW180" s="23">
        <f>EXP(-LN(2)/2)*AW179+(1-EXP(-LN(2)/2))/(LN(2)/2)*AQ180*AT180*VLOOKUP('Données projet'!$B$10,Paramètres!$A$1:$I$89,3,0)*0.475*44/12</f>
        <v>1.5988121856191533E-13</v>
      </c>
      <c r="AX180" s="23">
        <f t="shared" si="166"/>
        <v>25.877082267175812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5.6843418860808015E-13</v>
      </c>
      <c r="BE180" s="14">
        <f>BD180*VLOOKUP('Données projet'!$B$11,Paramètres!$A$1:$I$89,3,0)*VLOOKUP('Données projet'!$B$11,Paramètres!$A$1:$I$89,5,0)</f>
        <v>2.7341684472048658E-13</v>
      </c>
      <c r="BF180" s="14">
        <f t="shared" si="167"/>
        <v>3.653683054157169E-12</v>
      </c>
      <c r="BG180" s="22">
        <f t="shared" si="168"/>
        <v>6.8396989905452503E-12</v>
      </c>
      <c r="BH180" s="62">
        <f t="shared" si="116"/>
        <v>293.33333333334014</v>
      </c>
      <c r="BI180" s="62">
        <f ca="1">AVERAGE(OFFSET($BH$3,0,0,'Données projet'!$E$11+1,1))-AVERAGE(OFFSET($H$3,0,0,'Données projet'!$E$11+1,1))</f>
        <v>255.64417186544995</v>
      </c>
      <c r="BJ180" s="62">
        <f t="shared" si="146"/>
        <v>165.41802783289376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88.783136087542289</v>
      </c>
      <c r="BQ180" s="23">
        <f>EXP(-LN(2)/25)*BQ179+(1-EXP(-LN(2)/25))/(LN(2)/25)*Calculateur!BL180*Calculateur!BN180*VLOOKUP('Données projet'!$B$11,Paramètres!$A$1:$I$89,3,0)*0.475*44/12</f>
        <v>10.426285808226128</v>
      </c>
      <c r="BR180" s="23">
        <f>EXP(-LN(2)/2)*BR179+(1-EXP(-LN(2)/2))/(LN(2)/2)*BL180*BO180*VLOOKUP('Données projet'!$B$11,Paramètres!$A$1:$I$89,3,0)*0.475*44/12</f>
        <v>1.2037998283485077E-6</v>
      </c>
      <c r="BS180" s="24">
        <f t="shared" si="169"/>
        <v>99.209423099568241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465.49436272491818</v>
      </c>
      <c r="CE180" s="62">
        <f t="shared" si="148"/>
        <v>494.36941732405256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34.428512790349039</v>
      </c>
      <c r="CL180" s="23">
        <f>EXP(-LN(2)/25)*CL179+(1-EXP(-LN(2)/25))/(LN(2)/25)*Calculateur!CG180*Calculateur!CI180*VLOOKUP('Données projet'!$B$12,Paramètres!$A$1:$I$89,3,0)*0.475*44/12</f>
        <v>4.2999247016842217</v>
      </c>
      <c r="CM180" s="23">
        <f>EXP(-LN(2)/2)*CM179+(1-EXP(-LN(2)/2))/(LN(2)/2)*CG180*CJ180*VLOOKUP('Données projet'!$B$12,Paramètres!$A$1:$I$89,3,0)*0.475*44/12</f>
        <v>5.1590476484776488E-15</v>
      </c>
      <c r="CN180" s="24">
        <f t="shared" si="172"/>
        <v>38.728437492033265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-6.8212102632969618E-13</v>
      </c>
      <c r="CU180" s="18">
        <f>CT180*VLOOKUP('Données projet'!$B$13,Paramètres!$A$1:$I$89,3,0)*VLOOKUP('Données projet'!$B$13,Paramètres!$A$1:$I$89,5,0)</f>
        <v>-4.0790837374515837E-13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361.46923697840384</v>
      </c>
      <c r="CZ180" s="62">
        <f t="shared" si="150"/>
        <v>302.25424592654673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26.029817436653381</v>
      </c>
      <c r="DG180" s="23">
        <f>EXP(-LN(2)/25)*DG179+(1-EXP(-LN(2)/25))/(LN(2)/25)*Calculateur!DB180*Calculateur!DD180*VLOOKUP('Données projet'!$B$13,Paramètres!$A$1:$I$89,3,0)*0.475*44/12</f>
        <v>4.364501737180932</v>
      </c>
      <c r="DH180" s="23">
        <f>EXP(-LN(2)/2)*DH179+(1-EXP(-LN(2)/2))/(LN(2)/2)*DB180*DE180*VLOOKUP('Données projet'!$B$13,Paramètres!$A$1:$I$89,3,0)*0.475*44/12</f>
        <v>5.1618838816822105E-14</v>
      </c>
      <c r="DI180" s="24">
        <f t="shared" si="175"/>
        <v>30.394319173834365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-4.5474735088646412E-13</v>
      </c>
      <c r="O181" s="14">
        <f>N181*VLOOKUP('Données projet'!$B$9,Paramètres!$A$1:$I$89,3,0)*VLOOKUP('Données projet'!$B$9,Paramètres!$A$1:$I$89,5,0)</f>
        <v>-2.5420376914553347E-13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389.80719836281679</v>
      </c>
      <c r="T181" s="62">
        <f t="shared" si="142"/>
        <v>399.58193819355591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31.124480483419994</v>
      </c>
      <c r="AA181" s="23">
        <f>EXP(-LN(2)/25)*AA180+(1-EXP(-LN(2)/25))/(LN(2)/25)*Calculateur!V181*Calculateur!X181*VLOOKUP('Données projet'!$B$9,Paramètres!$A$1:$I$89,3,0)*0.475*44/12</f>
        <v>3.7849246915173227</v>
      </c>
      <c r="AB181" s="23">
        <f>EXP(-LN(2)/2)*AB180+(1-EXP(-LN(2)/2))/(LN(2)/2)*V181*Y181*VLOOKUP('Données projet'!$B$9,Paramètres!$A$1:$I$89,3,0)*0.475*44/12</f>
        <v>3.3473204181845901E-15</v>
      </c>
      <c r="AC181" s="24">
        <f t="shared" si="163"/>
        <v>34.909405174937319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269.90083987531233</v>
      </c>
      <c r="AO181" s="62">
        <f t="shared" si="144"/>
        <v>183.4515835513518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21.435357900069949</v>
      </c>
      <c r="AV181" s="23">
        <f>EXP(-LN(2)/25)*AV180+(1-EXP(-LN(2)/25))/(LN(2)/25)*Calculateur!AQ181*Calculateur!AS181*VLOOKUP('Données projet'!$B$10,Paramètres!$A$1:$I$89,3,0)*0.475*44/12</f>
        <v>3.903247487330356</v>
      </c>
      <c r="AW181" s="23">
        <f>EXP(-LN(2)/2)*AW180+(1-EXP(-LN(2)/2))/(LN(2)/2)*AQ181*AT181*VLOOKUP('Données projet'!$B$10,Paramètres!$A$1:$I$89,3,0)*0.475*44/12</f>
        <v>1.1305309382949885E-13</v>
      </c>
      <c r="AX181" s="23">
        <f t="shared" si="166"/>
        <v>25.33860538740042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5.6843418860808015E-13</v>
      </c>
      <c r="BE181" s="14">
        <f>BD181*VLOOKUP('Données projet'!$B$11,Paramètres!$A$1:$I$89,3,0)*VLOOKUP('Données projet'!$B$11,Paramètres!$A$1:$I$89,5,0)</f>
        <v>2.7341684472048658E-13</v>
      </c>
      <c r="BF181" s="14">
        <f t="shared" si="167"/>
        <v>3.653683054157169E-12</v>
      </c>
      <c r="BG181" s="22">
        <f t="shared" si="168"/>
        <v>6.8396989905452503E-12</v>
      </c>
      <c r="BH181" s="62">
        <f t="shared" si="116"/>
        <v>293.33333333334014</v>
      </c>
      <c r="BI181" s="62">
        <f ca="1">AVERAGE(OFFSET($BH$3,0,0,'Données projet'!$E$11+1,1))-AVERAGE(OFFSET($H$3,0,0,'Données projet'!$E$11+1,1))</f>
        <v>255.64417186544995</v>
      </c>
      <c r="BJ181" s="62">
        <f t="shared" si="146"/>
        <v>165.41802783289376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87.042152941231492</v>
      </c>
      <c r="BQ181" s="23">
        <f>EXP(-LN(2)/25)*BQ180+(1-EXP(-LN(2)/25))/(LN(2)/25)*Calculateur!BL181*Calculateur!BN181*VLOOKUP('Données projet'!$B$11,Paramètres!$A$1:$I$89,3,0)*0.475*44/12</f>
        <v>10.141178474505644</v>
      </c>
      <c r="BR181" s="23">
        <f>EXP(-LN(2)/2)*BR180+(1-EXP(-LN(2)/2))/(LN(2)/2)*BL181*BO181*VLOOKUP('Données projet'!$B$11,Paramètres!$A$1:$I$89,3,0)*0.475*44/12</f>
        <v>8.5121502181643172E-7</v>
      </c>
      <c r="BS181" s="24">
        <f t="shared" si="169"/>
        <v>97.183332266952164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465.49436272491818</v>
      </c>
      <c r="CE181" s="62">
        <f t="shared" si="148"/>
        <v>494.36941732405256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33.753390653849586</v>
      </c>
      <c r="CL181" s="23">
        <f>EXP(-LN(2)/25)*CL180+(1-EXP(-LN(2)/25))/(LN(2)/25)*Calculateur!CG181*Calculateur!CI181*VLOOKUP('Données projet'!$B$12,Paramètres!$A$1:$I$89,3,0)*0.475*44/12</f>
        <v>4.1823430345934538</v>
      </c>
      <c r="CM181" s="23">
        <f>EXP(-LN(2)/2)*CM180+(1-EXP(-LN(2)/2))/(LN(2)/2)*CG181*CJ181*VLOOKUP('Données projet'!$B$12,Paramètres!$A$1:$I$89,3,0)*0.475*44/12</f>
        <v>3.6479975767030574E-15</v>
      </c>
      <c r="CN181" s="24">
        <f t="shared" si="172"/>
        <v>37.935733688443044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-6.8212102632969618E-13</v>
      </c>
      <c r="CU181" s="18">
        <f>CT181*VLOOKUP('Données projet'!$B$13,Paramètres!$A$1:$I$89,3,0)*VLOOKUP('Données projet'!$B$13,Paramètres!$A$1:$I$89,5,0)</f>
        <v>-4.0790837374515837E-13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361.46923697840384</v>
      </c>
      <c r="CZ181" s="62">
        <f t="shared" si="150"/>
        <v>302.25424592654673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25.51938859334156</v>
      </c>
      <c r="DG181" s="23">
        <f>EXP(-LN(2)/25)*DG180+(1-EXP(-LN(2)/25))/(LN(2)/25)*Calculateur!DB181*Calculateur!DD181*VLOOKUP('Données projet'!$B$13,Paramètres!$A$1:$I$89,3,0)*0.475*44/12</f>
        <v>4.2451542076585485</v>
      </c>
      <c r="DH181" s="23">
        <f>EXP(-LN(2)/2)*DH180+(1-EXP(-LN(2)/2))/(LN(2)/2)*DB181*DE181*VLOOKUP('Données projet'!$B$13,Paramètres!$A$1:$I$89,3,0)*0.475*44/12</f>
        <v>3.6500030964350293E-14</v>
      </c>
      <c r="DI181" s="24">
        <f t="shared" si="175"/>
        <v>29.764542801000143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-4.5474735088646412E-13</v>
      </c>
      <c r="O182" s="14">
        <f>N182*VLOOKUP('Données projet'!$B$9,Paramètres!$A$1:$I$89,3,0)*VLOOKUP('Données projet'!$B$9,Paramètres!$A$1:$I$89,5,0)</f>
        <v>-2.5420376914553347E-13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389.80719836281679</v>
      </c>
      <c r="T182" s="62">
        <f t="shared" si="142"/>
        <v>399.58193819355591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30.514148405198704</v>
      </c>
      <c r="AA182" s="23">
        <f>EXP(-LN(2)/25)*AA181+(1-EXP(-LN(2)/25))/(LN(2)/25)*Calculateur!V182*Calculateur!X182*VLOOKUP('Données projet'!$B$9,Paramètres!$A$1:$I$89,3,0)*0.475*44/12</f>
        <v>3.6814257267872423</v>
      </c>
      <c r="AB182" s="23">
        <f>EXP(-LN(2)/2)*AB181+(1-EXP(-LN(2)/2))/(LN(2)/2)*V182*Y182*VLOOKUP('Données projet'!$B$9,Paramètres!$A$1:$I$89,3,0)*0.475*44/12</f>
        <v>2.3669129665025137E-15</v>
      </c>
      <c r="AC182" s="24">
        <f t="shared" si="163"/>
        <v>34.195574131985943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269.90083987531233</v>
      </c>
      <c r="AO182" s="62">
        <f t="shared" si="144"/>
        <v>183.4515835513518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21.01502360592692</v>
      </c>
      <c r="AV182" s="23">
        <f>EXP(-LN(2)/25)*AV181+(1-EXP(-LN(2)/25))/(LN(2)/25)*Calculateur!AQ182*Calculateur!AS182*VLOOKUP('Données projet'!$B$10,Paramètres!$A$1:$I$89,3,0)*0.475*44/12</f>
        <v>3.796512979526443</v>
      </c>
      <c r="AW182" s="23">
        <f>EXP(-LN(2)/2)*AW181+(1-EXP(-LN(2)/2))/(LN(2)/2)*AQ182*AT182*VLOOKUP('Données projet'!$B$10,Paramètres!$A$1:$I$89,3,0)*0.475*44/12</f>
        <v>7.9940609280957679E-14</v>
      </c>
      <c r="AX182" s="23">
        <f t="shared" si="166"/>
        <v>24.811536585453446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5.6843418860808015E-13</v>
      </c>
      <c r="BE182" s="14">
        <f>BD182*VLOOKUP('Données projet'!$B$11,Paramètres!$A$1:$I$89,3,0)*VLOOKUP('Données projet'!$B$11,Paramètres!$A$1:$I$89,5,0)</f>
        <v>2.7341684472048658E-13</v>
      </c>
      <c r="BF182" s="14">
        <f t="shared" si="167"/>
        <v>3.653683054157169E-12</v>
      </c>
      <c r="BG182" s="22">
        <f t="shared" si="168"/>
        <v>6.8396989905452503E-12</v>
      </c>
      <c r="BH182" s="62">
        <f t="shared" si="116"/>
        <v>293.33333333334014</v>
      </c>
      <c r="BI182" s="62">
        <f ca="1">AVERAGE(OFFSET($BH$3,0,0,'Données projet'!$E$11+1,1))-AVERAGE(OFFSET($H$3,0,0,'Données projet'!$E$11+1,1))</f>
        <v>255.64417186544995</v>
      </c>
      <c r="BJ182" s="62">
        <f t="shared" si="146"/>
        <v>165.41802783289376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85.335309412524992</v>
      </c>
      <c r="BQ182" s="23">
        <f>EXP(-LN(2)/25)*BQ181+(1-EXP(-LN(2)/25))/(LN(2)/25)*Calculateur!BL182*Calculateur!BN182*VLOOKUP('Données projet'!$B$11,Paramètres!$A$1:$I$89,3,0)*0.475*44/12</f>
        <v>9.8638674158188895</v>
      </c>
      <c r="BR182" s="23">
        <f>EXP(-LN(2)/2)*BR181+(1-EXP(-LN(2)/2))/(LN(2)/2)*BL182*BO182*VLOOKUP('Données projet'!$B$11,Paramètres!$A$1:$I$89,3,0)*0.475*44/12</f>
        <v>6.0189991417425386E-7</v>
      </c>
      <c r="BS182" s="24">
        <f t="shared" si="169"/>
        <v>95.199177430243793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465.49436272491818</v>
      </c>
      <c r="CE182" s="62">
        <f t="shared" si="148"/>
        <v>494.36941732405256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33.091507250663042</v>
      </c>
      <c r="CL182" s="23">
        <f>EXP(-LN(2)/25)*CL181+(1-EXP(-LN(2)/25))/(LN(2)/25)*Calculateur!CG182*Calculateur!CI182*VLOOKUP('Données projet'!$B$12,Paramètres!$A$1:$I$89,3,0)*0.475*44/12</f>
        <v>4.0679766443726342</v>
      </c>
      <c r="CM182" s="23">
        <f>EXP(-LN(2)/2)*CM181+(1-EXP(-LN(2)/2))/(LN(2)/2)*CG182*CJ182*VLOOKUP('Données projet'!$B$12,Paramètres!$A$1:$I$89,3,0)*0.475*44/12</f>
        <v>2.5795238242388244E-15</v>
      </c>
      <c r="CN182" s="24">
        <f t="shared" si="172"/>
        <v>37.159483895035677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-6.8212102632969618E-13</v>
      </c>
      <c r="CU182" s="18">
        <f>CT182*VLOOKUP('Données projet'!$B$13,Paramètres!$A$1:$I$89,3,0)*VLOOKUP('Données projet'!$B$13,Paramètres!$A$1:$I$89,5,0)</f>
        <v>-4.0790837374515837E-13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361.46923697840384</v>
      </c>
      <c r="CZ182" s="62">
        <f t="shared" si="150"/>
        <v>302.25424592654673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25.018968948316228</v>
      </c>
      <c r="DG182" s="23">
        <f>EXP(-LN(2)/25)*DG181+(1-EXP(-LN(2)/25))/(LN(2)/25)*Calculateur!DB182*Calculateur!DD182*VLOOKUP('Données projet'!$B$13,Paramètres!$A$1:$I$89,3,0)*0.475*44/12</f>
        <v>4.1290702426071677</v>
      </c>
      <c r="DH182" s="23">
        <f>EXP(-LN(2)/2)*DH181+(1-EXP(-LN(2)/2))/(LN(2)/2)*DB182*DE182*VLOOKUP('Données projet'!$B$13,Paramètres!$A$1:$I$89,3,0)*0.475*44/12</f>
        <v>2.5809419408411052E-14</v>
      </c>
      <c r="DI182" s="24">
        <f t="shared" si="175"/>
        <v>29.14803919092342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-4.5474735088646412E-13</v>
      </c>
      <c r="O183" s="14">
        <f>N183*VLOOKUP('Données projet'!$B$9,Paramètres!$A$1:$I$89,3,0)*VLOOKUP('Données projet'!$B$9,Paramètres!$A$1:$I$89,5,0)</f>
        <v>-2.5420376914553347E-13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389.80719836281679</v>
      </c>
      <c r="T183" s="62">
        <f t="shared" si="142"/>
        <v>399.58193819355591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29.915784566765524</v>
      </c>
      <c r="AA183" s="23">
        <f>EXP(-LN(2)/25)*AA182+(1-EXP(-LN(2)/25))/(LN(2)/25)*Calculateur!V183*Calculateur!X183*VLOOKUP('Données projet'!$B$9,Paramètres!$A$1:$I$89,3,0)*0.475*44/12</f>
        <v>3.5807569466904803</v>
      </c>
      <c r="AB183" s="23">
        <f>EXP(-LN(2)/2)*AB182+(1-EXP(-LN(2)/2))/(LN(2)/2)*V183*Y183*VLOOKUP('Données projet'!$B$9,Paramètres!$A$1:$I$89,3,0)*0.475*44/12</f>
        <v>1.6736602090922951E-15</v>
      </c>
      <c r="AC183" s="24">
        <f t="shared" si="163"/>
        <v>33.496541513456002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269.90083987531233</v>
      </c>
      <c r="AO183" s="62">
        <f t="shared" si="144"/>
        <v>183.4515835513518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20.602931810913432</v>
      </c>
      <c r="AV183" s="23">
        <f>EXP(-LN(2)/25)*AV182+(1-EXP(-LN(2)/25))/(LN(2)/25)*Calculateur!AQ183*Calculateur!AS183*VLOOKUP('Données projet'!$B$10,Paramètres!$A$1:$I$89,3,0)*0.475*44/12</f>
        <v>3.692697132451352</v>
      </c>
      <c r="AW183" s="23">
        <f>EXP(-LN(2)/2)*AW182+(1-EXP(-LN(2)/2))/(LN(2)/2)*AQ183*AT183*VLOOKUP('Données projet'!$B$10,Paramètres!$A$1:$I$89,3,0)*0.475*44/12</f>
        <v>5.6526546914749433E-14</v>
      </c>
      <c r="AX183" s="23">
        <f t="shared" si="166"/>
        <v>24.295628943364839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5.6843418860808015E-13</v>
      </c>
      <c r="BE183" s="14">
        <f>BD183*VLOOKUP('Données projet'!$B$11,Paramètres!$A$1:$I$89,3,0)*VLOOKUP('Données projet'!$B$11,Paramètres!$A$1:$I$89,5,0)</f>
        <v>2.7341684472048658E-13</v>
      </c>
      <c r="BF183" s="14">
        <f t="shared" si="167"/>
        <v>3.653683054157169E-12</v>
      </c>
      <c r="BG183" s="22">
        <f t="shared" si="168"/>
        <v>6.8396989905452503E-12</v>
      </c>
      <c r="BH183" s="62">
        <f t="shared" si="116"/>
        <v>293.33333333334014</v>
      </c>
      <c r="BI183" s="62">
        <f ca="1">AVERAGE(OFFSET($BH$3,0,0,'Données projet'!$E$11+1,1))-AVERAGE(OFFSET($H$3,0,0,'Données projet'!$E$11+1,1))</f>
        <v>255.64417186544995</v>
      </c>
      <c r="BJ183" s="62">
        <f t="shared" si="146"/>
        <v>165.41802783289376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83.661936044344671</v>
      </c>
      <c r="BQ183" s="23">
        <f>EXP(-LN(2)/25)*BQ182+(1-EXP(-LN(2)/25))/(LN(2)/25)*Calculateur!BL183*Calculateur!BN183*VLOOKUP('Données projet'!$B$11,Paramètres!$A$1:$I$89,3,0)*0.475*44/12</f>
        <v>9.594139442615079</v>
      </c>
      <c r="BR183" s="23">
        <f>EXP(-LN(2)/2)*BR182+(1-EXP(-LN(2)/2))/(LN(2)/2)*BL183*BO183*VLOOKUP('Données projet'!$B$11,Paramètres!$A$1:$I$89,3,0)*0.475*44/12</f>
        <v>4.2560751090821586E-7</v>
      </c>
      <c r="BS183" s="24">
        <f t="shared" si="169"/>
        <v>93.256075912567255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465.49436272491818</v>
      </c>
      <c r="CE183" s="62">
        <f t="shared" si="148"/>
        <v>494.36941732405256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32.442602977303977</v>
      </c>
      <c r="CL183" s="23">
        <f>EXP(-LN(2)/25)*CL182+(1-EXP(-LN(2)/25))/(LN(2)/25)*Calculateur!CG183*Calculateur!CI183*VLOOKUP('Données projet'!$B$12,Paramètres!$A$1:$I$89,3,0)*0.475*44/12</f>
        <v>3.9567376091066704</v>
      </c>
      <c r="CM183" s="23">
        <f>EXP(-LN(2)/2)*CM182+(1-EXP(-LN(2)/2))/(LN(2)/2)*CG183*CJ183*VLOOKUP('Données projet'!$B$12,Paramètres!$A$1:$I$89,3,0)*0.475*44/12</f>
        <v>1.8239987883515287E-15</v>
      </c>
      <c r="CN183" s="24">
        <f t="shared" si="172"/>
        <v>36.399340586410645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-6.8212102632969618E-13</v>
      </c>
      <c r="CU183" s="18">
        <f>CT183*VLOOKUP('Données projet'!$B$13,Paramètres!$A$1:$I$89,3,0)*VLOOKUP('Données projet'!$B$13,Paramètres!$A$1:$I$89,5,0)</f>
        <v>-4.0790837374515837E-13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361.46923697840384</v>
      </c>
      <c r="CZ183" s="62">
        <f t="shared" si="150"/>
        <v>302.25424592654673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24.528362227304001</v>
      </c>
      <c r="DG183" s="23">
        <f>EXP(-LN(2)/25)*DG182+(1-EXP(-LN(2)/25))/(LN(2)/25)*Calculateur!DB183*Calculateur!DD183*VLOOKUP('Données projet'!$B$13,Paramètres!$A$1:$I$89,3,0)*0.475*44/12</f>
        <v>4.0161605996847074</v>
      </c>
      <c r="DH183" s="23">
        <f>EXP(-LN(2)/2)*DH182+(1-EXP(-LN(2)/2))/(LN(2)/2)*DB183*DE183*VLOOKUP('Données projet'!$B$13,Paramètres!$A$1:$I$89,3,0)*0.475*44/12</f>
        <v>1.8250015482175147E-14</v>
      </c>
      <c r="DI183" s="24">
        <f t="shared" si="175"/>
        <v>28.544522826988725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-4.5474735088646412E-13</v>
      </c>
      <c r="O184" s="14">
        <f>N184*VLOOKUP('Données projet'!$B$9,Paramètres!$A$1:$I$89,3,0)*VLOOKUP('Données projet'!$B$9,Paramètres!$A$1:$I$89,5,0)</f>
        <v>-2.5420376914553347E-13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389.80719836281679</v>
      </c>
      <c r="T184" s="62">
        <f t="shared" si="142"/>
        <v>399.58193819355591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29.329154278238114</v>
      </c>
      <c r="AA184" s="23">
        <f>EXP(-LN(2)/25)*AA183+(1-EXP(-LN(2)/25))/(LN(2)/25)*Calculateur!V184*Calculateur!X184*VLOOKUP('Données projet'!$B$9,Paramètres!$A$1:$I$89,3,0)*0.475*44/12</f>
        <v>3.4828409596794052</v>
      </c>
      <c r="AB184" s="23">
        <f>EXP(-LN(2)/2)*AB183+(1-EXP(-LN(2)/2))/(LN(2)/2)*V184*Y184*VLOOKUP('Données projet'!$B$9,Paramètres!$A$1:$I$89,3,0)*0.475*44/12</f>
        <v>1.1834564832512568E-15</v>
      </c>
      <c r="AC184" s="24">
        <f t="shared" si="163"/>
        <v>32.811995237917522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269.90083987531233</v>
      </c>
      <c r="AO184" s="62">
        <f t="shared" si="144"/>
        <v>183.4515835513518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20.198920884648981</v>
      </c>
      <c r="AV184" s="23">
        <f>EXP(-LN(2)/25)*AV183+(1-EXP(-LN(2)/25))/(LN(2)/25)*Calculateur!AQ184*Calculateur!AS184*VLOOKUP('Données projet'!$B$10,Paramètres!$A$1:$I$89,3,0)*0.475*44/12</f>
        <v>3.5917201351739672</v>
      </c>
      <c r="AW184" s="23">
        <f>EXP(-LN(2)/2)*AW183+(1-EXP(-LN(2)/2))/(LN(2)/2)*AQ184*AT184*VLOOKUP('Données projet'!$B$10,Paramètres!$A$1:$I$89,3,0)*0.475*44/12</f>
        <v>3.9970304640478846E-14</v>
      </c>
      <c r="AX184" s="23">
        <f t="shared" si="166"/>
        <v>23.790641019822989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5.6843418860808015E-13</v>
      </c>
      <c r="BE184" s="14">
        <f>BD184*VLOOKUP('Données projet'!$B$11,Paramètres!$A$1:$I$89,3,0)*VLOOKUP('Données projet'!$B$11,Paramètres!$A$1:$I$89,5,0)</f>
        <v>2.7341684472048658E-13</v>
      </c>
      <c r="BF184" s="14">
        <f t="shared" si="167"/>
        <v>3.653683054157169E-12</v>
      </c>
      <c r="BG184" s="22">
        <f t="shared" si="168"/>
        <v>6.8396989905452503E-12</v>
      </c>
      <c r="BH184" s="62">
        <f t="shared" si="116"/>
        <v>293.33333333334014</v>
      </c>
      <c r="BI184" s="62">
        <f ca="1">AVERAGE(OFFSET($BH$3,0,0,'Données projet'!$E$11+1,1))-AVERAGE(OFFSET($H$3,0,0,'Données projet'!$E$11+1,1))</f>
        <v>255.64417186544995</v>
      </c>
      <c r="BJ184" s="62">
        <f t="shared" si="146"/>
        <v>165.41802783289376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82.021376507257386</v>
      </c>
      <c r="BQ184" s="23">
        <f>EXP(-LN(2)/25)*BQ183+(1-EXP(-LN(2)/25))/(LN(2)/25)*Calculateur!BL184*Calculateur!BN184*VLOOKUP('Données projet'!$B$11,Paramètres!$A$1:$I$89,3,0)*0.475*44/12</f>
        <v>9.3317871950229048</v>
      </c>
      <c r="BR184" s="23">
        <f>EXP(-LN(2)/2)*BR183+(1-EXP(-LN(2)/2))/(LN(2)/2)*BL184*BO184*VLOOKUP('Données projet'!$B$11,Paramètres!$A$1:$I$89,3,0)*0.475*44/12</f>
        <v>3.0094995708712693E-7</v>
      </c>
      <c r="BS184" s="24">
        <f t="shared" si="169"/>
        <v>91.353164003230248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465.49436272491818</v>
      </c>
      <c r="CE184" s="62">
        <f t="shared" si="148"/>
        <v>494.36941732405256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31.806423320952955</v>
      </c>
      <c r="CL184" s="23">
        <f>EXP(-LN(2)/25)*CL183+(1-EXP(-LN(2)/25))/(LN(2)/25)*Calculateur!CG184*Calculateur!CI184*VLOOKUP('Données projet'!$B$12,Paramètres!$A$1:$I$89,3,0)*0.475*44/12</f>
        <v>3.8485404111098607</v>
      </c>
      <c r="CM184" s="23">
        <f>EXP(-LN(2)/2)*CM183+(1-EXP(-LN(2)/2))/(LN(2)/2)*CG184*CJ184*VLOOKUP('Données projet'!$B$12,Paramètres!$A$1:$I$89,3,0)*0.475*44/12</f>
        <v>1.2897619121194122E-15</v>
      </c>
      <c r="CN184" s="24">
        <f t="shared" si="172"/>
        <v>35.654963732062818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-6.8212102632969618E-13</v>
      </c>
      <c r="CU184" s="18">
        <f>CT184*VLOOKUP('Données projet'!$B$13,Paramètres!$A$1:$I$89,3,0)*VLOOKUP('Données projet'!$B$13,Paramètres!$A$1:$I$89,5,0)</f>
        <v>-4.0790837374515837E-13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361.46923697840384</v>
      </c>
      <c r="CZ184" s="62">
        <f t="shared" si="150"/>
        <v>302.25424592654673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24.047376004850271</v>
      </c>
      <c r="DG184" s="23">
        <f>EXP(-LN(2)/25)*DG183+(1-EXP(-LN(2)/25))/(LN(2)/25)*Calculateur!DB184*Calculateur!DD184*VLOOKUP('Données projet'!$B$13,Paramètres!$A$1:$I$89,3,0)*0.475*44/12</f>
        <v>3.9063384768856224</v>
      </c>
      <c r="DH184" s="23">
        <f>EXP(-LN(2)/2)*DH183+(1-EXP(-LN(2)/2))/(LN(2)/2)*DB184*DE184*VLOOKUP('Données projet'!$B$13,Paramètres!$A$1:$I$89,3,0)*0.475*44/12</f>
        <v>1.2904709704205526E-14</v>
      </c>
      <c r="DI184" s="24">
        <f t="shared" si="175"/>
        <v>27.953714481735908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-4.5474735088646412E-13</v>
      </c>
      <c r="O185" s="14">
        <f>N185*VLOOKUP('Données projet'!$B$9,Paramètres!$A$1:$I$89,3,0)*VLOOKUP('Données projet'!$B$9,Paramètres!$A$1:$I$89,5,0)</f>
        <v>-2.5420376914553347E-13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389.80719836281679</v>
      </c>
      <c r="T185" s="62">
        <f t="shared" si="142"/>
        <v>399.58193819355591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28.754027451859582</v>
      </c>
      <c r="AA185" s="23">
        <f>EXP(-LN(2)/25)*AA184+(1-EXP(-LN(2)/25))/(LN(2)/25)*Calculateur!V185*Calculateur!X185*VLOOKUP('Données projet'!$B$9,Paramètres!$A$1:$I$89,3,0)*0.475*44/12</f>
        <v>3.3876024904823261</v>
      </c>
      <c r="AB185" s="23">
        <f>EXP(-LN(2)/2)*AB184+(1-EXP(-LN(2)/2))/(LN(2)/2)*V185*Y185*VLOOKUP('Données projet'!$B$9,Paramètres!$A$1:$I$89,3,0)*0.475*44/12</f>
        <v>8.3683010454614753E-16</v>
      </c>
      <c r="AC185" s="24">
        <f t="shared" si="163"/>
        <v>32.141629942341908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269.90083987531233</v>
      </c>
      <c r="AO185" s="62">
        <f t="shared" si="144"/>
        <v>183.4515835513518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19.802832366226244</v>
      </c>
      <c r="AV185" s="23">
        <f>EXP(-LN(2)/25)*AV184+(1-EXP(-LN(2)/25))/(LN(2)/25)*Calculateur!AQ185*Calculateur!AS185*VLOOKUP('Données projet'!$B$10,Paramètres!$A$1:$I$89,3,0)*0.475*44/12</f>
        <v>3.4935043591972823</v>
      </c>
      <c r="AW185" s="23">
        <f>EXP(-LN(2)/2)*AW184+(1-EXP(-LN(2)/2))/(LN(2)/2)*AQ185*AT185*VLOOKUP('Données projet'!$B$10,Paramètres!$A$1:$I$89,3,0)*0.475*44/12</f>
        <v>2.8263273457374723E-14</v>
      </c>
      <c r="AX185" s="23">
        <f t="shared" si="166"/>
        <v>23.296336725423554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5.6843418860808015E-13</v>
      </c>
      <c r="BE185" s="14">
        <f>BD185*VLOOKUP('Données projet'!$B$11,Paramètres!$A$1:$I$89,3,0)*VLOOKUP('Données projet'!$B$11,Paramètres!$A$1:$I$89,5,0)</f>
        <v>2.7341684472048658E-13</v>
      </c>
      <c r="BF185" s="14">
        <f t="shared" si="167"/>
        <v>3.653683054157169E-12</v>
      </c>
      <c r="BG185" s="22">
        <f t="shared" si="168"/>
        <v>6.8396989905452503E-12</v>
      </c>
      <c r="BH185" s="62">
        <f t="shared" si="116"/>
        <v>293.33333333334014</v>
      </c>
      <c r="BI185" s="62">
        <f ca="1">AVERAGE(OFFSET($BH$3,0,0,'Données projet'!$E$11+1,1))-AVERAGE(OFFSET($H$3,0,0,'Données projet'!$E$11+1,1))</f>
        <v>255.64417186544995</v>
      </c>
      <c r="BJ185" s="62">
        <f t="shared" si="146"/>
        <v>165.41802783289376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80.412987342049874</v>
      </c>
      <c r="BQ185" s="23">
        <f>EXP(-LN(2)/25)*BQ184+(1-EXP(-LN(2)/25))/(LN(2)/25)*Calculateur!BL185*Calculateur!BN185*VLOOKUP('Données projet'!$B$11,Paramètres!$A$1:$I$89,3,0)*0.475*44/12</f>
        <v>9.0766089834376427</v>
      </c>
      <c r="BR185" s="23">
        <f>EXP(-LN(2)/2)*BR184+(1-EXP(-LN(2)/2))/(LN(2)/2)*BL185*BO185*VLOOKUP('Données projet'!$B$11,Paramètres!$A$1:$I$89,3,0)*0.475*44/12</f>
        <v>2.1280375545410793E-7</v>
      </c>
      <c r="BS185" s="24">
        <f t="shared" si="169"/>
        <v>89.489596538291266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465.49436272491818</v>
      </c>
      <c r="CE185" s="62">
        <f t="shared" si="148"/>
        <v>494.36941732405256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31.182718759631701</v>
      </c>
      <c r="CL185" s="23">
        <f>EXP(-LN(2)/25)*CL184+(1-EXP(-LN(2)/25))/(LN(2)/25)*Calculateur!CG185*Calculateur!CI185*VLOOKUP('Données projet'!$B$12,Paramètres!$A$1:$I$89,3,0)*0.475*44/12</f>
        <v>3.7433018711821173</v>
      </c>
      <c r="CM185" s="23">
        <f>EXP(-LN(2)/2)*CM184+(1-EXP(-LN(2)/2))/(LN(2)/2)*CG185*CJ185*VLOOKUP('Données projet'!$B$12,Paramètres!$A$1:$I$89,3,0)*0.475*44/12</f>
        <v>9.1199939417576434E-16</v>
      </c>
      <c r="CN185" s="24">
        <f t="shared" si="172"/>
        <v>34.926020630813817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-6.8212102632969618E-13</v>
      </c>
      <c r="CU185" s="18">
        <f>CT185*VLOOKUP('Données projet'!$B$13,Paramètres!$A$1:$I$89,3,0)*VLOOKUP('Données projet'!$B$13,Paramètres!$A$1:$I$89,5,0)</f>
        <v>-4.0790837374515837E-13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361.46923697840384</v>
      </c>
      <c r="CZ185" s="62">
        <f t="shared" si="150"/>
        <v>302.25424592654673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23.575821628846231</v>
      </c>
      <c r="DG185" s="23">
        <f>EXP(-LN(2)/25)*DG184+(1-EXP(-LN(2)/25))/(LN(2)/25)*Calculateur!DB185*Calculateur!DD185*VLOOKUP('Données projet'!$B$13,Paramètres!$A$1:$I$89,3,0)*0.475*44/12</f>
        <v>3.7995194458097727</v>
      </c>
      <c r="DH185" s="23">
        <f>EXP(-LN(2)/2)*DH184+(1-EXP(-LN(2)/2))/(LN(2)/2)*DB185*DE185*VLOOKUP('Données projet'!$B$13,Paramètres!$A$1:$I$89,3,0)*0.475*44/12</f>
        <v>9.1250077410875733E-15</v>
      </c>
      <c r="DI185" s="24">
        <f t="shared" si="175"/>
        <v>27.375341074656014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-4.5474735088646412E-13</v>
      </c>
      <c r="O186" s="14">
        <f>N186*VLOOKUP('Données projet'!$B$9,Paramètres!$A$1:$I$89,3,0)*VLOOKUP('Données projet'!$B$9,Paramètres!$A$1:$I$89,5,0)</f>
        <v>-2.5420376914553347E-13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389.80719836281679</v>
      </c>
      <c r="T186" s="62">
        <f t="shared" si="142"/>
        <v>399.58193819355591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28.190178511753604</v>
      </c>
      <c r="AA186" s="23">
        <f>EXP(-LN(2)/25)*AA185+(1-EXP(-LN(2)/25))/(LN(2)/25)*Calculateur!V186*Calculateur!X186*VLOOKUP('Données projet'!$B$9,Paramètres!$A$1:$I$89,3,0)*0.475*44/12</f>
        <v>3.2949683222338142</v>
      </c>
      <c r="AB186" s="23">
        <f>EXP(-LN(2)/2)*AB185+(1-EXP(-LN(2)/2))/(LN(2)/2)*V186*Y186*VLOOKUP('Données projet'!$B$9,Paramètres!$A$1:$I$89,3,0)*0.475*44/12</f>
        <v>5.9172824162562842E-16</v>
      </c>
      <c r="AC186" s="24">
        <f t="shared" si="163"/>
        <v>31.485146833987418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269.90083987531233</v>
      </c>
      <c r="AO186" s="62">
        <f t="shared" si="144"/>
        <v>183.4515835513518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19.414510902059636</v>
      </c>
      <c r="AV186" s="23">
        <f>EXP(-LN(2)/25)*AV185+(1-EXP(-LN(2)/25))/(LN(2)/25)*Calculateur!AQ186*Calculateur!AS186*VLOOKUP('Données projet'!$B$10,Paramètres!$A$1:$I$89,3,0)*0.475*44/12</f>
        <v>3.3979742987796229</v>
      </c>
      <c r="AW186" s="23">
        <f>EXP(-LN(2)/2)*AW185+(1-EXP(-LN(2)/2))/(LN(2)/2)*AQ186*AT186*VLOOKUP('Données projet'!$B$10,Paramètres!$A$1:$I$89,3,0)*0.475*44/12</f>
        <v>1.9985152320239426E-14</v>
      </c>
      <c r="AX186" s="23">
        <f t="shared" si="166"/>
        <v>22.81248520083928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5.6843418860808015E-13</v>
      </c>
      <c r="BE186" s="14">
        <f>BD186*VLOOKUP('Données projet'!$B$11,Paramètres!$A$1:$I$89,3,0)*VLOOKUP('Données projet'!$B$11,Paramètres!$A$1:$I$89,5,0)</f>
        <v>2.7341684472048658E-13</v>
      </c>
      <c r="BF186" s="14">
        <f t="shared" si="167"/>
        <v>3.653683054157169E-12</v>
      </c>
      <c r="BG186" s="22">
        <f t="shared" si="168"/>
        <v>6.8396989905452503E-12</v>
      </c>
      <c r="BH186" s="62">
        <f t="shared" si="116"/>
        <v>293.33333333334014</v>
      </c>
      <c r="BI186" s="62">
        <f ca="1">AVERAGE(OFFSET($BH$3,0,0,'Données projet'!$E$11+1,1))-AVERAGE(OFFSET($H$3,0,0,'Données projet'!$E$11+1,1))</f>
        <v>255.64417186544995</v>
      </c>
      <c r="BJ186" s="62">
        <f t="shared" si="146"/>
        <v>165.41802783289376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78.836137707351554</v>
      </c>
      <c r="BQ186" s="23">
        <f>EXP(-LN(2)/25)*BQ185+(1-EXP(-LN(2)/25))/(LN(2)/25)*Calculateur!BL186*Calculateur!BN186*VLOOKUP('Données projet'!$B$11,Paramètres!$A$1:$I$89,3,0)*0.475*44/12</f>
        <v>8.8284086334674186</v>
      </c>
      <c r="BR186" s="23">
        <f>EXP(-LN(2)/2)*BR185+(1-EXP(-LN(2)/2))/(LN(2)/2)*BL186*BO186*VLOOKUP('Données projet'!$B$11,Paramètres!$A$1:$I$89,3,0)*0.475*44/12</f>
        <v>1.5047497854356346E-7</v>
      </c>
      <c r="BS186" s="24">
        <f t="shared" si="169"/>
        <v>87.664546491293947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465.49436272491818</v>
      </c>
      <c r="CE186" s="62">
        <f t="shared" si="148"/>
        <v>494.36941732405256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30.57124466433574</v>
      </c>
      <c r="CL186" s="23">
        <f>EXP(-LN(2)/25)*CL185+(1-EXP(-LN(2)/25))/(LN(2)/25)*Calculateur!CG186*Calculateur!CI186*VLOOKUP('Données projet'!$B$12,Paramètres!$A$1:$I$89,3,0)*0.475*44/12</f>
        <v>3.6409410846629524</v>
      </c>
      <c r="CM186" s="23">
        <f>EXP(-LN(2)/2)*CM185+(1-EXP(-LN(2)/2))/(LN(2)/2)*CG186*CJ186*VLOOKUP('Données projet'!$B$12,Paramètres!$A$1:$I$89,3,0)*0.475*44/12</f>
        <v>6.4488095605970611E-16</v>
      </c>
      <c r="CN186" s="24">
        <f t="shared" si="172"/>
        <v>34.212185748998692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-6.8212102632969618E-13</v>
      </c>
      <c r="CU186" s="18">
        <f>CT186*VLOOKUP('Données projet'!$B$13,Paramètres!$A$1:$I$89,3,0)*VLOOKUP('Données projet'!$B$13,Paramètres!$A$1:$I$89,5,0)</f>
        <v>-4.0790837374515837E-13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361.46923697840384</v>
      </c>
      <c r="CZ186" s="62">
        <f t="shared" si="150"/>
        <v>302.25424592654673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23.113514146535859</v>
      </c>
      <c r="DG186" s="23">
        <f>EXP(-LN(2)/25)*DG185+(1-EXP(-LN(2)/25))/(LN(2)/25)*Calculateur!DB186*Calculateur!DD186*VLOOKUP('Données projet'!$B$13,Paramètres!$A$1:$I$89,3,0)*0.475*44/12</f>
        <v>3.6956213867560606</v>
      </c>
      <c r="DH186" s="23">
        <f>EXP(-LN(2)/2)*DH185+(1-EXP(-LN(2)/2))/(LN(2)/2)*DB186*DE186*VLOOKUP('Données projet'!$B$13,Paramètres!$A$1:$I$89,3,0)*0.475*44/12</f>
        <v>6.4523548521027631E-15</v>
      </c>
      <c r="DI186" s="24">
        <f t="shared" si="175"/>
        <v>26.809135533291926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-4.5474735088646412E-13</v>
      </c>
      <c r="O187" s="14">
        <f>N187*VLOOKUP('Données projet'!$B$9,Paramètres!$A$1:$I$89,3,0)*VLOOKUP('Données projet'!$B$9,Paramètres!$A$1:$I$89,5,0)</f>
        <v>-2.5420376914553347E-13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389.80719836281679</v>
      </c>
      <c r="T187" s="62">
        <f t="shared" si="142"/>
        <v>399.58193819355591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27.637386305449212</v>
      </c>
      <c r="AA187" s="23">
        <f>EXP(-LN(2)/25)*AA186+(1-EXP(-LN(2)/25))/(LN(2)/25)*Calculateur!V187*Calculateur!X187*VLOOKUP('Données projet'!$B$9,Paramètres!$A$1:$I$89,3,0)*0.475*44/12</f>
        <v>3.2048672401874772</v>
      </c>
      <c r="AB187" s="23">
        <f>EXP(-LN(2)/2)*AB186+(1-EXP(-LN(2)/2))/(LN(2)/2)*V187*Y187*VLOOKUP('Données projet'!$B$9,Paramètres!$A$1:$I$89,3,0)*0.475*44/12</f>
        <v>4.1841505227307376E-16</v>
      </c>
      <c r="AC187" s="24">
        <f t="shared" si="163"/>
        <v>30.842253545636687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269.90083987531233</v>
      </c>
      <c r="AO187" s="62">
        <f t="shared" si="144"/>
        <v>183.4515835513518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19.033804184952629</v>
      </c>
      <c r="AV187" s="23">
        <f>EXP(-LN(2)/25)*AV186+(1-EXP(-LN(2)/25))/(LN(2)/25)*Calculateur!AQ187*Calculateur!AS187*VLOOKUP('Données projet'!$B$10,Paramètres!$A$1:$I$89,3,0)*0.475*44/12</f>
        <v>3.3050565128877918</v>
      </c>
      <c r="AW187" s="23">
        <f>EXP(-LN(2)/2)*AW186+(1-EXP(-LN(2)/2))/(LN(2)/2)*AQ187*AT187*VLOOKUP('Données projet'!$B$10,Paramètres!$A$1:$I$89,3,0)*0.475*44/12</f>
        <v>1.4131636728687363E-14</v>
      </c>
      <c r="AX187" s="23">
        <f t="shared" si="166"/>
        <v>22.338860697840435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5.6843418860808015E-13</v>
      </c>
      <c r="BE187" s="14">
        <f>BD187*VLOOKUP('Données projet'!$B$11,Paramètres!$A$1:$I$89,3,0)*VLOOKUP('Données projet'!$B$11,Paramètres!$A$1:$I$89,5,0)</f>
        <v>2.7341684472048658E-13</v>
      </c>
      <c r="BF187" s="14">
        <f t="shared" si="167"/>
        <v>3.653683054157169E-12</v>
      </c>
      <c r="BG187" s="22">
        <f t="shared" si="168"/>
        <v>6.8396989905452503E-12</v>
      </c>
      <c r="BH187" s="62">
        <f t="shared" si="116"/>
        <v>293.33333333334014</v>
      </c>
      <c r="BI187" s="62">
        <f ca="1">AVERAGE(OFFSET($BH$3,0,0,'Données projet'!$E$11+1,1))-AVERAGE(OFFSET($H$3,0,0,'Données projet'!$E$11+1,1))</f>
        <v>255.64417186544995</v>
      </c>
      <c r="BJ187" s="62">
        <f t="shared" si="146"/>
        <v>165.41802783289376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77.290209132206357</v>
      </c>
      <c r="BQ187" s="23">
        <f>EXP(-LN(2)/25)*BQ186+(1-EXP(-LN(2)/25))/(LN(2)/25)*Calculateur!BL187*Calculateur!BN187*VLOOKUP('Données projet'!$B$11,Paramètres!$A$1:$I$89,3,0)*0.475*44/12</f>
        <v>8.5869953351194201</v>
      </c>
      <c r="BR187" s="23">
        <f>EXP(-LN(2)/2)*BR186+(1-EXP(-LN(2)/2))/(LN(2)/2)*BL187*BO187*VLOOKUP('Données projet'!$B$11,Paramètres!$A$1:$I$89,3,0)*0.475*44/12</f>
        <v>1.0640187772705397E-7</v>
      </c>
      <c r="BS187" s="24">
        <f t="shared" si="169"/>
        <v>85.877204573727667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465.49436272491818</v>
      </c>
      <c r="CE187" s="62">
        <f t="shared" si="148"/>
        <v>494.36941732405256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29.97176120308616</v>
      </c>
      <c r="CL187" s="23">
        <f>EXP(-LN(2)/25)*CL186+(1-EXP(-LN(2)/25))/(LN(2)/25)*Calculateur!CG187*Calculateur!CI187*VLOOKUP('Données projet'!$B$12,Paramètres!$A$1:$I$89,3,0)*0.475*44/12</f>
        <v>3.5413793592340737</v>
      </c>
      <c r="CM187" s="23">
        <f>EXP(-LN(2)/2)*CM186+(1-EXP(-LN(2)/2))/(LN(2)/2)*CG187*CJ187*VLOOKUP('Données projet'!$B$12,Paramètres!$A$1:$I$89,3,0)*0.475*44/12</f>
        <v>4.5599969708788217E-16</v>
      </c>
      <c r="CN187" s="24">
        <f t="shared" si="172"/>
        <v>33.513140562320231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-6.8212102632969618E-13</v>
      </c>
      <c r="CU187" s="18">
        <f>CT187*VLOOKUP('Données projet'!$B$13,Paramètres!$A$1:$I$89,3,0)*VLOOKUP('Données projet'!$B$13,Paramètres!$A$1:$I$89,5,0)</f>
        <v>-4.0790837374515837E-13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361.46923697840384</v>
      </c>
      <c r="CZ187" s="62">
        <f t="shared" si="150"/>
        <v>302.25424592654673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22.660272231973874</v>
      </c>
      <c r="DG187" s="23">
        <f>EXP(-LN(2)/25)*DG186+(1-EXP(-LN(2)/25))/(LN(2)/25)*Calculateur!DB187*Calculateur!DD187*VLOOKUP('Données projet'!$B$13,Paramètres!$A$1:$I$89,3,0)*0.475*44/12</f>
        <v>3.5945644255909337</v>
      </c>
      <c r="DH187" s="23">
        <f>EXP(-LN(2)/2)*DH186+(1-EXP(-LN(2)/2))/(LN(2)/2)*DB187*DE187*VLOOKUP('Données projet'!$B$13,Paramètres!$A$1:$I$89,3,0)*0.475*44/12</f>
        <v>4.5625038705437866E-15</v>
      </c>
      <c r="DI187" s="24">
        <f t="shared" si="175"/>
        <v>26.254836657564812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-4.5474735088646412E-13</v>
      </c>
      <c r="O188" s="14">
        <f>N188*VLOOKUP('Données projet'!$B$9,Paramètres!$A$1:$I$89,3,0)*VLOOKUP('Données projet'!$B$9,Paramètres!$A$1:$I$89,5,0)</f>
        <v>-2.5420376914553347E-13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389.80719836281679</v>
      </c>
      <c r="T188" s="62">
        <f t="shared" si="142"/>
        <v>399.58193819355591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27.095434017140494</v>
      </c>
      <c r="AA188" s="23">
        <f>EXP(-LN(2)/25)*AA187+(1-EXP(-LN(2)/25))/(LN(2)/25)*Calculateur!V188*Calculateur!X188*VLOOKUP('Données projet'!$B$9,Paramètres!$A$1:$I$89,3,0)*0.475*44/12</f>
        <v>3.117229976967907</v>
      </c>
      <c r="AB188" s="23">
        <f>EXP(-LN(2)/2)*AB187+(1-EXP(-LN(2)/2))/(LN(2)/2)*V188*Y188*VLOOKUP('Données projet'!$B$9,Paramètres!$A$1:$I$89,3,0)*0.475*44/12</f>
        <v>2.9586412081281421E-16</v>
      </c>
      <c r="AC188" s="24">
        <f t="shared" si="163"/>
        <v>30.2126639941084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269.90083987531233</v>
      </c>
      <c r="AO188" s="62">
        <f t="shared" si="144"/>
        <v>183.4515835513518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18.66056289435992</v>
      </c>
      <c r="AV188" s="23">
        <f>EXP(-LN(2)/25)*AV187+(1-EXP(-LN(2)/25))/(LN(2)/25)*Calculateur!AQ188*Calculateur!AS188*VLOOKUP('Données projet'!$B$10,Paramètres!$A$1:$I$89,3,0)*0.475*44/12</f>
        <v>3.2146795687375067</v>
      </c>
      <c r="AW188" s="23">
        <f>EXP(-LN(2)/2)*AW187+(1-EXP(-LN(2)/2))/(LN(2)/2)*AQ188*AT188*VLOOKUP('Données projet'!$B$10,Paramètres!$A$1:$I$89,3,0)*0.475*44/12</f>
        <v>9.9925761601197146E-15</v>
      </c>
      <c r="AX188" s="23">
        <f t="shared" si="166"/>
        <v>21.875242463097436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5.6843418860808015E-13</v>
      </c>
      <c r="BE188" s="14">
        <f>BD188*VLOOKUP('Données projet'!$B$11,Paramètres!$A$1:$I$89,3,0)*VLOOKUP('Données projet'!$B$11,Paramètres!$A$1:$I$89,5,0)</f>
        <v>2.7341684472048658E-13</v>
      </c>
      <c r="BF188" s="14">
        <f t="shared" si="167"/>
        <v>3.653683054157169E-12</v>
      </c>
      <c r="BG188" s="22">
        <f t="shared" si="168"/>
        <v>6.8396989905452503E-12</v>
      </c>
      <c r="BH188" s="62">
        <f t="shared" si="116"/>
        <v>293.33333333334014</v>
      </c>
      <c r="BI188" s="62">
        <f ca="1">AVERAGE(OFFSET($BH$3,0,0,'Données projet'!$E$11+1,1))-AVERAGE(OFFSET($H$3,0,0,'Données projet'!$E$11+1,1))</f>
        <v>255.64417186544995</v>
      </c>
      <c r="BJ188" s="62">
        <f t="shared" si="146"/>
        <v>165.41802783289376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75.774595273496445</v>
      </c>
      <c r="BQ188" s="23">
        <f>EXP(-LN(2)/25)*BQ187+(1-EXP(-LN(2)/25))/(LN(2)/25)*Calculateur!BL188*Calculateur!BN188*VLOOKUP('Données projet'!$B$11,Paramètres!$A$1:$I$89,3,0)*0.475*44/12</f>
        <v>8.3521834961101202</v>
      </c>
      <c r="BR188" s="23">
        <f>EXP(-LN(2)/2)*BR187+(1-EXP(-LN(2)/2))/(LN(2)/2)*BL188*BO188*VLOOKUP('Données projet'!$B$11,Paramètres!$A$1:$I$89,3,0)*0.475*44/12</f>
        <v>7.5237489271781732E-8</v>
      </c>
      <c r="BS188" s="24">
        <f t="shared" si="169"/>
        <v>84.126778844844054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465.49436272491818</v>
      </c>
      <c r="CE188" s="62">
        <f t="shared" si="148"/>
        <v>494.36941732405256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29.384033246862877</v>
      </c>
      <c r="CL188" s="23">
        <f>EXP(-LN(2)/25)*CL187+(1-EXP(-LN(2)/25))/(LN(2)/25)*Calculateur!CG188*Calculateur!CI188*VLOOKUP('Données projet'!$B$12,Paramètres!$A$1:$I$89,3,0)*0.475*44/12</f>
        <v>3.4445401544227714</v>
      </c>
      <c r="CM188" s="23">
        <f>EXP(-LN(2)/2)*CM187+(1-EXP(-LN(2)/2))/(LN(2)/2)*CG188*CJ188*VLOOKUP('Données projet'!$B$12,Paramètres!$A$1:$I$89,3,0)*0.475*44/12</f>
        <v>3.2244047802985305E-16</v>
      </c>
      <c r="CN188" s="24">
        <f t="shared" si="172"/>
        <v>32.828573401285652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-6.8212102632969618E-13</v>
      </c>
      <c r="CU188" s="18">
        <f>CT188*VLOOKUP('Données projet'!$B$13,Paramètres!$A$1:$I$89,3,0)*VLOOKUP('Données projet'!$B$13,Paramètres!$A$1:$I$89,5,0)</f>
        <v>-4.0790837374515837E-13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361.46923697840384</v>
      </c>
      <c r="CZ188" s="62">
        <f t="shared" si="150"/>
        <v>302.25424592654673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22.215918114906177</v>
      </c>
      <c r="DG188" s="23">
        <f>EXP(-LN(2)/25)*DG187+(1-EXP(-LN(2)/25))/(LN(2)/25)*Calculateur!DB188*Calculateur!DD188*VLOOKUP('Données projet'!$B$13,Paramètres!$A$1:$I$89,3,0)*0.475*44/12</f>
        <v>3.4962708723432221</v>
      </c>
      <c r="DH188" s="23">
        <f>EXP(-LN(2)/2)*DH187+(1-EXP(-LN(2)/2))/(LN(2)/2)*DB188*DE188*VLOOKUP('Données projet'!$B$13,Paramètres!$A$1:$I$89,3,0)*0.475*44/12</f>
        <v>3.2261774260513816E-15</v>
      </c>
      <c r="DI188" s="24">
        <f t="shared" si="175"/>
        <v>25.712188987249402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-4.5474735088646412E-13</v>
      </c>
      <c r="O189" s="14">
        <f>N189*VLOOKUP('Données projet'!$B$9,Paramètres!$A$1:$I$89,3,0)*VLOOKUP('Données projet'!$B$9,Paramètres!$A$1:$I$89,5,0)</f>
        <v>-2.5420376914553347E-13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389.80719836281679</v>
      </c>
      <c r="T189" s="62">
        <f t="shared" si="142"/>
        <v>399.58193819355591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26.564109082647256</v>
      </c>
      <c r="AA189" s="23">
        <f>EXP(-LN(2)/25)*AA188+(1-EXP(-LN(2)/25))/(LN(2)/25)*Calculateur!V189*Calculateur!X189*VLOOKUP('Données projet'!$B$9,Paramètres!$A$1:$I$89,3,0)*0.475*44/12</f>
        <v>3.0319891593197195</v>
      </c>
      <c r="AB189" s="23">
        <f>EXP(-LN(2)/2)*AB188+(1-EXP(-LN(2)/2))/(LN(2)/2)*V189*Y189*VLOOKUP('Données projet'!$B$9,Paramètres!$A$1:$I$89,3,0)*0.475*44/12</f>
        <v>2.0920752613653688E-16</v>
      </c>
      <c r="AC189" s="24">
        <f t="shared" si="163"/>
        <v>29.596098241966978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269.90083987531233</v>
      </c>
      <c r="AO189" s="62">
        <f t="shared" si="144"/>
        <v>183.4515835513518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18.294640637821026</v>
      </c>
      <c r="AV189" s="23">
        <f>EXP(-LN(2)/25)*AV188+(1-EXP(-LN(2)/25))/(LN(2)/25)*Calculateur!AQ189*Calculateur!AS189*VLOOKUP('Données projet'!$B$10,Paramètres!$A$1:$I$89,3,0)*0.475*44/12</f>
        <v>3.1267739868777285</v>
      </c>
      <c r="AW189" s="23">
        <f>EXP(-LN(2)/2)*AW188+(1-EXP(-LN(2)/2))/(LN(2)/2)*AQ189*AT189*VLOOKUP('Données projet'!$B$10,Paramètres!$A$1:$I$89,3,0)*0.475*44/12</f>
        <v>7.0658183643436831E-15</v>
      </c>
      <c r="AX189" s="23">
        <f t="shared" si="166"/>
        <v>21.421414624698762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5.6843418860808015E-13</v>
      </c>
      <c r="BE189" s="14">
        <f>BD189*VLOOKUP('Données projet'!$B$11,Paramètres!$A$1:$I$89,3,0)*VLOOKUP('Données projet'!$B$11,Paramètres!$A$1:$I$89,5,0)</f>
        <v>2.7341684472048658E-13</v>
      </c>
      <c r="BF189" s="14">
        <f t="shared" si="167"/>
        <v>3.653683054157169E-12</v>
      </c>
      <c r="BG189" s="22">
        <f t="shared" si="168"/>
        <v>6.8396989905452503E-12</v>
      </c>
      <c r="BH189" s="62">
        <f t="shared" si="116"/>
        <v>293.33333333334014</v>
      </c>
      <c r="BI189" s="62">
        <f ca="1">AVERAGE(OFFSET($BH$3,0,0,'Données projet'!$E$11+1,1))-AVERAGE(OFFSET($H$3,0,0,'Données projet'!$E$11+1,1))</f>
        <v>255.64417186544995</v>
      </c>
      <c r="BJ189" s="62">
        <f t="shared" si="146"/>
        <v>165.41802783289376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74.288701678122649</v>
      </c>
      <c r="BQ189" s="23">
        <f>EXP(-LN(2)/25)*BQ188+(1-EXP(-LN(2)/25))/(LN(2)/25)*Calculateur!BL189*Calculateur!BN189*VLOOKUP('Données projet'!$B$11,Paramètres!$A$1:$I$89,3,0)*0.475*44/12</f>
        <v>8.1237925991867481</v>
      </c>
      <c r="BR189" s="23">
        <f>EXP(-LN(2)/2)*BR188+(1-EXP(-LN(2)/2))/(LN(2)/2)*BL189*BO189*VLOOKUP('Données projet'!$B$11,Paramètres!$A$1:$I$89,3,0)*0.475*44/12</f>
        <v>5.3200938863526983E-8</v>
      </c>
      <c r="BS189" s="24">
        <f t="shared" si="169"/>
        <v>82.412494330510327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465.49436272491818</v>
      </c>
      <c r="CE189" s="62">
        <f t="shared" si="148"/>
        <v>494.36941732405256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28.807830277382479</v>
      </c>
      <c r="CL189" s="23">
        <f>EXP(-LN(2)/25)*CL188+(1-EXP(-LN(2)/25))/(LN(2)/25)*Calculateur!CG189*Calculateur!CI189*VLOOKUP('Données projet'!$B$12,Paramètres!$A$1:$I$89,3,0)*0.475*44/12</f>
        <v>3.3503490227595867</v>
      </c>
      <c r="CM189" s="23">
        <f>EXP(-LN(2)/2)*CM188+(1-EXP(-LN(2)/2))/(LN(2)/2)*CG189*CJ189*VLOOKUP('Données projet'!$B$12,Paramètres!$A$1:$I$89,3,0)*0.475*44/12</f>
        <v>2.2799984854394109E-16</v>
      </c>
      <c r="CN189" s="24">
        <f t="shared" si="172"/>
        <v>32.158179300142066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-6.8212102632969618E-13</v>
      </c>
      <c r="CU189" s="18">
        <f>CT189*VLOOKUP('Données projet'!$B$13,Paramètres!$A$1:$I$89,3,0)*VLOOKUP('Données projet'!$B$13,Paramètres!$A$1:$I$89,5,0)</f>
        <v>-4.0790837374515837E-13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361.46923697840384</v>
      </c>
      <c r="CZ189" s="62">
        <f t="shared" si="150"/>
        <v>302.25424592654673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21.780277511044929</v>
      </c>
      <c r="DG189" s="23">
        <f>EXP(-LN(2)/25)*DG188+(1-EXP(-LN(2)/25))/(LN(2)/25)*Calculateur!DB189*Calculateur!DD189*VLOOKUP('Données projet'!$B$13,Paramètres!$A$1:$I$89,3,0)*0.475*44/12</f>
        <v>3.4006651614781025</v>
      </c>
      <c r="DH189" s="23">
        <f>EXP(-LN(2)/2)*DH188+(1-EXP(-LN(2)/2))/(LN(2)/2)*DB189*DE189*VLOOKUP('Données projet'!$B$13,Paramètres!$A$1:$I$89,3,0)*0.475*44/12</f>
        <v>2.2812519352718933E-15</v>
      </c>
      <c r="DI189" s="24">
        <f t="shared" si="175"/>
        <v>25.180942672523035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-4.5474735088646412E-13</v>
      </c>
      <c r="O190" s="14">
        <f>N190*VLOOKUP('Données projet'!$B$9,Paramètres!$A$1:$I$89,3,0)*VLOOKUP('Données projet'!$B$9,Paramètres!$A$1:$I$89,5,0)</f>
        <v>-2.5420376914553347E-13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389.80719836281679</v>
      </c>
      <c r="T190" s="62">
        <f t="shared" si="142"/>
        <v>399.58193819355591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26.043203106043219</v>
      </c>
      <c r="AA190" s="23">
        <f>EXP(-LN(2)/25)*AA189+(1-EXP(-LN(2)/25))/(LN(2)/25)*Calculateur!V190*Calculateur!X190*VLOOKUP('Données projet'!$B$9,Paramètres!$A$1:$I$89,3,0)*0.475*44/12</f>
        <v>2.9490792563127415</v>
      </c>
      <c r="AB190" s="23">
        <f>EXP(-LN(2)/2)*AB189+(1-EXP(-LN(2)/2))/(LN(2)/2)*V190*Y190*VLOOKUP('Données projet'!$B$9,Paramètres!$A$1:$I$89,3,0)*0.475*44/12</f>
        <v>1.4793206040640711E-16</v>
      </c>
      <c r="AC190" s="24">
        <f t="shared" si="163"/>
        <v>28.992282362355962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269.90083987531233</v>
      </c>
      <c r="AO190" s="62">
        <f t="shared" si="144"/>
        <v>183.4515835513518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17.935893893542321</v>
      </c>
      <c r="AV190" s="23">
        <f>EXP(-LN(2)/25)*AV189+(1-EXP(-LN(2)/25))/(LN(2)/25)*Calculateur!AQ190*Calculateur!AS190*VLOOKUP('Données projet'!$B$10,Paramètres!$A$1:$I$89,3,0)*0.475*44/12</f>
        <v>3.0412721877766593</v>
      </c>
      <c r="AW190" s="23">
        <f>EXP(-LN(2)/2)*AW189+(1-EXP(-LN(2)/2))/(LN(2)/2)*AQ190*AT190*VLOOKUP('Données projet'!$B$10,Paramètres!$A$1:$I$89,3,0)*0.475*44/12</f>
        <v>4.9962880800598581E-15</v>
      </c>
      <c r="AX190" s="23">
        <f t="shared" si="166"/>
        <v>20.977166081318984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5.6843418860808015E-13</v>
      </c>
      <c r="BE190" s="14">
        <f>BD190*VLOOKUP('Données projet'!$B$11,Paramètres!$A$1:$I$89,3,0)*VLOOKUP('Données projet'!$B$11,Paramètres!$A$1:$I$89,5,0)</f>
        <v>2.7341684472048658E-13</v>
      </c>
      <c r="BF190" s="14">
        <f t="shared" si="167"/>
        <v>3.653683054157169E-12</v>
      </c>
      <c r="BG190" s="22">
        <f t="shared" si="168"/>
        <v>6.8396989905452503E-12</v>
      </c>
      <c r="BH190" s="62">
        <f t="shared" si="116"/>
        <v>293.33333333334014</v>
      </c>
      <c r="BI190" s="62">
        <f ca="1">AVERAGE(OFFSET($BH$3,0,0,'Données projet'!$E$11+1,1))-AVERAGE(OFFSET($H$3,0,0,'Données projet'!$E$11+1,1))</f>
        <v>255.64417186544995</v>
      </c>
      <c r="BJ190" s="62">
        <f t="shared" si="146"/>
        <v>165.41802783289376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72.831945549848541</v>
      </c>
      <c r="BQ190" s="23">
        <f>EXP(-LN(2)/25)*BQ189+(1-EXP(-LN(2)/25))/(LN(2)/25)*Calculateur!BL190*Calculateur!BN190*VLOOKUP('Données projet'!$B$11,Paramètres!$A$1:$I$89,3,0)*0.475*44/12</f>
        <v>7.9016470633503006</v>
      </c>
      <c r="BR190" s="23">
        <f>EXP(-LN(2)/2)*BR189+(1-EXP(-LN(2)/2))/(LN(2)/2)*BL190*BO190*VLOOKUP('Données projet'!$B$11,Paramètres!$A$1:$I$89,3,0)*0.475*44/12</f>
        <v>3.7618744635890866E-8</v>
      </c>
      <c r="BS190" s="24">
        <f t="shared" si="169"/>
        <v>80.733592650817585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465.49436272491818</v>
      </c>
      <c r="CE190" s="62">
        <f t="shared" si="148"/>
        <v>494.36941732405256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28.24292629668448</v>
      </c>
      <c r="CL190" s="23">
        <f>EXP(-LN(2)/25)*CL189+(1-EXP(-LN(2)/25))/(LN(2)/25)*Calculateur!CG190*Calculateur!CI190*VLOOKUP('Données projet'!$B$12,Paramètres!$A$1:$I$89,3,0)*0.475*44/12</f>
        <v>3.2587335525450278</v>
      </c>
      <c r="CM190" s="23">
        <f>EXP(-LN(2)/2)*CM189+(1-EXP(-LN(2)/2))/(LN(2)/2)*CG190*CJ190*VLOOKUP('Données projet'!$B$12,Paramètres!$A$1:$I$89,3,0)*0.475*44/12</f>
        <v>1.6122023901492653E-16</v>
      </c>
      <c r="CN190" s="24">
        <f t="shared" si="172"/>
        <v>31.501659849229508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-6.8212102632969618E-13</v>
      </c>
      <c r="CU190" s="18">
        <f>CT190*VLOOKUP('Données projet'!$B$13,Paramètres!$A$1:$I$89,3,0)*VLOOKUP('Données projet'!$B$13,Paramètres!$A$1:$I$89,5,0)</f>
        <v>-4.0790837374515837E-13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361.46923697840384</v>
      </c>
      <c r="CZ190" s="62">
        <f t="shared" si="150"/>
        <v>302.25424592654673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21.35317955371087</v>
      </c>
      <c r="DG190" s="23">
        <f>EXP(-LN(2)/25)*DG189+(1-EXP(-LN(2)/25))/(LN(2)/25)*Calculateur!DB190*Calculateur!DD190*VLOOKUP('Données projet'!$B$13,Paramètres!$A$1:$I$89,3,0)*0.475*44/12</f>
        <v>3.3076737938042751</v>
      </c>
      <c r="DH190" s="23">
        <f>EXP(-LN(2)/2)*DH189+(1-EXP(-LN(2)/2))/(LN(2)/2)*DB190*DE190*VLOOKUP('Données projet'!$B$13,Paramètres!$A$1:$I$89,3,0)*0.475*44/12</f>
        <v>1.6130887130256908E-15</v>
      </c>
      <c r="DI190" s="24">
        <f t="shared" si="175"/>
        <v>24.660853347515143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-4.5474735088646412E-13</v>
      </c>
      <c r="O191" s="14">
        <f>N191*VLOOKUP('Données projet'!$B$9,Paramètres!$A$1:$I$89,3,0)*VLOOKUP('Données projet'!$B$9,Paramètres!$A$1:$I$89,5,0)</f>
        <v>-2.5420376914553347E-13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389.80719836281679</v>
      </c>
      <c r="T191" s="62">
        <f t="shared" si="142"/>
        <v>399.58193819355591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25.532511777919115</v>
      </c>
      <c r="AA191" s="23">
        <f>EXP(-LN(2)/25)*AA190+(1-EXP(-LN(2)/25))/(LN(2)/25)*Calculateur!V191*Calculateur!X191*VLOOKUP('Données projet'!$B$9,Paramètres!$A$1:$I$89,3,0)*0.475*44/12</f>
        <v>2.8684365289635316</v>
      </c>
      <c r="AB191" s="23">
        <f>EXP(-LN(2)/2)*AB190+(1-EXP(-LN(2)/2))/(LN(2)/2)*V191*Y191*VLOOKUP('Données projet'!$B$9,Paramètres!$A$1:$I$89,3,0)*0.475*44/12</f>
        <v>1.0460376306826844E-16</v>
      </c>
      <c r="AC191" s="24">
        <f t="shared" si="163"/>
        <v>28.400948306882647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269.90083987531233</v>
      </c>
      <c r="AO191" s="62">
        <f t="shared" si="144"/>
        <v>183.4515835513518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17.584181954105013</v>
      </c>
      <c r="AV191" s="23">
        <f>EXP(-LN(2)/25)*AV190+(1-EXP(-LN(2)/25))/(LN(2)/25)*Calculateur!AQ191*Calculateur!AS191*VLOOKUP('Données projet'!$B$10,Paramètres!$A$1:$I$89,3,0)*0.475*44/12</f>
        <v>2.958108439868353</v>
      </c>
      <c r="AW191" s="23">
        <f>EXP(-LN(2)/2)*AW190+(1-EXP(-LN(2)/2))/(LN(2)/2)*AQ191*AT191*VLOOKUP('Données projet'!$B$10,Paramètres!$A$1:$I$89,3,0)*0.475*44/12</f>
        <v>3.532909182171842E-15</v>
      </c>
      <c r="AX191" s="23">
        <f t="shared" si="166"/>
        <v>20.542290393973371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5.6843418860808015E-13</v>
      </c>
      <c r="BE191" s="14">
        <f>BD191*VLOOKUP('Données projet'!$B$11,Paramètres!$A$1:$I$89,3,0)*VLOOKUP('Données projet'!$B$11,Paramètres!$A$1:$I$89,5,0)</f>
        <v>2.7341684472048658E-13</v>
      </c>
      <c r="BF191" s="14">
        <f t="shared" si="167"/>
        <v>3.653683054157169E-12</v>
      </c>
      <c r="BG191" s="22">
        <f t="shared" si="168"/>
        <v>6.8396989905452503E-12</v>
      </c>
      <c r="BH191" s="62">
        <f t="shared" si="116"/>
        <v>293.33333333334014</v>
      </c>
      <c r="BI191" s="62">
        <f ca="1">AVERAGE(OFFSET($BH$3,0,0,'Données projet'!$E$11+1,1))-AVERAGE(OFFSET($H$3,0,0,'Données projet'!$E$11+1,1))</f>
        <v>255.64417186544995</v>
      </c>
      <c r="BJ191" s="62">
        <f t="shared" si="146"/>
        <v>165.41802783289376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71.403755520716373</v>
      </c>
      <c r="BQ191" s="23">
        <f>EXP(-LN(2)/25)*BQ190+(1-EXP(-LN(2)/25))/(LN(2)/25)*Calculateur!BL191*Calculateur!BN191*VLOOKUP('Données projet'!$B$11,Paramètres!$A$1:$I$89,3,0)*0.475*44/12</f>
        <v>7.6855761088734269</v>
      </c>
      <c r="BR191" s="23">
        <f>EXP(-LN(2)/2)*BR190+(1-EXP(-LN(2)/2))/(LN(2)/2)*BL191*BO191*VLOOKUP('Données projet'!$B$11,Paramètres!$A$1:$I$89,3,0)*0.475*44/12</f>
        <v>2.6600469431763491E-8</v>
      </c>
      <c r="BS191" s="24">
        <f t="shared" si="169"/>
        <v>79.089331656190268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465.49436272491818</v>
      </c>
      <c r="CE191" s="62">
        <f t="shared" si="148"/>
        <v>494.36941732405256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27.689099738490565</v>
      </c>
      <c r="CL191" s="23">
        <f>EXP(-LN(2)/25)*CL190+(1-EXP(-LN(2)/25))/(LN(2)/25)*Calculateur!CG191*Calculateur!CI191*VLOOKUP('Données projet'!$B$12,Paramètres!$A$1:$I$89,3,0)*0.475*44/12</f>
        <v>3.1696233121813346</v>
      </c>
      <c r="CM191" s="23">
        <f>EXP(-LN(2)/2)*CM190+(1-EXP(-LN(2)/2))/(LN(2)/2)*CG191*CJ191*VLOOKUP('Données projet'!$B$12,Paramètres!$A$1:$I$89,3,0)*0.475*44/12</f>
        <v>1.1399992427197054E-16</v>
      </c>
      <c r="CN191" s="24">
        <f t="shared" si="172"/>
        <v>30.858723050671898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-6.8212102632969618E-13</v>
      </c>
      <c r="CU191" s="18">
        <f>CT191*VLOOKUP('Données projet'!$B$13,Paramètres!$A$1:$I$89,3,0)*VLOOKUP('Données projet'!$B$13,Paramètres!$A$1:$I$89,5,0)</f>
        <v>-4.0790837374515837E-13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361.46923697840384</v>
      </c>
      <c r="CZ191" s="62">
        <f t="shared" si="150"/>
        <v>302.25424592654673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20.934456726816098</v>
      </c>
      <c r="DG191" s="23">
        <f>EXP(-LN(2)/25)*DG190+(1-EXP(-LN(2)/25))/(LN(2)/25)*Calculateur!DB191*Calculateur!DD191*VLOOKUP('Données projet'!$B$13,Paramètres!$A$1:$I$89,3,0)*0.475*44/12</f>
        <v>3.2172252799696923</v>
      </c>
      <c r="DH191" s="23">
        <f>EXP(-LN(2)/2)*DH190+(1-EXP(-LN(2)/2))/(LN(2)/2)*DB191*DE191*VLOOKUP('Données projet'!$B$13,Paramètres!$A$1:$I$89,3,0)*0.475*44/12</f>
        <v>1.1406259676359467E-15</v>
      </c>
      <c r="DI191" s="24">
        <f t="shared" si="175"/>
        <v>24.151682006785791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-4.5474735088646412E-13</v>
      </c>
      <c r="O192" s="14">
        <f>N192*VLOOKUP('Données projet'!$B$9,Paramètres!$A$1:$I$89,3,0)*VLOOKUP('Données projet'!$B$9,Paramètres!$A$1:$I$89,5,0)</f>
        <v>-2.5420376914553347E-13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389.80719836281679</v>
      </c>
      <c r="T192" s="62">
        <f t="shared" si="142"/>
        <v>399.58193819355591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25.031834795248571</v>
      </c>
      <c r="AA192" s="23">
        <f>EXP(-LN(2)/25)*AA191+(1-EXP(-LN(2)/25))/(LN(2)/25)*Calculateur!V192*Calculateur!X192*VLOOKUP('Données projet'!$B$9,Paramètres!$A$1:$I$89,3,0)*0.475*44/12</f>
        <v>2.7899989812345027</v>
      </c>
      <c r="AB192" s="23">
        <f>EXP(-LN(2)/2)*AB191+(1-EXP(-LN(2)/2))/(LN(2)/2)*V192*Y192*VLOOKUP('Données projet'!$B$9,Paramètres!$A$1:$I$89,3,0)*0.475*44/12</f>
        <v>7.3966030203203553E-17</v>
      </c>
      <c r="AC192" s="24">
        <f t="shared" si="163"/>
        <v>27.821833776483075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269.90083987531233</v>
      </c>
      <c r="AO192" s="62">
        <f t="shared" si="144"/>
        <v>183.4515835513518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17.239366871276971</v>
      </c>
      <c r="AV192" s="23">
        <f>EXP(-LN(2)/25)*AV191+(1-EXP(-LN(2)/25))/(LN(2)/25)*Calculateur!AQ192*Calculateur!AS192*VLOOKUP('Données projet'!$B$10,Paramètres!$A$1:$I$89,3,0)*0.475*44/12</f>
        <v>2.8772188090199911</v>
      </c>
      <c r="AW192" s="23">
        <f>EXP(-LN(2)/2)*AW191+(1-EXP(-LN(2)/2))/(LN(2)/2)*AQ192*AT192*VLOOKUP('Données projet'!$B$10,Paramètres!$A$1:$I$89,3,0)*0.475*44/12</f>
        <v>2.4981440400299294E-15</v>
      </c>
      <c r="AX192" s="23">
        <f t="shared" si="166"/>
        <v>20.116585680296964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5.6843418860808015E-13</v>
      </c>
      <c r="BE192" s="14">
        <f>BD192*VLOOKUP('Données projet'!$B$11,Paramètres!$A$1:$I$89,3,0)*VLOOKUP('Données projet'!$B$11,Paramètres!$A$1:$I$89,5,0)</f>
        <v>2.7341684472048658E-13</v>
      </c>
      <c r="BF192" s="14">
        <f t="shared" si="167"/>
        <v>3.653683054157169E-12</v>
      </c>
      <c r="BG192" s="22">
        <f t="shared" si="168"/>
        <v>6.8396989905452503E-12</v>
      </c>
      <c r="BH192" s="62">
        <f t="shared" si="116"/>
        <v>293.33333333334014</v>
      </c>
      <c r="BI192" s="62">
        <f ca="1">AVERAGE(OFFSET($BH$3,0,0,'Données projet'!$E$11+1,1))-AVERAGE(OFFSET($H$3,0,0,'Données projet'!$E$11+1,1))</f>
        <v>255.64417186544995</v>
      </c>
      <c r="BJ192" s="62">
        <f t="shared" si="146"/>
        <v>165.41802783289376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70.003571426945598</v>
      </c>
      <c r="BQ192" s="23">
        <f>EXP(-LN(2)/25)*BQ191+(1-EXP(-LN(2)/25))/(LN(2)/25)*Calculateur!BL192*Calculateur!BN192*VLOOKUP('Données projet'!$B$11,Paramètres!$A$1:$I$89,3,0)*0.475*44/12</f>
        <v>7.4754136260094013</v>
      </c>
      <c r="BR192" s="23">
        <f>EXP(-LN(2)/2)*BR191+(1-EXP(-LN(2)/2))/(LN(2)/2)*BL192*BO192*VLOOKUP('Données projet'!$B$11,Paramètres!$A$1:$I$89,3,0)*0.475*44/12</f>
        <v>1.8809372317945433E-8</v>
      </c>
      <c r="BS192" s="24">
        <f t="shared" si="169"/>
        <v>77.47898507176437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465.49436272491818</v>
      </c>
      <c r="CE192" s="62">
        <f t="shared" si="148"/>
        <v>494.36941732405256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27.146133381301986</v>
      </c>
      <c r="CL192" s="23">
        <f>EXP(-LN(2)/25)*CL191+(1-EXP(-LN(2)/25))/(LN(2)/25)*Calculateur!CG192*Calculateur!CI192*VLOOKUP('Données projet'!$B$12,Paramètres!$A$1:$I$89,3,0)*0.475*44/12</f>
        <v>3.0829497960264902</v>
      </c>
      <c r="CM192" s="23">
        <f>EXP(-LN(2)/2)*CM191+(1-EXP(-LN(2)/2))/(LN(2)/2)*CG192*CJ192*VLOOKUP('Données projet'!$B$12,Paramètres!$A$1:$I$89,3,0)*0.475*44/12</f>
        <v>8.0610119507463263E-17</v>
      </c>
      <c r="CN192" s="24">
        <f t="shared" si="172"/>
        <v>30.229083177328476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-6.8212102632969618E-13</v>
      </c>
      <c r="CU192" s="18">
        <f>CT192*VLOOKUP('Données projet'!$B$13,Paramètres!$A$1:$I$89,3,0)*VLOOKUP('Données projet'!$B$13,Paramètres!$A$1:$I$89,5,0)</f>
        <v>-4.0790837374515837E-13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361.46923697840384</v>
      </c>
      <c r="CZ192" s="62">
        <f t="shared" si="150"/>
        <v>302.25424592654673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20.523944799161029</v>
      </c>
      <c r="DG192" s="23">
        <f>EXP(-LN(2)/25)*DG191+(1-EXP(-LN(2)/25))/(LN(2)/25)*Calculateur!DB192*Calculateur!DD192*VLOOKUP('Données projet'!$B$13,Paramètres!$A$1:$I$89,3,0)*0.475*44/12</f>
        <v>3.1292500855023966</v>
      </c>
      <c r="DH192" s="23">
        <f>EXP(-LN(2)/2)*DH191+(1-EXP(-LN(2)/2))/(LN(2)/2)*DB192*DE192*VLOOKUP('Données projet'!$B$13,Paramètres!$A$1:$I$89,3,0)*0.475*44/12</f>
        <v>8.0654435651284539E-16</v>
      </c>
      <c r="DI192" s="24">
        <f t="shared" si="175"/>
        <v>23.653194884663424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-4.5474735088646412E-13</v>
      </c>
      <c r="O193" s="14">
        <f>N193*VLOOKUP('Données projet'!$B$9,Paramètres!$A$1:$I$89,3,0)*VLOOKUP('Données projet'!$B$9,Paramètres!$A$1:$I$89,5,0)</f>
        <v>-2.5420376914553347E-13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389.80719836281679</v>
      </c>
      <c r="T193" s="62">
        <f t="shared" si="142"/>
        <v>399.58193819355591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24.540975782825392</v>
      </c>
      <c r="AA193" s="23">
        <f>EXP(-LN(2)/25)*AA192+(1-EXP(-LN(2)/25))/(LN(2)/25)*Calculateur!V193*Calculateur!X193*VLOOKUP('Données projet'!$B$9,Paramètres!$A$1:$I$89,3,0)*0.475*44/12</f>
        <v>2.7137063123729757</v>
      </c>
      <c r="AB193" s="23">
        <f>EXP(-LN(2)/2)*AB192+(1-EXP(-LN(2)/2))/(LN(2)/2)*V193*Y193*VLOOKUP('Données projet'!$B$9,Paramètres!$A$1:$I$89,3,0)*0.475*44/12</f>
        <v>5.230188153413422E-17</v>
      </c>
      <c r="AC193" s="24">
        <f t="shared" si="163"/>
        <v>27.254682095198369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269.90083987531233</v>
      </c>
      <c r="AO193" s="62">
        <f t="shared" si="144"/>
        <v>183.4515835513518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16.901313401906755</v>
      </c>
      <c r="AV193" s="23">
        <f>EXP(-LN(2)/25)*AV192+(1-EXP(-LN(2)/25))/(LN(2)/25)*Calculateur!AQ193*Calculateur!AS193*VLOOKUP('Données projet'!$B$10,Paramètres!$A$1:$I$89,3,0)*0.475*44/12</f>
        <v>2.7985411093809782</v>
      </c>
      <c r="AW193" s="23">
        <f>EXP(-LN(2)/2)*AW192+(1-EXP(-LN(2)/2))/(LN(2)/2)*AQ193*AT193*VLOOKUP('Données projet'!$B$10,Paramètres!$A$1:$I$89,3,0)*0.475*44/12</f>
        <v>1.7664545910859212E-15</v>
      </c>
      <c r="AX193" s="23">
        <f t="shared" si="166"/>
        <v>19.699854511287732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5.6843418860808015E-13</v>
      </c>
      <c r="BE193" s="14">
        <f>BD193*VLOOKUP('Données projet'!$B$11,Paramètres!$A$1:$I$89,3,0)*VLOOKUP('Données projet'!$B$11,Paramètres!$A$1:$I$89,5,0)</f>
        <v>2.7341684472048658E-13</v>
      </c>
      <c r="BF193" s="14">
        <f t="shared" si="167"/>
        <v>3.653683054157169E-12</v>
      </c>
      <c r="BG193" s="22">
        <f t="shared" si="168"/>
        <v>6.8396989905452503E-12</v>
      </c>
      <c r="BH193" s="62">
        <f t="shared" si="116"/>
        <v>293.33333333334014</v>
      </c>
      <c r="BI193" s="62">
        <f ca="1">AVERAGE(OFFSET($BH$3,0,0,'Données projet'!$E$11+1,1))-AVERAGE(OFFSET($H$3,0,0,'Données projet'!$E$11+1,1))</f>
        <v>255.64417186544995</v>
      </c>
      <c r="BJ193" s="62">
        <f t="shared" si="146"/>
        <v>165.41802783289376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68.63084408922569</v>
      </c>
      <c r="BQ193" s="23">
        <f>EXP(-LN(2)/25)*BQ192+(1-EXP(-LN(2)/25))/(LN(2)/25)*Calculateur!BL193*Calculateur!BN193*VLOOKUP('Données projet'!$B$11,Paramètres!$A$1:$I$89,3,0)*0.475*44/12</f>
        <v>7.2709980472912568</v>
      </c>
      <c r="BR193" s="23">
        <f>EXP(-LN(2)/2)*BR192+(1-EXP(-LN(2)/2))/(LN(2)/2)*BL193*BO193*VLOOKUP('Données projet'!$B$11,Paramètres!$A$1:$I$89,3,0)*0.475*44/12</f>
        <v>1.3300234715881746E-8</v>
      </c>
      <c r="BS193" s="24">
        <f t="shared" si="169"/>
        <v>75.901842149817185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465.49436272491818</v>
      </c>
      <c r="CE193" s="62">
        <f t="shared" si="148"/>
        <v>494.36941732405256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26.6138142632011</v>
      </c>
      <c r="CL193" s="23">
        <f>EXP(-LN(2)/25)*CL192+(1-EXP(-LN(2)/25))/(LN(2)/25)*Calculateur!CG193*Calculateur!CI193*VLOOKUP('Données projet'!$B$12,Paramètres!$A$1:$I$89,3,0)*0.475*44/12</f>
        <v>2.9986463717288623</v>
      </c>
      <c r="CM193" s="23">
        <f>EXP(-LN(2)/2)*CM192+(1-EXP(-LN(2)/2))/(LN(2)/2)*CG193*CJ193*VLOOKUP('Données projet'!$B$12,Paramètres!$A$1:$I$89,3,0)*0.475*44/12</f>
        <v>5.6999962135985271E-17</v>
      </c>
      <c r="CN193" s="24">
        <f t="shared" si="172"/>
        <v>29.612460634929963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-6.8212102632969618E-13</v>
      </c>
      <c r="CU193" s="18">
        <f>CT193*VLOOKUP('Données projet'!$B$13,Paramètres!$A$1:$I$89,3,0)*VLOOKUP('Données projet'!$B$13,Paramètres!$A$1:$I$89,5,0)</f>
        <v>-4.0790837374515837E-13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361.46923697840384</v>
      </c>
      <c r="CZ193" s="62">
        <f t="shared" si="150"/>
        <v>302.25424592654673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20.121482760019724</v>
      </c>
      <c r="DG193" s="23">
        <f>EXP(-LN(2)/25)*DG192+(1-EXP(-LN(2)/25))/(LN(2)/25)*Calculateur!DB193*Calculateur!DD193*VLOOKUP('Données projet'!$B$13,Paramètres!$A$1:$I$89,3,0)*0.475*44/12</f>
        <v>3.0436805773542237</v>
      </c>
      <c r="DH193" s="23">
        <f>EXP(-LN(2)/2)*DH192+(1-EXP(-LN(2)/2))/(LN(2)/2)*DB193*DE193*VLOOKUP('Données projet'!$B$13,Paramètres!$A$1:$I$89,3,0)*0.475*44/12</f>
        <v>5.7031298381797333E-16</v>
      </c>
      <c r="DI193" s="24">
        <f t="shared" si="175"/>
        <v>23.165163337373947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-4.5474735088646412E-13</v>
      </c>
      <c r="O194" s="14">
        <f>N194*VLOOKUP('Données projet'!$B$9,Paramètres!$A$1:$I$89,3,0)*VLOOKUP('Données projet'!$B$9,Paramètres!$A$1:$I$89,5,0)</f>
        <v>-2.5420376914553347E-13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389.80719836281679</v>
      </c>
      <c r="T194" s="62">
        <f t="shared" si="142"/>
        <v>399.58193819355591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24.059742216241396</v>
      </c>
      <c r="AA194" s="23">
        <f>EXP(-LN(2)/25)*AA193+(1-EXP(-LN(2)/25))/(LN(2)/25)*Calculateur!V194*Calculateur!X194*VLOOKUP('Données projet'!$B$9,Paramètres!$A$1:$I$89,3,0)*0.475*44/12</f>
        <v>2.6394998705535238</v>
      </c>
      <c r="AB194" s="23">
        <f>EXP(-LN(2)/2)*AB193+(1-EXP(-LN(2)/2))/(LN(2)/2)*V194*Y194*VLOOKUP('Données projet'!$B$9,Paramètres!$A$1:$I$89,3,0)*0.475*44/12</f>
        <v>3.6983015101601776E-17</v>
      </c>
      <c r="AC194" s="24">
        <f t="shared" si="163"/>
        <v>26.699242086794921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269.90083987531233</v>
      </c>
      <c r="AO194" s="62">
        <f t="shared" si="144"/>
        <v>183.4515835513518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16.569888954878632</v>
      </c>
      <c r="AV194" s="23">
        <f>EXP(-LN(2)/25)*AV193+(1-EXP(-LN(2)/25))/(LN(2)/25)*Calculateur!AQ194*Calculateur!AS194*VLOOKUP('Données projet'!$B$10,Paramètres!$A$1:$I$89,3,0)*0.475*44/12</f>
        <v>2.7220148555760746</v>
      </c>
      <c r="AW194" s="23">
        <f>EXP(-LN(2)/2)*AW193+(1-EXP(-LN(2)/2))/(LN(2)/2)*AQ194*AT194*VLOOKUP('Données projet'!$B$10,Paramètres!$A$1:$I$89,3,0)*0.475*44/12</f>
        <v>1.2490720200149649E-15</v>
      </c>
      <c r="AX194" s="23">
        <f t="shared" si="166"/>
        <v>19.291903810454706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5.6843418860808015E-13</v>
      </c>
      <c r="BE194" s="14">
        <f>BD194*VLOOKUP('Données projet'!$B$11,Paramètres!$A$1:$I$89,3,0)*VLOOKUP('Données projet'!$B$11,Paramètres!$A$1:$I$89,5,0)</f>
        <v>2.7341684472048658E-13</v>
      </c>
      <c r="BF194" s="14">
        <f t="shared" si="167"/>
        <v>3.653683054157169E-12</v>
      </c>
      <c r="BG194" s="22">
        <f t="shared" si="168"/>
        <v>6.8396989905452503E-12</v>
      </c>
      <c r="BH194" s="62">
        <f t="shared" si="116"/>
        <v>293.33333333334014</v>
      </c>
      <c r="BI194" s="62">
        <f ca="1">AVERAGE(OFFSET($BH$3,0,0,'Données projet'!$E$11+1,1))-AVERAGE(OFFSET($H$3,0,0,'Données projet'!$E$11+1,1))</f>
        <v>255.64417186544995</v>
      </c>
      <c r="BJ194" s="62">
        <f t="shared" si="146"/>
        <v>165.41802783289376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67.285035097317476</v>
      </c>
      <c r="BQ194" s="23">
        <f>EXP(-LN(2)/25)*BQ193+(1-EXP(-LN(2)/25))/(LN(2)/25)*Calculateur!BL194*Calculateur!BN194*VLOOKUP('Données projet'!$B$11,Paramètres!$A$1:$I$89,3,0)*0.475*44/12</f>
        <v>7.0721722233229078</v>
      </c>
      <c r="BR194" s="23">
        <f>EXP(-LN(2)/2)*BR193+(1-EXP(-LN(2)/2))/(LN(2)/2)*BL194*BO194*VLOOKUP('Données projet'!$B$11,Paramètres!$A$1:$I$89,3,0)*0.475*44/12</f>
        <v>9.4046861589727165E-9</v>
      </c>
      <c r="BS194" s="24">
        <f t="shared" si="169"/>
        <v>74.357207330045071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465.49436272491818</v>
      </c>
      <c r="CE194" s="62">
        <f t="shared" si="148"/>
        <v>494.36941732405256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26.091933598323568</v>
      </c>
      <c r="CL194" s="23">
        <f>EXP(-LN(2)/25)*CL193+(1-EXP(-LN(2)/25))/(LN(2)/25)*Calculateur!CG194*Calculateur!CI194*VLOOKUP('Données projet'!$B$12,Paramètres!$A$1:$I$89,3,0)*0.475*44/12</f>
        <v>2.9166482290019773</v>
      </c>
      <c r="CM194" s="23">
        <f>EXP(-LN(2)/2)*CM193+(1-EXP(-LN(2)/2))/(LN(2)/2)*CG194*CJ194*VLOOKUP('Données projet'!$B$12,Paramètres!$A$1:$I$89,3,0)*0.475*44/12</f>
        <v>4.0305059753731632E-17</v>
      </c>
      <c r="CN194" s="24">
        <f t="shared" si="172"/>
        <v>29.008581827325546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-6.8212102632969618E-13</v>
      </c>
      <c r="CU194" s="18">
        <f>CT194*VLOOKUP('Données projet'!$B$13,Paramètres!$A$1:$I$89,3,0)*VLOOKUP('Données projet'!$B$13,Paramètres!$A$1:$I$89,5,0)</f>
        <v>-4.0790837374515837E-13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361.46923697840384</v>
      </c>
      <c r="CZ194" s="62">
        <f t="shared" si="150"/>
        <v>302.25424592654673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19.726912755988373</v>
      </c>
      <c r="DG194" s="23">
        <f>EXP(-LN(2)/25)*DG193+(1-EXP(-LN(2)/25))/(LN(2)/25)*Calculateur!DB194*Calculateur!DD194*VLOOKUP('Données projet'!$B$13,Paramètres!$A$1:$I$89,3,0)*0.475*44/12</f>
        <v>2.9604509719062673</v>
      </c>
      <c r="DH194" s="23">
        <f>EXP(-LN(2)/2)*DH193+(1-EXP(-LN(2)/2))/(LN(2)/2)*DB194*DE194*VLOOKUP('Données projet'!$B$13,Paramètres!$A$1:$I$89,3,0)*0.475*44/12</f>
        <v>4.0327217825642269E-16</v>
      </c>
      <c r="DI194" s="24">
        <f t="shared" si="175"/>
        <v>22.687363727894642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-4.5474735088646412E-13</v>
      </c>
      <c r="O195" s="14">
        <f>N195*VLOOKUP('Données projet'!$B$9,Paramètres!$A$1:$I$89,3,0)*VLOOKUP('Données projet'!$B$9,Paramètres!$A$1:$I$89,5,0)</f>
        <v>-2.5420376914553347E-13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389.80719836281679</v>
      </c>
      <c r="T195" s="62">
        <f t="shared" si="142"/>
        <v>399.58193819355591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23.587945346374621</v>
      </c>
      <c r="AA195" s="23">
        <f>EXP(-LN(2)/25)*AA194+(1-EXP(-LN(2)/25))/(LN(2)/25)*Calculateur!V195*Calculateur!X195*VLOOKUP('Données projet'!$B$9,Paramètres!$A$1:$I$89,3,0)*0.475*44/12</f>
        <v>2.5673226077879723</v>
      </c>
      <c r="AB195" s="23">
        <f>EXP(-LN(2)/2)*AB194+(1-EXP(-LN(2)/2))/(LN(2)/2)*V195*Y195*VLOOKUP('Données projet'!$B$9,Paramètres!$A$1:$I$89,3,0)*0.475*44/12</f>
        <v>2.615094076706711E-17</v>
      </c>
      <c r="AC195" s="24">
        <f t="shared" si="163"/>
        <v>26.155267954162593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269.90083987531233</v>
      </c>
      <c r="AO195" s="62">
        <f t="shared" si="144"/>
        <v>183.4515835513518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16.244963539107776</v>
      </c>
      <c r="AV195" s="23">
        <f>EXP(-LN(2)/25)*AV194+(1-EXP(-LN(2)/25))/(LN(2)/25)*Calculateur!AQ195*Calculateur!AS195*VLOOKUP('Données projet'!$B$10,Paramètres!$A$1:$I$89,3,0)*0.475*44/12</f>
        <v>2.6475812162058068</v>
      </c>
      <c r="AW195" s="23">
        <f>EXP(-LN(2)/2)*AW194+(1-EXP(-LN(2)/2))/(LN(2)/2)*AQ195*AT195*VLOOKUP('Données projet'!$B$10,Paramètres!$A$1:$I$89,3,0)*0.475*44/12</f>
        <v>8.8322729554296078E-16</v>
      </c>
      <c r="AX195" s="23">
        <f t="shared" si="166"/>
        <v>18.892544755313583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5.6843418860808015E-13</v>
      </c>
      <c r="BE195" s="14">
        <f>BD195*VLOOKUP('Données projet'!$B$11,Paramètres!$A$1:$I$89,3,0)*VLOOKUP('Données projet'!$B$11,Paramètres!$A$1:$I$89,5,0)</f>
        <v>2.7341684472048658E-13</v>
      </c>
      <c r="BF195" s="14">
        <f t="shared" si="167"/>
        <v>3.653683054157169E-12</v>
      </c>
      <c r="BG195" s="22">
        <f t="shared" si="168"/>
        <v>6.8396989905452503E-12</v>
      </c>
      <c r="BH195" s="62">
        <f t="shared" si="116"/>
        <v>293.33333333334014</v>
      </c>
      <c r="BI195" s="62">
        <f ca="1">AVERAGE(OFFSET($BH$3,0,0,'Données projet'!$E$11+1,1))-AVERAGE(OFFSET($H$3,0,0,'Données projet'!$E$11+1,1))</f>
        <v>255.64417186544995</v>
      </c>
      <c r="BJ195" s="62">
        <f t="shared" si="146"/>
        <v>165.41802783289376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65.965616598878142</v>
      </c>
      <c r="BQ195" s="23">
        <f>EXP(-LN(2)/25)*BQ194+(1-EXP(-LN(2)/25))/(LN(2)/25)*Calculateur!BL195*Calculateur!BN195*VLOOKUP('Données projet'!$B$11,Paramètres!$A$1:$I$89,3,0)*0.475*44/12</f>
        <v>6.8787833019667692</v>
      </c>
      <c r="BR195" s="23">
        <f>EXP(-LN(2)/2)*BR194+(1-EXP(-LN(2)/2))/(LN(2)/2)*BL195*BO195*VLOOKUP('Données projet'!$B$11,Paramètres!$A$1:$I$89,3,0)*0.475*44/12</f>
        <v>6.6501173579408728E-9</v>
      </c>
      <c r="BS195" s="24">
        <f t="shared" si="169"/>
        <v>72.844399907495017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465.49436272491818</v>
      </c>
      <c r="CE195" s="62">
        <f t="shared" si="148"/>
        <v>494.36941732405256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25.58028669496851</v>
      </c>
      <c r="CL195" s="23">
        <f>EXP(-LN(2)/25)*CL194+(1-EXP(-LN(2)/25))/(LN(2)/25)*Calculateur!CG195*Calculateur!CI195*VLOOKUP('Données projet'!$B$12,Paramètres!$A$1:$I$89,3,0)*0.475*44/12</f>
        <v>2.8368923298000541</v>
      </c>
      <c r="CM195" s="23">
        <f>EXP(-LN(2)/2)*CM194+(1-EXP(-LN(2)/2))/(LN(2)/2)*CG195*CJ195*VLOOKUP('Données projet'!$B$12,Paramètres!$A$1:$I$89,3,0)*0.475*44/12</f>
        <v>2.8499981067992636E-17</v>
      </c>
      <c r="CN195" s="24">
        <f t="shared" si="172"/>
        <v>28.417179024768565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-6.8212102632969618E-13</v>
      </c>
      <c r="CU195" s="18">
        <f>CT195*VLOOKUP('Données projet'!$B$13,Paramètres!$A$1:$I$89,3,0)*VLOOKUP('Données projet'!$B$13,Paramètres!$A$1:$I$89,5,0)</f>
        <v>-4.0790837374515837E-13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361.46923697840384</v>
      </c>
      <c r="CZ195" s="62">
        <f t="shared" si="150"/>
        <v>302.25424592654673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19.340080029072137</v>
      </c>
      <c r="DG195" s="23">
        <f>EXP(-LN(2)/25)*DG194+(1-EXP(-LN(2)/25))/(LN(2)/25)*Calculateur!DB195*Calculateur!DD195*VLOOKUP('Données projet'!$B$13,Paramètres!$A$1:$I$89,3,0)*0.475*44/12</f>
        <v>2.8794972843961402</v>
      </c>
      <c r="DH195" s="23">
        <f>EXP(-LN(2)/2)*DH194+(1-EXP(-LN(2)/2))/(LN(2)/2)*DB195*DE195*VLOOKUP('Données projet'!$B$13,Paramètres!$A$1:$I$89,3,0)*0.475*44/12</f>
        <v>2.8515649190898667E-16</v>
      </c>
      <c r="DI195" s="24">
        <f t="shared" si="175"/>
        <v>22.219577313468278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-4.5474735088646412E-13</v>
      </c>
      <c r="O196" s="14">
        <f>N196*VLOOKUP('Données projet'!$B$9,Paramètres!$A$1:$I$89,3,0)*VLOOKUP('Données projet'!$B$9,Paramètres!$A$1:$I$89,5,0)</f>
        <v>-2.5420376914553347E-13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389.80719836281679</v>
      </c>
      <c r="T196" s="62">
        <f t="shared" si="142"/>
        <v>399.58193819355591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23.125400125358254</v>
      </c>
      <c r="AA196" s="23">
        <f>EXP(-LN(2)/25)*AA195+(1-EXP(-LN(2)/25))/(LN(2)/25)*Calculateur!V196*Calculateur!X196*VLOOKUP('Données projet'!$B$9,Paramètres!$A$1:$I$89,3,0)*0.475*44/12</f>
        <v>2.4971190360683821</v>
      </c>
      <c r="AB196" s="23">
        <f>EXP(-LN(2)/2)*AB195+(1-EXP(-LN(2)/2))/(LN(2)/2)*V196*Y196*VLOOKUP('Données projet'!$B$9,Paramètres!$A$1:$I$89,3,0)*0.475*44/12</f>
        <v>1.8491507550800888E-17</v>
      </c>
      <c r="AC196" s="24">
        <f t="shared" si="163"/>
        <v>25.622519161426638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269.90083987531233</v>
      </c>
      <c r="AO196" s="62">
        <f t="shared" si="144"/>
        <v>183.4515835513518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15.926409712555254</v>
      </c>
      <c r="AV196" s="23">
        <f>EXP(-LN(2)/25)*AV195+(1-EXP(-LN(2)/25))/(LN(2)/25)*Calculateur!AQ196*Calculateur!AS196*VLOOKUP('Données projet'!$B$10,Paramètres!$A$1:$I$89,3,0)*0.475*44/12</f>
        <v>2.5751829686184138</v>
      </c>
      <c r="AW196" s="23">
        <f>EXP(-LN(2)/2)*AW195+(1-EXP(-LN(2)/2))/(LN(2)/2)*AQ196*AT196*VLOOKUP('Données projet'!$B$10,Paramètres!$A$1:$I$89,3,0)*0.475*44/12</f>
        <v>6.2453601000748256E-16</v>
      </c>
      <c r="AX196" s="23">
        <f t="shared" si="166"/>
        <v>18.501592681173669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5.6843418860808015E-13</v>
      </c>
      <c r="BE196" s="14">
        <f>BD196*VLOOKUP('Données projet'!$B$11,Paramètres!$A$1:$I$89,3,0)*VLOOKUP('Données projet'!$B$11,Paramètres!$A$1:$I$89,5,0)</f>
        <v>2.7341684472048658E-13</v>
      </c>
      <c r="BF196" s="14">
        <f t="shared" si="167"/>
        <v>3.653683054157169E-12</v>
      </c>
      <c r="BG196" s="22">
        <f t="shared" si="168"/>
        <v>6.8396989905452503E-12</v>
      </c>
      <c r="BH196" s="62">
        <f t="shared" ref="BH196:BH203" si="194">BG196+(AY196+AZ196)*44/12</f>
        <v>293.33333333334014</v>
      </c>
      <c r="BI196" s="62">
        <f ca="1">AVERAGE(OFFSET($BH$3,0,0,'Données projet'!$E$11+1,1))-AVERAGE(OFFSET($H$3,0,0,'Données projet'!$E$11+1,1))</f>
        <v>255.64417186544995</v>
      </c>
      <c r="BJ196" s="62">
        <f t="shared" si="146"/>
        <v>165.41802783289376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64.672071092427387</v>
      </c>
      <c r="BQ196" s="23">
        <f>EXP(-LN(2)/25)*BQ195+(1-EXP(-LN(2)/25))/(LN(2)/25)*Calculateur!BL196*Calculateur!BN196*VLOOKUP('Données projet'!$B$11,Paramètres!$A$1:$I$89,3,0)*0.475*44/12</f>
        <v>6.6906826108349957</v>
      </c>
      <c r="BR196" s="23">
        <f>EXP(-LN(2)/2)*BR195+(1-EXP(-LN(2)/2))/(LN(2)/2)*BL196*BO196*VLOOKUP('Données projet'!$B$11,Paramètres!$A$1:$I$89,3,0)*0.475*44/12</f>
        <v>4.7023430794863583E-9</v>
      </c>
      <c r="BS196" s="24">
        <f t="shared" si="169"/>
        <v>71.362753707964728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465.49436272491818</v>
      </c>
      <c r="CE196" s="62">
        <f t="shared" si="148"/>
        <v>494.36941732405256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25.078672875314449</v>
      </c>
      <c r="CL196" s="23">
        <f>EXP(-LN(2)/25)*CL195+(1-EXP(-LN(2)/25))/(LN(2)/25)*Calculateur!CG196*Calculateur!CI196*VLOOKUP('Données projet'!$B$12,Paramètres!$A$1:$I$89,3,0)*0.475*44/12</f>
        <v>2.7593173598559879</v>
      </c>
      <c r="CM196" s="23">
        <f>EXP(-LN(2)/2)*CM195+(1-EXP(-LN(2)/2))/(LN(2)/2)*CG196*CJ196*VLOOKUP('Données projet'!$B$12,Paramètres!$A$1:$I$89,3,0)*0.475*44/12</f>
        <v>2.0152529876865816E-17</v>
      </c>
      <c r="CN196" s="24">
        <f t="shared" si="172"/>
        <v>27.837990235170437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-6.8212102632969618E-13</v>
      </c>
      <c r="CU196" s="18">
        <f>CT196*VLOOKUP('Données projet'!$B$13,Paramètres!$A$1:$I$89,3,0)*VLOOKUP('Données projet'!$B$13,Paramètres!$A$1:$I$89,5,0)</f>
        <v>-4.0790837374515837E-13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361.46923697840384</v>
      </c>
      <c r="CZ196" s="62">
        <f t="shared" si="150"/>
        <v>302.25424592654673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18.960832855986062</v>
      </c>
      <c r="DG196" s="23">
        <f>EXP(-LN(2)/25)*DG195+(1-EXP(-LN(2)/25))/(LN(2)/25)*Calculateur!DB196*Calculateur!DD196*VLOOKUP('Données projet'!$B$13,Paramètres!$A$1:$I$89,3,0)*0.475*44/12</f>
        <v>2.8007572797281468</v>
      </c>
      <c r="DH196" s="23">
        <f>EXP(-LN(2)/2)*DH195+(1-EXP(-LN(2)/2))/(LN(2)/2)*DB196*DE196*VLOOKUP('Données projet'!$B$13,Paramètres!$A$1:$I$89,3,0)*0.475*44/12</f>
        <v>2.0163608912821135E-16</v>
      </c>
      <c r="DI196" s="24">
        <f t="shared" si="175"/>
        <v>21.761590135714208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-4.5474735088646412E-13</v>
      </c>
      <c r="O197" s="14">
        <f>N197*VLOOKUP('Données projet'!$B$9,Paramètres!$A$1:$I$89,3,0)*VLOOKUP('Données projet'!$B$9,Paramètres!$A$1:$I$89,5,0)</f>
        <v>-2.5420376914553347E-13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389.80719836281679</v>
      </c>
      <c r="T197" s="62">
        <f t="shared" ref="T197:T203" si="204">$T$3</f>
        <v>399.58193819355591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22.671925134001292</v>
      </c>
      <c r="AA197" s="23">
        <f>EXP(-LN(2)/25)*AA196+(1-EXP(-LN(2)/25))/(LN(2)/25)*Calculateur!V197*Calculateur!X197*VLOOKUP('Données projet'!$B$9,Paramètres!$A$1:$I$89,3,0)*0.475*44/12</f>
        <v>2.4288351847093095</v>
      </c>
      <c r="AB197" s="23">
        <f>EXP(-LN(2)/2)*AB196+(1-EXP(-LN(2)/2))/(LN(2)/2)*V197*Y197*VLOOKUP('Données projet'!$B$9,Paramètres!$A$1:$I$89,3,0)*0.475*44/12</f>
        <v>1.3075470383533555E-17</v>
      </c>
      <c r="AC197" s="24">
        <f t="shared" si="163"/>
        <v>25.100760318710602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269.90083987531233</v>
      </c>
      <c r="AO197" s="62">
        <f t="shared" ref="AO197:AO203" si="205">$AO$3</f>
        <v>183.4515835513518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15.614102532242777</v>
      </c>
      <c r="AV197" s="23">
        <f>EXP(-LN(2)/25)*AV196+(1-EXP(-LN(2)/25))/(LN(2)/25)*Calculateur!AQ197*Calculateur!AS197*VLOOKUP('Données projet'!$B$10,Paramètres!$A$1:$I$89,3,0)*0.475*44/12</f>
        <v>2.5047644549185568</v>
      </c>
      <c r="AW197" s="23">
        <f>EXP(-LN(2)/2)*AW196+(1-EXP(-LN(2)/2))/(LN(2)/2)*AQ197*AT197*VLOOKUP('Données projet'!$B$10,Paramètres!$A$1:$I$89,3,0)*0.475*44/12</f>
        <v>4.4161364777148044E-16</v>
      </c>
      <c r="AX197" s="23">
        <f t="shared" si="166"/>
        <v>18.118866987161333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5.6843418860808015E-13</v>
      </c>
      <c r="BE197" s="14">
        <f>BD197*VLOOKUP('Données projet'!$B$11,Paramètres!$A$1:$I$89,3,0)*VLOOKUP('Données projet'!$B$11,Paramètres!$A$1:$I$89,5,0)</f>
        <v>2.7341684472048658E-13</v>
      </c>
      <c r="BF197" s="14">
        <f t="shared" si="167"/>
        <v>3.653683054157169E-12</v>
      </c>
      <c r="BG197" s="22">
        <f t="shared" si="168"/>
        <v>6.8396989905452503E-12</v>
      </c>
      <c r="BH197" s="62">
        <f t="shared" si="194"/>
        <v>293.33333333334014</v>
      </c>
      <c r="BI197" s="62">
        <f ca="1">AVERAGE(OFFSET($BH$3,0,0,'Données projet'!$E$11+1,1))-AVERAGE(OFFSET($H$3,0,0,'Données projet'!$E$11+1,1))</f>
        <v>255.64417186544995</v>
      </c>
      <c r="BJ197" s="62">
        <f t="shared" ref="BJ197:BJ203" si="206">$BJ$3</f>
        <v>165.41802783289376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63.403891224373275</v>
      </c>
      <c r="BQ197" s="23">
        <f>EXP(-LN(2)/25)*BQ196+(1-EXP(-LN(2)/25))/(LN(2)/25)*Calculateur!BL197*Calculateur!BN197*VLOOKUP('Données projet'!$B$11,Paramètres!$A$1:$I$89,3,0)*0.475*44/12</f>
        <v>6.507725542994006</v>
      </c>
      <c r="BR197" s="23">
        <f>EXP(-LN(2)/2)*BR196+(1-EXP(-LN(2)/2))/(LN(2)/2)*BL197*BO197*VLOOKUP('Données projet'!$B$11,Paramètres!$A$1:$I$89,3,0)*0.475*44/12</f>
        <v>3.3250586789704364E-9</v>
      </c>
      <c r="BS197" s="24">
        <f t="shared" si="169"/>
        <v>69.911616770692333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465.49436272491818</v>
      </c>
      <c r="CE197" s="62">
        <f t="shared" ref="CE197:CE203" si="207">$CE$3</f>
        <v>494.36941732405256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24.586895396709586</v>
      </c>
      <c r="CL197" s="23">
        <f>EXP(-LN(2)/25)*CL196+(1-EXP(-LN(2)/25))/(LN(2)/25)*Calculateur!CG197*Calculateur!CI197*VLOOKUP('Données projet'!$B$12,Paramètres!$A$1:$I$89,3,0)*0.475*44/12</f>
        <v>2.6838636815445325</v>
      </c>
      <c r="CM197" s="23">
        <f>EXP(-LN(2)/2)*CM196+(1-EXP(-LN(2)/2))/(LN(2)/2)*CG197*CJ197*VLOOKUP('Données projet'!$B$12,Paramètres!$A$1:$I$89,3,0)*0.475*44/12</f>
        <v>1.4249990533996318E-17</v>
      </c>
      <c r="CN197" s="24">
        <f t="shared" si="172"/>
        <v>27.27075907825412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-6.8212102632969618E-13</v>
      </c>
      <c r="CU197" s="18">
        <f>CT197*VLOOKUP('Données projet'!$B$13,Paramètres!$A$1:$I$89,3,0)*VLOOKUP('Données projet'!$B$13,Paramètres!$A$1:$I$89,5,0)</f>
        <v>-4.0790837374515837E-13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361.46923697840384</v>
      </c>
      <c r="CZ197" s="62">
        <f t="shared" ref="CZ197:CZ203" si="208">$CZ$3</f>
        <v>302.25424592654673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18.589022488646272</v>
      </c>
      <c r="DG197" s="23">
        <f>EXP(-LN(2)/25)*DG196+(1-EXP(-LN(2)/25))/(LN(2)/25)*Calculateur!DB197*Calculateur!DD197*VLOOKUP('Données projet'!$B$13,Paramètres!$A$1:$I$89,3,0)*0.475*44/12</f>
        <v>2.7241704246285563</v>
      </c>
      <c r="DH197" s="23">
        <f>EXP(-LN(2)/2)*DH196+(1-EXP(-LN(2)/2))/(LN(2)/2)*DB197*DE197*VLOOKUP('Données projet'!$B$13,Paramètres!$A$1:$I$89,3,0)*0.475*44/12</f>
        <v>1.4257824595449333E-16</v>
      </c>
      <c r="DI197" s="24">
        <f t="shared" si="175"/>
        <v>21.313192913274829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-4.5474735088646412E-13</v>
      </c>
      <c r="O198" s="14">
        <f>N198*VLOOKUP('Données projet'!$B$9,Paramètres!$A$1:$I$89,3,0)*VLOOKUP('Données projet'!$B$9,Paramètres!$A$1:$I$89,5,0)</f>
        <v>-2.5420376914553347E-13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389.80719836281679</v>
      </c>
      <c r="T198" s="62">
        <f t="shared" si="204"/>
        <v>399.58193819355591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22.227342510632408</v>
      </c>
      <c r="AA198" s="23">
        <f>EXP(-LN(2)/25)*AA197+(1-EXP(-LN(2)/25))/(LN(2)/25)*Calculateur!V198*Calculateur!X198*VLOOKUP('Données projet'!$B$9,Paramètres!$A$1:$I$89,3,0)*0.475*44/12</f>
        <v>2.3624185588565423</v>
      </c>
      <c r="AB198" s="23">
        <f>EXP(-LN(2)/2)*AB197+(1-EXP(-LN(2)/2))/(LN(2)/2)*V198*Y198*VLOOKUP('Données projet'!$B$9,Paramètres!$A$1:$I$89,3,0)*0.475*44/12</f>
        <v>9.2457537754004441E-18</v>
      </c>
      <c r="AC198" s="24">
        <f t="shared" si="163"/>
        <v>24.589761069488951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269.90083987531233</v>
      </c>
      <c r="AO198" s="62">
        <f t="shared" si="205"/>
        <v>183.4515835513518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15.307919505247657</v>
      </c>
      <c r="AV198" s="23">
        <f>EXP(-LN(2)/25)*AV197+(1-EXP(-LN(2)/25))/(LN(2)/25)*Calculateur!AQ198*Calculateur!AS198*VLOOKUP('Données projet'!$B$10,Paramètres!$A$1:$I$89,3,0)*0.475*44/12</f>
        <v>2.4362715391789709</v>
      </c>
      <c r="AW198" s="23">
        <f>EXP(-LN(2)/2)*AW197+(1-EXP(-LN(2)/2))/(LN(2)/2)*AQ198*AT198*VLOOKUP('Données projet'!$B$10,Paramètres!$A$1:$I$89,3,0)*0.475*44/12</f>
        <v>3.1226800500374133E-16</v>
      </c>
      <c r="AX198" s="23">
        <f t="shared" si="166"/>
        <v>17.744191044426628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5.6843418860808015E-13</v>
      </c>
      <c r="BE198" s="14">
        <f>BD198*VLOOKUP('Données projet'!$B$11,Paramètres!$A$1:$I$89,3,0)*VLOOKUP('Données projet'!$B$11,Paramètres!$A$1:$I$89,5,0)</f>
        <v>2.7341684472048658E-13</v>
      </c>
      <c r="BF198" s="14">
        <f t="shared" si="167"/>
        <v>3.653683054157169E-12</v>
      </c>
      <c r="BG198" s="22">
        <f t="shared" si="168"/>
        <v>6.8396989905452503E-12</v>
      </c>
      <c r="BH198" s="62">
        <f t="shared" si="194"/>
        <v>293.33333333334014</v>
      </c>
      <c r="BI198" s="62">
        <f ca="1">AVERAGE(OFFSET($BH$3,0,0,'Données projet'!$E$11+1,1))-AVERAGE(OFFSET($H$3,0,0,'Données projet'!$E$11+1,1))</f>
        <v>255.64417186544995</v>
      </c>
      <c r="BJ198" s="62">
        <f t="shared" si="206"/>
        <v>165.41802783289376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62.160579590018365</v>
      </c>
      <c r="BQ198" s="23">
        <f>EXP(-LN(2)/25)*BQ197+(1-EXP(-LN(2)/25))/(LN(2)/25)*Calculateur!BL198*Calculateur!BN198*VLOOKUP('Données projet'!$B$11,Paramètres!$A$1:$I$89,3,0)*0.475*44/12</f>
        <v>6.3297714457944219</v>
      </c>
      <c r="BR198" s="23">
        <f>EXP(-LN(2)/2)*BR197+(1-EXP(-LN(2)/2))/(LN(2)/2)*BL198*BO198*VLOOKUP('Données projet'!$B$11,Paramètres!$A$1:$I$89,3,0)*0.475*44/12</f>
        <v>2.3511715397431791E-9</v>
      </c>
      <c r="BS198" s="24">
        <f t="shared" si="169"/>
        <v>68.490351038163965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465.49436272491818</v>
      </c>
      <c r="CE198" s="62">
        <f t="shared" si="207"/>
        <v>494.36941732405256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24.104761374505518</v>
      </c>
      <c r="CL198" s="23">
        <f>EXP(-LN(2)/25)*CL197+(1-EXP(-LN(2)/25))/(LN(2)/25)*Calculateur!CG198*Calculateur!CI198*VLOOKUP('Données projet'!$B$12,Paramètres!$A$1:$I$89,3,0)*0.475*44/12</f>
        <v>2.6104732880344401</v>
      </c>
      <c r="CM198" s="23">
        <f>EXP(-LN(2)/2)*CM197+(1-EXP(-LN(2)/2))/(LN(2)/2)*CG198*CJ198*VLOOKUP('Données projet'!$B$12,Paramètres!$A$1:$I$89,3,0)*0.475*44/12</f>
        <v>1.0076264938432908E-17</v>
      </c>
      <c r="CN198" s="24">
        <f t="shared" si="172"/>
        <v>26.715234662539959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-6.8212102632969618E-13</v>
      </c>
      <c r="CU198" s="18">
        <f>CT198*VLOOKUP('Données projet'!$B$13,Paramètres!$A$1:$I$89,3,0)*VLOOKUP('Données projet'!$B$13,Paramètres!$A$1:$I$89,5,0)</f>
        <v>-4.0790837374515837E-13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361.46923697840384</v>
      </c>
      <c r="CZ198" s="62">
        <f t="shared" si="208"/>
        <v>302.25424592654673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18.224503095828084</v>
      </c>
      <c r="DG198" s="23">
        <f>EXP(-LN(2)/25)*DG197+(1-EXP(-LN(2)/25))/(LN(2)/25)*Calculateur!DB198*Calculateur!DD198*VLOOKUP('Données projet'!$B$13,Paramètres!$A$1:$I$89,3,0)*0.475*44/12</f>
        <v>2.6496778411091921</v>
      </c>
      <c r="DH198" s="23">
        <f>EXP(-LN(2)/2)*DH197+(1-EXP(-LN(2)/2))/(LN(2)/2)*DB198*DE198*VLOOKUP('Données projet'!$B$13,Paramètres!$A$1:$I$89,3,0)*0.475*44/12</f>
        <v>1.0081804456410567E-16</v>
      </c>
      <c r="DI198" s="24">
        <f t="shared" si="175"/>
        <v>20.874180936937275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-4.5474735088646412E-13</v>
      </c>
      <c r="O199" s="14">
        <f>N199*VLOOKUP('Données projet'!$B$9,Paramètres!$A$1:$I$89,3,0)*VLOOKUP('Données projet'!$B$9,Paramètres!$A$1:$I$89,5,0)</f>
        <v>-2.5420376914553347E-13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389.80719836281679</v>
      </c>
      <c r="T199" s="62">
        <f t="shared" si="204"/>
        <v>399.58193819355591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21.791477881339162</v>
      </c>
      <c r="AA199" s="23">
        <f>EXP(-LN(2)/25)*AA198+(1-EXP(-LN(2)/25))/(LN(2)/25)*Calculateur!V199*Calculateur!X199*VLOOKUP('Données projet'!$B$9,Paramètres!$A$1:$I$89,3,0)*0.475*44/12</f>
        <v>2.2978180991304176</v>
      </c>
      <c r="AB199" s="23">
        <f>EXP(-LN(2)/2)*AB198+(1-EXP(-LN(2)/2))/(LN(2)/2)*V199*Y199*VLOOKUP('Données projet'!$B$9,Paramètres!$A$1:$I$89,3,0)*0.475*44/12</f>
        <v>6.5377351917667776E-18</v>
      </c>
      <c r="AC199" s="24">
        <f t="shared" si="163"/>
        <v>24.089295980469579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269.90083987531233</v>
      </c>
      <c r="AO199" s="62">
        <f t="shared" si="205"/>
        <v>183.4515835513518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15.007740540658705</v>
      </c>
      <c r="AV199" s="23">
        <f>EXP(-LN(2)/25)*AV198+(1-EXP(-LN(2)/25))/(LN(2)/25)*Calculateur!AQ199*Calculateur!AS199*VLOOKUP('Données projet'!$B$10,Paramètres!$A$1:$I$89,3,0)*0.475*44/12</f>
        <v>2.3696515658221697</v>
      </c>
      <c r="AW199" s="23">
        <f>EXP(-LN(2)/2)*AW198+(1-EXP(-LN(2)/2))/(LN(2)/2)*AQ199*AT199*VLOOKUP('Données projet'!$B$10,Paramètres!$A$1:$I$89,3,0)*0.475*44/12</f>
        <v>2.2080682388574027E-16</v>
      </c>
      <c r="AX199" s="23">
        <f t="shared" si="166"/>
        <v>17.377392106480876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5.6843418860808015E-13</v>
      </c>
      <c r="BE199" s="14">
        <f>BD199*VLOOKUP('Données projet'!$B$11,Paramètres!$A$1:$I$89,3,0)*VLOOKUP('Données projet'!$B$11,Paramètres!$A$1:$I$89,5,0)</f>
        <v>2.7341684472048658E-13</v>
      </c>
      <c r="BF199" s="14">
        <f t="shared" si="167"/>
        <v>3.653683054157169E-12</v>
      </c>
      <c r="BG199" s="22">
        <f t="shared" si="168"/>
        <v>6.8396989905452503E-12</v>
      </c>
      <c r="BH199" s="62">
        <f t="shared" si="194"/>
        <v>293.33333333334014</v>
      </c>
      <c r="BI199" s="62">
        <f ca="1">AVERAGE(OFFSET($BH$3,0,0,'Données projet'!$E$11+1,1))-AVERAGE(OFFSET($H$3,0,0,'Données projet'!$E$11+1,1))</f>
        <v>255.64417186544995</v>
      </c>
      <c r="BJ199" s="62">
        <f t="shared" si="206"/>
        <v>165.41802783289376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60.941648538467938</v>
      </c>
      <c r="BQ199" s="23">
        <f>EXP(-LN(2)/25)*BQ198+(1-EXP(-LN(2)/25))/(LN(2)/25)*Calculateur!BL199*Calculateur!BN199*VLOOKUP('Données projet'!$B$11,Paramètres!$A$1:$I$89,3,0)*0.475*44/12</f>
        <v>6.15668351274096</v>
      </c>
      <c r="BR199" s="23">
        <f>EXP(-LN(2)/2)*BR198+(1-EXP(-LN(2)/2))/(LN(2)/2)*BL199*BO199*VLOOKUP('Données projet'!$B$11,Paramètres!$A$1:$I$89,3,0)*0.475*44/12</f>
        <v>1.6625293394852182E-9</v>
      </c>
      <c r="BS199" s="24">
        <f t="shared" si="169"/>
        <v>67.098332052871427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465.49436272491818</v>
      </c>
      <c r="CE199" s="62">
        <f t="shared" si="207"/>
        <v>494.36941732405256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23.632081706404158</v>
      </c>
      <c r="CL199" s="23">
        <f>EXP(-LN(2)/25)*CL198+(1-EXP(-LN(2)/25))/(LN(2)/25)*Calculateur!CG199*Calculateur!CI199*VLOOKUP('Données projet'!$B$12,Paramètres!$A$1:$I$89,3,0)*0.475*44/12</f>
        <v>2.5390897586943146</v>
      </c>
      <c r="CM199" s="23">
        <f>EXP(-LN(2)/2)*CM198+(1-EXP(-LN(2)/2))/(LN(2)/2)*CG199*CJ199*VLOOKUP('Données projet'!$B$12,Paramètres!$A$1:$I$89,3,0)*0.475*44/12</f>
        <v>7.1249952669981589E-18</v>
      </c>
      <c r="CN199" s="24">
        <f t="shared" si="172"/>
        <v>26.171171465098471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-6.8212102632969618E-13</v>
      </c>
      <c r="CU199" s="18">
        <f>CT199*VLOOKUP('Données projet'!$B$13,Paramètres!$A$1:$I$89,3,0)*VLOOKUP('Données projet'!$B$13,Paramètres!$A$1:$I$89,5,0)</f>
        <v>-4.0790837374515837E-13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361.46923697840384</v>
      </c>
      <c r="CZ199" s="62">
        <f t="shared" si="208"/>
        <v>302.25424592654673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17.867131705968184</v>
      </c>
      <c r="DG199" s="23">
        <f>EXP(-LN(2)/25)*DG198+(1-EXP(-LN(2)/25))/(LN(2)/25)*Calculateur!DB199*Calculateur!DD199*VLOOKUP('Données projet'!$B$13,Paramètres!$A$1:$I$89,3,0)*0.475*44/12</f>
        <v>2.5772222612035596</v>
      </c>
      <c r="DH199" s="23">
        <f>EXP(-LN(2)/2)*DH198+(1-EXP(-LN(2)/2))/(LN(2)/2)*DB199*DE199*VLOOKUP('Données projet'!$B$13,Paramètres!$A$1:$I$89,3,0)*0.475*44/12</f>
        <v>7.1289122977246666E-17</v>
      </c>
      <c r="DI199" s="24">
        <f t="shared" si="175"/>
        <v>20.444353967171743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-4.5474735088646412E-13</v>
      </c>
      <c r="O200" s="14">
        <f>N200*VLOOKUP('Données projet'!$B$9,Paramètres!$A$1:$I$89,3,0)*VLOOKUP('Données projet'!$B$9,Paramètres!$A$1:$I$89,5,0)</f>
        <v>-2.5420376914553347E-13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389.80719836281679</v>
      </c>
      <c r="T200" s="62">
        <f t="shared" si="204"/>
        <v>399.58193819355591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21.364160291575182</v>
      </c>
      <c r="AA200" s="23">
        <f>EXP(-LN(2)/25)*AA199+(1-EXP(-LN(2)/25))/(LN(2)/25)*Calculateur!V200*Calculateur!X200*VLOOKUP('Données projet'!$B$9,Paramètres!$A$1:$I$89,3,0)*0.475*44/12</f>
        <v>2.2349841423726944</v>
      </c>
      <c r="AB200" s="23">
        <f>EXP(-LN(2)/2)*AB199+(1-EXP(-LN(2)/2))/(LN(2)/2)*V200*Y200*VLOOKUP('Données projet'!$B$9,Paramètres!$A$1:$I$89,3,0)*0.475*44/12</f>
        <v>4.622876887700222E-18</v>
      </c>
      <c r="AC200" s="24">
        <f t="shared" si="163"/>
        <v>23.599144433947878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269.90083987531233</v>
      </c>
      <c r="AO200" s="62">
        <f t="shared" si="205"/>
        <v>183.4515835513518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14.713447902474254</v>
      </c>
      <c r="AV200" s="23">
        <f>EXP(-LN(2)/25)*AV199+(1-EXP(-LN(2)/25))/(LN(2)/25)*Calculateur!AQ200*Calculateur!AS200*VLOOKUP('Données projet'!$B$10,Paramètres!$A$1:$I$89,3,0)*0.475*44/12</f>
        <v>2.3048533191402027</v>
      </c>
      <c r="AW200" s="23">
        <f>EXP(-LN(2)/2)*AW199+(1-EXP(-LN(2)/2))/(LN(2)/2)*AQ200*AT200*VLOOKUP('Données projet'!$B$10,Paramètres!$A$1:$I$89,3,0)*0.475*44/12</f>
        <v>1.5613400250187069E-16</v>
      </c>
      <c r="AX200" s="23">
        <f t="shared" si="166"/>
        <v>17.018301221614458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5.6843418860808015E-13</v>
      </c>
      <c r="BE200" s="14">
        <f>BD200*VLOOKUP('Données projet'!$B$11,Paramètres!$A$1:$I$89,3,0)*VLOOKUP('Données projet'!$B$11,Paramètres!$A$1:$I$89,5,0)</f>
        <v>2.7341684472048658E-13</v>
      </c>
      <c r="BF200" s="14">
        <f t="shared" si="167"/>
        <v>3.653683054157169E-12</v>
      </c>
      <c r="BG200" s="22">
        <f t="shared" si="168"/>
        <v>6.8396989905452503E-12</v>
      </c>
      <c r="BH200" s="62">
        <f t="shared" si="194"/>
        <v>293.33333333334014</v>
      </c>
      <c r="BI200" s="62">
        <f ca="1">AVERAGE(OFFSET($BH$3,0,0,'Données projet'!$E$11+1,1))-AVERAGE(OFFSET($H$3,0,0,'Données projet'!$E$11+1,1))</f>
        <v>255.64417186544995</v>
      </c>
      <c r="BJ200" s="62">
        <f t="shared" si="206"/>
        <v>165.41802783289376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59.746619981363885</v>
      </c>
      <c r="BQ200" s="23">
        <f>EXP(-LN(2)/25)*BQ199+(1-EXP(-LN(2)/25))/(LN(2)/25)*Calculateur!BL200*Calculateur!BN200*VLOOKUP('Données projet'!$B$11,Paramètres!$A$1:$I$89,3,0)*0.475*44/12</f>
        <v>5.9883286783191441</v>
      </c>
      <c r="BR200" s="23">
        <f>EXP(-LN(2)/2)*BR199+(1-EXP(-LN(2)/2))/(LN(2)/2)*BL200*BO200*VLOOKUP('Données projet'!$B$11,Paramètres!$A$1:$I$89,3,0)*0.475*44/12</f>
        <v>1.1755857698715896E-9</v>
      </c>
      <c r="BS200" s="24">
        <f t="shared" si="169"/>
        <v>65.734948660858606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465.49436272491818</v>
      </c>
      <c r="CE200" s="62">
        <f t="shared" si="207"/>
        <v>494.36941732405256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23.168670998288135</v>
      </c>
      <c r="CL200" s="23">
        <f>EXP(-LN(2)/25)*CL199+(1-EXP(-LN(2)/25))/(LN(2)/25)*Calculateur!CG200*Calculateur!CI200*VLOOKUP('Données projet'!$B$12,Paramètres!$A$1:$I$89,3,0)*0.475*44/12</f>
        <v>2.4696582157178915</v>
      </c>
      <c r="CM200" s="23">
        <f>EXP(-LN(2)/2)*CM199+(1-EXP(-LN(2)/2))/(LN(2)/2)*CG200*CJ200*VLOOKUP('Données projet'!$B$12,Paramètres!$A$1:$I$89,3,0)*0.475*44/12</f>
        <v>5.0381324692164539E-18</v>
      </c>
      <c r="CN200" s="24">
        <f t="shared" si="172"/>
        <v>25.638329214006028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-6.8212102632969618E-13</v>
      </c>
      <c r="CU200" s="18">
        <f>CT200*VLOOKUP('Données projet'!$B$13,Paramètres!$A$1:$I$89,3,0)*VLOOKUP('Données projet'!$B$13,Paramètres!$A$1:$I$89,5,0)</f>
        <v>-4.0790837374515837E-13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361.46923697840384</v>
      </c>
      <c r="CZ200" s="62">
        <f t="shared" si="208"/>
        <v>302.25424592654673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17.516768151088414</v>
      </c>
      <c r="DG200" s="23">
        <f>EXP(-LN(2)/25)*DG199+(1-EXP(-LN(2)/25))/(LN(2)/25)*Calculateur!DB200*Calculateur!DD200*VLOOKUP('Données projet'!$B$13,Paramètres!$A$1:$I$89,3,0)*0.475*44/12</f>
        <v>2.5067479829407198</v>
      </c>
      <c r="DH200" s="23">
        <f>EXP(-LN(2)/2)*DH199+(1-EXP(-LN(2)/2))/(LN(2)/2)*DB200*DE200*VLOOKUP('Données projet'!$B$13,Paramètres!$A$1:$I$89,3,0)*0.475*44/12</f>
        <v>5.0409022282052837E-17</v>
      </c>
      <c r="DI200" s="24">
        <f t="shared" si="175"/>
        <v>20.023516134029133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-4.5474735088646412E-13</v>
      </c>
      <c r="O201" s="14">
        <f>N201*VLOOKUP('Données projet'!$B$9,Paramètres!$A$1:$I$89,3,0)*VLOOKUP('Données projet'!$B$9,Paramètres!$A$1:$I$89,5,0)</f>
        <v>-2.5420376914553347E-13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389.80719836281679</v>
      </c>
      <c r="T201" s="62">
        <f t="shared" si="204"/>
        <v>399.58193819355591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20.945222139108481</v>
      </c>
      <c r="AA201" s="23">
        <f>EXP(-LN(2)/25)*AA200+(1-EXP(-LN(2)/25))/(LN(2)/25)*Calculateur!V201*Calculateur!X201*VLOOKUP('Données projet'!$B$9,Paramètres!$A$1:$I$89,3,0)*0.475*44/12</f>
        <v>2.1738683834668051</v>
      </c>
      <c r="AB201" s="23">
        <f>EXP(-LN(2)/2)*AB200+(1-EXP(-LN(2)/2))/(LN(2)/2)*V201*Y201*VLOOKUP('Données projet'!$B$9,Paramètres!$A$1:$I$89,3,0)*0.475*44/12</f>
        <v>3.2688675958833888E-18</v>
      </c>
      <c r="AC201" s="24">
        <f t="shared" si="163"/>
        <v>23.119090522575284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269.90083987531233</v>
      </c>
      <c r="AO201" s="62">
        <f t="shared" si="205"/>
        <v>183.4515835513518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14.424926163423814</v>
      </c>
      <c r="AV201" s="23">
        <f>EXP(-LN(2)/25)*AV200+(1-EXP(-LN(2)/25))/(LN(2)/25)*Calculateur!AQ201*Calculateur!AS201*VLOOKUP('Données projet'!$B$10,Paramètres!$A$1:$I$89,3,0)*0.475*44/12</f>
        <v>2.2418269839213458</v>
      </c>
      <c r="AW201" s="23">
        <f>EXP(-LN(2)/2)*AW200+(1-EXP(-LN(2)/2))/(LN(2)/2)*AQ201*AT201*VLOOKUP('Données projet'!$B$10,Paramètres!$A$1:$I$89,3,0)*0.475*44/12</f>
        <v>1.1040341194287015E-16</v>
      </c>
      <c r="AX201" s="23">
        <f t="shared" si="166"/>
        <v>16.666753147345162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5.6843418860808015E-13</v>
      </c>
      <c r="BE201" s="14">
        <f>BD201*VLOOKUP('Données projet'!$B$11,Paramètres!$A$1:$I$89,3,0)*VLOOKUP('Données projet'!$B$11,Paramètres!$A$1:$I$89,5,0)</f>
        <v>2.7341684472048658E-13</v>
      </c>
      <c r="BF201" s="14">
        <f t="shared" si="167"/>
        <v>3.653683054157169E-12</v>
      </c>
      <c r="BG201" s="22">
        <f t="shared" si="168"/>
        <v>6.8396989905452503E-12</v>
      </c>
      <c r="BH201" s="62">
        <f t="shared" si="194"/>
        <v>293.33333333334014</v>
      </c>
      <c r="BI201" s="62">
        <f ca="1">AVERAGE(OFFSET($BH$3,0,0,'Données projet'!$E$11+1,1))-AVERAGE(OFFSET($H$3,0,0,'Données projet'!$E$11+1,1))</f>
        <v>255.64417186544995</v>
      </c>
      <c r="BJ201" s="62">
        <f t="shared" si="206"/>
        <v>165.41802783289376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58.575025205369194</v>
      </c>
      <c r="BQ201" s="23">
        <f>EXP(-LN(2)/25)*BQ200+(1-EXP(-LN(2)/25))/(LN(2)/25)*Calculateur!BL201*Calculateur!BN201*VLOOKUP('Données projet'!$B$11,Paramètres!$A$1:$I$89,3,0)*0.475*44/12</f>
        <v>5.824577515697988</v>
      </c>
      <c r="BR201" s="23">
        <f>EXP(-LN(2)/2)*BR200+(1-EXP(-LN(2)/2))/(LN(2)/2)*BL201*BO201*VLOOKUP('Données projet'!$B$11,Paramètres!$A$1:$I$89,3,0)*0.475*44/12</f>
        <v>8.3126466974260911E-10</v>
      </c>
      <c r="BS201" s="24">
        <f t="shared" si="169"/>
        <v>64.399602721898447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465.49436272491818</v>
      </c>
      <c r="CE201" s="62">
        <f t="shared" si="207"/>
        <v>494.36941732405256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22.714347491505645</v>
      </c>
      <c r="CL201" s="23">
        <f>EXP(-LN(2)/25)*CL200+(1-EXP(-LN(2)/25))/(LN(2)/25)*Calculateur!CG201*Calculateur!CI201*VLOOKUP('Données projet'!$B$12,Paramètres!$A$1:$I$89,3,0)*0.475*44/12</f>
        <v>2.4021252819354046</v>
      </c>
      <c r="CM201" s="23">
        <f>EXP(-LN(2)/2)*CM200+(1-EXP(-LN(2)/2))/(LN(2)/2)*CG201*CJ201*VLOOKUP('Données projet'!$B$12,Paramètres!$A$1:$I$89,3,0)*0.475*44/12</f>
        <v>3.5624976334990795E-18</v>
      </c>
      <c r="CN201" s="24">
        <f t="shared" si="172"/>
        <v>25.11647277344105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-6.8212102632969618E-13</v>
      </c>
      <c r="CU201" s="18">
        <f>CT201*VLOOKUP('Données projet'!$B$13,Paramètres!$A$1:$I$89,3,0)*VLOOKUP('Données projet'!$B$13,Paramètres!$A$1:$I$89,5,0)</f>
        <v>-4.0790837374515837E-13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361.46923697840384</v>
      </c>
      <c r="CZ201" s="62">
        <f t="shared" si="208"/>
        <v>302.25424592654673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17.173275011819168</v>
      </c>
      <c r="DG201" s="23">
        <f>EXP(-LN(2)/25)*DG200+(1-EXP(-LN(2)/25))/(LN(2)/25)*Calculateur!DB201*Calculateur!DD201*VLOOKUP('Données projet'!$B$13,Paramètres!$A$1:$I$89,3,0)*0.475*44/12</f>
        <v>2.4382008275230587</v>
      </c>
      <c r="DH201" s="23">
        <f>EXP(-LN(2)/2)*DH200+(1-EXP(-LN(2)/2))/(LN(2)/2)*DB201*DE201*VLOOKUP('Données projet'!$B$13,Paramètres!$A$1:$I$89,3,0)*0.475*44/12</f>
        <v>3.5644561488623333E-17</v>
      </c>
      <c r="DI201" s="24">
        <f t="shared" si="175"/>
        <v>19.611475839342226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-4.5474735088646412E-13</v>
      </c>
      <c r="O202" s="14">
        <f>N202*VLOOKUP('Données projet'!$B$9,Paramètres!$A$1:$I$89,3,0)*VLOOKUP('Données projet'!$B$9,Paramètres!$A$1:$I$89,5,0)</f>
        <v>-2.5420376914553347E-13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389.80719836281679</v>
      </c>
      <c r="T202" s="62">
        <f t="shared" si="204"/>
        <v>399.58193819355591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20.53449910828461</v>
      </c>
      <c r="AA202" s="23">
        <f>EXP(-LN(2)/25)*AA201+(1-EXP(-LN(2)/25))/(LN(2)/25)*Calculateur!V202*Calculateur!X202*VLOOKUP('Données projet'!$B$9,Paramètres!$A$1:$I$89,3,0)*0.475*44/12</f>
        <v>2.1144238382021356</v>
      </c>
      <c r="AB202" s="23">
        <f>EXP(-LN(2)/2)*AB201+(1-EXP(-LN(2)/2))/(LN(2)/2)*V202*Y202*VLOOKUP('Données projet'!$B$9,Paramètres!$A$1:$I$89,3,0)*0.475*44/12</f>
        <v>2.311438443850111E-18</v>
      </c>
      <c r="AC202" s="24">
        <f t="shared" si="163"/>
        <v>22.648922946486746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269.90083987531233</v>
      </c>
      <c r="AO202" s="62">
        <f t="shared" si="205"/>
        <v>183.4515835513518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14.14206215969527</v>
      </c>
      <c r="AV202" s="23">
        <f>EXP(-LN(2)/25)*AV201+(1-EXP(-LN(2)/25))/(LN(2)/25)*Calculateur!AQ202*Calculateur!AS202*VLOOKUP('Données projet'!$B$10,Paramètres!$A$1:$I$89,3,0)*0.475*44/12</f>
        <v>2.1805241071534591</v>
      </c>
      <c r="AW202" s="23">
        <f>EXP(-LN(2)/2)*AW201+(1-EXP(-LN(2)/2))/(LN(2)/2)*AQ202*AT202*VLOOKUP('Données projet'!$B$10,Paramètres!$A$1:$I$89,3,0)*0.475*44/12</f>
        <v>7.8067001250935357E-17</v>
      </c>
      <c r="AX202" s="23">
        <f t="shared" si="166"/>
        <v>16.322586266848727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5.6843418860808015E-13</v>
      </c>
      <c r="BE202" s="14">
        <f>BD202*VLOOKUP('Données projet'!$B$11,Paramètres!$A$1:$I$89,3,0)*VLOOKUP('Données projet'!$B$11,Paramètres!$A$1:$I$89,5,0)</f>
        <v>2.7341684472048658E-13</v>
      </c>
      <c r="BF202" s="14">
        <f t="shared" si="167"/>
        <v>3.653683054157169E-12</v>
      </c>
      <c r="BG202" s="22">
        <f t="shared" si="168"/>
        <v>6.8396989905452503E-12</v>
      </c>
      <c r="BH202" s="62">
        <f t="shared" si="194"/>
        <v>293.33333333334014</v>
      </c>
      <c r="BI202" s="62">
        <f ca="1">AVERAGE(OFFSET($BH$3,0,0,'Données projet'!$E$11+1,1))-AVERAGE(OFFSET($H$3,0,0,'Données projet'!$E$11+1,1))</f>
        <v>255.64417186544995</v>
      </c>
      <c r="BJ202" s="62">
        <f t="shared" si="206"/>
        <v>165.41802783289376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57.426404688329505</v>
      </c>
      <c r="BQ202" s="23">
        <f>EXP(-LN(2)/25)*BQ201+(1-EXP(-LN(2)/25))/(LN(2)/25)*Calculateur!BL202*Calculateur!BN202*VLOOKUP('Données projet'!$B$11,Paramètres!$A$1:$I$89,3,0)*0.475*44/12</f>
        <v>5.6653041372300068</v>
      </c>
      <c r="BR202" s="23">
        <f>EXP(-LN(2)/2)*BR201+(1-EXP(-LN(2)/2))/(LN(2)/2)*BL202*BO202*VLOOKUP('Données projet'!$B$11,Paramètres!$A$1:$I$89,3,0)*0.475*44/12</f>
        <v>5.8779288493579478E-10</v>
      </c>
      <c r="BS202" s="24">
        <f t="shared" si="169"/>
        <v>63.091708826147304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465.49436272491818</v>
      </c>
      <c r="CE202" s="62">
        <f t="shared" si="207"/>
        <v>494.36941732405256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22.268932991581181</v>
      </c>
      <c r="CL202" s="23">
        <f>EXP(-LN(2)/25)*CL201+(1-EXP(-LN(2)/25))/(LN(2)/25)*Calculateur!CG202*Calculateur!CI202*VLOOKUP('Données projet'!$B$12,Paramètres!$A$1:$I$89,3,0)*0.475*44/12</f>
        <v>2.3364390397786026</v>
      </c>
      <c r="CM202" s="23">
        <f>EXP(-LN(2)/2)*CM201+(1-EXP(-LN(2)/2))/(LN(2)/2)*CG202*CJ202*VLOOKUP('Données projet'!$B$12,Paramètres!$A$1:$I$89,3,0)*0.475*44/12</f>
        <v>2.519066234608227E-18</v>
      </c>
      <c r="CN202" s="24">
        <f t="shared" si="172"/>
        <v>24.605372031359785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-6.8212102632969618E-13</v>
      </c>
      <c r="CU202" s="18">
        <f>CT202*VLOOKUP('Données projet'!$B$13,Paramètres!$A$1:$I$89,3,0)*VLOOKUP('Données projet'!$B$13,Paramètres!$A$1:$I$89,5,0)</f>
        <v>-4.0790837374515837E-13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361.46923697840384</v>
      </c>
      <c r="CZ202" s="62">
        <f t="shared" si="208"/>
        <v>302.25424592654673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16.836517563500863</v>
      </c>
      <c r="DG202" s="23">
        <f>EXP(-LN(2)/25)*DG201+(1-EXP(-LN(2)/25))/(LN(2)/25)*Calculateur!DB202*Calculateur!DD202*VLOOKUP('Données projet'!$B$13,Paramètres!$A$1:$I$89,3,0)*0.475*44/12</f>
        <v>2.3715280976750317</v>
      </c>
      <c r="DH202" s="23">
        <f>EXP(-LN(2)/2)*DH201+(1-EXP(-LN(2)/2))/(LN(2)/2)*DB202*DE202*VLOOKUP('Données projet'!$B$13,Paramètres!$A$1:$I$89,3,0)*0.475*44/12</f>
        <v>2.5204511141026418E-17</v>
      </c>
      <c r="DI202" s="24">
        <f t="shared" si="175"/>
        <v>19.208045661175895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-4.5474735088646412E-13</v>
      </c>
      <c r="O203" s="14">
        <f>N203*VLOOKUP('Données projet'!$B$9,Paramètres!$A$1:$I$89,3,0)*VLOOKUP('Données projet'!$B$9,Paramètres!$A$1:$I$89,5,0)</f>
        <v>-2.5420376914553347E-13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389.80719836281679</v>
      </c>
      <c r="T203" s="62">
        <f t="shared" si="204"/>
        <v>399.58193819355591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20.131830105578882</v>
      </c>
      <c r="AA203" s="23">
        <f>EXP(-LN(2)/25)*AA202+(1-EXP(-LN(2)/25))/(LN(2)/25)*Calculateur!V203*Calculateur!X203*VLOOKUP('Données projet'!$B$9,Paramètres!$A$1:$I$89,3,0)*0.475*44/12</f>
        <v>2.0566048071537812</v>
      </c>
      <c r="AB203" s="23">
        <f>EXP(-LN(2)/2)*AB202+(1-EXP(-LN(2)/2))/(LN(2)/2)*V203*Y203*VLOOKUP('Données projet'!$B$9,Paramètres!$A$1:$I$89,3,0)*0.475*44/12</f>
        <v>1.6344337979416944E-18</v>
      </c>
      <c r="AC203" s="24">
        <f t="shared" si="163"/>
        <v>22.188434912732664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269.90083987531233</v>
      </c>
      <c r="AO203" s="62">
        <f t="shared" si="205"/>
        <v>183.4515835513518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13.864744946549836</v>
      </c>
      <c r="AV203" s="23">
        <f>EXP(-LN(2)/25)*AV202+(1-EXP(-LN(2)/25))/(LN(2)/25)*Calculateur!AQ203*Calculateur!AS203*VLOOKUP('Données projet'!$B$10,Paramètres!$A$1:$I$89,3,0)*0.475*44/12</f>
        <v>2.1208975607745688</v>
      </c>
      <c r="AW203" s="23">
        <f>EXP(-LN(2)/2)*AW202+(1-EXP(-LN(2)/2))/(LN(2)/2)*AQ203*AT203*VLOOKUP('Données projet'!$B$10,Paramètres!$A$1:$I$89,3,0)*0.475*44/12</f>
        <v>5.5201705971435086E-17</v>
      </c>
      <c r="AX203" s="23">
        <f t="shared" si="166"/>
        <v>15.985642507324405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5.6843418860808015E-13</v>
      </c>
      <c r="BE203" s="14">
        <f>BD203*VLOOKUP('Données projet'!$B$11,Paramètres!$A$1:$I$89,3,0)*VLOOKUP('Données projet'!$B$11,Paramètres!$A$1:$I$89,5,0)</f>
        <v>2.7341684472048658E-13</v>
      </c>
      <c r="BF203" s="14">
        <f t="shared" si="167"/>
        <v>3.653683054157169E-12</v>
      </c>
      <c r="BG203" s="22">
        <f t="shared" si="168"/>
        <v>6.8396989905452503E-12</v>
      </c>
      <c r="BH203" s="62">
        <f t="shared" si="194"/>
        <v>293.33333333334014</v>
      </c>
      <c r="BI203" s="62">
        <f ca="1">AVERAGE(OFFSET($BH$3,0,0,'Données projet'!$E$11+1,1))-AVERAGE(OFFSET($H$3,0,0,'Données projet'!$E$11+1,1))</f>
        <v>255.64417186544995</v>
      </c>
      <c r="BJ203" s="62">
        <f t="shared" si="206"/>
        <v>165.41802783289376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56.300307919039632</v>
      </c>
      <c r="BQ203" s="23">
        <f>EXP(-LN(2)/25)*BQ202+(1-EXP(-LN(2)/25))/(LN(2)/25)*Calculateur!BL203*Calculateur!BN203*VLOOKUP('Données projet'!$B$11,Paramètres!$A$1:$I$89,3,0)*0.475*44/12</f>
        <v>5.5103860976720558</v>
      </c>
      <c r="BR203" s="23">
        <f>EXP(-LN(2)/2)*BR202+(1-EXP(-LN(2)/2))/(LN(2)/2)*BL203*BO203*VLOOKUP('Données projet'!$B$11,Paramètres!$A$1:$I$89,3,0)*0.475*44/12</f>
        <v>4.1563233487130455E-10</v>
      </c>
      <c r="BS203" s="24">
        <f t="shared" si="169"/>
        <v>61.810694017127318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465.49436272491818</v>
      </c>
      <c r="CE203" s="62">
        <f t="shared" si="207"/>
        <v>494.36941732405256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21.83225279832422</v>
      </c>
      <c r="CL203" s="23">
        <f>EXP(-LN(2)/25)*CL202+(1-EXP(-LN(2)/25))/(LN(2)/25)*Calculateur!CG203*Calculateur!CI203*VLOOKUP('Données projet'!$B$12,Paramètres!$A$1:$I$89,3,0)*0.475*44/12</f>
        <v>2.2725489913678674</v>
      </c>
      <c r="CM203" s="23">
        <f>EXP(-LN(2)/2)*CM202+(1-EXP(-LN(2)/2))/(LN(2)/2)*CG203*CJ203*VLOOKUP('Données projet'!$B$12,Paramètres!$A$1:$I$89,3,0)*0.475*44/12</f>
        <v>1.7812488167495397E-18</v>
      </c>
      <c r="CN203" s="24">
        <f t="shared" si="172"/>
        <v>24.104801789692086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-6.8212102632969618E-13</v>
      </c>
      <c r="CU203" s="18">
        <f>CT203*VLOOKUP('Données projet'!$B$13,Paramètres!$A$1:$I$89,3,0)*VLOOKUP('Données projet'!$B$13,Paramètres!$A$1:$I$89,5,0)</f>
        <v>-4.0790837374515837E-13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361.46923697840384</v>
      </c>
      <c r="CZ203" s="62">
        <f t="shared" si="208"/>
        <v>302.25424592654673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16.506363723342318</v>
      </c>
      <c r="DG203" s="23">
        <f>EXP(-LN(2)/25)*DG202+(1-EXP(-LN(2)/25))/(LN(2)/25)*Calculateur!DB203*Calculateur!DD203*VLOOKUP('Données projet'!$B$13,Paramètres!$A$1:$I$89,3,0)*0.475*44/12</f>
        <v>2.3066785371308653</v>
      </c>
      <c r="DH203" s="23">
        <f>EXP(-LN(2)/2)*DH202+(1-EXP(-LN(2)/2))/(LN(2)/2)*DB203*DE203*VLOOKUP('Données projet'!$B$13,Paramètres!$A$1:$I$89,3,0)*0.475*44/12</f>
        <v>1.7822280744311667E-17</v>
      </c>
      <c r="DI203" s="24">
        <f t="shared" si="175"/>
        <v>18.813042260473182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1.3042919140928491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1.2472301622014093</v>
      </c>
      <c r="BA205" s="88">
        <f>EXP(LN('Données projet'!B88)/'Données projet'!A88)</f>
        <v>1.1089278551808897</v>
      </c>
      <c r="BV205" s="88">
        <f>EXP(LN('Données projet'!B114)/'Données projet'!A114)</f>
        <v>1.4152399275904428</v>
      </c>
      <c r="CQ205" s="88">
        <f>EXP(LN('Données projet'!B140)/'Données projet'!A140)</f>
        <v>1.2908435877572824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6" thickBot="1" x14ac:dyDescent="0.2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6" thickBot="1" x14ac:dyDescent="0.2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6" thickBot="1" x14ac:dyDescent="0.2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6" thickBot="1" x14ac:dyDescent="0.2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6" thickBot="1" x14ac:dyDescent="0.2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6" thickBot="1" x14ac:dyDescent="0.2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">
      <c r="A93" s="131" t="s">
        <v>208</v>
      </c>
    </row>
    <row r="94" spans="1:14" x14ac:dyDescent="0.2">
      <c r="A94" s="131" t="s">
        <v>209</v>
      </c>
    </row>
    <row r="95" spans="1:14" x14ac:dyDescent="0.2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M11" sqref="M11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4" t="str">
        <f>IF('Données projet'!$B$9="","",'Données projet'!$B$9)</f>
        <v>Douglas</v>
      </c>
      <c r="B6" s="155">
        <f>'Données projet'!D9</f>
        <v>4.5000087999999998</v>
      </c>
      <c r="C6" s="156">
        <f ca="1">IF(OR('Données projet'!B9="",'Données projet'!C9="",'Données projet'!C9=0%),0,Calculateur!S3)</f>
        <v>389.80719836281679</v>
      </c>
      <c r="D6" s="156">
        <f>IF(OR('Données projet'!B9="",'Données projet'!C9="",'Données projet'!C9=0%),0,Calculateur!T3)</f>
        <v>399.58193819355591</v>
      </c>
      <c r="E6" s="156">
        <f ca="1">MIN(C6,D6)</f>
        <v>389.80719836281679</v>
      </c>
      <c r="F6" s="156">
        <f ca="1">E6*B6</f>
        <v>1754.135822936021</v>
      </c>
      <c r="G6" s="156">
        <f ca="1">F6*(100%-'Données projet'!$C$24)*(100%-'Données projet'!$C$25)*(100%-'Données projet'!$C$26)*(100%-'Données projet'!$C$27)</f>
        <v>1262.9777925139351</v>
      </c>
      <c r="H6" s="157">
        <f>IF(OR('Données projet'!B9="",'Données projet'!C9="",'Données projet'!C9=0%),0,AVERAGE(Calculateur!$AC$3:$AC$33)*B6)</f>
        <v>27.569580437385529</v>
      </c>
      <c r="I6" s="158">
        <f>H6*(100%-'Données projet'!$C$24)*(100%-'Données projet'!$C$25)*(100%-'Données projet'!$C$26)*(100%-'Données projet'!$C$27)</f>
        <v>19.850097914917583</v>
      </c>
      <c r="J6" s="159">
        <f>IF(OR('Données projet'!B9="",'Données projet'!C9="",'Données projet'!C9=0%),0,SUM(Calculateur!$V$3:$V$33)*VLOOKUP('Données projet'!$B$9,Paramètres!$A$1:$I$89,9,0)*B6)</f>
        <v>212.85041623999999</v>
      </c>
      <c r="K6" s="160">
        <f>J6*(100%-'Données projet'!$C$24)*(100%-'Données projet'!$C$25)*(100%-'Données projet'!$C$26)*(100%-'Données projet'!$C$27)</f>
        <v>153.25229969280002</v>
      </c>
      <c r="L6" s="161">
        <f ca="1">G6+I6+K6</f>
        <v>1436.0801901216528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2" t="str">
        <f>IF('Données projet'!$B$10="","",'Données projet'!$B$10)</f>
        <v>Pin laricio</v>
      </c>
      <c r="B7" s="163">
        <f>'Données projet'!D10</f>
        <v>10.299997400000001</v>
      </c>
      <c r="C7" s="156">
        <f ca="1">IF(OR('Données projet'!B10="",'Données projet'!C10="",'Données projet'!C10=0%),0,Calculateur!AN3)</f>
        <v>269.90083987531233</v>
      </c>
      <c r="D7" s="156">
        <f>IF(OR('Données projet'!B10="",'Données projet'!C10="",'Données projet'!C10=0%),0,Calculateur!AO3)</f>
        <v>183.4515835513518</v>
      </c>
      <c r="E7" s="156">
        <f t="shared" ref="E7:E15" ca="1" si="0">MIN(C7,D7)</f>
        <v>183.4515835513518</v>
      </c>
      <c r="F7" s="156">
        <f t="shared" ref="F7:F15" ca="1" si="1">E7*B7</f>
        <v>1889.5508336048065</v>
      </c>
      <c r="G7" s="156">
        <f ca="1">F7*(100%-'Données projet'!$C$24)*(100%-'Données projet'!$C$25)*(100%-'Données projet'!$C$26)*(100%-'Données projet'!$C$27)</f>
        <v>1360.4766001954608</v>
      </c>
      <c r="H7" s="164">
        <f>IF(OR('Données projet'!B10="",'Données projet'!C10="",'Données projet'!C10=0%),0,AVERAGE(Calculateur!$AX$3:$AX$33)*B7)</f>
        <v>64.794194439506654</v>
      </c>
      <c r="I7" s="158">
        <f>H7*(100%-'Données projet'!$C$24)*(100%-'Données projet'!$C$25)*(100%-'Données projet'!$C$26)*(100%-'Données projet'!$C$27)</f>
        <v>46.651819996444793</v>
      </c>
      <c r="J7" s="159">
        <f>IF(OR('Données projet'!B10="",'Données projet'!C10="",'Données projet'!C10=0%),0,SUM(Calculateur!$AQ$3:$AQ$33)*VLOOKUP('Données projet'!$B$10,Paramètres!$A$1:$I$89,9,0)*B7)</f>
        <v>399.71714910049997</v>
      </c>
      <c r="K7" s="160">
        <f>J7*(100%-'Données projet'!$C$24)*(100%-'Données projet'!$C$25)*(100%-'Données projet'!$C$26)*(100%-'Données projet'!$C$27)</f>
        <v>287.79634735235999</v>
      </c>
      <c r="L7" s="161">
        <f t="shared" ref="L7:L15" ca="1" si="2">G7+I7+K7</f>
        <v>1694.9247675442657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2" t="str">
        <f>IF('Données projet'!$B$11="","",'Données projet'!$B$11)</f>
        <v>Sapin méditerranéen</v>
      </c>
      <c r="B8" s="163">
        <f>'Données projet'!D11</f>
        <v>0.79998939999999996</v>
      </c>
      <c r="C8" s="156">
        <f ca="1">IF(OR('Données projet'!B11="",'Données projet'!C11="",'Données projet'!C11=0%),0,Calculateur!BI3)</f>
        <v>255.64417186544995</v>
      </c>
      <c r="D8" s="156">
        <f>IF(OR('Données projet'!B11="",'Données projet'!C11="",'Données projet'!C11=0%),0,Calculateur!BJ3)</f>
        <v>165.41802783289376</v>
      </c>
      <c r="E8" s="156">
        <f t="shared" ca="1" si="0"/>
        <v>165.41802783289376</v>
      </c>
      <c r="F8" s="156">
        <f t="shared" ca="1" si="1"/>
        <v>132.33266883521998</v>
      </c>
      <c r="G8" s="156">
        <f ca="1">F8*(100%-'Données projet'!$C$24)*(100%-'Données projet'!$C$25)*(100%-'Données projet'!$C$26)*(100%-'Données projet'!$C$27)</f>
        <v>95.279521561358393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95.279521561358393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2" t="str">
        <f>IF('Données projet'!$B$12="","",'Données projet'!$B$12)</f>
        <v>Douglas</v>
      </c>
      <c r="B9" s="163">
        <f>'Données projet'!D12</f>
        <v>4.9999992000000004</v>
      </c>
      <c r="C9" s="156">
        <f ca="1">IF(OR('Données projet'!B12="",'Données projet'!C12="",'Données projet'!C12=0%),0,Calculateur!CD3)</f>
        <v>465.49436272491818</v>
      </c>
      <c r="D9" s="156">
        <f>IF(OR('Données projet'!B12="",'Données projet'!C12="",'Données projet'!C12=0%),0,Calculateur!CE3)</f>
        <v>494.36941732405256</v>
      </c>
      <c r="E9" s="156">
        <f t="shared" ca="1" si="0"/>
        <v>465.49436272491818</v>
      </c>
      <c r="F9" s="156">
        <f t="shared" ca="1" si="1"/>
        <v>2327.4714412291009</v>
      </c>
      <c r="G9" s="156">
        <f ca="1">F9*(100%-'Données projet'!$C$24)*(100%-'Données projet'!$C$25)*(100%-'Données projet'!$C$26)*(100%-'Données projet'!$C$27)</f>
        <v>1675.7794376849527</v>
      </c>
      <c r="H9" s="164">
        <f>IF(OR('Données projet'!B12="",'Données projet'!C12="",'Données projet'!C12=0%),0,AVERAGE(Calculateur!$CN$3:$CN$33)*B9)</f>
        <v>65.920117251002338</v>
      </c>
      <c r="I9" s="158">
        <f>H9*(100%-'Données projet'!$C$24)*(100%-'Données projet'!$C$25)*(100%-'Données projet'!$C$26)*(100%-'Données projet'!$C$27)</f>
        <v>47.462484420721687</v>
      </c>
      <c r="J9" s="159">
        <f>IF(OR('Données projet'!B12="",'Données projet'!C12="",'Données projet'!C12=0%),0,SUM(Calculateur!$CG$3:$CG$33)*VLOOKUP('Données projet'!$B$12,Paramètres!$A$1:$I$89,9,0)*B9)</f>
        <v>386.99993808000005</v>
      </c>
      <c r="K9" s="160">
        <f>J9*(100%-'Données projet'!$C$24)*(100%-'Données projet'!$C$25)*(100%-'Données projet'!$C$26)*(100%-'Données projet'!$C$27)</f>
        <v>278.63995541760005</v>
      </c>
      <c r="L9" s="161">
        <f t="shared" ca="1" si="2"/>
        <v>2001.8818775232744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2" t="str">
        <f>IF('Données projet'!$B$13="","",'Données projet'!$B$13)</f>
        <v>Pin laricio</v>
      </c>
      <c r="B10" s="163">
        <f>'Données projet'!D13</f>
        <v>3.2000051999999997</v>
      </c>
      <c r="C10" s="156">
        <f ca="1">IF(OR('Données projet'!B13="",'Données projet'!C13="",'Données projet'!C13=0%),0,Calculateur!CY3)</f>
        <v>361.46923697840384</v>
      </c>
      <c r="D10" s="156">
        <f>IF(OR('Données projet'!B13="",'Données projet'!C13="",'Données projet'!C13=0%),0,Calculateur!CZ3)</f>
        <v>302.25424592654673</v>
      </c>
      <c r="E10" s="156">
        <f t="shared" ca="1" si="0"/>
        <v>302.25424592654673</v>
      </c>
      <c r="F10" s="156">
        <f t="shared" ca="1" si="1"/>
        <v>967.21515868702829</v>
      </c>
      <c r="G10" s="156">
        <f ca="1">F10*(100%-'Données projet'!$C$24)*(100%-'Données projet'!$C$25)*(100%-'Données projet'!$C$26)*(100%-'Données projet'!$C$27)</f>
        <v>696.39491425466042</v>
      </c>
      <c r="H10" s="164">
        <f>IF(OR('Données projet'!B13="",'Données projet'!C13="",'Données projet'!C13=0%),0,AVERAGE(Calculateur!$DI$3:$DI$33)*B10)</f>
        <v>29.719277655448348</v>
      </c>
      <c r="I10" s="158">
        <f>H10*(100%-'Données projet'!$C$24)*(100%-'Données projet'!$C$25)*(100%-'Données projet'!$C$26)*(100%-'Données projet'!$C$27)</f>
        <v>21.397879911922814</v>
      </c>
      <c r="J10" s="159">
        <f>IF(OR('Données projet'!B13="",'Données projet'!C13="",'Données projet'!C13=0%),0,SUM(Calculateur!$DB$3:$DB$33)*VLOOKUP('Données projet'!$B$13,Paramètres!$A$1:$I$89,9,0)*B10)</f>
        <v>217.58723357867996</v>
      </c>
      <c r="K10" s="160">
        <f>J10*(100%-'Données projet'!$C$24)*(100%-'Données projet'!$C$25)*(100%-'Données projet'!$C$26)*(100%-'Données projet'!$C$27)</f>
        <v>156.66280817664958</v>
      </c>
      <c r="L10" s="161">
        <f t="shared" ca="1" si="2"/>
        <v>874.45560234323284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5"/>
      <c r="B16" s="232"/>
      <c r="C16" s="233"/>
      <c r="D16" s="25"/>
      <c r="E16" s="25"/>
      <c r="F16" s="174">
        <f t="shared" ref="F16:L16" ca="1" si="3">SUM(F6:F15)</f>
        <v>7070.7059252921763</v>
      </c>
      <c r="G16" s="175">
        <f t="shared" ca="1" si="3"/>
        <v>5090.9082662103674</v>
      </c>
      <c r="H16" s="176">
        <f t="shared" si="3"/>
        <v>188.00316978334286</v>
      </c>
      <c r="I16" s="176">
        <f t="shared" si="3"/>
        <v>135.36228224400688</v>
      </c>
      <c r="J16" s="177">
        <f t="shared" si="3"/>
        <v>1217.1547369991799</v>
      </c>
      <c r="K16" s="177">
        <f t="shared" si="3"/>
        <v>876.35141063940966</v>
      </c>
      <c r="L16" s="178">
        <f t="shared" ca="1" si="3"/>
        <v>6102.6219590937835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5"/>
      <c r="B17" s="232"/>
      <c r="C17" s="233"/>
      <c r="D17" s="230"/>
      <c r="E17" s="230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5"/>
      <c r="B18" s="232"/>
      <c r="C18" s="233"/>
      <c r="D18" s="230"/>
      <c r="E18" s="230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9" t="str">
        <f>A7</f>
        <v>Pin laricio</v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9" t="str">
        <f>A8</f>
        <v>Sapin méditerranéen</v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9" t="str">
        <f>A9</f>
        <v>Douglas</v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9" t="str">
        <f>A10</f>
        <v>Pin laricio</v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C147" sqref="C147:C166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7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 x14ac:dyDescent="0.25">
      <c r="A6" s="99"/>
      <c r="B6" s="99"/>
      <c r="C6" s="99"/>
      <c r="D6" s="99"/>
      <c r="E6" s="99"/>
      <c r="F6" s="228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35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4.5000087999999998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5" t="str">
        <f>B45</f>
        <v>Pin laricio</v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10.299997400000001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5" t="str">
        <f>B76</f>
        <v>Sapin méditerranéen</v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0.79998939999999996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60"/>
      <c r="J13" s="25"/>
      <c r="K13" s="224"/>
      <c r="L13" s="184" t="s">
        <v>257</v>
      </c>
      <c r="M13" s="25"/>
      <c r="N13" s="25"/>
      <c r="O13" s="25"/>
      <c r="P13" s="25"/>
      <c r="Q13" s="264"/>
      <c r="R13" s="25"/>
      <c r="S13" s="185" t="str">
        <f>B107</f>
        <v>Douglas</v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4.9999992000000004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0"/>
      <c r="G14" s="220"/>
      <c r="H14" s="185" t="s">
        <v>178</v>
      </c>
      <c r="I14" s="185" t="s">
        <v>290</v>
      </c>
      <c r="J14" s="214"/>
      <c r="K14" s="183"/>
      <c r="L14" s="216"/>
      <c r="M14" s="25"/>
      <c r="N14" s="25"/>
      <c r="O14" s="5"/>
      <c r="P14" s="5"/>
      <c r="Q14" s="265"/>
      <c r="R14" s="5"/>
      <c r="S14" s="185" t="str">
        <f>B138</f>
        <v>Pin laricio</v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3.2000051999999997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60"/>
      <c r="G15" s="342" t="s">
        <v>318</v>
      </c>
      <c r="H15" s="203"/>
      <c r="I15" s="204"/>
      <c r="J15" s="215"/>
      <c r="K15" s="224"/>
      <c r="L15" s="216"/>
      <c r="M15" s="25"/>
      <c r="N15" s="25"/>
      <c r="O15" s="25"/>
      <c r="P15" s="25"/>
      <c r="Q15" s="264"/>
      <c r="R15" s="25"/>
      <c r="S15" s="185" t="str">
        <f>B169</f>
        <v/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42"/>
      <c r="H16" s="203"/>
      <c r="I16" s="204"/>
      <c r="J16" s="215"/>
      <c r="K16" s="224"/>
      <c r="L16" s="338" t="s">
        <v>254</v>
      </c>
      <c r="M16" s="339"/>
      <c r="N16" s="2"/>
      <c r="O16" s="25"/>
      <c r="P16" s="25"/>
      <c r="Q16" s="264"/>
      <c r="R16" s="25"/>
      <c r="S16" s="185" t="str">
        <f>B200</f>
        <v/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09">
        <v>0</v>
      </c>
      <c r="B17" s="212" t="s">
        <v>132</v>
      </c>
      <c r="C17" s="211" t="s">
        <v>132</v>
      </c>
      <c r="D17" s="210" t="s">
        <v>132</v>
      </c>
      <c r="E17" s="206"/>
      <c r="F17" s="260"/>
      <c r="G17" s="342"/>
      <c r="J17" s="215"/>
      <c r="K17" s="224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4"/>
      <c r="R17" s="25"/>
      <c r="S17" s="185" t="str">
        <f>B231</f>
        <v/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09">
        <v>1</v>
      </c>
      <c r="B18" s="212" t="s">
        <v>132</v>
      </c>
      <c r="C18" s="211" t="s">
        <v>132</v>
      </c>
      <c r="D18" s="210" t="s">
        <v>132</v>
      </c>
      <c r="E18" s="206"/>
      <c r="F18" s="260"/>
      <c r="G18" s="342"/>
      <c r="J18" s="215"/>
      <c r="K18" s="224"/>
      <c r="L18" s="296" t="s">
        <v>255</v>
      </c>
      <c r="M18" s="298"/>
      <c r="N18" s="205"/>
      <c r="O18" s="25"/>
      <c r="P18" s="25"/>
      <c r="Q18" s="264"/>
      <c r="R18" s="25"/>
      <c r="S18" s="185" t="str">
        <f>B262</f>
        <v/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09">
        <v>2</v>
      </c>
      <c r="B19" s="212" t="s">
        <v>132</v>
      </c>
      <c r="C19" s="211" t="s">
        <v>132</v>
      </c>
      <c r="D19" s="210" t="s">
        <v>132</v>
      </c>
      <c r="E19" s="206"/>
      <c r="F19" s="260"/>
      <c r="G19" s="342"/>
      <c r="H19" s="231" t="s">
        <v>178</v>
      </c>
      <c r="I19" s="231" t="s">
        <v>287</v>
      </c>
      <c r="J19" s="259"/>
      <c r="K19" s="183"/>
      <c r="L19" s="338" t="s">
        <v>288</v>
      </c>
      <c r="M19" s="339"/>
      <c r="N19" s="191">
        <f>N17*N18</f>
        <v>0</v>
      </c>
      <c r="O19" s="25"/>
      <c r="P19" s="5"/>
      <c r="Q19" s="265"/>
      <c r="R19" s="5"/>
      <c r="S19" s="185" t="str">
        <f>B293</f>
        <v/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09">
        <v>3</v>
      </c>
      <c r="B20" s="212" t="s">
        <v>132</v>
      </c>
      <c r="C20" s="211" t="s">
        <v>132</v>
      </c>
      <c r="D20" s="210" t="s">
        <v>132</v>
      </c>
      <c r="E20" s="206"/>
      <c r="F20" s="260"/>
      <c r="G20" s="342"/>
      <c r="H20" s="203">
        <v>0</v>
      </c>
      <c r="I20" s="204"/>
      <c r="J20" s="5"/>
      <c r="K20" s="183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09">
        <v>4</v>
      </c>
      <c r="B21" s="212" t="s">
        <v>132</v>
      </c>
      <c r="C21" s="211" t="s">
        <v>132</v>
      </c>
      <c r="D21" s="210" t="s">
        <v>132</v>
      </c>
      <c r="E21" s="206"/>
      <c r="F21" s="260"/>
      <c r="H21" s="203">
        <v>1</v>
      </c>
      <c r="I21" s="204"/>
      <c r="K21" s="183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09">
        <v>5</v>
      </c>
      <c r="B22" s="212" t="s">
        <v>132</v>
      </c>
      <c r="C22" s="211" t="s">
        <v>132</v>
      </c>
      <c r="D22" s="210" t="s">
        <v>132</v>
      </c>
      <c r="E22" s="206"/>
      <c r="F22" s="260"/>
      <c r="H22" s="203">
        <v>2</v>
      </c>
      <c r="I22" s="204"/>
      <c r="K22" s="183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2">
        <f>'Données projet'!A36</f>
        <v>20</v>
      </c>
      <c r="B23" s="193">
        <f>'Données projet'!D36</f>
        <v>25</v>
      </c>
      <c r="C23" s="206"/>
      <c r="D23" s="194">
        <f>B23*C23</f>
        <v>0</v>
      </c>
      <c r="E23" s="206"/>
      <c r="F23" s="260"/>
      <c r="H23" s="203">
        <v>3</v>
      </c>
      <c r="I23" s="204"/>
      <c r="K23" s="224"/>
      <c r="L23" s="340" t="s">
        <v>260</v>
      </c>
      <c r="M23" s="340"/>
      <c r="N23" s="340"/>
      <c r="O23" s="25"/>
      <c r="P23" s="25"/>
      <c r="Q23" s="264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2">
        <f>'Données projet'!A37</f>
        <v>25</v>
      </c>
      <c r="B24" s="193">
        <f>'Données projet'!D37</f>
        <v>39</v>
      </c>
      <c r="C24" s="206"/>
      <c r="D24" s="194">
        <f t="shared" ref="D24:D42" si="2">B24*C24</f>
        <v>0</v>
      </c>
      <c r="E24" s="206"/>
      <c r="F24" s="263"/>
      <c r="H24" s="203">
        <v>4</v>
      </c>
      <c r="I24" s="204"/>
      <c r="K24" s="224"/>
      <c r="O24" s="25"/>
      <c r="P24" s="25"/>
      <c r="Q24" s="264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2">
        <f>'Données projet'!A38</f>
        <v>30</v>
      </c>
      <c r="B25" s="193">
        <f>'Données projet'!D38</f>
        <v>46</v>
      </c>
      <c r="C25" s="206"/>
      <c r="D25" s="194">
        <f t="shared" si="2"/>
        <v>0</v>
      </c>
      <c r="E25" s="206"/>
      <c r="F25" s="263"/>
      <c r="G25" s="1"/>
      <c r="H25" s="203">
        <v>5</v>
      </c>
      <c r="I25" s="204"/>
      <c r="K25" s="224"/>
      <c r="L25" s="270" t="s">
        <v>285</v>
      </c>
      <c r="M25" s="270"/>
      <c r="N25" s="270"/>
      <c r="O25" s="270"/>
      <c r="P25" s="205"/>
      <c r="Q25" s="264"/>
      <c r="R25" s="25"/>
      <c r="S25" s="198" t="s">
        <v>266</v>
      </c>
      <c r="T25" s="337">
        <f ca="1">T23-T24</f>
        <v>0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2">
        <f>'Données projet'!A39</f>
        <v>35</v>
      </c>
      <c r="B26" s="193">
        <f>'Données projet'!D39</f>
        <v>50</v>
      </c>
      <c r="C26" s="206"/>
      <c r="D26" s="194">
        <f t="shared" si="2"/>
        <v>0</v>
      </c>
      <c r="E26" s="206"/>
      <c r="F26" s="263"/>
      <c r="G26" s="258"/>
      <c r="H26" s="203"/>
      <c r="I26" s="204"/>
      <c r="K26" s="224"/>
      <c r="L26" s="324" t="s">
        <v>258</v>
      </c>
      <c r="M26" s="325"/>
      <c r="N26" s="325"/>
      <c r="O26" s="325"/>
      <c r="P26" s="326"/>
      <c r="Q26" s="264"/>
      <c r="R26" s="25"/>
      <c r="S26" s="198" t="s">
        <v>265</v>
      </c>
      <c r="T26" s="334" t="str">
        <f ca="1">IF(T25&lt;0,"Votre projet est additionnel","Votre projet n'est pas additionnel")</f>
        <v>Votre projet n'est pas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2">
        <f>'Données projet'!A40</f>
        <v>40</v>
      </c>
      <c r="B27" s="193">
        <f>'Données projet'!D40</f>
        <v>50</v>
      </c>
      <c r="C27" s="206"/>
      <c r="D27" s="194">
        <f t="shared" si="2"/>
        <v>0</v>
      </c>
      <c r="E27" s="206"/>
      <c r="F27" s="263"/>
      <c r="G27" s="258"/>
      <c r="H27" s="203"/>
      <c r="I27" s="204"/>
      <c r="K27" s="224"/>
      <c r="L27" s="327"/>
      <c r="M27" s="328"/>
      <c r="N27" s="328"/>
      <c r="O27" s="328"/>
      <c r="P27" s="329"/>
      <c r="Q27" s="264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2">
        <f>'Données projet'!A41</f>
        <v>45</v>
      </c>
      <c r="B28" s="193">
        <f>'Données projet'!D41</f>
        <v>52</v>
      </c>
      <c r="C28" s="206"/>
      <c r="D28" s="194">
        <f t="shared" si="2"/>
        <v>0</v>
      </c>
      <c r="E28" s="206"/>
      <c r="F28" s="263"/>
      <c r="G28" s="221"/>
      <c r="H28" s="203"/>
      <c r="I28" s="204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2">
        <f>'Données projet'!A42</f>
        <v>50</v>
      </c>
      <c r="B29" s="193">
        <f>'Données projet'!D42</f>
        <v>49</v>
      </c>
      <c r="C29" s="206"/>
      <c r="D29" s="194">
        <f t="shared" si="2"/>
        <v>0</v>
      </c>
      <c r="E29" s="206"/>
      <c r="F29" s="263"/>
      <c r="G29" s="217"/>
      <c r="H29" s="203"/>
      <c r="I29" s="204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2">
        <f>'Données projet'!A43</f>
        <v>55</v>
      </c>
      <c r="B30" s="193">
        <f>'Données projet'!D43</f>
        <v>51</v>
      </c>
      <c r="C30" s="206"/>
      <c r="D30" s="194">
        <f t="shared" si="2"/>
        <v>0</v>
      </c>
      <c r="E30" s="206"/>
      <c r="F30" s="263"/>
      <c r="G30" s="217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2">
        <f>'Données projet'!A44</f>
        <v>60</v>
      </c>
      <c r="B31" s="193">
        <f>'Données projet'!D44</f>
        <v>49</v>
      </c>
      <c r="C31" s="206"/>
      <c r="D31" s="194">
        <f t="shared" si="2"/>
        <v>0</v>
      </c>
      <c r="E31" s="206"/>
      <c r="F31" s="263"/>
      <c r="G31" s="217"/>
      <c r="H31" s="203"/>
      <c r="I31" s="204"/>
      <c r="K31" s="183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2">
        <f>'Données projet'!A45</f>
        <v>65</v>
      </c>
      <c r="B32" s="193">
        <f>'Données projet'!D45</f>
        <v>46</v>
      </c>
      <c r="C32" s="206"/>
      <c r="D32" s="194">
        <f t="shared" si="2"/>
        <v>0</v>
      </c>
      <c r="E32" s="206"/>
      <c r="F32" s="263"/>
      <c r="G32" s="217"/>
      <c r="H32" s="203"/>
      <c r="I32" s="204"/>
      <c r="K32" s="183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2">
        <f>'Données projet'!A46</f>
        <v>70</v>
      </c>
      <c r="B33" s="193">
        <f>'Données projet'!D46</f>
        <v>719</v>
      </c>
      <c r="C33" s="206"/>
      <c r="D33" s="194">
        <f t="shared" si="2"/>
        <v>0</v>
      </c>
      <c r="E33" s="206"/>
      <c r="F33" s="263"/>
      <c r="G33" s="217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3"/>
      <c r="G34" s="217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3"/>
      <c r="G35" s="217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3"/>
      <c r="G36" s="217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3"/>
      <c r="G37" s="217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3"/>
      <c r="G38" s="217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3"/>
      <c r="G39" s="217"/>
      <c r="H39" s="203"/>
      <c r="I39" s="204"/>
      <c r="K39" s="224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3"/>
      <c r="G40" s="217"/>
      <c r="H40" s="203"/>
      <c r="I40" s="204"/>
      <c r="K40" s="224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3"/>
      <c r="G41" s="217"/>
      <c r="H41" s="203"/>
      <c r="I41" s="204"/>
      <c r="K41" s="224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3"/>
      <c r="G42" s="217"/>
      <c r="H42" s="203"/>
      <c r="I42" s="204"/>
      <c r="K42" s="224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9"/>
      <c r="B43" s="199"/>
      <c r="C43" s="199"/>
      <c r="D43" s="255"/>
      <c r="E43" s="255"/>
      <c r="F43" s="268"/>
      <c r="G43" s="217"/>
      <c r="H43" s="203"/>
      <c r="I43" s="204"/>
      <c r="K43" s="224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60"/>
      <c r="G44" s="217"/>
      <c r="H44" s="203"/>
      <c r="I44" s="204"/>
      <c r="K44" s="224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6" t="str">
        <f>IF('Données projet'!$B$10="","",'Données projet'!$B$10)</f>
        <v>Pin laricio</v>
      </c>
      <c r="C45" s="5"/>
      <c r="D45" s="5"/>
      <c r="E45" s="5"/>
      <c r="F45" s="260"/>
      <c r="G45" s="217"/>
      <c r="H45" s="203"/>
      <c r="I45" s="204"/>
      <c r="J45" s="25"/>
      <c r="K45" s="224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60"/>
      <c r="G46" s="217"/>
      <c r="H46" s="203"/>
      <c r="I46" s="204"/>
      <c r="J46" s="25"/>
      <c r="K46" s="224"/>
      <c r="L46" s="219"/>
      <c r="M46" s="219"/>
      <c r="N46" s="219"/>
      <c r="O46" s="207">
        <f>IF(O45+1&lt;=MIN('Données projet'!$E$9:$E$18),O45+1,"STOP")</f>
        <v>13</v>
      </c>
      <c r="P46" s="200">
        <f t="shared" si="3"/>
        <v>0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3"/>
      <c r="I47" s="204"/>
      <c r="J47" s="25"/>
      <c r="K47" s="224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09">
        <v>0</v>
      </c>
      <c r="B48" s="212" t="s">
        <v>132</v>
      </c>
      <c r="C48" s="211" t="s">
        <v>132</v>
      </c>
      <c r="D48" s="210" t="s">
        <v>132</v>
      </c>
      <c r="E48" s="206"/>
      <c r="F48" s="261"/>
      <c r="G48" s="217"/>
      <c r="H48" s="203"/>
      <c r="I48" s="204"/>
      <c r="J48" s="25"/>
      <c r="K48" s="224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">
      <c r="A49" s="209">
        <v>1</v>
      </c>
      <c r="B49" s="212" t="s">
        <v>132</v>
      </c>
      <c r="C49" s="211" t="s">
        <v>132</v>
      </c>
      <c r="D49" s="210" t="s">
        <v>132</v>
      </c>
      <c r="E49" s="206"/>
      <c r="F49" s="261"/>
      <c r="G49" s="218"/>
      <c r="H49" s="203"/>
      <c r="I49" s="204"/>
      <c r="J49" s="219"/>
      <c r="K49" s="226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6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 x14ac:dyDescent="0.2">
      <c r="A50" s="209">
        <v>2</v>
      </c>
      <c r="B50" s="212" t="s">
        <v>132</v>
      </c>
      <c r="C50" s="211" t="s">
        <v>132</v>
      </c>
      <c r="D50" s="210" t="s">
        <v>132</v>
      </c>
      <c r="E50" s="206"/>
      <c r="F50" s="261"/>
      <c r="G50" s="220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09">
        <v>3</v>
      </c>
      <c r="B51" s="212" t="s">
        <v>132</v>
      </c>
      <c r="C51" s="211" t="s">
        <v>132</v>
      </c>
      <c r="D51" s="210" t="s">
        <v>132</v>
      </c>
      <c r="E51" s="206"/>
      <c r="F51" s="261"/>
      <c r="G51" s="220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09">
        <v>4</v>
      </c>
      <c r="B52" s="212" t="s">
        <v>132</v>
      </c>
      <c r="C52" s="211" t="s">
        <v>132</v>
      </c>
      <c r="D52" s="210" t="s">
        <v>132</v>
      </c>
      <c r="E52" s="206"/>
      <c r="F52" s="261"/>
      <c r="G52" s="220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09">
        <v>5</v>
      </c>
      <c r="B53" s="212" t="s">
        <v>132</v>
      </c>
      <c r="C53" s="211" t="s">
        <v>132</v>
      </c>
      <c r="D53" s="210" t="s">
        <v>132</v>
      </c>
      <c r="E53" s="206"/>
      <c r="F53" s="261"/>
      <c r="G53" s="221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2">
        <f>'Données projet'!A62</f>
        <v>22</v>
      </c>
      <c r="B54" s="193">
        <f>'Données projet'!D62</f>
        <v>52.41</v>
      </c>
      <c r="C54" s="204"/>
      <c r="D54" s="191">
        <f>B54*C54</f>
        <v>0</v>
      </c>
      <c r="E54" s="206"/>
      <c r="F54" s="262"/>
      <c r="G54" s="221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2">
        <f>'Données projet'!A63</f>
        <v>27</v>
      </c>
      <c r="B55" s="193">
        <f>'Données projet'!D63</f>
        <v>37.840000000000003</v>
      </c>
      <c r="C55" s="204"/>
      <c r="D55" s="191">
        <f t="shared" ref="D55:D73" si="4">B55*C55</f>
        <v>0</v>
      </c>
      <c r="E55" s="206"/>
      <c r="F55" s="262"/>
      <c r="G55" s="221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2">
        <f>'Données projet'!A64</f>
        <v>33</v>
      </c>
      <c r="B56" s="193">
        <f>'Données projet'!D64</f>
        <v>50.41</v>
      </c>
      <c r="C56" s="204"/>
      <c r="D56" s="191">
        <f t="shared" si="4"/>
        <v>0</v>
      </c>
      <c r="E56" s="206"/>
      <c r="F56" s="262"/>
      <c r="G56" s="221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2">
        <f>'Données projet'!A65</f>
        <v>41</v>
      </c>
      <c r="B57" s="193">
        <f>'Données projet'!D65</f>
        <v>72.13</v>
      </c>
      <c r="C57" s="204"/>
      <c r="D57" s="191">
        <f t="shared" si="4"/>
        <v>0</v>
      </c>
      <c r="E57" s="206"/>
      <c r="F57" s="262"/>
      <c r="G57" s="221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2">
        <f>'Données projet'!A66</f>
        <v>50</v>
      </c>
      <c r="B58" s="193">
        <f>'Données projet'!D66</f>
        <v>70.2</v>
      </c>
      <c r="C58" s="204"/>
      <c r="D58" s="191">
        <f t="shared" si="4"/>
        <v>0</v>
      </c>
      <c r="E58" s="206"/>
      <c r="F58" s="262"/>
      <c r="G58" s="221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2">
        <f>'Données projet'!A67</f>
        <v>60</v>
      </c>
      <c r="B59" s="193">
        <f>'Données projet'!D67</f>
        <v>69.849999999999994</v>
      </c>
      <c r="C59" s="204"/>
      <c r="D59" s="191">
        <f t="shared" si="4"/>
        <v>0</v>
      </c>
      <c r="E59" s="206"/>
      <c r="F59" s="262"/>
      <c r="G59" s="221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2">
        <f>'Données projet'!A68</f>
        <v>70</v>
      </c>
      <c r="B60" s="193">
        <f>'Données projet'!D68</f>
        <v>67.88</v>
      </c>
      <c r="C60" s="204"/>
      <c r="D60" s="191">
        <f t="shared" si="4"/>
        <v>0</v>
      </c>
      <c r="E60" s="206"/>
      <c r="F60" s="262"/>
      <c r="G60" s="222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2">
        <f>'Données projet'!A69</f>
        <v>80</v>
      </c>
      <c r="B61" s="193">
        <f>'Données projet'!D69</f>
        <v>520</v>
      </c>
      <c r="C61" s="204"/>
      <c r="D61" s="191">
        <f t="shared" si="4"/>
        <v>0</v>
      </c>
      <c r="E61" s="206"/>
      <c r="F61" s="262"/>
      <c r="G61" s="222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2"/>
      <c r="G62" s="222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2"/>
      <c r="G63" s="222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2"/>
      <c r="G64" s="222"/>
      <c r="H64" s="203"/>
      <c r="I64" s="204"/>
      <c r="J64" s="223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2"/>
      <c r="G65" s="222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2"/>
      <c r="G66" s="222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2"/>
      <c r="G67" s="222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2"/>
      <c r="G68" s="222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2"/>
      <c r="G69" s="222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2"/>
      <c r="G70" s="222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2"/>
      <c r="G71" s="222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2"/>
      <c r="G72" s="222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2"/>
      <c r="G73" s="222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60"/>
      <c r="G74" s="222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60"/>
      <c r="G75" s="222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6" t="str">
        <f>IF('Données projet'!B11="","",'Données projet'!B11)</f>
        <v>Sapin méditerranéen</v>
      </c>
      <c r="C76" s="5"/>
      <c r="D76" s="5"/>
      <c r="E76" s="5"/>
      <c r="F76" s="260"/>
      <c r="G76" s="222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60"/>
      <c r="G77" s="222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09">
        <v>0</v>
      </c>
      <c r="B79" s="212" t="s">
        <v>132</v>
      </c>
      <c r="C79" s="211" t="s">
        <v>132</v>
      </c>
      <c r="D79" s="210" t="s">
        <v>132</v>
      </c>
      <c r="E79" s="206"/>
      <c r="F79" s="261"/>
      <c r="G79" s="222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09">
        <v>1</v>
      </c>
      <c r="B80" s="212" t="s">
        <v>132</v>
      </c>
      <c r="C80" s="211" t="s">
        <v>132</v>
      </c>
      <c r="D80" s="210" t="s">
        <v>132</v>
      </c>
      <c r="E80" s="206"/>
      <c r="F80" s="261"/>
      <c r="G80" s="220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09">
        <v>2</v>
      </c>
      <c r="B81" s="212" t="s">
        <v>132</v>
      </c>
      <c r="C81" s="211" t="s">
        <v>132</v>
      </c>
      <c r="D81" s="210" t="s">
        <v>132</v>
      </c>
      <c r="E81" s="206"/>
      <c r="F81" s="261"/>
      <c r="G81" s="220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09">
        <v>3</v>
      </c>
      <c r="B82" s="212" t="s">
        <v>132</v>
      </c>
      <c r="C82" s="211" t="s">
        <v>132</v>
      </c>
      <c r="D82" s="210" t="s">
        <v>132</v>
      </c>
      <c r="E82" s="206"/>
      <c r="F82" s="261"/>
      <c r="G82" s="220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09">
        <v>4</v>
      </c>
      <c r="B83" s="212" t="s">
        <v>132</v>
      </c>
      <c r="C83" s="211" t="s">
        <v>132</v>
      </c>
      <c r="D83" s="210" t="s">
        <v>132</v>
      </c>
      <c r="E83" s="206"/>
      <c r="F83" s="261"/>
      <c r="G83" s="220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09">
        <v>5</v>
      </c>
      <c r="B84" s="212" t="s">
        <v>132</v>
      </c>
      <c r="C84" s="211" t="s">
        <v>132</v>
      </c>
      <c r="D84" s="210" t="s">
        <v>132</v>
      </c>
      <c r="E84" s="206"/>
      <c r="F84" s="261"/>
      <c r="G84" s="221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2">
        <f>'Données projet'!A88</f>
        <v>57</v>
      </c>
      <c r="B85" s="193">
        <f>'Données projet'!D88</f>
        <v>133.62</v>
      </c>
      <c r="C85" s="204"/>
      <c r="D85" s="191">
        <f>B85*C85</f>
        <v>0</v>
      </c>
      <c r="E85" s="206"/>
      <c r="F85" s="262"/>
      <c r="G85" s="221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2">
        <f>'Données projet'!A89</f>
        <v>65</v>
      </c>
      <c r="B86" s="193">
        <f>'Données projet'!D89</f>
        <v>86.06</v>
      </c>
      <c r="C86" s="204"/>
      <c r="D86" s="191">
        <f t="shared" ref="D86:D104" si="6">B86*C86</f>
        <v>0</v>
      </c>
      <c r="E86" s="206"/>
      <c r="F86" s="262"/>
      <c r="G86" s="221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2">
        <f>'Données projet'!A90</f>
        <v>73</v>
      </c>
      <c r="B87" s="193">
        <f>'Données projet'!D90</f>
        <v>82.53</v>
      </c>
      <c r="C87" s="204"/>
      <c r="D87" s="191">
        <f t="shared" si="6"/>
        <v>0</v>
      </c>
      <c r="E87" s="206"/>
      <c r="F87" s="262"/>
      <c r="G87" s="221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2">
        <f>'Données projet'!A91</f>
        <v>81</v>
      </c>
      <c r="B88" s="193">
        <f>'Données projet'!D91</f>
        <v>92.7</v>
      </c>
      <c r="C88" s="204"/>
      <c r="D88" s="191">
        <f t="shared" si="6"/>
        <v>0</v>
      </c>
      <c r="E88" s="206"/>
      <c r="F88" s="262"/>
      <c r="G88" s="221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2">
        <f>'Données projet'!A92</f>
        <v>90</v>
      </c>
      <c r="B89" s="193">
        <f>'Données projet'!D92</f>
        <v>87.72</v>
      </c>
      <c r="C89" s="204"/>
      <c r="D89" s="191">
        <f t="shared" si="6"/>
        <v>0</v>
      </c>
      <c r="E89" s="206"/>
      <c r="F89" s="262"/>
      <c r="G89" s="221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2">
        <f>'Données projet'!A93</f>
        <v>99</v>
      </c>
      <c r="B90" s="193">
        <f>'Données projet'!D93</f>
        <v>87.97</v>
      </c>
      <c r="C90" s="204"/>
      <c r="D90" s="191">
        <f t="shared" si="6"/>
        <v>0</v>
      </c>
      <c r="E90" s="206"/>
      <c r="F90" s="262"/>
      <c r="G90" s="221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2">
        <f>'Données projet'!A94</f>
        <v>108</v>
      </c>
      <c r="B91" s="193">
        <f>'Données projet'!D94</f>
        <v>81.44</v>
      </c>
      <c r="C91" s="204"/>
      <c r="D91" s="191">
        <f t="shared" si="6"/>
        <v>0</v>
      </c>
      <c r="E91" s="206"/>
      <c r="F91" s="262"/>
      <c r="G91" s="222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2">
        <f>'Données projet'!A95</f>
        <v>118</v>
      </c>
      <c r="B92" s="193">
        <f>'Données projet'!D95</f>
        <v>81.52</v>
      </c>
      <c r="C92" s="204"/>
      <c r="D92" s="191">
        <f t="shared" si="6"/>
        <v>0</v>
      </c>
      <c r="E92" s="206"/>
      <c r="F92" s="262"/>
      <c r="G92" s="222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2">
        <f>'Données projet'!A96</f>
        <v>128</v>
      </c>
      <c r="B93" s="193">
        <f>'Données projet'!D96</f>
        <v>580.05999999999995</v>
      </c>
      <c r="C93" s="204"/>
      <c r="D93" s="191">
        <f t="shared" si="6"/>
        <v>0</v>
      </c>
      <c r="E93" s="206"/>
      <c r="F93" s="262"/>
      <c r="G93" s="222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2"/>
      <c r="G94" s="222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2"/>
      <c r="G95" s="222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2"/>
      <c r="G96" s="222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2"/>
      <c r="G97" s="222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2"/>
      <c r="G98" s="222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2"/>
      <c r="G99" s="222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2"/>
      <c r="G100" s="222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2"/>
      <c r="G101" s="222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2"/>
      <c r="G102" s="222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2"/>
      <c r="G103" s="222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2"/>
      <c r="G104" s="222"/>
      <c r="H104" s="203"/>
      <c r="I104" s="204"/>
      <c r="J104" s="5"/>
      <c r="K104" s="183"/>
      <c r="L104" s="5"/>
      <c r="M104" s="5"/>
      <c r="N104" s="5"/>
      <c r="O104" s="207" t="str">
        <f>IF(O103+1&lt;=MIN('Données projet'!$E$9:$E$18),O103+1,"STOP")</f>
        <v>STOP</v>
      </c>
      <c r="P104" s="197" t="e">
        <f t="shared" si="7"/>
        <v>#VALUE!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60"/>
      <c r="G105" s="222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60"/>
      <c r="G106" s="222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6" t="str">
        <f>IF('Données projet'!B12="","",'Données projet'!B12)</f>
        <v>Douglas</v>
      </c>
      <c r="C107" s="5"/>
      <c r="D107" s="5"/>
      <c r="E107" s="5"/>
      <c r="F107" s="260"/>
      <c r="G107" s="222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60"/>
      <c r="G108" s="222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09">
        <v>0</v>
      </c>
      <c r="B110" s="212" t="s">
        <v>132</v>
      </c>
      <c r="C110" s="211" t="s">
        <v>132</v>
      </c>
      <c r="D110" s="210" t="s">
        <v>132</v>
      </c>
      <c r="E110" s="206"/>
      <c r="F110" s="261"/>
      <c r="G110" s="222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09">
        <v>1</v>
      </c>
      <c r="B111" s="212" t="s">
        <v>132</v>
      </c>
      <c r="C111" s="211" t="s">
        <v>132</v>
      </c>
      <c r="D111" s="210" t="s">
        <v>132</v>
      </c>
      <c r="E111" s="206"/>
      <c r="F111" s="261"/>
      <c r="G111" s="220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09">
        <v>2</v>
      </c>
      <c r="B112" s="212" t="s">
        <v>132</v>
      </c>
      <c r="C112" s="211" t="s">
        <v>132</v>
      </c>
      <c r="D112" s="210" t="s">
        <v>132</v>
      </c>
      <c r="E112" s="206"/>
      <c r="F112" s="261"/>
      <c r="G112" s="220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09">
        <v>3</v>
      </c>
      <c r="B113" s="212" t="s">
        <v>132</v>
      </c>
      <c r="C113" s="211" t="s">
        <v>132</v>
      </c>
      <c r="D113" s="210" t="s">
        <v>132</v>
      </c>
      <c r="E113" s="206"/>
      <c r="F113" s="261"/>
      <c r="G113" s="220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09">
        <v>4</v>
      </c>
      <c r="B114" s="212" t="s">
        <v>132</v>
      </c>
      <c r="C114" s="211" t="s">
        <v>132</v>
      </c>
      <c r="D114" s="210" t="s">
        <v>132</v>
      </c>
      <c r="E114" s="206"/>
      <c r="F114" s="261"/>
      <c r="G114" s="220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09">
        <v>5</v>
      </c>
      <c r="B115" s="212" t="s">
        <v>132</v>
      </c>
      <c r="C115" s="211" t="s">
        <v>132</v>
      </c>
      <c r="D115" s="210" t="s">
        <v>132</v>
      </c>
      <c r="E115" s="206"/>
      <c r="F115" s="261"/>
      <c r="G115" s="221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2">
        <f>'Données projet'!A114</f>
        <v>15</v>
      </c>
      <c r="B116" s="193">
        <f>'Données projet'!D114</f>
        <v>28</v>
      </c>
      <c r="C116" s="204"/>
      <c r="D116" s="191">
        <f>B116*C116</f>
        <v>0</v>
      </c>
      <c r="E116" s="206"/>
      <c r="F116" s="262"/>
      <c r="G116" s="221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2">
        <f>'Données projet'!A115</f>
        <v>20</v>
      </c>
      <c r="B117" s="193">
        <f>'Données projet'!D115</f>
        <v>45</v>
      </c>
      <c r="C117" s="204"/>
      <c r="D117" s="191">
        <f t="shared" ref="D117:D135" si="8">B117*C117</f>
        <v>0</v>
      </c>
      <c r="E117" s="206"/>
      <c r="F117" s="262"/>
      <c r="G117" s="221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2">
        <f>'Données projet'!A116</f>
        <v>25</v>
      </c>
      <c r="B118" s="193">
        <f>'Données projet'!D116</f>
        <v>52</v>
      </c>
      <c r="C118" s="204"/>
      <c r="D118" s="191">
        <f t="shared" si="8"/>
        <v>0</v>
      </c>
      <c r="E118" s="206"/>
      <c r="F118" s="262"/>
      <c r="G118" s="221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2">
        <f>'Données projet'!A117</f>
        <v>30</v>
      </c>
      <c r="B119" s="193">
        <f>'Données projet'!D117</f>
        <v>55</v>
      </c>
      <c r="C119" s="204"/>
      <c r="D119" s="191">
        <f t="shared" si="8"/>
        <v>0</v>
      </c>
      <c r="E119" s="206"/>
      <c r="F119" s="262"/>
      <c r="G119" s="221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2">
        <f>'Données projet'!A118</f>
        <v>35</v>
      </c>
      <c r="B120" s="193">
        <f>'Données projet'!D118</f>
        <v>55</v>
      </c>
      <c r="C120" s="204"/>
      <c r="D120" s="191">
        <f t="shared" si="8"/>
        <v>0</v>
      </c>
      <c r="E120" s="206"/>
      <c r="F120" s="262"/>
      <c r="G120" s="221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2">
        <f>'Données projet'!A119</f>
        <v>40</v>
      </c>
      <c r="B121" s="193">
        <f>'Données projet'!D119</f>
        <v>55</v>
      </c>
      <c r="C121" s="204"/>
      <c r="D121" s="191">
        <f t="shared" si="8"/>
        <v>0</v>
      </c>
      <c r="E121" s="206"/>
      <c r="F121" s="262"/>
      <c r="G121" s="221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2">
        <f>'Données projet'!A120</f>
        <v>45</v>
      </c>
      <c r="B122" s="193">
        <f>'Données projet'!D120</f>
        <v>53</v>
      </c>
      <c r="C122" s="204"/>
      <c r="D122" s="191">
        <f t="shared" si="8"/>
        <v>0</v>
      </c>
      <c r="E122" s="206"/>
      <c r="F122" s="262"/>
      <c r="G122" s="222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2">
        <f>'Données projet'!A121</f>
        <v>50</v>
      </c>
      <c r="B123" s="193">
        <f>'Données projet'!D121</f>
        <v>51</v>
      </c>
      <c r="C123" s="204"/>
      <c r="D123" s="191">
        <f t="shared" si="8"/>
        <v>0</v>
      </c>
      <c r="E123" s="206"/>
      <c r="F123" s="262"/>
      <c r="G123" s="222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2">
        <f>'Données projet'!A122</f>
        <v>55</v>
      </c>
      <c r="B124" s="193">
        <f>'Données projet'!D122</f>
        <v>51</v>
      </c>
      <c r="C124" s="204"/>
      <c r="D124" s="191">
        <f t="shared" si="8"/>
        <v>0</v>
      </c>
      <c r="E124" s="206"/>
      <c r="F124" s="262"/>
      <c r="G124" s="222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2">
        <f>'Données projet'!A123</f>
        <v>60</v>
      </c>
      <c r="B125" s="193">
        <f>'Données projet'!D123</f>
        <v>45</v>
      </c>
      <c r="C125" s="204"/>
      <c r="D125" s="191">
        <f t="shared" si="8"/>
        <v>0</v>
      </c>
      <c r="E125" s="206"/>
      <c r="F125" s="262"/>
      <c r="G125" s="222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2">
        <f>'Données projet'!A124</f>
        <v>65</v>
      </c>
      <c r="B126" s="193">
        <f>'Données projet'!D124</f>
        <v>46</v>
      </c>
      <c r="C126" s="204"/>
      <c r="D126" s="191">
        <f t="shared" si="8"/>
        <v>0</v>
      </c>
      <c r="E126" s="206"/>
      <c r="F126" s="262"/>
      <c r="G126" s="222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2">
        <f>'Données projet'!A125</f>
        <v>70</v>
      </c>
      <c r="B127" s="193">
        <f>'Données projet'!D125</f>
        <v>785</v>
      </c>
      <c r="C127" s="204"/>
      <c r="D127" s="191">
        <f t="shared" si="8"/>
        <v>0</v>
      </c>
      <c r="E127" s="206"/>
      <c r="F127" s="262"/>
      <c r="G127" s="222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2"/>
      <c r="G128" s="222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2"/>
      <c r="G129" s="222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2"/>
      <c r="G130" s="222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2"/>
      <c r="G131" s="222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2"/>
      <c r="G132" s="222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2"/>
      <c r="G133" s="222"/>
      <c r="H133" s="203"/>
      <c r="I133" s="204"/>
      <c r="J133" s="5"/>
      <c r="K133" s="183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2"/>
      <c r="G134" s="222"/>
      <c r="H134" s="203"/>
      <c r="I134" s="204"/>
      <c r="J134" s="5"/>
      <c r="K134" s="183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2"/>
      <c r="G135" s="222"/>
      <c r="H135" s="203"/>
      <c r="I135" s="204"/>
      <c r="J135" s="5"/>
      <c r="K135" s="183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60"/>
      <c r="G136" s="222"/>
      <c r="H136" s="203"/>
      <c r="I136" s="204"/>
      <c r="J136" s="5"/>
      <c r="K136" s="183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60"/>
      <c r="G137" s="222"/>
      <c r="H137" s="203"/>
      <c r="I137" s="204"/>
      <c r="J137" s="5"/>
      <c r="K137" s="183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6" t="str">
        <f>IF('Données projet'!B13="","",'Données projet'!B13)</f>
        <v>Pin laricio</v>
      </c>
      <c r="C138" s="5"/>
      <c r="D138" s="5"/>
      <c r="E138" s="5"/>
      <c r="F138" s="260"/>
      <c r="G138" s="222"/>
      <c r="H138" s="203"/>
      <c r="I138" s="204"/>
      <c r="J138" s="5"/>
      <c r="K138" s="183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60"/>
      <c r="G139" s="222"/>
      <c r="H139" s="203"/>
      <c r="I139" s="204"/>
      <c r="J139" s="5"/>
      <c r="K139" s="183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3"/>
      <c r="I140" s="204"/>
      <c r="J140" s="5"/>
      <c r="K140" s="183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09">
        <v>0</v>
      </c>
      <c r="B141" s="212" t="s">
        <v>132</v>
      </c>
      <c r="C141" s="211" t="s">
        <v>132</v>
      </c>
      <c r="D141" s="210" t="s">
        <v>132</v>
      </c>
      <c r="E141" s="206"/>
      <c r="F141" s="261"/>
      <c r="G141" s="222"/>
      <c r="H141" s="203"/>
      <c r="I141" s="204"/>
      <c r="J141" s="5"/>
      <c r="K141" s="183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09">
        <v>1</v>
      </c>
      <c r="B142" s="212" t="s">
        <v>132</v>
      </c>
      <c r="C142" s="211" t="s">
        <v>132</v>
      </c>
      <c r="D142" s="210" t="s">
        <v>132</v>
      </c>
      <c r="E142" s="206"/>
      <c r="F142" s="261"/>
      <c r="G142" s="220"/>
      <c r="H142" s="203"/>
      <c r="I142" s="204"/>
      <c r="J142" s="5"/>
      <c r="K142" s="183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09">
        <v>2</v>
      </c>
      <c r="B143" s="212" t="s">
        <v>132</v>
      </c>
      <c r="C143" s="211" t="s">
        <v>132</v>
      </c>
      <c r="D143" s="210" t="s">
        <v>132</v>
      </c>
      <c r="E143" s="206"/>
      <c r="F143" s="261"/>
      <c r="G143" s="220"/>
      <c r="H143" s="203"/>
      <c r="I143" s="204"/>
      <c r="J143" s="5"/>
      <c r="K143" s="183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09">
        <v>3</v>
      </c>
      <c r="B144" s="212" t="s">
        <v>132</v>
      </c>
      <c r="C144" s="211" t="s">
        <v>132</v>
      </c>
      <c r="D144" s="210" t="s">
        <v>132</v>
      </c>
      <c r="E144" s="206"/>
      <c r="F144" s="261"/>
      <c r="G144" s="220"/>
      <c r="H144" s="203"/>
      <c r="I144" s="204"/>
      <c r="J144" s="5"/>
      <c r="K144" s="183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09">
        <v>4</v>
      </c>
      <c r="B145" s="212" t="s">
        <v>132</v>
      </c>
      <c r="C145" s="211" t="s">
        <v>132</v>
      </c>
      <c r="D145" s="210" t="s">
        <v>132</v>
      </c>
      <c r="E145" s="206"/>
      <c r="F145" s="261"/>
      <c r="G145" s="220"/>
      <c r="H145" s="203"/>
      <c r="I145" s="204"/>
      <c r="J145" s="5"/>
      <c r="K145" s="183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09">
        <v>5</v>
      </c>
      <c r="B146" s="212" t="s">
        <v>132</v>
      </c>
      <c r="C146" s="211" t="s">
        <v>132</v>
      </c>
      <c r="D146" s="210" t="s">
        <v>132</v>
      </c>
      <c r="E146" s="206"/>
      <c r="F146" s="261"/>
      <c r="G146" s="221"/>
      <c r="H146" s="203"/>
      <c r="I146" s="204"/>
      <c r="J146" s="5"/>
      <c r="K146" s="183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19</v>
      </c>
      <c r="B147" s="187">
        <f>'Données projet'!D140</f>
        <v>46.3</v>
      </c>
      <c r="C147" s="204"/>
      <c r="D147" s="194">
        <f>B147*C147</f>
        <v>0</v>
      </c>
      <c r="E147" s="206"/>
      <c r="F147" s="263"/>
      <c r="G147" s="221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24</v>
      </c>
      <c r="B148" s="187">
        <f>'Données projet'!D141</f>
        <v>44.84</v>
      </c>
      <c r="C148" s="204"/>
      <c r="D148" s="194">
        <f t="shared" ref="D148:D166" si="10">B148*C148</f>
        <v>0</v>
      </c>
      <c r="E148" s="206"/>
      <c r="F148" s="263"/>
      <c r="G148" s="221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30</v>
      </c>
      <c r="B149" s="187">
        <f>'Données projet'!D142</f>
        <v>66.989999999999995</v>
      </c>
      <c r="C149" s="204"/>
      <c r="D149" s="194">
        <f t="shared" si="10"/>
        <v>0</v>
      </c>
      <c r="E149" s="206"/>
      <c r="F149" s="263"/>
      <c r="G149" s="221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37</v>
      </c>
      <c r="B150" s="187">
        <f>'Données projet'!D143</f>
        <v>54.63</v>
      </c>
      <c r="C150" s="204"/>
      <c r="D150" s="194">
        <f t="shared" si="10"/>
        <v>0</v>
      </c>
      <c r="E150" s="206"/>
      <c r="F150" s="263"/>
      <c r="G150" s="221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46</v>
      </c>
      <c r="B151" s="187">
        <f>'Données projet'!D144</f>
        <v>93.13</v>
      </c>
      <c r="C151" s="204"/>
      <c r="D151" s="194">
        <f t="shared" si="10"/>
        <v>0</v>
      </c>
      <c r="E151" s="206"/>
      <c r="F151" s="263"/>
      <c r="G151" s="221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56</v>
      </c>
      <c r="B152" s="187">
        <f>'Données projet'!D145</f>
        <v>77.37</v>
      </c>
      <c r="C152" s="204"/>
      <c r="D152" s="194">
        <f t="shared" si="10"/>
        <v>0</v>
      </c>
      <c r="E152" s="206"/>
      <c r="F152" s="263"/>
      <c r="G152" s="221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66</v>
      </c>
      <c r="B153" s="187">
        <f>'Données projet'!D146</f>
        <v>87.84</v>
      </c>
      <c r="C153" s="204"/>
      <c r="D153" s="194">
        <f t="shared" si="10"/>
        <v>0</v>
      </c>
      <c r="E153" s="206"/>
      <c r="F153" s="263"/>
      <c r="G153" s="217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76</v>
      </c>
      <c r="B154" s="187">
        <f>'Données projet'!D147</f>
        <v>671.57</v>
      </c>
      <c r="C154" s="204"/>
      <c r="D154" s="194">
        <f t="shared" si="10"/>
        <v>0</v>
      </c>
      <c r="E154" s="206"/>
      <c r="F154" s="263"/>
      <c r="G154" s="217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3"/>
      <c r="G155" s="217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3"/>
      <c r="G156" s="217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3"/>
      <c r="G157" s="217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3"/>
      <c r="G158" s="217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3"/>
      <c r="G159" s="217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3"/>
      <c r="G160" s="217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3"/>
      <c r="G161" s="217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3"/>
      <c r="G162" s="217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3"/>
      <c r="G163" s="217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3"/>
      <c r="G164" s="217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3"/>
      <c r="G165" s="217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3"/>
      <c r="G166" s="217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60"/>
      <c r="G167" s="217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60"/>
      <c r="G168" s="217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0"/>
      <c r="G169" s="217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60"/>
      <c r="G170" s="217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09">
        <v>0</v>
      </c>
      <c r="B172" s="212" t="s">
        <v>132</v>
      </c>
      <c r="C172" s="211" t="s">
        <v>132</v>
      </c>
      <c r="D172" s="210" t="s">
        <v>132</v>
      </c>
      <c r="E172" s="206"/>
      <c r="F172" s="261"/>
      <c r="G172" s="217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09">
        <v>1</v>
      </c>
      <c r="B173" s="212" t="s">
        <v>132</v>
      </c>
      <c r="C173" s="211" t="s">
        <v>132</v>
      </c>
      <c r="D173" s="210" t="s">
        <v>132</v>
      </c>
      <c r="E173" s="206"/>
      <c r="F173" s="261"/>
      <c r="G173" s="220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09">
        <v>2</v>
      </c>
      <c r="B174" s="212" t="s">
        <v>132</v>
      </c>
      <c r="C174" s="211" t="s">
        <v>132</v>
      </c>
      <c r="D174" s="210" t="s">
        <v>132</v>
      </c>
      <c r="E174" s="206"/>
      <c r="F174" s="261"/>
      <c r="G174" s="220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09">
        <v>3</v>
      </c>
      <c r="B175" s="212" t="s">
        <v>132</v>
      </c>
      <c r="C175" s="211" t="s">
        <v>132</v>
      </c>
      <c r="D175" s="210" t="s">
        <v>132</v>
      </c>
      <c r="E175" s="206"/>
      <c r="F175" s="261"/>
      <c r="G175" s="220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09">
        <v>4</v>
      </c>
      <c r="B176" s="212" t="s">
        <v>132</v>
      </c>
      <c r="C176" s="211" t="s">
        <v>132</v>
      </c>
      <c r="D176" s="210" t="s">
        <v>132</v>
      </c>
      <c r="E176" s="206"/>
      <c r="F176" s="261"/>
      <c r="G176" s="220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09">
        <v>5</v>
      </c>
      <c r="B177" s="212" t="s">
        <v>132</v>
      </c>
      <c r="C177" s="211" t="s">
        <v>132</v>
      </c>
      <c r="D177" s="210" t="s">
        <v>132</v>
      </c>
      <c r="E177" s="206"/>
      <c r="F177" s="261"/>
      <c r="G177" s="221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2">
        <f>'Données projet'!A166</f>
        <v>0</v>
      </c>
      <c r="B178" s="193">
        <f>'Données projet'!D166</f>
        <v>0</v>
      </c>
      <c r="C178" s="206">
        <f>225*'Données projet'!E166+13.8*('Données projet'!F166+'Données projet'!G168)+10*'Données projet'!H166</f>
        <v>0</v>
      </c>
      <c r="D178" s="191">
        <f>B178*C178</f>
        <v>0</v>
      </c>
      <c r="E178" s="206"/>
      <c r="F178" s="262"/>
      <c r="G178" s="221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2">
        <f>'Données projet'!A167</f>
        <v>0</v>
      </c>
      <c r="B179" s="193">
        <f>'Données projet'!D167</f>
        <v>0</v>
      </c>
      <c r="C179" s="206">
        <f>225*'Données projet'!E167+13.8*('Données projet'!F167+'Données projet'!G169)+10*'Données projet'!H167</f>
        <v>0</v>
      </c>
      <c r="D179" s="191">
        <f t="shared" ref="D179:D197" si="11">B179*C179</f>
        <v>0</v>
      </c>
      <c r="E179" s="206"/>
      <c r="F179" s="262"/>
      <c r="G179" s="221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2">
        <f>'Données projet'!A168</f>
        <v>0</v>
      </c>
      <c r="B180" s="193">
        <f>'Données projet'!D168</f>
        <v>0</v>
      </c>
      <c r="C180" s="206">
        <f>225*'Données projet'!E168+13.8*('Données projet'!F168+'Données projet'!G170)+10*'Données projet'!H168</f>
        <v>0</v>
      </c>
      <c r="D180" s="191">
        <f t="shared" si="11"/>
        <v>0</v>
      </c>
      <c r="E180" s="206"/>
      <c r="F180" s="262"/>
      <c r="G180" s="221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2">
        <f>'Données projet'!A169</f>
        <v>0</v>
      </c>
      <c r="B181" s="193">
        <f>'Données projet'!D169</f>
        <v>0</v>
      </c>
      <c r="C181" s="206">
        <f>225*'Données projet'!E169+13.8*('Données projet'!F169+'Données projet'!G171)+10*'Données projet'!H169</f>
        <v>0</v>
      </c>
      <c r="D181" s="191">
        <f t="shared" si="11"/>
        <v>0</v>
      </c>
      <c r="E181" s="206"/>
      <c r="F181" s="262"/>
      <c r="G181" s="221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2">
        <f>'Données projet'!A170</f>
        <v>0</v>
      </c>
      <c r="B182" s="193">
        <f>'Données projet'!D170</f>
        <v>0</v>
      </c>
      <c r="C182" s="206">
        <f>225*'Données projet'!E170+13.8*('Données projet'!F170+'Données projet'!G172)+10*'Données projet'!H170</f>
        <v>0</v>
      </c>
      <c r="D182" s="191">
        <f t="shared" si="11"/>
        <v>0</v>
      </c>
      <c r="E182" s="206"/>
      <c r="F182" s="262"/>
      <c r="G182" s="221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2">
        <f>'Données projet'!A171</f>
        <v>0</v>
      </c>
      <c r="B183" s="193">
        <f>'Données projet'!D171</f>
        <v>0</v>
      </c>
      <c r="C183" s="206">
        <f>225*'Données projet'!E171+13.8*('Données projet'!F171+'Données projet'!G173)+10*'Données projet'!H171</f>
        <v>0</v>
      </c>
      <c r="D183" s="191">
        <f t="shared" si="11"/>
        <v>0</v>
      </c>
      <c r="E183" s="206"/>
      <c r="F183" s="262"/>
      <c r="G183" s="221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2">
        <f>'Données projet'!A172</f>
        <v>0</v>
      </c>
      <c r="B184" s="193">
        <f>'Données projet'!D172</f>
        <v>0</v>
      </c>
      <c r="C184" s="206">
        <f>225*'Données projet'!E172+13.8*('Données projet'!F172+'Données projet'!G174)+10*'Données projet'!H172</f>
        <v>0</v>
      </c>
      <c r="D184" s="191">
        <f t="shared" si="11"/>
        <v>0</v>
      </c>
      <c r="E184" s="206"/>
      <c r="F184" s="262"/>
      <c r="G184" s="222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2">
        <f>'Données projet'!A173</f>
        <v>0</v>
      </c>
      <c r="B185" s="193">
        <f>'Données projet'!D173</f>
        <v>0</v>
      </c>
      <c r="C185" s="206">
        <f>225*'Données projet'!E173+13.8*('Données projet'!F173+'Données projet'!G175)+10*'Données projet'!H173</f>
        <v>0</v>
      </c>
      <c r="D185" s="191">
        <f t="shared" si="11"/>
        <v>0</v>
      </c>
      <c r="E185" s="206"/>
      <c r="F185" s="262"/>
      <c r="G185" s="222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2">
        <f>'Données projet'!A174</f>
        <v>0</v>
      </c>
      <c r="B186" s="193">
        <f>'Données projet'!D174</f>
        <v>0</v>
      </c>
      <c r="C186" s="206">
        <f>225*'Données projet'!E174+13.8*('Données projet'!F174+'Données projet'!G176)+10*'Données projet'!H174</f>
        <v>0</v>
      </c>
      <c r="D186" s="191">
        <f t="shared" si="11"/>
        <v>0</v>
      </c>
      <c r="E186" s="206"/>
      <c r="F186" s="262"/>
      <c r="G186" s="222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2">
        <f>'Données projet'!A175</f>
        <v>0</v>
      </c>
      <c r="B187" s="193">
        <f>'Données projet'!D175</f>
        <v>0</v>
      </c>
      <c r="C187" s="206">
        <f>225*'Données projet'!E175+13.8*('Données projet'!F175+'Données projet'!G177)+10*'Données projet'!H175</f>
        <v>0</v>
      </c>
      <c r="D187" s="191">
        <f t="shared" si="11"/>
        <v>0</v>
      </c>
      <c r="E187" s="206"/>
      <c r="F187" s="262"/>
      <c r="G187" s="222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2">
        <f>'Données projet'!A176</f>
        <v>0</v>
      </c>
      <c r="B188" s="193">
        <f>'Données projet'!D176</f>
        <v>0</v>
      </c>
      <c r="C188" s="206">
        <f>225*'Données projet'!E176+13.8*('Données projet'!F176+'Données projet'!G178)+10*'Données projet'!H176</f>
        <v>0</v>
      </c>
      <c r="D188" s="191">
        <f t="shared" si="11"/>
        <v>0</v>
      </c>
      <c r="E188" s="206"/>
      <c r="F188" s="262"/>
      <c r="G188" s="222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2">
        <f>'Données projet'!A177</f>
        <v>0</v>
      </c>
      <c r="B189" s="193">
        <f>'Données projet'!D177</f>
        <v>0</v>
      </c>
      <c r="C189" s="206">
        <f>225*'Données projet'!E177+13.8*('Données projet'!F177+'Données projet'!G179)+10*'Données projet'!H177</f>
        <v>0</v>
      </c>
      <c r="D189" s="191">
        <f t="shared" si="11"/>
        <v>0</v>
      </c>
      <c r="E189" s="206"/>
      <c r="F189" s="262"/>
      <c r="G189" s="222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2">
        <f>'Données projet'!A178</f>
        <v>0</v>
      </c>
      <c r="B190" s="193">
        <f>'Données projet'!D178</f>
        <v>0</v>
      </c>
      <c r="C190" s="206">
        <f>225*'Données projet'!E178+13.8*('Données projet'!F178+'Données projet'!G180)+10*'Données projet'!H178</f>
        <v>0</v>
      </c>
      <c r="D190" s="191">
        <f t="shared" si="11"/>
        <v>0</v>
      </c>
      <c r="E190" s="206"/>
      <c r="F190" s="262"/>
      <c r="G190" s="222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2">
        <f>'Données projet'!A179</f>
        <v>0</v>
      </c>
      <c r="B191" s="193">
        <f>'Données projet'!D179</f>
        <v>0</v>
      </c>
      <c r="C191" s="206">
        <f>225*'Données projet'!E179+13.8*('Données projet'!F179+'Données projet'!G181)+10*'Données projet'!H179</f>
        <v>0</v>
      </c>
      <c r="D191" s="191">
        <f t="shared" si="11"/>
        <v>0</v>
      </c>
      <c r="E191" s="206"/>
      <c r="F191" s="262"/>
      <c r="G191" s="222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2">
        <f>'Données projet'!A180</f>
        <v>0</v>
      </c>
      <c r="B192" s="193">
        <f>'Données projet'!D180</f>
        <v>0</v>
      </c>
      <c r="C192" s="206">
        <f>225*'Données projet'!E180+13.8*('Données projet'!F180+'Données projet'!G182)+10*'Données projet'!H180</f>
        <v>0</v>
      </c>
      <c r="D192" s="191">
        <f t="shared" si="11"/>
        <v>0</v>
      </c>
      <c r="E192" s="206"/>
      <c r="F192" s="262"/>
      <c r="G192" s="222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2">
        <f>'Données projet'!A181</f>
        <v>0</v>
      </c>
      <c r="B193" s="193">
        <f>'Données projet'!D181</f>
        <v>0</v>
      </c>
      <c r="C193" s="206">
        <f>225*'Données projet'!E181+13.8*('Données projet'!F181+'Données projet'!G183)+10*'Données projet'!H181</f>
        <v>0</v>
      </c>
      <c r="D193" s="191">
        <f t="shared" si="11"/>
        <v>0</v>
      </c>
      <c r="E193" s="206"/>
      <c r="F193" s="262"/>
      <c r="G193" s="222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2">
        <f>'Données projet'!A182</f>
        <v>0</v>
      </c>
      <c r="B194" s="193">
        <f>'Données projet'!D182</f>
        <v>0</v>
      </c>
      <c r="C194" s="206">
        <f>225*'Données projet'!E182+13.8*('Données projet'!F182+'Données projet'!G184)+10*'Données projet'!H182</f>
        <v>0</v>
      </c>
      <c r="D194" s="191">
        <f t="shared" si="11"/>
        <v>0</v>
      </c>
      <c r="E194" s="206"/>
      <c r="F194" s="262"/>
      <c r="G194" s="222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2">
        <f>'Données projet'!A183</f>
        <v>0</v>
      </c>
      <c r="B195" s="193">
        <f>'Données projet'!D183</f>
        <v>0</v>
      </c>
      <c r="C195" s="206">
        <f>225*'Données projet'!E183+13.8*('Données projet'!F183+'Données projet'!G185)+10*'Données projet'!H183</f>
        <v>0</v>
      </c>
      <c r="D195" s="191">
        <f t="shared" si="11"/>
        <v>0</v>
      </c>
      <c r="E195" s="206"/>
      <c r="F195" s="262"/>
      <c r="G195" s="222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2">
        <f>'Données projet'!A184</f>
        <v>0</v>
      </c>
      <c r="B196" s="193">
        <f>'Données projet'!D184</f>
        <v>0</v>
      </c>
      <c r="C196" s="206">
        <f>225*'Données projet'!E184+13.8*('Données projet'!F184+'Données projet'!G186)+10*'Données projet'!H184</f>
        <v>0</v>
      </c>
      <c r="D196" s="191">
        <f t="shared" si="11"/>
        <v>0</v>
      </c>
      <c r="E196" s="206"/>
      <c r="F196" s="262"/>
      <c r="G196" s="222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2">
        <f>'Données projet'!A185</f>
        <v>0</v>
      </c>
      <c r="B197" s="193">
        <f>'Données projet'!D185</f>
        <v>0</v>
      </c>
      <c r="C197" s="206">
        <f>225*'Données projet'!E185+13.8*('Données projet'!F185+'Données projet'!G187)+10*'Données projet'!H185</f>
        <v>0</v>
      </c>
      <c r="D197" s="191">
        <f t="shared" si="11"/>
        <v>0</v>
      </c>
      <c r="E197" s="206"/>
      <c r="F197" s="262"/>
      <c r="G197" s="222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60"/>
      <c r="G198" s="222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60"/>
      <c r="G199" s="222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0"/>
      <c r="G200" s="222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60"/>
      <c r="G201" s="222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09">
        <v>0</v>
      </c>
      <c r="B203" s="212" t="s">
        <v>132</v>
      </c>
      <c r="C203" s="211" t="s">
        <v>132</v>
      </c>
      <c r="D203" s="210" t="s">
        <v>132</v>
      </c>
      <c r="E203" s="206"/>
      <c r="F203" s="261"/>
      <c r="G203" s="222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09">
        <v>1</v>
      </c>
      <c r="B204" s="212" t="s">
        <v>132</v>
      </c>
      <c r="C204" s="211" t="s">
        <v>132</v>
      </c>
      <c r="D204" s="210" t="s">
        <v>132</v>
      </c>
      <c r="E204" s="206"/>
      <c r="F204" s="261"/>
      <c r="G204" s="220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09">
        <v>2</v>
      </c>
      <c r="B205" s="212" t="s">
        <v>132</v>
      </c>
      <c r="C205" s="211" t="s">
        <v>132</v>
      </c>
      <c r="D205" s="210" t="s">
        <v>132</v>
      </c>
      <c r="E205" s="206"/>
      <c r="F205" s="261"/>
      <c r="G205" s="220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09">
        <v>3</v>
      </c>
      <c r="B206" s="212" t="s">
        <v>132</v>
      </c>
      <c r="C206" s="211" t="s">
        <v>132</v>
      </c>
      <c r="D206" s="210" t="s">
        <v>132</v>
      </c>
      <c r="E206" s="206"/>
      <c r="F206" s="261"/>
      <c r="G206" s="220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09">
        <v>4</v>
      </c>
      <c r="B207" s="212" t="s">
        <v>132</v>
      </c>
      <c r="C207" s="211" t="s">
        <v>132</v>
      </c>
      <c r="D207" s="210" t="s">
        <v>132</v>
      </c>
      <c r="E207" s="206"/>
      <c r="F207" s="261"/>
      <c r="G207" s="220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09">
        <v>5</v>
      </c>
      <c r="B208" s="212" t="s">
        <v>132</v>
      </c>
      <c r="C208" s="211" t="s">
        <v>132</v>
      </c>
      <c r="D208" s="210" t="s">
        <v>132</v>
      </c>
      <c r="E208" s="206"/>
      <c r="F208" s="261"/>
      <c r="G208" s="221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2">
        <f>'Données projet'!A192</f>
        <v>0</v>
      </c>
      <c r="B209" s="193">
        <f>'Données projet'!D192</f>
        <v>0</v>
      </c>
      <c r="C209" s="206">
        <f>225*'Données projet'!E192+13.8*('Données projet'!F192+'Données projet'!G192)+10*'Données projet'!H192</f>
        <v>0</v>
      </c>
      <c r="D209" s="191">
        <f>B209*C209</f>
        <v>0</v>
      </c>
      <c r="E209" s="206"/>
      <c r="F209" s="262"/>
      <c r="G209" s="221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2">
        <f>'Données projet'!A193</f>
        <v>0</v>
      </c>
      <c r="B210" s="193">
        <f>'Données projet'!D193</f>
        <v>0</v>
      </c>
      <c r="C210" s="206">
        <f>225*'Données projet'!E193+13.8*('Données projet'!F193+'Données projet'!G193)+10*'Données projet'!H193</f>
        <v>0</v>
      </c>
      <c r="D210" s="191">
        <f t="shared" ref="D210:D228" si="12">B210*C210</f>
        <v>0</v>
      </c>
      <c r="E210" s="206"/>
      <c r="F210" s="262"/>
      <c r="G210" s="221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2">
        <f>'Données projet'!A194</f>
        <v>0</v>
      </c>
      <c r="B211" s="193">
        <f>'Données projet'!D194</f>
        <v>0</v>
      </c>
      <c r="C211" s="206">
        <f>225*'Données projet'!E194+13.8*('Données projet'!F194+'Données projet'!G194)+10*'Données projet'!H194</f>
        <v>0</v>
      </c>
      <c r="D211" s="191">
        <f t="shared" si="12"/>
        <v>0</v>
      </c>
      <c r="E211" s="206"/>
      <c r="F211" s="262"/>
      <c r="G211" s="221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2">
        <f>'Données projet'!A195</f>
        <v>0</v>
      </c>
      <c r="B212" s="193">
        <f>'Données projet'!D195</f>
        <v>0</v>
      </c>
      <c r="C212" s="206">
        <f>225*'Données projet'!E195+13.8*('Données projet'!F195+'Données projet'!G195)+10*'Données projet'!H195</f>
        <v>0</v>
      </c>
      <c r="D212" s="191">
        <f t="shared" si="12"/>
        <v>0</v>
      </c>
      <c r="E212" s="206"/>
      <c r="F212" s="262"/>
      <c r="G212" s="221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2">
        <f>'Données projet'!A196</f>
        <v>0</v>
      </c>
      <c r="B213" s="193">
        <f>'Données projet'!D196</f>
        <v>0</v>
      </c>
      <c r="C213" s="206">
        <f>225*'Données projet'!E196+13.8*('Données projet'!F196+'Données projet'!G196)+10*'Données projet'!H196</f>
        <v>0</v>
      </c>
      <c r="D213" s="191">
        <f t="shared" si="12"/>
        <v>0</v>
      </c>
      <c r="E213" s="206"/>
      <c r="F213" s="262"/>
      <c r="G213" s="221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2">
        <f>'Données projet'!A197</f>
        <v>0</v>
      </c>
      <c r="B214" s="193">
        <f>'Données projet'!D197</f>
        <v>0</v>
      </c>
      <c r="C214" s="206">
        <f>225*'Données projet'!E197+13.8*('Données projet'!F197+'Données projet'!G197)+10*'Données projet'!H197</f>
        <v>0</v>
      </c>
      <c r="D214" s="191">
        <f t="shared" si="12"/>
        <v>0</v>
      </c>
      <c r="E214" s="206"/>
      <c r="F214" s="262"/>
      <c r="G214" s="221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2">
        <f>'Données projet'!A198</f>
        <v>0</v>
      </c>
      <c r="B215" s="193">
        <f>'Données projet'!D198</f>
        <v>0</v>
      </c>
      <c r="C215" s="206">
        <f>225*'Données projet'!E198+13.8*('Données projet'!F198+'Données projet'!G198)+10*'Données projet'!H198</f>
        <v>0</v>
      </c>
      <c r="D215" s="191">
        <f t="shared" si="12"/>
        <v>0</v>
      </c>
      <c r="E215" s="206"/>
      <c r="F215" s="262"/>
      <c r="G215" s="222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2">
        <f>'Données projet'!A199</f>
        <v>0</v>
      </c>
      <c r="B216" s="193">
        <f>'Données projet'!D199</f>
        <v>0</v>
      </c>
      <c r="C216" s="206">
        <f>225*'Données projet'!E199+13.8*('Données projet'!F199+'Données projet'!G199)+10*'Données projet'!H199</f>
        <v>0</v>
      </c>
      <c r="D216" s="191">
        <f t="shared" si="12"/>
        <v>0</v>
      </c>
      <c r="E216" s="206"/>
      <c r="F216" s="262"/>
      <c r="G216" s="222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2">
        <f>'Données projet'!A200</f>
        <v>0</v>
      </c>
      <c r="B217" s="193">
        <f>'Données projet'!D200</f>
        <v>0</v>
      </c>
      <c r="C217" s="206">
        <f>225*'Données projet'!E200+13.8*('Données projet'!F200+'Données projet'!G200)+10*'Données projet'!H200</f>
        <v>0</v>
      </c>
      <c r="D217" s="191">
        <f t="shared" si="12"/>
        <v>0</v>
      </c>
      <c r="E217" s="206"/>
      <c r="F217" s="262"/>
      <c r="G217" s="222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2">
        <f>'Données projet'!A201</f>
        <v>0</v>
      </c>
      <c r="B218" s="193">
        <f>'Données projet'!D201</f>
        <v>0</v>
      </c>
      <c r="C218" s="206">
        <f>225*'Données projet'!E201+13.8*('Données projet'!F201+'Données projet'!G201)+10*'Données projet'!H201</f>
        <v>0</v>
      </c>
      <c r="D218" s="191">
        <f t="shared" si="12"/>
        <v>0</v>
      </c>
      <c r="E218" s="206"/>
      <c r="F218" s="262"/>
      <c r="G218" s="222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2">
        <f>'Données projet'!A202</f>
        <v>0</v>
      </c>
      <c r="B219" s="193">
        <f>'Données projet'!D202</f>
        <v>0</v>
      </c>
      <c r="C219" s="206">
        <f>225*'Données projet'!E202+13.8*('Données projet'!F202+'Données projet'!G202)+10*'Données projet'!H202</f>
        <v>0</v>
      </c>
      <c r="D219" s="191">
        <f t="shared" si="12"/>
        <v>0</v>
      </c>
      <c r="E219" s="206"/>
      <c r="F219" s="262"/>
      <c r="G219" s="222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2">
        <f>'Données projet'!A203</f>
        <v>0</v>
      </c>
      <c r="B220" s="193">
        <f>'Données projet'!D203</f>
        <v>0</v>
      </c>
      <c r="C220" s="206">
        <f>225*'Données projet'!E203+13.8*('Données projet'!F203+'Données projet'!G203)+10*'Données projet'!H203</f>
        <v>0</v>
      </c>
      <c r="D220" s="191">
        <f t="shared" si="12"/>
        <v>0</v>
      </c>
      <c r="E220" s="206"/>
      <c r="F220" s="262"/>
      <c r="G220" s="222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2">
        <f>'Données projet'!A204</f>
        <v>0</v>
      </c>
      <c r="B221" s="193">
        <f>'Données projet'!D204</f>
        <v>0</v>
      </c>
      <c r="C221" s="206">
        <f>225*'Données projet'!E204+13.8*('Données projet'!F204+'Données projet'!G204)+10*'Données projet'!H204</f>
        <v>0</v>
      </c>
      <c r="D221" s="191">
        <f t="shared" si="12"/>
        <v>0</v>
      </c>
      <c r="E221" s="206"/>
      <c r="F221" s="262"/>
      <c r="G221" s="222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2">
        <f>'Données projet'!A205</f>
        <v>0</v>
      </c>
      <c r="B222" s="193">
        <f>'Données projet'!D205</f>
        <v>0</v>
      </c>
      <c r="C222" s="206">
        <f>225*'Données projet'!E205+13.8*('Données projet'!F205+'Données projet'!G205)+10*'Données projet'!H205</f>
        <v>0</v>
      </c>
      <c r="D222" s="191">
        <f t="shared" si="12"/>
        <v>0</v>
      </c>
      <c r="E222" s="206"/>
      <c r="F222" s="262"/>
      <c r="G222" s="222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2">
        <f>'Données projet'!A206</f>
        <v>0</v>
      </c>
      <c r="B223" s="193">
        <f>'Données projet'!D206</f>
        <v>0</v>
      </c>
      <c r="C223" s="206">
        <f>225*'Données projet'!E206+13.8*('Données projet'!F206+'Données projet'!G206)+10*'Données projet'!H206</f>
        <v>0</v>
      </c>
      <c r="D223" s="191">
        <f t="shared" si="12"/>
        <v>0</v>
      </c>
      <c r="E223" s="206"/>
      <c r="F223" s="262"/>
      <c r="G223" s="222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2">
        <f>'Données projet'!A207</f>
        <v>0</v>
      </c>
      <c r="B224" s="193">
        <f>'Données projet'!D207</f>
        <v>0</v>
      </c>
      <c r="C224" s="206">
        <f>225*'Données projet'!E207+13.8*('Données projet'!F207+'Données projet'!G207)+10*'Données projet'!H207</f>
        <v>0</v>
      </c>
      <c r="D224" s="191">
        <f t="shared" si="12"/>
        <v>0</v>
      </c>
      <c r="E224" s="206"/>
      <c r="F224" s="262"/>
      <c r="G224" s="222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2">
        <f>'Données projet'!A208</f>
        <v>0</v>
      </c>
      <c r="B225" s="193">
        <f>'Données projet'!D208</f>
        <v>0</v>
      </c>
      <c r="C225" s="206">
        <f>225*'Données projet'!E208+13.8*('Données projet'!F208+'Données projet'!G208)+10*'Données projet'!H208</f>
        <v>0</v>
      </c>
      <c r="D225" s="191">
        <f t="shared" si="12"/>
        <v>0</v>
      </c>
      <c r="E225" s="206"/>
      <c r="F225" s="262"/>
      <c r="G225" s="222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2">
        <f>'Données projet'!A209</f>
        <v>0</v>
      </c>
      <c r="B226" s="193">
        <f>'Données projet'!D209</f>
        <v>0</v>
      </c>
      <c r="C226" s="206">
        <f>225*'Données projet'!E209+13.8*('Données projet'!F209+'Données projet'!G209)+10*'Données projet'!H209</f>
        <v>0</v>
      </c>
      <c r="D226" s="191">
        <f t="shared" si="12"/>
        <v>0</v>
      </c>
      <c r="E226" s="206"/>
      <c r="F226" s="262"/>
      <c r="G226" s="222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2">
        <f>'Données projet'!A210</f>
        <v>0</v>
      </c>
      <c r="B227" s="193">
        <f>'Données projet'!D210</f>
        <v>0</v>
      </c>
      <c r="C227" s="206">
        <f>225*'Données projet'!E210+13.8*('Données projet'!F210+'Données projet'!G210)+10*'Données projet'!H210</f>
        <v>0</v>
      </c>
      <c r="D227" s="191">
        <f t="shared" si="12"/>
        <v>0</v>
      </c>
      <c r="E227" s="206"/>
      <c r="F227" s="262"/>
      <c r="G227" s="222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2">
        <f>'Données projet'!A211</f>
        <v>0</v>
      </c>
      <c r="B228" s="193">
        <f>'Données projet'!D211</f>
        <v>0</v>
      </c>
      <c r="C228" s="206">
        <f>225*'Données projet'!E211+13.8*('Données projet'!F211+'Données projet'!G211)+10*'Données projet'!H211</f>
        <v>0</v>
      </c>
      <c r="D228" s="191">
        <f t="shared" si="12"/>
        <v>0</v>
      </c>
      <c r="E228" s="206"/>
      <c r="F228" s="262"/>
      <c r="G228" s="222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0"/>
      <c r="G231" s="222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09">
        <v>0</v>
      </c>
      <c r="B234" s="212" t="s">
        <v>132</v>
      </c>
      <c r="C234" s="211" t="s">
        <v>132</v>
      </c>
      <c r="D234" s="210" t="s">
        <v>132</v>
      </c>
      <c r="E234" s="206"/>
      <c r="F234" s="261"/>
      <c r="G234" s="222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09">
        <v>1</v>
      </c>
      <c r="B235" s="212" t="s">
        <v>132</v>
      </c>
      <c r="C235" s="211" t="s">
        <v>132</v>
      </c>
      <c r="D235" s="210" t="s">
        <v>132</v>
      </c>
      <c r="E235" s="206"/>
      <c r="F235" s="261"/>
      <c r="G235" s="220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09">
        <v>2</v>
      </c>
      <c r="B236" s="212" t="s">
        <v>132</v>
      </c>
      <c r="C236" s="211" t="s">
        <v>132</v>
      </c>
      <c r="D236" s="210" t="s">
        <v>132</v>
      </c>
      <c r="E236" s="206"/>
      <c r="F236" s="261"/>
      <c r="G236" s="220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09">
        <v>3</v>
      </c>
      <c r="B237" s="212" t="s">
        <v>132</v>
      </c>
      <c r="C237" s="211" t="s">
        <v>132</v>
      </c>
      <c r="D237" s="210" t="s">
        <v>132</v>
      </c>
      <c r="E237" s="206"/>
      <c r="F237" s="261"/>
      <c r="G237" s="220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09">
        <v>4</v>
      </c>
      <c r="B238" s="212" t="s">
        <v>132</v>
      </c>
      <c r="C238" s="211" t="s">
        <v>132</v>
      </c>
      <c r="D238" s="210" t="s">
        <v>132</v>
      </c>
      <c r="E238" s="206"/>
      <c r="F238" s="261"/>
      <c r="G238" s="220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09">
        <v>5</v>
      </c>
      <c r="B239" s="212" t="s">
        <v>132</v>
      </c>
      <c r="C239" s="211" t="s">
        <v>132</v>
      </c>
      <c r="D239" s="210" t="s">
        <v>132</v>
      </c>
      <c r="E239" s="206"/>
      <c r="F239" s="261"/>
      <c r="G239" s="221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2">
        <f>'Données projet'!A218</f>
        <v>0</v>
      </c>
      <c r="B240" s="193">
        <f>'Données projet'!D218</f>
        <v>0</v>
      </c>
      <c r="C240" s="206">
        <f>225*'Données projet'!E218+13.8*('Données projet'!F218+'Données projet'!G218)+10*'Données projet'!H218</f>
        <v>0</v>
      </c>
      <c r="D240" s="191">
        <f>B240*C240</f>
        <v>0</v>
      </c>
      <c r="E240" s="206"/>
      <c r="F240" s="262"/>
      <c r="G240" s="221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2">
        <f>'Données projet'!A219</f>
        <v>0</v>
      </c>
      <c r="B241" s="193">
        <f>'Données projet'!D219</f>
        <v>0</v>
      </c>
      <c r="C241" s="206">
        <f>225*'Données projet'!E219+13.8*('Données projet'!F219+'Données projet'!G219)+10*'Données projet'!H219</f>
        <v>0</v>
      </c>
      <c r="D241" s="191">
        <f t="shared" ref="D241:D259" si="13">B241*C241</f>
        <v>0</v>
      </c>
      <c r="E241" s="206"/>
      <c r="F241" s="262"/>
      <c r="G241" s="221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2">
        <f>'Données projet'!A220</f>
        <v>0</v>
      </c>
      <c r="B242" s="193">
        <f>'Données projet'!D220</f>
        <v>0</v>
      </c>
      <c r="C242" s="206">
        <f>225*'Données projet'!E220+13.8*('Données projet'!F220+'Données projet'!G220)+10*'Données projet'!H220</f>
        <v>0</v>
      </c>
      <c r="D242" s="191">
        <f t="shared" si="13"/>
        <v>0</v>
      </c>
      <c r="E242" s="206"/>
      <c r="F242" s="262"/>
      <c r="G242" s="221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2">
        <f>'Données projet'!A221</f>
        <v>0</v>
      </c>
      <c r="B243" s="193">
        <f>'Données projet'!D221</f>
        <v>0</v>
      </c>
      <c r="C243" s="206">
        <f>225*'Données projet'!E221+13.8*('Données projet'!F221+'Données projet'!G221)+10*'Données projet'!H221</f>
        <v>0</v>
      </c>
      <c r="D243" s="191">
        <f t="shared" si="13"/>
        <v>0</v>
      </c>
      <c r="E243" s="206"/>
      <c r="F243" s="262"/>
      <c r="G243" s="221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2">
        <f>'Données projet'!A222</f>
        <v>0</v>
      </c>
      <c r="B244" s="193">
        <f>'Données projet'!D222</f>
        <v>0</v>
      </c>
      <c r="C244" s="206">
        <f>225*'Données projet'!E222+13.8*('Données projet'!F222+'Données projet'!G222)+10*'Données projet'!H222</f>
        <v>0</v>
      </c>
      <c r="D244" s="191">
        <f t="shared" si="13"/>
        <v>0</v>
      </c>
      <c r="E244" s="206"/>
      <c r="F244" s="262"/>
      <c r="G244" s="221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2">
        <f>'Données projet'!A223</f>
        <v>0</v>
      </c>
      <c r="B245" s="193">
        <f>'Données projet'!D223</f>
        <v>0</v>
      </c>
      <c r="C245" s="206">
        <f>225*'Données projet'!E223+13.8*('Données projet'!F223+'Données projet'!G223)+10*'Données projet'!H223</f>
        <v>0</v>
      </c>
      <c r="D245" s="191">
        <f t="shared" si="13"/>
        <v>0</v>
      </c>
      <c r="E245" s="206"/>
      <c r="F245" s="262"/>
      <c r="G245" s="221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2">
        <f>'Données projet'!A224</f>
        <v>0</v>
      </c>
      <c r="B246" s="193">
        <f>'Données projet'!D224</f>
        <v>0</v>
      </c>
      <c r="C246" s="206">
        <f>225*'Données projet'!E224+13.8*('Données projet'!F224+'Données projet'!G224)+10*'Données projet'!H224</f>
        <v>0</v>
      </c>
      <c r="D246" s="191">
        <f t="shared" si="13"/>
        <v>0</v>
      </c>
      <c r="E246" s="206"/>
      <c r="F246" s="262"/>
      <c r="G246" s="222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2">
        <f>'Données projet'!A225</f>
        <v>0</v>
      </c>
      <c r="B247" s="193">
        <f>'Données projet'!D225</f>
        <v>0</v>
      </c>
      <c r="C247" s="206">
        <f>225*'Données projet'!E225+13.8*('Données projet'!F225+'Données projet'!G225)+10*'Données projet'!H225</f>
        <v>0</v>
      </c>
      <c r="D247" s="191">
        <f t="shared" si="13"/>
        <v>0</v>
      </c>
      <c r="E247" s="206"/>
      <c r="F247" s="262"/>
      <c r="G247" s="222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2">
        <f>'Données projet'!A226</f>
        <v>0</v>
      </c>
      <c r="B248" s="193">
        <f>'Données projet'!D226</f>
        <v>0</v>
      </c>
      <c r="C248" s="206">
        <f>225*'Données projet'!E226+13.8*('Données projet'!F226+'Données projet'!G226)+10*'Données projet'!H226</f>
        <v>0</v>
      </c>
      <c r="D248" s="191">
        <f t="shared" si="13"/>
        <v>0</v>
      </c>
      <c r="E248" s="206"/>
      <c r="F248" s="262"/>
      <c r="G248" s="222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2">
        <f>'Données projet'!A227</f>
        <v>0</v>
      </c>
      <c r="B249" s="193">
        <f>'Données projet'!D227</f>
        <v>0</v>
      </c>
      <c r="C249" s="206">
        <f>225*'Données projet'!E227+13.8*('Données projet'!F227+'Données projet'!G227)+10*'Données projet'!H227</f>
        <v>0</v>
      </c>
      <c r="D249" s="191">
        <f t="shared" si="13"/>
        <v>0</v>
      </c>
      <c r="E249" s="206"/>
      <c r="F249" s="262"/>
      <c r="G249" s="222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2">
        <f>'Données projet'!A228</f>
        <v>0</v>
      </c>
      <c r="B250" s="193">
        <f>'Données projet'!D228</f>
        <v>0</v>
      </c>
      <c r="C250" s="206">
        <f>225*'Données projet'!E228+13.8*('Données projet'!F228+'Données projet'!G228)+10*'Données projet'!H228</f>
        <v>0</v>
      </c>
      <c r="D250" s="191">
        <f t="shared" si="13"/>
        <v>0</v>
      </c>
      <c r="E250" s="206"/>
      <c r="F250" s="262"/>
      <c r="G250" s="222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2">
        <f>'Données projet'!A229</f>
        <v>0</v>
      </c>
      <c r="B251" s="193">
        <f>'Données projet'!D229</f>
        <v>0</v>
      </c>
      <c r="C251" s="206">
        <f>225*'Données projet'!E229+13.8*('Données projet'!F229+'Données projet'!G229)+10*'Données projet'!H229</f>
        <v>0</v>
      </c>
      <c r="D251" s="191">
        <f t="shared" si="13"/>
        <v>0</v>
      </c>
      <c r="E251" s="206"/>
      <c r="F251" s="262"/>
      <c r="G251" s="222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2">
        <f>'Données projet'!A230</f>
        <v>0</v>
      </c>
      <c r="B252" s="193">
        <f>'Données projet'!D230</f>
        <v>0</v>
      </c>
      <c r="C252" s="206">
        <f>225*'Données projet'!E230+13.8*('Données projet'!F230+'Données projet'!G230)+10*'Données projet'!H230</f>
        <v>0</v>
      </c>
      <c r="D252" s="191">
        <f t="shared" si="13"/>
        <v>0</v>
      </c>
      <c r="E252" s="206"/>
      <c r="F252" s="262"/>
      <c r="G252" s="222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2">
        <f>'Données projet'!A231</f>
        <v>0</v>
      </c>
      <c r="B253" s="193">
        <f>'Données projet'!D231</f>
        <v>0</v>
      </c>
      <c r="C253" s="206">
        <f>225*'Données projet'!E231+13.8*('Données projet'!F231+'Données projet'!G231)+10*'Données projet'!H231</f>
        <v>0</v>
      </c>
      <c r="D253" s="191">
        <f t="shared" si="13"/>
        <v>0</v>
      </c>
      <c r="E253" s="206"/>
      <c r="F253" s="262"/>
      <c r="G253" s="222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2">
        <f>'Données projet'!A232</f>
        <v>0</v>
      </c>
      <c r="B254" s="193">
        <f>'Données projet'!D232</f>
        <v>0</v>
      </c>
      <c r="C254" s="206">
        <f>225*'Données projet'!E232+13.8*('Données projet'!F232+'Données projet'!G232)+10*'Données projet'!H232</f>
        <v>0</v>
      </c>
      <c r="D254" s="191">
        <f t="shared" si="13"/>
        <v>0</v>
      </c>
      <c r="E254" s="206"/>
      <c r="F254" s="262"/>
      <c r="G254" s="222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2">
        <f>'Données projet'!A233</f>
        <v>0</v>
      </c>
      <c r="B255" s="193">
        <f>'Données projet'!D233</f>
        <v>0</v>
      </c>
      <c r="C255" s="206">
        <f>225*'Données projet'!E233+13.8*('Données projet'!F233+'Données projet'!G233)+10*'Données projet'!H233</f>
        <v>0</v>
      </c>
      <c r="D255" s="191">
        <f t="shared" si="13"/>
        <v>0</v>
      </c>
      <c r="E255" s="206"/>
      <c r="F255" s="262"/>
      <c r="G255" s="222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2">
        <f>'Données projet'!A234</f>
        <v>0</v>
      </c>
      <c r="B256" s="193">
        <f>'Données projet'!D234</f>
        <v>0</v>
      </c>
      <c r="C256" s="206">
        <f>225*'Données projet'!E234+13.8*('Données projet'!F234+'Données projet'!G234)+10*'Données projet'!H234</f>
        <v>0</v>
      </c>
      <c r="D256" s="191">
        <f t="shared" si="13"/>
        <v>0</v>
      </c>
      <c r="E256" s="206"/>
      <c r="F256" s="262"/>
      <c r="G256" s="222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2">
        <f>'Données projet'!A235</f>
        <v>0</v>
      </c>
      <c r="B257" s="193">
        <f>'Données projet'!D235</f>
        <v>0</v>
      </c>
      <c r="C257" s="206">
        <f>225*'Données projet'!E235+13.8*('Données projet'!F235+'Données projet'!G235)+10*'Données projet'!H235</f>
        <v>0</v>
      </c>
      <c r="D257" s="191">
        <f t="shared" si="13"/>
        <v>0</v>
      </c>
      <c r="E257" s="206"/>
      <c r="F257" s="262"/>
      <c r="G257" s="222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2">
        <f>'Données projet'!A236</f>
        <v>0</v>
      </c>
      <c r="B258" s="193">
        <f>'Données projet'!D236</f>
        <v>0</v>
      </c>
      <c r="C258" s="206">
        <f>225*'Données projet'!E236+13.8*('Données projet'!F236+'Données projet'!G236)+10*'Données projet'!H236</f>
        <v>0</v>
      </c>
      <c r="D258" s="191">
        <f t="shared" si="13"/>
        <v>0</v>
      </c>
      <c r="E258" s="206"/>
      <c r="F258" s="262"/>
      <c r="G258" s="222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2">
        <f>'Données projet'!A237</f>
        <v>0</v>
      </c>
      <c r="B259" s="193">
        <f>'Données projet'!D237</f>
        <v>0</v>
      </c>
      <c r="C259" s="206">
        <f>225*'Données projet'!E237+13.8*('Données projet'!F237+'Données projet'!G237)+10*'Données projet'!H237</f>
        <v>0</v>
      </c>
      <c r="D259" s="191">
        <f t="shared" si="13"/>
        <v>0</v>
      </c>
      <c r="E259" s="206"/>
      <c r="F259" s="262"/>
      <c r="G259" s="222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0"/>
      <c r="G262" s="222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09">
        <v>0</v>
      </c>
      <c r="B265" s="212" t="s">
        <v>132</v>
      </c>
      <c r="C265" s="211" t="s">
        <v>132</v>
      </c>
      <c r="D265" s="210" t="s">
        <v>132</v>
      </c>
      <c r="E265" s="206"/>
      <c r="F265" s="261"/>
      <c r="G265" s="222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09">
        <v>1</v>
      </c>
      <c r="B266" s="212" t="s">
        <v>132</v>
      </c>
      <c r="C266" s="211" t="s">
        <v>132</v>
      </c>
      <c r="D266" s="210" t="s">
        <v>132</v>
      </c>
      <c r="E266" s="206"/>
      <c r="F266" s="261"/>
      <c r="G266" s="220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09">
        <v>2</v>
      </c>
      <c r="B267" s="212" t="s">
        <v>132</v>
      </c>
      <c r="C267" s="211" t="s">
        <v>132</v>
      </c>
      <c r="D267" s="210" t="s">
        <v>132</v>
      </c>
      <c r="E267" s="206"/>
      <c r="F267" s="261"/>
      <c r="G267" s="220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09">
        <v>3</v>
      </c>
      <c r="B268" s="212" t="s">
        <v>132</v>
      </c>
      <c r="C268" s="211" t="s">
        <v>132</v>
      </c>
      <c r="D268" s="210" t="s">
        <v>132</v>
      </c>
      <c r="E268" s="206"/>
      <c r="F268" s="261"/>
      <c r="G268" s="220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09">
        <v>4</v>
      </c>
      <c r="B269" s="212" t="s">
        <v>132</v>
      </c>
      <c r="C269" s="211" t="s">
        <v>132</v>
      </c>
      <c r="D269" s="210" t="s">
        <v>132</v>
      </c>
      <c r="E269" s="206"/>
      <c r="F269" s="261"/>
      <c r="G269" s="220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09">
        <v>5</v>
      </c>
      <c r="B270" s="212" t="s">
        <v>132</v>
      </c>
      <c r="C270" s="211" t="s">
        <v>132</v>
      </c>
      <c r="D270" s="210" t="s">
        <v>132</v>
      </c>
      <c r="E270" s="206"/>
      <c r="F270" s="261"/>
      <c r="G270" s="221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2">
        <f>'Données projet'!A244</f>
        <v>0</v>
      </c>
      <c r="B271" s="193">
        <f>'Données projet'!D244</f>
        <v>0</v>
      </c>
      <c r="C271" s="206">
        <f>225*'Données projet'!E244+13.8*('Données projet'!F244+'Données projet'!G244)+10*'Données projet'!H244</f>
        <v>0</v>
      </c>
      <c r="D271" s="191">
        <f>B271*C271</f>
        <v>0</v>
      </c>
      <c r="E271" s="206"/>
      <c r="F271" s="262"/>
      <c r="G271" s="221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2">
        <f>'Données projet'!A245</f>
        <v>0</v>
      </c>
      <c r="B272" s="193">
        <f>'Données projet'!D245</f>
        <v>0</v>
      </c>
      <c r="C272" s="206">
        <f>225*'Données projet'!E245+13.8*('Données projet'!F245+'Données projet'!G245)+10*'Données projet'!H245</f>
        <v>0</v>
      </c>
      <c r="D272" s="191">
        <f t="shared" ref="D272:D290" si="14">B272*C272</f>
        <v>0</v>
      </c>
      <c r="E272" s="206"/>
      <c r="F272" s="262"/>
      <c r="G272" s="221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2">
        <f>'Données projet'!A246</f>
        <v>0</v>
      </c>
      <c r="B273" s="193">
        <f>'Données projet'!D246</f>
        <v>0</v>
      </c>
      <c r="C273" s="206">
        <f>225*'Données projet'!E246+13.8*('Données projet'!F246+'Données projet'!G246)+10*'Données projet'!H246</f>
        <v>0</v>
      </c>
      <c r="D273" s="191">
        <f t="shared" si="14"/>
        <v>0</v>
      </c>
      <c r="E273" s="206"/>
      <c r="F273" s="262"/>
      <c r="G273" s="221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2">
        <f>'Données projet'!A247</f>
        <v>0</v>
      </c>
      <c r="B274" s="193">
        <f>'Données projet'!D247</f>
        <v>0</v>
      </c>
      <c r="C274" s="206">
        <f>225*'Données projet'!E247+13.8*('Données projet'!F247+'Données projet'!G247)+10*'Données projet'!H247</f>
        <v>0</v>
      </c>
      <c r="D274" s="191">
        <f t="shared" si="14"/>
        <v>0</v>
      </c>
      <c r="E274" s="206"/>
      <c r="F274" s="262"/>
      <c r="G274" s="221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2">
        <f>'Données projet'!A248</f>
        <v>0</v>
      </c>
      <c r="B275" s="193">
        <f>'Données projet'!D248</f>
        <v>0</v>
      </c>
      <c r="C275" s="206">
        <f>225*'Données projet'!E248+13.8*('Données projet'!F248+'Données projet'!G248)+10*'Données projet'!H248</f>
        <v>0</v>
      </c>
      <c r="D275" s="191">
        <f t="shared" si="14"/>
        <v>0</v>
      </c>
      <c r="E275" s="206"/>
      <c r="F275" s="262"/>
      <c r="G275" s="221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2">
        <f>'Données projet'!A249</f>
        <v>0</v>
      </c>
      <c r="B276" s="193">
        <f>'Données projet'!D249</f>
        <v>0</v>
      </c>
      <c r="C276" s="206">
        <f>225*'Données projet'!E249+13.8*('Données projet'!F249+'Données projet'!G249)+10*'Données projet'!H249</f>
        <v>0</v>
      </c>
      <c r="D276" s="191">
        <f t="shared" si="14"/>
        <v>0</v>
      </c>
      <c r="E276" s="206"/>
      <c r="F276" s="262"/>
      <c r="G276" s="221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2">
        <f>'Données projet'!A250</f>
        <v>0</v>
      </c>
      <c r="B277" s="193">
        <f>'Données projet'!D250</f>
        <v>0</v>
      </c>
      <c r="C277" s="206">
        <f>225*'Données projet'!E250+13.8*('Données projet'!F250+'Données projet'!G250)+10*'Données projet'!H250</f>
        <v>0</v>
      </c>
      <c r="D277" s="191">
        <f t="shared" si="14"/>
        <v>0</v>
      </c>
      <c r="E277" s="206"/>
      <c r="F277" s="262"/>
      <c r="G277" s="222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2">
        <f>'Données projet'!A251</f>
        <v>0</v>
      </c>
      <c r="B278" s="193">
        <f>'Données projet'!D251</f>
        <v>0</v>
      </c>
      <c r="C278" s="206">
        <f>225*'Données projet'!E251+13.8*('Données projet'!F251+'Données projet'!G251)+10*'Données projet'!H251</f>
        <v>0</v>
      </c>
      <c r="D278" s="191">
        <f t="shared" si="14"/>
        <v>0</v>
      </c>
      <c r="E278" s="206"/>
      <c r="F278" s="262"/>
      <c r="G278" s="222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2">
        <f>'Données projet'!A252</f>
        <v>0</v>
      </c>
      <c r="B279" s="193">
        <f>'Données projet'!D252</f>
        <v>0</v>
      </c>
      <c r="C279" s="206">
        <f>225*'Données projet'!E252+13.8*('Données projet'!F252+'Données projet'!G252)+10*'Données projet'!H252</f>
        <v>0</v>
      </c>
      <c r="D279" s="191">
        <f t="shared" si="14"/>
        <v>0</v>
      </c>
      <c r="E279" s="206"/>
      <c r="F279" s="262"/>
      <c r="G279" s="222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2">
        <f>'Données projet'!A253</f>
        <v>0</v>
      </c>
      <c r="B280" s="193">
        <f>'Données projet'!D253</f>
        <v>0</v>
      </c>
      <c r="C280" s="206">
        <f>225*'Données projet'!E253+13.8*('Données projet'!F253+'Données projet'!G253)+10*'Données projet'!H253</f>
        <v>0</v>
      </c>
      <c r="D280" s="191">
        <f t="shared" si="14"/>
        <v>0</v>
      </c>
      <c r="E280" s="206"/>
      <c r="F280" s="262"/>
      <c r="G280" s="222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2">
        <f>'Données projet'!A254</f>
        <v>0</v>
      </c>
      <c r="B281" s="193">
        <f>'Données projet'!D254</f>
        <v>0</v>
      </c>
      <c r="C281" s="206">
        <f>225*'Données projet'!E254+13.8*('Données projet'!F254+'Données projet'!G254)+10*'Données projet'!H254</f>
        <v>0</v>
      </c>
      <c r="D281" s="191">
        <f t="shared" si="14"/>
        <v>0</v>
      </c>
      <c r="E281" s="206"/>
      <c r="F281" s="262"/>
      <c r="G281" s="222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2">
        <f>'Données projet'!A255</f>
        <v>0</v>
      </c>
      <c r="B282" s="193">
        <f>'Données projet'!D255</f>
        <v>0</v>
      </c>
      <c r="C282" s="206">
        <f>225*'Données projet'!E255+13.8*('Données projet'!F255+'Données projet'!G255)+10*'Données projet'!H255</f>
        <v>0</v>
      </c>
      <c r="D282" s="191">
        <f t="shared" si="14"/>
        <v>0</v>
      </c>
      <c r="E282" s="206"/>
      <c r="F282" s="262"/>
      <c r="G282" s="222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2">
        <f>'Données projet'!A256</f>
        <v>0</v>
      </c>
      <c r="B283" s="193">
        <f>'Données projet'!D256</f>
        <v>0</v>
      </c>
      <c r="C283" s="206">
        <f>225*'Données projet'!E256+13.8*('Données projet'!F256+'Données projet'!G256)+10*'Données projet'!H256</f>
        <v>0</v>
      </c>
      <c r="D283" s="191">
        <f t="shared" si="14"/>
        <v>0</v>
      </c>
      <c r="E283" s="206"/>
      <c r="F283" s="262"/>
      <c r="G283" s="222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2">
        <f>'Données projet'!A257</f>
        <v>0</v>
      </c>
      <c r="B284" s="193">
        <f>'Données projet'!D257</f>
        <v>0</v>
      </c>
      <c r="C284" s="206">
        <f>225*'Données projet'!E257+13.8*('Données projet'!F257+'Données projet'!G257)+10*'Données projet'!H257</f>
        <v>0</v>
      </c>
      <c r="D284" s="191">
        <f t="shared" si="14"/>
        <v>0</v>
      </c>
      <c r="E284" s="206"/>
      <c r="F284" s="262"/>
      <c r="G284" s="222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2">
        <f>'Données projet'!A258</f>
        <v>0</v>
      </c>
      <c r="B285" s="193">
        <f>'Données projet'!D258</f>
        <v>0</v>
      </c>
      <c r="C285" s="206">
        <f>225*'Données projet'!E258+13.8*('Données projet'!F258+'Données projet'!G258)+10*'Données projet'!H258</f>
        <v>0</v>
      </c>
      <c r="D285" s="191">
        <f t="shared" si="14"/>
        <v>0</v>
      </c>
      <c r="E285" s="206"/>
      <c r="F285" s="262"/>
      <c r="G285" s="222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2">
        <f>'Données projet'!A259</f>
        <v>0</v>
      </c>
      <c r="B286" s="193">
        <f>'Données projet'!D259</f>
        <v>0</v>
      </c>
      <c r="C286" s="206">
        <f>225*'Données projet'!E259+13.8*('Données projet'!F259+'Données projet'!G259)+10*'Données projet'!H259</f>
        <v>0</v>
      </c>
      <c r="D286" s="191">
        <f t="shared" si="14"/>
        <v>0</v>
      </c>
      <c r="E286" s="206"/>
      <c r="F286" s="262"/>
      <c r="G286" s="222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2">
        <f>'Données projet'!A260</f>
        <v>0</v>
      </c>
      <c r="B287" s="193">
        <f>'Données projet'!D260</f>
        <v>0</v>
      </c>
      <c r="C287" s="206">
        <f>225*'Données projet'!E260+13.8*('Données projet'!F260+'Données projet'!G260)+10*'Données projet'!H260</f>
        <v>0</v>
      </c>
      <c r="D287" s="191">
        <f t="shared" si="14"/>
        <v>0</v>
      </c>
      <c r="E287" s="206"/>
      <c r="F287" s="262"/>
      <c r="G287" s="222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2">
        <f>'Données projet'!A261</f>
        <v>0</v>
      </c>
      <c r="B288" s="193">
        <f>'Données projet'!D261</f>
        <v>0</v>
      </c>
      <c r="C288" s="206">
        <f>225*'Données projet'!E261+13.8*('Données projet'!F261+'Données projet'!G261)+10*'Données projet'!H261</f>
        <v>0</v>
      </c>
      <c r="D288" s="191">
        <f t="shared" si="14"/>
        <v>0</v>
      </c>
      <c r="E288" s="206"/>
      <c r="F288" s="262"/>
      <c r="G288" s="222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2">
        <f>'Données projet'!A262</f>
        <v>0</v>
      </c>
      <c r="B289" s="193">
        <f>'Données projet'!D262</f>
        <v>0</v>
      </c>
      <c r="C289" s="206">
        <f>225*'Données projet'!E262+13.8*('Données projet'!F262+'Données projet'!G262)+10*'Données projet'!H262</f>
        <v>0</v>
      </c>
      <c r="D289" s="191">
        <f t="shared" si="14"/>
        <v>0</v>
      </c>
      <c r="E289" s="206"/>
      <c r="F289" s="262"/>
      <c r="G289" s="222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2">
        <f>'Données projet'!A263</f>
        <v>0</v>
      </c>
      <c r="B290" s="193">
        <f>'Données projet'!D263</f>
        <v>0</v>
      </c>
      <c r="C290" s="206">
        <f>225*'Données projet'!E263+13.8*('Données projet'!F263+'Données projet'!G263)+10*'Données projet'!H263</f>
        <v>0</v>
      </c>
      <c r="D290" s="191">
        <f t="shared" si="14"/>
        <v>0</v>
      </c>
      <c r="E290" s="206"/>
      <c r="F290" s="262"/>
      <c r="G290" s="222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0"/>
      <c r="G293" s="222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09">
        <v>0</v>
      </c>
      <c r="B296" s="212" t="s">
        <v>132</v>
      </c>
      <c r="C296" s="211" t="s">
        <v>132</v>
      </c>
      <c r="D296" s="210" t="s">
        <v>132</v>
      </c>
      <c r="E296" s="206"/>
      <c r="F296" s="261"/>
      <c r="G296" s="222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09">
        <v>1</v>
      </c>
      <c r="B297" s="212" t="s">
        <v>132</v>
      </c>
      <c r="C297" s="211" t="s">
        <v>132</v>
      </c>
      <c r="D297" s="210" t="s">
        <v>132</v>
      </c>
      <c r="E297" s="206"/>
      <c r="F297" s="261"/>
      <c r="G297" s="220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09">
        <v>2</v>
      </c>
      <c r="B298" s="212" t="s">
        <v>132</v>
      </c>
      <c r="C298" s="211" t="s">
        <v>132</v>
      </c>
      <c r="D298" s="210" t="s">
        <v>132</v>
      </c>
      <c r="E298" s="206"/>
      <c r="F298" s="261"/>
      <c r="G298" s="220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09">
        <v>3</v>
      </c>
      <c r="B299" s="212" t="s">
        <v>132</v>
      </c>
      <c r="C299" s="211" t="s">
        <v>132</v>
      </c>
      <c r="D299" s="210" t="s">
        <v>132</v>
      </c>
      <c r="E299" s="206"/>
      <c r="F299" s="261"/>
      <c r="G299" s="220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09">
        <v>4</v>
      </c>
      <c r="B300" s="212" t="s">
        <v>132</v>
      </c>
      <c r="C300" s="211" t="s">
        <v>132</v>
      </c>
      <c r="D300" s="210" t="s">
        <v>132</v>
      </c>
      <c r="E300" s="206"/>
      <c r="F300" s="261"/>
      <c r="G300" s="220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09">
        <v>5</v>
      </c>
      <c r="B301" s="212" t="s">
        <v>132</v>
      </c>
      <c r="C301" s="211" t="s">
        <v>132</v>
      </c>
      <c r="D301" s="210" t="s">
        <v>132</v>
      </c>
      <c r="E301" s="206"/>
      <c r="F301" s="261"/>
      <c r="G301" s="221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2">
        <f>'Données projet'!A270</f>
        <v>0</v>
      </c>
      <c r="B302" s="193">
        <f>'Données projet'!D270</f>
        <v>0</v>
      </c>
      <c r="C302" s="204">
        <f>225*'Données projet'!E270+13.8*('Données projet'!F270+'Données projet'!G270)+10*'Données projet'!H270</f>
        <v>0</v>
      </c>
      <c r="D302" s="194">
        <f>B302*C302</f>
        <v>0</v>
      </c>
      <c r="E302" s="206"/>
      <c r="F302" s="263"/>
      <c r="G302" s="221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2">
        <f>'Données projet'!A271</f>
        <v>0</v>
      </c>
      <c r="B303" s="193">
        <f>'Données projet'!D271</f>
        <v>0</v>
      </c>
      <c r="C303" s="204">
        <f>225*'Données projet'!E271+13.8*('Données projet'!F271+'Données projet'!G271)+10*'Données projet'!H271</f>
        <v>0</v>
      </c>
      <c r="D303" s="194">
        <f t="shared" ref="D303:D321" si="15">B303*C303</f>
        <v>0</v>
      </c>
      <c r="E303" s="206"/>
      <c r="F303" s="263"/>
      <c r="G303" s="221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2">
        <f>'Données projet'!A272</f>
        <v>0</v>
      </c>
      <c r="B304" s="193">
        <f>'Données projet'!D272</f>
        <v>0</v>
      </c>
      <c r="C304" s="204">
        <f>225*'Données projet'!E272+13.8*('Données projet'!F272+'Données projet'!G272)+10*'Données projet'!H272</f>
        <v>0</v>
      </c>
      <c r="D304" s="194">
        <f t="shared" si="15"/>
        <v>0</v>
      </c>
      <c r="E304" s="206"/>
      <c r="F304" s="263"/>
      <c r="G304" s="221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2">
        <f>'Données projet'!A273</f>
        <v>0</v>
      </c>
      <c r="B305" s="193">
        <f>'Données projet'!D273</f>
        <v>0</v>
      </c>
      <c r="C305" s="204">
        <f>225*'Données projet'!E273+13.8*('Données projet'!F273+'Données projet'!G273)+10*'Données projet'!H273</f>
        <v>0</v>
      </c>
      <c r="D305" s="194">
        <f t="shared" si="15"/>
        <v>0</v>
      </c>
      <c r="E305" s="206"/>
      <c r="F305" s="263"/>
      <c r="G305" s="221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2">
        <f>'Données projet'!A274</f>
        <v>0</v>
      </c>
      <c r="B306" s="193">
        <f>'Données projet'!D274</f>
        <v>0</v>
      </c>
      <c r="C306" s="204">
        <f>225*'Données projet'!E274+13.8*('Données projet'!F274+'Données projet'!G274)+10*'Données projet'!H274</f>
        <v>0</v>
      </c>
      <c r="D306" s="194">
        <f t="shared" si="15"/>
        <v>0</v>
      </c>
      <c r="E306" s="206"/>
      <c r="F306" s="263"/>
      <c r="G306" s="221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2">
        <f>'Données projet'!A275</f>
        <v>0</v>
      </c>
      <c r="B307" s="193">
        <f>'Données projet'!D275</f>
        <v>0</v>
      </c>
      <c r="C307" s="204">
        <f>225*'Données projet'!E275+13.8*('Données projet'!F275+'Données projet'!G275)+10*'Données projet'!H275</f>
        <v>0</v>
      </c>
      <c r="D307" s="194">
        <f t="shared" si="15"/>
        <v>0</v>
      </c>
      <c r="E307" s="206"/>
      <c r="F307" s="263"/>
      <c r="G307" s="221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2">
        <f>'Données projet'!A276</f>
        <v>0</v>
      </c>
      <c r="B308" s="193">
        <f>'Données projet'!D276</f>
        <v>0</v>
      </c>
      <c r="C308" s="204">
        <f>225*'Données projet'!E276+13.8*('Données projet'!F276+'Données projet'!G276)+10*'Données projet'!H276</f>
        <v>0</v>
      </c>
      <c r="D308" s="194">
        <f t="shared" si="15"/>
        <v>0</v>
      </c>
      <c r="E308" s="206"/>
      <c r="F308" s="263"/>
      <c r="G308" s="217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2">
        <f>'Données projet'!A277</f>
        <v>0</v>
      </c>
      <c r="B309" s="193">
        <f>'Données projet'!D277</f>
        <v>0</v>
      </c>
      <c r="C309" s="204">
        <f>225*'Données projet'!E277+13.8*('Données projet'!F277+'Données projet'!G277)+10*'Données projet'!H277</f>
        <v>0</v>
      </c>
      <c r="D309" s="194">
        <f t="shared" si="15"/>
        <v>0</v>
      </c>
      <c r="E309" s="206"/>
      <c r="F309" s="263"/>
      <c r="G309" s="217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2">
        <f>'Données projet'!A278</f>
        <v>0</v>
      </c>
      <c r="B310" s="193">
        <f>'Données projet'!D278</f>
        <v>0</v>
      </c>
      <c r="C310" s="204">
        <f>225*'Données projet'!E278+13.8*('Données projet'!F278+'Données projet'!G278)+10*'Données projet'!H278</f>
        <v>0</v>
      </c>
      <c r="D310" s="194">
        <f t="shared" si="15"/>
        <v>0</v>
      </c>
      <c r="E310" s="206"/>
      <c r="F310" s="263"/>
      <c r="G310" s="217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2">
        <f>'Données projet'!A279</f>
        <v>0</v>
      </c>
      <c r="B311" s="193">
        <f>'Données projet'!D279</f>
        <v>0</v>
      </c>
      <c r="C311" s="204">
        <f>225*'Données projet'!E279+13.8*('Données projet'!F279+'Données projet'!G279)+10*'Données projet'!H279</f>
        <v>0</v>
      </c>
      <c r="D311" s="194">
        <f t="shared" si="15"/>
        <v>0</v>
      </c>
      <c r="E311" s="206"/>
      <c r="F311" s="263"/>
      <c r="G311" s="217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2">
        <f>'Données projet'!A280</f>
        <v>0</v>
      </c>
      <c r="B312" s="193">
        <f>'Données projet'!D280</f>
        <v>0</v>
      </c>
      <c r="C312" s="204">
        <f>225*'Données projet'!E280+13.8*('Données projet'!F280+'Données projet'!G280)+10*'Données projet'!H280</f>
        <v>0</v>
      </c>
      <c r="D312" s="194">
        <f t="shared" si="15"/>
        <v>0</v>
      </c>
      <c r="E312" s="206"/>
      <c r="F312" s="263"/>
      <c r="G312" s="217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2">
        <f>'Données projet'!A281</f>
        <v>0</v>
      </c>
      <c r="B313" s="193">
        <f>'Données projet'!D281</f>
        <v>0</v>
      </c>
      <c r="C313" s="204">
        <f>225*'Données projet'!E281+13.8*('Données projet'!F281+'Données projet'!G281)+10*'Données projet'!H281</f>
        <v>0</v>
      </c>
      <c r="D313" s="194">
        <f t="shared" si="15"/>
        <v>0</v>
      </c>
      <c r="E313" s="206"/>
      <c r="F313" s="263"/>
      <c r="G313" s="217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2">
        <f>'Données projet'!A282</f>
        <v>0</v>
      </c>
      <c r="B314" s="193">
        <f>'Données projet'!D282</f>
        <v>0</v>
      </c>
      <c r="C314" s="204">
        <f>225*'Données projet'!E282+13.8*('Données projet'!F282+'Données projet'!G282)+10*'Données projet'!H282</f>
        <v>0</v>
      </c>
      <c r="D314" s="194">
        <f t="shared" si="15"/>
        <v>0</v>
      </c>
      <c r="E314" s="206"/>
      <c r="F314" s="263"/>
      <c r="G314" s="217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2">
        <f>'Données projet'!A283</f>
        <v>0</v>
      </c>
      <c r="B315" s="193">
        <f>'Données projet'!D283</f>
        <v>0</v>
      </c>
      <c r="C315" s="204">
        <f>225*'Données projet'!E283+13.8*('Données projet'!F283+'Données projet'!G283)+10*'Données projet'!H283</f>
        <v>0</v>
      </c>
      <c r="D315" s="194">
        <f t="shared" si="15"/>
        <v>0</v>
      </c>
      <c r="E315" s="206"/>
      <c r="F315" s="263"/>
      <c r="G315" s="217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2">
        <f>'Données projet'!A284</f>
        <v>0</v>
      </c>
      <c r="B316" s="193">
        <f>'Données projet'!D284</f>
        <v>0</v>
      </c>
      <c r="C316" s="204">
        <f>225*'Données projet'!E284+13.8*('Données projet'!F284+'Données projet'!G284)+10*'Données projet'!H284</f>
        <v>0</v>
      </c>
      <c r="D316" s="194">
        <f t="shared" si="15"/>
        <v>0</v>
      </c>
      <c r="E316" s="206"/>
      <c r="F316" s="263"/>
      <c r="G316" s="217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2">
        <f>'Données projet'!A285</f>
        <v>0</v>
      </c>
      <c r="B317" s="193">
        <f>'Données projet'!D285</f>
        <v>0</v>
      </c>
      <c r="C317" s="204">
        <f>225*'Données projet'!E285+13.8*('Données projet'!F285+'Données projet'!G285)+10*'Données projet'!H285</f>
        <v>0</v>
      </c>
      <c r="D317" s="194">
        <f t="shared" si="15"/>
        <v>0</v>
      </c>
      <c r="E317" s="206"/>
      <c r="F317" s="263"/>
      <c r="G317" s="217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2">
        <f>'Données projet'!A286</f>
        <v>0</v>
      </c>
      <c r="B318" s="193">
        <f>'Données projet'!D286</f>
        <v>0</v>
      </c>
      <c r="C318" s="204">
        <f>225*'Données projet'!E286+13.8*('Données projet'!F286+'Données projet'!G286)+10*'Données projet'!H286</f>
        <v>0</v>
      </c>
      <c r="D318" s="194">
        <f t="shared" si="15"/>
        <v>0</v>
      </c>
      <c r="E318" s="206"/>
      <c r="F318" s="263"/>
      <c r="G318" s="217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2">
        <f>'Données projet'!A287</f>
        <v>0</v>
      </c>
      <c r="B319" s="193">
        <f>'Données projet'!D287</f>
        <v>0</v>
      </c>
      <c r="C319" s="204">
        <f>225*'Données projet'!E287+13.8*('Données projet'!F287+'Données projet'!G287)+10*'Données projet'!H287</f>
        <v>0</v>
      </c>
      <c r="D319" s="194">
        <f t="shared" si="15"/>
        <v>0</v>
      </c>
      <c r="E319" s="206"/>
      <c r="F319" s="263"/>
      <c r="G319" s="217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2">
        <f>'Données projet'!A288</f>
        <v>0</v>
      </c>
      <c r="B320" s="193">
        <f>'Données projet'!D288</f>
        <v>0</v>
      </c>
      <c r="C320" s="204">
        <f>225*'Données projet'!E288+13.8*('Données projet'!F288+'Données projet'!G288)+10*'Données projet'!H288</f>
        <v>0</v>
      </c>
      <c r="D320" s="194">
        <f t="shared" si="15"/>
        <v>0</v>
      </c>
      <c r="E320" s="206"/>
      <c r="F320" s="263"/>
      <c r="G320" s="217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2">
        <f>'Données projet'!A289</f>
        <v>0</v>
      </c>
      <c r="B321" s="193">
        <f>'Données projet'!D289</f>
        <v>0</v>
      </c>
      <c r="C321" s="204">
        <f>225*'Données projet'!E289+13.8*('Données projet'!F289+'Données projet'!G289)+10*'Données projet'!H289</f>
        <v>0</v>
      </c>
      <c r="D321" s="194">
        <f t="shared" si="15"/>
        <v>0</v>
      </c>
      <c r="E321" s="206"/>
      <c r="F321" s="263"/>
      <c r="G321" s="217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7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7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7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7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7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7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30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30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30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30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30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30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30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30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30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30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30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30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30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30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30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30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30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30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30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30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30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30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30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30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30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30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2024-10-31T15:23:47Z</dcterms:modified>
</cp:coreProperties>
</file>