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PDLB\MECE (35) - LEONARD\Dossier déposé 17012025\"/>
    </mc:Choice>
  </mc:AlternateContent>
  <xr:revisionPtr revIDLastSave="0" documentId="13_ncr:1_{5CEA8CE2-7690-4287-8928-CC2E4BBD4AE1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1" i="2" l="1" a="1"/>
  <c r="BC31" i="2" s="1"/>
  <c r="BC38" i="2" a="1"/>
  <c r="BC38" i="2" s="1"/>
  <c r="BC65" i="2" a="1"/>
  <c r="BC65" i="2" s="1"/>
  <c r="BC82" i="2" a="1"/>
  <c r="BC82" i="2" s="1"/>
  <c r="BC130" i="2" a="1"/>
  <c r="BC130" i="2" s="1"/>
  <c r="BC181" i="2" a="1"/>
  <c r="BC181" i="2" s="1"/>
  <c r="BC47" i="2" a="1"/>
  <c r="BC47" i="2" s="1"/>
  <c r="BC84" i="2" a="1"/>
  <c r="BC84" i="2" s="1"/>
  <c r="BC68" i="2" a="1"/>
  <c r="BC68" i="2" s="1"/>
  <c r="BC192" i="2" a="1"/>
  <c r="BC192" i="2" s="1"/>
  <c r="BC55" i="2" a="1"/>
  <c r="BC55" i="2" s="1"/>
  <c r="BC185" i="2" a="1"/>
  <c r="BC185" i="2" s="1"/>
  <c r="BC143" i="2" a="1"/>
  <c r="BC143" i="2" s="1"/>
  <c r="BC117" i="2" a="1"/>
  <c r="BC117" i="2" s="1"/>
  <c r="BC32" i="2" a="1"/>
  <c r="BC32" i="2" s="1"/>
  <c r="BC114" i="2" a="1"/>
  <c r="BC114" i="2" s="1"/>
  <c r="BC164" i="2" a="1"/>
  <c r="BC164" i="2" s="1"/>
  <c r="BC126" i="2" a="1"/>
  <c r="BC126" i="2" s="1"/>
  <c r="BC58" i="2" a="1"/>
  <c r="BC58" i="2" s="1"/>
  <c r="BC151" i="2" a="1"/>
  <c r="BC151" i="2" s="1"/>
  <c r="BC34" i="2" a="1"/>
  <c r="BC34" i="2" s="1"/>
  <c r="BC83" i="2" a="1"/>
  <c r="BC83" i="2" s="1"/>
  <c r="BC7" i="2" a="1"/>
  <c r="BC7" i="2" s="1"/>
  <c r="BD7" i="2" s="1"/>
  <c r="AH199" i="2" a="1"/>
  <c r="AH199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<sst xmlns="http://schemas.openxmlformats.org/spreadsheetml/2006/main" count="1173" uniqueCount="326">
  <si>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</si>
  <si>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</si>
  <si>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</si>
  <si>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</si>
  <si>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</si>
  <si>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</si>
  <si>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</si>
  <si>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</si>
  <si>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</si>
  <si>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</si>
  <si>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</si>
  <si>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</si>
  <si>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</si>
  <si>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</si>
  <si>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</si>
  <si>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</si>
  <si>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</si>
  <si>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</si>
  <si>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</si>
  <si>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</si>
  <si>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</si>
  <si>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</si>
  <si>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</si>
  <si>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</si>
  <si>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</si>
  <si>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</si>
  <si>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</si>
  <si>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</si>
  <si>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</si>
  <si>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</si>
  <si>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</si>
  <si>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</si>
  <si>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</si>
  <si>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</si>
  <si>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</si>
  <si>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</si>
  <si>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</si>
  <si>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</si>
  <si>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</si>
  <si>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</si>
  <si>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</si>
  <si>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</si>
  <si>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</si>
  <si>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</si>
  <si>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</si>
  <si>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</si>
  <si>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</si>
  <si>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</si>
  <si>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</si>
  <si>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</si>
  <si>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</si>
  <si>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</si>
  <si>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</si>
  <si>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</si>
  <si>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</si>
  <si>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</si>
  <si>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</si>
  <si>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</si>
  <si>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</si>
  <si>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</si>
  <si>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</si>
  <si>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</si>
  <si>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</si>
  <si>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</si>
  <si>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</si>
  <si>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</si>
  <si>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</si>
  <si>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</si>
  <si>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</si>
  <si>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</si>
  <si>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</si>
  <si>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</si>
  <si>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</si>
  <si>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</si>
  <si>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</si>
  <si>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</si>
  <si>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</si>
  <si>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</si>
  <si>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</si>
  <si>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</si>
  <si>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</si>
  <si>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</si>
  <si>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</si>
  <si>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</si>
  <si>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</si>
  <si>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</si>
  <si>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</si>
  <si>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</si>
  <si>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</si>
  <si>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</si>
  <si>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</si>
  <si>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</si>
  <si>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</si>
  <si>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</si>
  <si>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</si>
  <si>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</si>
  <si>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</si>
  <si>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</si>
  <si>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</si>
  <si>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</si>
  <si>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</si>
  <si>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</si>
  <si>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</si>
  <si>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</si>
  <si>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</si>
  <si>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</si>
  <si>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</si>
  <si>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</si>
  <si>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</si>
  <si>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</si>
  <si>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</si>
  <si>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</si>
  <si>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</si>
  <si>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</si>
  <si>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</si>
  <si>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</si>
  <si>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</si>
  <si>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</si>
  <si>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</si>
  <si>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</si>
  <si>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</si>
  <si>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</si>
  <si>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</si>
  <si>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</si>
  <si>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</si>
  <si>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</si>
  <si>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</si>
  <si>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</si>
  <si>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</si>
  <si>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</si>
  <si>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</si>
  <si>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</si>
  <si>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</si>
  <si>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</si>
  <si>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</si>
  <si>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</si>
  <si>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</si>
  <si>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</si>
  <si>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</si>
  <si>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</si>
  <si>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</si>
  <si>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</si>
  <si>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</si>
  <si>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</si>
  <si>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</si>
  <si>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</si>
  <si>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</si>
  <si>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</si>
  <si>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</si>
  <si>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</si>
  <si>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</si>
  <si>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</si>
  <si>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</si>
  <si>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</si>
  <si>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</si>
  <si>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</si>
  <si>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</si>
  <si>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</si>
  <si>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</si>
  <si>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</si>
  <si>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</si>
  <si>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</si>
  <si>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</si>
  <si>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</si>
  <si>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</si>
  <si>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</si>
  <si>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</si>
  <si>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</si>
  <si>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</si>
  <si>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</si>
  <si>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</si>
  <si>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</si>
  <si>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</si>
  <si>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</si>
  <si>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</si>
  <si>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</si>
  <si>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</si>
  <si>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</si>
  <si>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</si>
  <si>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</si>
  <si>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</si>
  <si>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</si>
  <si>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</si>
  <si>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</si>
  <si>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</si>
  <si>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</si>
  <si>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</si>
  <si>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</si>
  <si>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</si>
  <si>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</si>
  <si>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</si>
  <si>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</si>
  <si>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</si>
  <si>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</si>
  <si>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</si>
  <si>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</si>
  <si>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</si>
  <si>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</si>
  <si>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</si>
  <si>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</si>
  <si>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</si>
  <si>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</si>
  <si>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</si>
  <si>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</si>
  <si>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</si>
  <si>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</si>
  <si>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</si>
  <si>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</si>
  <si>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</si>
  <si>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</si>
  <si>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</si>
  <si>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</si>
  <si>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</si>
  <si>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</si>
  <si>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</si>
  <si>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</si>
  <si>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</si>
  <si>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</si>
  <si>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</si>
  <si>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</si>
  <si>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</si>
  <si>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</si>
  <si>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</si>
  <si>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</si>
  <si>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</si>
  <si>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</si>
  <si>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</si>
  <si>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</si>
  <si>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</si>
  <si>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</si>
  <si>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</si>
  <si>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</si>
  <si>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</si>
  <si>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</si>
  <si>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</si>
  <si>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</si>
  <si>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</si>
  <si>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</si>
  <si>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</si>
  <si>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</si>
  <si>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</si>
  <si>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</si>
  <si>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</si>
  <si>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</si>
  <si>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</si>
  <si>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</si>
  <si>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</si>
  <si>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</si>
  <si>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</si>
  <si>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</si>
  <si>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</si>
  <si>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</si>
  <si>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</si>
  <si>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</si>
  <si>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</si>
  <si>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</si>
  <si>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</si>
  <si>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</si>
  <si>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</si>
  <si>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</si>
  <si>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</si>
  <si>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</si>
  <si>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</si>
  <si>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</si>
  <si>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</si>
  <si>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</si>
  <si>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</si>
  <si>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</si>
  <si>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</si>
  <si>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</si>
  <si>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</si>
  <si>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</si>
  <si>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</si>
  <si>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</si>
  <si>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</si>
  <si>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</si>
  <si>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</si>
  <si>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</si>
  <si>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</si>
  <si>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</si>
  <si>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</si>
  <si>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</si>
  <si>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</si>
  <si>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</si>
  <si>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</si>
  <si>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</si>
  <si>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</si>
  <si>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</si>
  <si>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</si>
  <si>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</si>
  <si>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</si>
  <si>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</si>
  <si>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</si>
  <si>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</si>
  <si>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</si>
  <si>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</si>
  <si>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</si>
  <si>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</si>
  <si>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</si>
  <si>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</si>
  <si>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</si>
  <si>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</si>
  <si>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</si>
  <si>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</si>
  <si>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</si>
  <si>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</si>
  <si>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</si>
  <si>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</si>
  <si>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</si>
  <si>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</si>
  <si>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</si>
  <si>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</si>
  <si>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</si>
  <si>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</si>
  <si>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</si>
  <si>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</si>
  <si>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</si>
  <si>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</si>
  <si>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</si>
  <si>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</si>
  <si>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</si>
  <si>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</si>
  <si>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</si>
  <si>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</si>
  <si>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Moncalvo</t>
  </si>
  <si>
    <t>Vesten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</si>
</sst>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1.8295627514950832</c:v>
                </c:pt>
                <c:pt idx="2">
                  <c:v>2.4293728663018581</c:v>
                </c:pt>
                <c:pt idx="3">
                  <c:v>3.2266473572599654</c:v>
                </c:pt>
                <c:pt idx="4">
                  <c:v>4.286648602357384</c:v>
                </c:pt>
                <c:pt idx="5">
                  <c:v>5.6962871421145067</c:v>
                </c:pt>
                <c:pt idx="6">
                  <c:v>7.5713268642416374</c:v>
                </c:pt>
                <c:pt idx="7">
                  <c:v>10.065995751197184</c:v>
                </c:pt>
                <c:pt idx="8">
                  <c:v>13.385807604952026</c:v>
                </c:pt>
                <c:pt idx="9">
                  <c:v>17.804670521863532</c:v>
                </c:pt>
                <c:pt idx="10">
                  <c:v>23.687719213584966</c:v>
                </c:pt>
                <c:pt idx="11">
                  <c:v>31.521791227252475</c:v>
                </c:pt>
                <c:pt idx="12">
                  <c:v>41.956112739835618</c:v>
                </c:pt>
                <c:pt idx="13">
                  <c:v>55.856622783181876</c:v>
                </c:pt>
                <c:pt idx="14">
                  <c:v>74.378518952617668</c:v>
                </c:pt>
                <c:pt idx="15">
                  <c:v>99.063151161005109</c:v>
                </c:pt>
                <c:pt idx="16">
                  <c:v>131.96745437850515</c:v>
                </c:pt>
                <c:pt idx="17">
                  <c:v>175.83687263085244</c:v>
                </c:pt>
                <c:pt idx="18">
                  <c:v>234.33642052234816</c:v>
                </c:pt>
                <c:pt idx="19">
                  <c:v>312.35947074862543</c:v>
                </c:pt>
                <c:pt idx="20">
                  <c:v>416.44046893068645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1.9385079908784064</c:v>
                </c:pt>
                <c:pt idx="2">
                  <c:v>2.574169351958095</c:v>
                </c:pt>
                <c:pt idx="3">
                  <c:v>3.4191394288257353</c:v>
                </c:pt>
                <c:pt idx="4">
                  <c:v>4.5426080736808965</c:v>
                </c:pt>
                <c:pt idx="5">
                  <c:v>6.0367200552028182</c:v>
                </c:pt>
                <c:pt idx="6">
                  <c:v>8.0242163911311302</c:v>
                </c:pt>
                <c:pt idx="7">
                  <c:v>10.668627231531838</c:v>
                </c:pt>
                <c:pt idx="8">
                  <c:v>14.187870699452958</c:v>
                </c:pt>
                <c:pt idx="9">
                  <c:v>18.872398934458349</c:v>
                </c:pt>
                <c:pt idx="10">
                  <c:v>25.109415943126432</c:v>
                </c:pt>
                <c:pt idx="11">
                  <c:v>33.41520428513158</c:v>
                </c:pt>
                <c:pt idx="12">
                  <c:v>44.478282655019775</c:v>
                </c:pt>
                <c:pt idx="13">
                  <c:v>59.217032314730339</c:v>
                </c:pt>
                <c:pt idx="14">
                  <c:v>78.856655043636053</c:v>
                </c:pt>
                <c:pt idx="15">
                  <c:v>105.03196312165915</c:v>
                </c:pt>
                <c:pt idx="16">
                  <c:v>139.92469246609647</c:v>
                </c:pt>
                <c:pt idx="17">
                  <c:v>186.44696028421535</c:v>
                </c:pt>
                <c:pt idx="18">
                  <c:v>248.48640864314746</c:v>
                </c:pt>
                <c:pt idx="19">
                  <c:v>331.23382009799388</c:v>
                </c:pt>
                <c:pt idx="20">
                  <c:v>441.6210093445938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1.9799525645077225</c:v>
                </c:pt>
                <c:pt idx="2">
                  <c:v>2.6292541906084983</c:v>
                </c:pt>
                <c:pt idx="3">
                  <c:v>3.4923715036047582</c:v>
                </c:pt>
                <c:pt idx="4">
                  <c:v>4.6399890029859518</c:v>
                </c:pt>
                <c:pt idx="5">
                  <c:v>6.1662434599377862</c:v>
                </c:pt>
                <c:pt idx="6">
                  <c:v>8.1965312660172707</c:v>
                </c:pt>
                <c:pt idx="7">
                  <c:v>10.897922906629463</c:v>
                </c:pt>
                <c:pt idx="8">
                  <c:v>14.493057617808212</c:v>
                </c:pt>
                <c:pt idx="9">
                  <c:v>19.278684398194496</c:v>
                </c:pt>
                <c:pt idx="10">
                  <c:v>25.650407296591883</c:v>
                </c:pt>
                <c:pt idx="11">
                  <c:v>34.135716539625932</c:v>
                </c:pt>
                <c:pt idx="12">
                  <c:v>45.43808710103395</c:v>
                </c:pt>
                <c:pt idx="13">
                  <c:v>60.495862280227591</c:v>
                </c:pt>
                <c:pt idx="14">
                  <c:v>80.560891419419974</c:v>
                </c:pt>
                <c:pt idx="15">
                  <c:v>107.30356465938273</c:v>
                </c:pt>
                <c:pt idx="16">
                  <c:v>142.9531263033393</c:v>
                </c:pt>
                <c:pt idx="17">
                  <c:v>190.4851429176193</c:v>
                </c:pt>
                <c:pt idx="18">
                  <c:v>253.87200841291778</c:v>
                </c:pt>
                <c:pt idx="19">
                  <c:v>338.41772829488417</c:v>
                </c:pt>
                <c:pt idx="20">
                  <c:v>451.20539730611335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" zoomScale="70" zoomScaleNormal="70" workbookViewId="0">
      <selection activeCell="H88" sqref="H8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2.2000000000000002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109</v>
      </c>
      <c r="C9" s="35">
        <v>0.39100000000000001</v>
      </c>
      <c r="D9" s="36">
        <f t="shared" ref="D9:D18" si="0">C9*$C$5</f>
        <v>0.86020000000000008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117</v>
      </c>
      <c r="C10" s="35">
        <v>0.38200000000000001</v>
      </c>
      <c r="D10" s="36">
        <f t="shared" si="0"/>
        <v>0.84040000000000004</v>
      </c>
      <c r="E10" s="37">
        <v>20</v>
      </c>
      <c r="F10" s="38" t="str">
        <f t="array" ref="F10">IF(E10="","",IF(INDEX(A:A,MAX(IF(ISNUMBER($A$62:$A$81),ROW($A$62:$A$81),"")))&lt;&gt;E10,"Corrigez : révolution incorrecte","OK"))</f>
        <v>OK</v>
      </c>
      <c r="G10" s="25" t="s">
        <v>324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118</v>
      </c>
      <c r="C11" s="35">
        <v>0.22700000000000001</v>
      </c>
      <c r="D11" s="36">
        <f t="shared" si="0"/>
        <v>0.49940000000000007</v>
      </c>
      <c r="E11" s="37">
        <v>20</v>
      </c>
      <c r="F11" s="38" t="str">
        <f t="array" ref="F11">IF(E11="","",IF(INDEX(A:A,MAX(IF(ISNUMBER($A$88:$A$107),ROW($A$88:$A$107),"")))&lt;&gt;E11,"Corrigez : révolution incorrecte","OK"))</f>
        <v>OK</v>
      </c>
      <c r="G11" s="25" t="s">
        <v>325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2.2000000000000002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Brenta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361.7</v>
      </c>
      <c r="C36" s="63">
        <v>1</v>
      </c>
      <c r="D36" s="63">
        <v>361.7</v>
      </c>
      <c r="E36" s="54">
        <v>0.77</v>
      </c>
      <c r="F36" s="54">
        <v>0.21</v>
      </c>
      <c r="G36" s="54"/>
      <c r="H36" s="54"/>
      <c r="I36" s="52">
        <f>IFERROR(B36/A36,"")</f>
        <v>18.085000000000001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Soligo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361.7</v>
      </c>
      <c r="C62" s="63">
        <v>1</v>
      </c>
      <c r="D62" s="63">
        <v>361.7</v>
      </c>
      <c r="E62" s="54">
        <v>0.77</v>
      </c>
      <c r="F62" s="54">
        <v>0.21</v>
      </c>
      <c r="G62" s="54"/>
      <c r="H62" s="54"/>
      <c r="I62" s="56">
        <f>IFERROR(B62/A62,"")</f>
        <v>18.085000000000001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Peuplier Taro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361.7</v>
      </c>
      <c r="C88" s="63">
        <v>1</v>
      </c>
      <c r="D88" s="63">
        <v>361.7</v>
      </c>
      <c r="E88" s="54">
        <v>0.77</v>
      </c>
      <c r="F88" s="54">
        <v>0.21</v>
      </c>
      <c r="G88" s="54"/>
      <c r="H88" s="93"/>
      <c r="I88" s="56">
        <f>IFERROR(B88/A88,"")</f>
        <v>18.085000000000001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E1" zoomScale="115" zoomScaleNormal="115" workbookViewId="0">
      <selection activeCell="F8" sqref="F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Brenta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Soligo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Peuplier Taro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91.446075686521226</v>
      </c>
      <c r="T3" s="62">
        <f>IF('Données projet'!E9&gt;30,$R$33-$H$33,LOOKUP('Données projet'!$E$9,$A$3:$A$203,R3:R203)-LOOKUP('Données projet'!$E$9,$A$3:$A$203,$H$3:$H$203))</f>
        <v>440.88491337513091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96.226303286816062</v>
      </c>
      <c r="AO3" s="62">
        <f>IF('Données projet'!E10&gt;30,$AM$33-$H$33,LOOKUP('Données projet'!$E$10,$A$3:$A$203,AM3:AM203)-LOOKUP('Données projet'!$E$10,$A$3:$A$203,$H$3:$H$203))</f>
        <v>466.06545378903826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98.045647909910258</v>
      </c>
      <c r="BJ3" s="62">
        <f>IF('Données projet'!E11&gt;30,$BH$33-$H$33,LOOKUP('Données projet'!$E$11,$A$3:$A$203,BH3:BH203)-LOOKUP('Données projet'!$E$11,$A$3:$A$203,$H$3:$H$203))</f>
        <v>475.64984175055775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18.085000000000001</v>
      </c>
      <c r="N4" s="14">
        <f>IF('Données projet'!$A$36&gt;35,N3+M4-V3,IF(A4&lt;'Données projet'!$A$36,$K$205^A4,IF(A4='Données projet'!$A$36,'Données projet'!$B$36,N3+M4-V3)))</f>
        <v>1.3425096788517643</v>
      </c>
      <c r="O4" s="14">
        <f>N4*VLOOKUP('Données projet'!$B$9,Paramètres!$A$1:$I$89,3,0)*VLOOKUP('Données projet'!$B$9,Paramètres!$A$1:$I$89,5,0)</f>
        <v>0.7099728185639671</v>
      </c>
      <c r="P4" s="14">
        <f>EXP(-1.0587+0.8836*LN(O4)+0.284)</f>
        <v>0.34049383301215708</v>
      </c>
      <c r="Q4" s="22">
        <f t="shared" ref="Q4:Q34" si="2">(O4+P4)*0.475*44/12</f>
        <v>1.8295627514950832</v>
      </c>
      <c r="R4" s="62">
        <f t="shared" si="0"/>
        <v>259.71845164038393</v>
      </c>
      <c r="S4" s="62">
        <f ca="1">AVERAGE(OFFSET($R$3,0,0,'Données projet'!$E$9+1,1))-AVERAGE(OFFSET($H$3,0,0,'Données projet'!$E$9+1,1))</f>
        <v>91.446075686521226</v>
      </c>
      <c r="T4" s="62">
        <f>$T$3</f>
        <v>440.88491337513091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18.085000000000001</v>
      </c>
      <c r="AI4" s="14">
        <f>IF('Données projet'!$A$62&gt;35,AI3+AH4-AQ3,IF(A4&lt;'Données projet'!$A$62,$AF$205^A4,IF(A4='Données projet'!$A$62,'Données projet'!$B$62,AI3+AH4-AQ3)))</f>
        <v>1.3425096788517643</v>
      </c>
      <c r="AJ4" s="14">
        <f>AI4*VLOOKUP('Données projet'!$B$10,Paramètres!$A$1:$I$89,3,0)*VLOOKUP('Données projet'!$B$10,Paramètres!$A$1:$I$89,5,0)</f>
        <v>0.75395343564315076</v>
      </c>
      <c r="AK4" s="14">
        <f>EXP(-1.0587+0.8836*LN(AJ4)+0.284)</f>
        <v>0.35906550648799168</v>
      </c>
      <c r="AL4" s="22">
        <f t="shared" ref="AL4:AL67" si="4">(AJ4+AK4)*0.475*44/12</f>
        <v>1.9385079908784064</v>
      </c>
      <c r="AM4" s="62">
        <f t="shared" ref="AM4:AM67" si="5">AL4+(AD4+AE4)*44/12</f>
        <v>259.82739687976726</v>
      </c>
      <c r="AN4" s="62">
        <f ca="1">AVERAGE(OFFSET($AM$3,0,0,'Données projet'!$E$10+1,1))-AVERAGE(OFFSET($H$3,0,0,'Données projet'!$E$10+1,1))</f>
        <v>96.226303286816062</v>
      </c>
      <c r="AO4" s="62">
        <f>$AO$3</f>
        <v>466.06545378903826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18.085000000000001</v>
      </c>
      <c r="BD4" s="13">
        <f>IF('Données projet'!$A$88&gt;35,BD3+BC4-BL3,IF(A4&lt;'Données projet'!$A$88,$BA$205^A4,IF(A4='Données projet'!$A$88,'Données projet'!$B$88,BD3+BC4-BL3)))</f>
        <v>1.3425096788517643</v>
      </c>
      <c r="BE4" s="14">
        <f>BD4*VLOOKUP('Données projet'!$B$11,Paramètres!$A$1:$I$89,3,0)*VLOOKUP('Données projet'!$B$11,Paramètres!$A$1:$I$89,5,0)</f>
        <v>0.77070795643522083</v>
      </c>
      <c r="BF4" s="14">
        <f>EXP(-1.0587+0.8836*LN(BE4)+0.284)</f>
        <v>0.36610691313859128</v>
      </c>
      <c r="BG4" s="22">
        <f t="shared" ref="BG4:BG67" si="7">(BE4+BF4)*0.475*44/12</f>
        <v>1.9799525645077225</v>
      </c>
      <c r="BH4" s="62">
        <f t="shared" ref="BH4:BH67" si="8">BG4+(AY4+AZ4)*44/12</f>
        <v>259.86884145339656</v>
      </c>
      <c r="BI4" s="62">
        <f ca="1">AVERAGE(OFFSET($BH$3,0,0,'Données projet'!$E$11+1,1))-AVERAGE(OFFSET($H$3,0,0,'Données projet'!$E$11+1,1))</f>
        <v>98.045647909910258</v>
      </c>
      <c r="BJ4" s="62">
        <f>$BJ$3</f>
        <v>475.64984175055775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18.085000000000001</v>
      </c>
      <c r="N5" s="14">
        <f>IF('Données projet'!$A$36&gt;35,N4+M5-V4,IF(A5&lt;'Données projet'!$A$36,$K$205^A5,IF(A5='Données projet'!$A$36,'Données projet'!$B$36,N4+M5-V4)))</f>
        <v>1.8023322378106674</v>
      </c>
      <c r="O5" s="14">
        <f>N5*VLOOKUP('Données projet'!$B$9,Paramètres!$A$1:$I$89,3,0)*VLOOKUP('Données projet'!$B$9,Paramètres!$A$1:$I$89,5,0)</f>
        <v>0.95314538064379339</v>
      </c>
      <c r="P5" s="14">
        <f t="shared" ref="P5:P68" si="33">EXP(-1.0587+0.8836*LN(O5)+0.284)</f>
        <v>0.44170985359650788</v>
      </c>
      <c r="Q5" s="22">
        <f t="shared" si="2"/>
        <v>2.4293728663018581</v>
      </c>
      <c r="R5" s="62">
        <f t="shared" si="0"/>
        <v>261.54048397741298</v>
      </c>
      <c r="S5" s="62">
        <f ca="1">AVERAGE(OFFSET($R$3,0,0,'Données projet'!$E$9+1,1))-AVERAGE(OFFSET($H$3,0,0,'Données projet'!$E$9+1,1))</f>
        <v>91.446075686521226</v>
      </c>
      <c r="T5" s="62">
        <f t="shared" ref="T5:T68" si="34">$T$3</f>
        <v>440.88491337513091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18.085000000000001</v>
      </c>
      <c r="AI5" s="14">
        <f>IF('Données projet'!$A$62&gt;35,AI4+AH5-AQ4,IF(A5&lt;'Données projet'!$A$62,$AF$205^A5,IF(A5='Données projet'!$A$62,'Données projet'!$B$62,AI4+AH5-AQ4)))</f>
        <v>1.8023322378106674</v>
      </c>
      <c r="AJ5" s="14">
        <f>AI5*VLOOKUP('Données projet'!$B$10,Paramètres!$A$1:$I$89,3,0)*VLOOKUP('Données projet'!$B$10,Paramètres!$A$1:$I$89,5,0)</f>
        <v>1.012189784754471</v>
      </c>
      <c r="AK5" s="14">
        <f t="shared" ref="AK5:AK68" si="35">EXP(-1.0587+0.8836*LN(AJ5)+0.284)</f>
        <v>0.46580218766166032</v>
      </c>
      <c r="AL5" s="22">
        <f t="shared" si="4"/>
        <v>2.574169351958095</v>
      </c>
      <c r="AM5" s="62">
        <f t="shared" si="5"/>
        <v>261.68528046306926</v>
      </c>
      <c r="AN5" s="62">
        <f ca="1">AVERAGE(OFFSET($AM$3,0,0,'Données projet'!$E$10+1,1))-AVERAGE(OFFSET($H$3,0,0,'Données projet'!$E$10+1,1))</f>
        <v>96.226303286816062</v>
      </c>
      <c r="AO5" s="62">
        <f t="shared" ref="AO5:AO68" si="36">$AO$3</f>
        <v>466.06545378903826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18.085000000000001</v>
      </c>
      <c r="BD5" s="13">
        <f>IF('Données projet'!$A$88&gt;35,BD4+BC5-BL4,IF(A5&lt;'Données projet'!$A$88,$BA$205^A5,IF(A5='Données projet'!$A$88,'Données projet'!$B$88,BD4+BC5-BL4)))</f>
        <v>1.8023322378106674</v>
      </c>
      <c r="BE5" s="14">
        <f>BD5*VLOOKUP('Données projet'!$B$11,Paramètres!$A$1:$I$89,3,0)*VLOOKUP('Données projet'!$B$11,Paramètres!$A$1:$I$89,5,0)</f>
        <v>1.034682891082348</v>
      </c>
      <c r="BF5" s="14">
        <f t="shared" ref="BF5:BF68" si="37">EXP(-1.0587+0.8836*LN(BE5)+0.284)</f>
        <v>0.47493673988903856</v>
      </c>
      <c r="BG5" s="22">
        <f t="shared" si="7"/>
        <v>2.6292541906084983</v>
      </c>
      <c r="BH5" s="62">
        <f t="shared" si="8"/>
        <v>261.74036530171963</v>
      </c>
      <c r="BI5" s="62">
        <f ca="1">AVERAGE(OFFSET($BH$3,0,0,'Données projet'!$E$11+1,1))-AVERAGE(OFFSET($H$3,0,0,'Données projet'!$E$11+1,1))</f>
        <v>98.045647909910258</v>
      </c>
      <c r="BJ5" s="62">
        <f t="shared" ref="BJ5:BJ68" si="38">$BJ$3</f>
        <v>475.64984175055775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18.085000000000001</v>
      </c>
      <c r="N6" s="14">
        <f>IF('Données projet'!$A$36&gt;35,N5+M6-V5,IF(A6&lt;'Données projet'!$A$36,$K$205^A6,IF(A6='Données projet'!$A$36,'Données projet'!$B$36,N5+M6-V5)))</f>
        <v>2.4196484737673809</v>
      </c>
      <c r="O6" s="14">
        <f>N6*VLOOKUP('Données projet'!$B$9,Paramètres!$A$1:$I$89,3,0)*VLOOKUP('Données projet'!$B$9,Paramètres!$A$1:$I$89,5,0)</f>
        <v>1.2796068988671419</v>
      </c>
      <c r="P6" s="14">
        <f t="shared" si="33"/>
        <v>0.57301359333953705</v>
      </c>
      <c r="Q6" s="22">
        <f t="shared" si="2"/>
        <v>3.2266473572599654</v>
      </c>
      <c r="R6" s="62">
        <f t="shared" si="0"/>
        <v>263.55998069059331</v>
      </c>
      <c r="S6" s="62">
        <f ca="1">AVERAGE(OFFSET($R$3,0,0,'Données projet'!$E$9+1,1))-AVERAGE(OFFSET($H$3,0,0,'Données projet'!$E$9+1,1))</f>
        <v>91.446075686521226</v>
      </c>
      <c r="T6" s="62">
        <f t="shared" si="34"/>
        <v>440.88491337513091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18.085000000000001</v>
      </c>
      <c r="AI6" s="14">
        <f>IF('Données projet'!$A$62&gt;35,AI5+AH6-AQ5,IF(A6&lt;'Données projet'!$A$62,$AF$205^A6,IF(A6='Données projet'!$A$62,'Données projet'!$B$62,AI5+AH6-AQ5)))</f>
        <v>2.4196484737673809</v>
      </c>
      <c r="AJ6" s="14">
        <f>AI6*VLOOKUP('Données projet'!$B$10,Paramètres!$A$1:$I$89,3,0)*VLOOKUP('Données projet'!$B$10,Paramètres!$A$1:$I$89,5,0)</f>
        <v>1.3588745828677611</v>
      </c>
      <c r="AK6" s="14">
        <f t="shared" si="35"/>
        <v>0.60426767291735028</v>
      </c>
      <c r="AL6" s="22">
        <f t="shared" si="4"/>
        <v>3.4191394288257353</v>
      </c>
      <c r="AM6" s="62">
        <f t="shared" si="5"/>
        <v>263.75247276215907</v>
      </c>
      <c r="AN6" s="62">
        <f ca="1">AVERAGE(OFFSET($AM$3,0,0,'Données projet'!$E$10+1,1))-AVERAGE(OFFSET($H$3,0,0,'Données projet'!$E$10+1,1))</f>
        <v>96.226303286816062</v>
      </c>
      <c r="AO6" s="62">
        <f t="shared" si="36"/>
        <v>466.06545378903826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18.085000000000001</v>
      </c>
      <c r="BD6" s="13">
        <f>IF('Données projet'!$A$88&gt;35,BD5+BC6-BL5,IF(A6&lt;'Données projet'!$A$88,$BA$205^A6,IF(A6='Données projet'!$A$88,'Données projet'!$B$88,BD5+BC6-BL5)))</f>
        <v>2.4196484737673809</v>
      </c>
      <c r="BE6" s="14">
        <f>BD6*VLOOKUP('Données projet'!$B$11,Paramètres!$A$1:$I$89,3,0)*VLOOKUP('Données projet'!$B$11,Paramètres!$A$1:$I$89,5,0)</f>
        <v>1.389071795820378</v>
      </c>
      <c r="BF6" s="14">
        <f t="shared" si="37"/>
        <v>0.61611758423977026</v>
      </c>
      <c r="BG6" s="22">
        <f t="shared" si="7"/>
        <v>3.4923715036047582</v>
      </c>
      <c r="BH6" s="62">
        <f t="shared" si="8"/>
        <v>263.82570483693809</v>
      </c>
      <c r="BI6" s="62">
        <f ca="1">AVERAGE(OFFSET($BH$3,0,0,'Données projet'!$E$11+1,1))-AVERAGE(OFFSET($H$3,0,0,'Données projet'!$E$11+1,1))</f>
        <v>98.045647909910258</v>
      </c>
      <c r="BJ6" s="62">
        <f t="shared" si="38"/>
        <v>475.64984175055775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18.085000000000001</v>
      </c>
      <c r="N7" s="14">
        <f>IF('Données projet'!$A$36&gt;35,N6+M7-V6,IF(A7&lt;'Données projet'!$A$36,$K$205^A7,IF(A7='Données projet'!$A$36,'Données projet'!$B$36,N6+M7-V6)))</f>
        <v>3.2484014954516081</v>
      </c>
      <c r="O7" s="14">
        <f>N7*VLOOKUP('Données projet'!$B$9,Paramètres!$A$1:$I$89,3,0)*VLOOKUP('Données projet'!$B$9,Paramètres!$A$1:$I$89,5,0)</f>
        <v>1.7178846468546287</v>
      </c>
      <c r="P7" s="14">
        <f t="shared" si="33"/>
        <v>0.74334900043190766</v>
      </c>
      <c r="Q7" s="22">
        <f t="shared" si="2"/>
        <v>4.286648602357384</v>
      </c>
      <c r="R7" s="62">
        <f t="shared" si="0"/>
        <v>265.84220415791293</v>
      </c>
      <c r="S7" s="62">
        <f ca="1">AVERAGE(OFFSET($R$3,0,0,'Données projet'!$E$9+1,1))-AVERAGE(OFFSET($H$3,0,0,'Données projet'!$E$9+1,1))</f>
        <v>91.446075686521226</v>
      </c>
      <c r="T7" s="62">
        <f t="shared" si="34"/>
        <v>440.88491337513091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18.085000000000001</v>
      </c>
      <c r="AI7" s="14">
        <f>IF('Données projet'!$A$62&gt;35,AI6+AH7-AQ6,IF(A7&lt;'Données projet'!$A$62,$AF$205^A7,IF(A7='Données projet'!$A$62,'Données projet'!$B$62,AI6+AH7-AQ6)))</f>
        <v>3.2484014954516081</v>
      </c>
      <c r="AJ7" s="14">
        <f>AI7*VLOOKUP('Données projet'!$B$10,Paramètres!$A$1:$I$89,3,0)*VLOOKUP('Données projet'!$B$10,Paramètres!$A$1:$I$89,5,0)</f>
        <v>1.824302279845623</v>
      </c>
      <c r="AK7" s="14">
        <f t="shared" si="35"/>
        <v>0.78389374332044193</v>
      </c>
      <c r="AL7" s="22">
        <f t="shared" si="4"/>
        <v>4.5426080736808965</v>
      </c>
      <c r="AM7" s="62">
        <f t="shared" si="5"/>
        <v>266.09816362923647</v>
      </c>
      <c r="AN7" s="62">
        <f ca="1">AVERAGE(OFFSET($AM$3,0,0,'Données projet'!$E$10+1,1))-AVERAGE(OFFSET($H$3,0,0,'Données projet'!$E$10+1,1))</f>
        <v>96.226303286816062</v>
      </c>
      <c r="AO7" s="62">
        <f t="shared" si="36"/>
        <v>466.06545378903826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18.085000000000001</v>
      </c>
      <c r="BD7" s="13">
        <f>IF('Données projet'!$A$88&gt;35,BD6+BC7-BL6,IF(A7&lt;'Données projet'!$A$88,$BA$205^A7,IF(A7='Données projet'!$A$88,'Données projet'!$B$88,BD6+BC7-BL6)))</f>
        <v>3.2484014954516081</v>
      </c>
      <c r="BE7" s="14">
        <f>BD7*VLOOKUP('Données projet'!$B$11,Paramètres!$A$1:$I$89,3,0)*VLOOKUP('Données projet'!$B$11,Paramètres!$A$1:$I$89,5,0)</f>
        <v>1.8648423305088593</v>
      </c>
      <c r="BF7" s="14">
        <f t="shared" si="37"/>
        <v>0.79926618795197479</v>
      </c>
      <c r="BG7" s="22">
        <f t="shared" si="7"/>
        <v>4.6399890029859518</v>
      </c>
      <c r="BH7" s="62">
        <f t="shared" si="8"/>
        <v>266.19554455854149</v>
      </c>
      <c r="BI7" s="62">
        <f ca="1">AVERAGE(OFFSET($BH$3,0,0,'Données projet'!$E$11+1,1))-AVERAGE(OFFSET($H$3,0,0,'Données projet'!$E$11+1,1))</f>
        <v>98.045647909910258</v>
      </c>
      <c r="BJ7" s="62">
        <f t="shared" si="38"/>
        <v>475.64984175055775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18.085000000000001</v>
      </c>
      <c r="N8" s="14">
        <f>IF('Données projet'!$A$36&gt;35,N7+M8-V7,IF(A8&lt;'Données projet'!$A$36,$K$205^A8,IF(A8='Données projet'!$A$36,'Données projet'!$B$36,N7+M8-V7)))</f>
        <v>4.3610104484403296</v>
      </c>
      <c r="O8" s="14">
        <f>N8*VLOOKUP('Données projet'!$B$9,Paramètres!$A$1:$I$89,3,0)*VLOOKUP('Données projet'!$B$9,Paramètres!$A$1:$I$89,5,0)</f>
        <v>2.3062767655531839</v>
      </c>
      <c r="P8" s="14">
        <f t="shared" si="33"/>
        <v>0.96431872274222685</v>
      </c>
      <c r="Q8" s="22">
        <f t="shared" si="2"/>
        <v>5.6962871421145067</v>
      </c>
      <c r="R8" s="62">
        <f t="shared" si="0"/>
        <v>268.47406491989227</v>
      </c>
      <c r="S8" s="62">
        <f ca="1">AVERAGE(OFFSET($R$3,0,0,'Données projet'!$E$9+1,1))-AVERAGE(OFFSET($H$3,0,0,'Données projet'!$E$9+1,1))</f>
        <v>91.446075686521226</v>
      </c>
      <c r="T8" s="62">
        <f t="shared" si="34"/>
        <v>440.88491337513091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18.085000000000001</v>
      </c>
      <c r="AI8" s="14">
        <f>IF('Données projet'!$A$62&gt;35,AI7+AH8-AQ7,IF(A8&lt;'Données projet'!$A$62,$AF$205^A8,IF(A8='Données projet'!$A$62,'Données projet'!$B$62,AI7+AH8-AQ7)))</f>
        <v>4.3610104484403296</v>
      </c>
      <c r="AJ8" s="14">
        <f>AI8*VLOOKUP('Données projet'!$B$10,Paramètres!$A$1:$I$89,3,0)*VLOOKUP('Données projet'!$B$10,Paramètres!$A$1:$I$89,5,0)</f>
        <v>2.4491434678440891</v>
      </c>
      <c r="AK8" s="14">
        <f t="shared" si="35"/>
        <v>1.0169158939948502</v>
      </c>
      <c r="AL8" s="22">
        <f t="shared" si="4"/>
        <v>6.0367200552028182</v>
      </c>
      <c r="AM8" s="62">
        <f t="shared" si="5"/>
        <v>268.81449783298058</v>
      </c>
      <c r="AN8" s="62">
        <f ca="1">AVERAGE(OFFSET($AM$3,0,0,'Données projet'!$E$10+1,1))-AVERAGE(OFFSET($H$3,0,0,'Données projet'!$E$10+1,1))</f>
        <v>96.226303286816062</v>
      </c>
      <c r="AO8" s="62">
        <f t="shared" si="36"/>
        <v>466.06545378903826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18.085000000000001</v>
      </c>
      <c r="BD8" s="13">
        <f>IF('Données projet'!$A$88&gt;35,BD7+BC8-BL7,IF(A8&lt;'Données projet'!$A$88,$BA$205^A8,IF(A8='Données projet'!$A$88,'Données projet'!$B$88,BD7+BC8-BL7)))</f>
        <v>4.3610104484403296</v>
      </c>
      <c r="BE8" s="14">
        <f>BD8*VLOOKUP('Données projet'!$B$11,Paramètres!$A$1:$I$89,3,0)*VLOOKUP('Données projet'!$B$11,Paramètres!$A$1:$I$89,5,0)</f>
        <v>2.5035688782406242</v>
      </c>
      <c r="BF8" s="14">
        <f t="shared" si="37"/>
        <v>1.0368579887093008</v>
      </c>
      <c r="BG8" s="22">
        <f t="shared" si="7"/>
        <v>6.1662434599377862</v>
      </c>
      <c r="BH8" s="62">
        <f t="shared" si="8"/>
        <v>268.94402123771556</v>
      </c>
      <c r="BI8" s="62">
        <f ca="1">AVERAGE(OFFSET($BH$3,0,0,'Données projet'!$E$11+1,1))-AVERAGE(OFFSET($H$3,0,0,'Données projet'!$E$11+1,1))</f>
        <v>98.045647909910258</v>
      </c>
      <c r="BJ8" s="62">
        <f t="shared" si="38"/>
        <v>475.64984175055775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18.085000000000001</v>
      </c>
      <c r="N9" s="14">
        <f>IF('Données projet'!$A$36&gt;35,N8+M9-V8,IF(A9&lt;'Données projet'!$A$36,$K$205^A9,IF(A9='Données projet'!$A$36,'Données projet'!$B$36,N8+M9-V8)))</f>
        <v>5.8546987366048153</v>
      </c>
      <c r="O9" s="14">
        <f>N9*VLOOKUP('Données projet'!$B$9,Paramètres!$A$1:$I$89,3,0)*VLOOKUP('Données projet'!$B$9,Paramètres!$A$1:$I$89,5,0)</f>
        <v>3.0961988798660909</v>
      </c>
      <c r="P9" s="14">
        <f t="shared" si="33"/>
        <v>1.2509744393157107</v>
      </c>
      <c r="Q9" s="22">
        <f t="shared" si="2"/>
        <v>7.5713268642416374</v>
      </c>
      <c r="R9" s="62">
        <f t="shared" si="0"/>
        <v>271.57132686424166</v>
      </c>
      <c r="S9" s="62">
        <f ca="1">AVERAGE(OFFSET($R$3,0,0,'Données projet'!$E$9+1,1))-AVERAGE(OFFSET($H$3,0,0,'Données projet'!$E$9+1,1))</f>
        <v>91.446075686521226</v>
      </c>
      <c r="T9" s="62">
        <f t="shared" si="34"/>
        <v>440.88491337513091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18.085000000000001</v>
      </c>
      <c r="AI9" s="14">
        <f>IF('Données projet'!$A$62&gt;35,AI8+AH9-AQ8,IF(A9&lt;'Données projet'!$A$62,$AF$205^A9,IF(A9='Données projet'!$A$62,'Données projet'!$B$62,AI8+AH9-AQ8)))</f>
        <v>5.8546987366048153</v>
      </c>
      <c r="AJ9" s="14">
        <f>AI9*VLOOKUP('Données projet'!$B$10,Paramètres!$A$1:$I$89,3,0)*VLOOKUP('Données projet'!$B$10,Paramètres!$A$1:$I$89,5,0)</f>
        <v>3.2879988104772644</v>
      </c>
      <c r="AK9" s="14">
        <f t="shared" si="35"/>
        <v>1.3192067729473078</v>
      </c>
      <c r="AL9" s="22">
        <f t="shared" si="4"/>
        <v>8.0242163911311302</v>
      </c>
      <c r="AM9" s="62">
        <f t="shared" si="5"/>
        <v>272.02421639113112</v>
      </c>
      <c r="AN9" s="62">
        <f ca="1">AVERAGE(OFFSET($AM$3,0,0,'Données projet'!$E$10+1,1))-AVERAGE(OFFSET($H$3,0,0,'Données projet'!$E$10+1,1))</f>
        <v>96.226303286816062</v>
      </c>
      <c r="AO9" s="62">
        <f t="shared" si="36"/>
        <v>466.06545378903826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18.085000000000001</v>
      </c>
      <c r="BD9" s="13">
        <f>IF('Données projet'!$A$88&gt;35,BD8+BC9-BL8,IF(A9&lt;'Données projet'!$A$88,$BA$205^A9,IF(A9='Données projet'!$A$88,'Données projet'!$B$88,BD8+BC9-BL8)))</f>
        <v>5.8546987366048153</v>
      </c>
      <c r="BE9" s="14">
        <f>BD9*VLOOKUP('Données projet'!$B$11,Paramètres!$A$1:$I$89,3,0)*VLOOKUP('Données projet'!$B$11,Paramètres!$A$1:$I$89,5,0)</f>
        <v>3.3610654507100928</v>
      </c>
      <c r="BF9" s="14">
        <f t="shared" si="37"/>
        <v>1.3450769029840335</v>
      </c>
      <c r="BG9" s="22">
        <f t="shared" si="7"/>
        <v>8.1965312660172707</v>
      </c>
      <c r="BH9" s="62">
        <f t="shared" si="8"/>
        <v>272.19653126601725</v>
      </c>
      <c r="BI9" s="62">
        <f ca="1">AVERAGE(OFFSET($BH$3,0,0,'Données projet'!$E$11+1,1))-AVERAGE(OFFSET($H$3,0,0,'Données projet'!$E$11+1,1))</f>
        <v>98.045647909910258</v>
      </c>
      <c r="BJ9" s="62">
        <f t="shared" si="38"/>
        <v>475.64984175055775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18.085000000000001</v>
      </c>
      <c r="N10" s="14">
        <f>IF('Données projet'!$A$36&gt;35,N9+M10-V9,IF(A10&lt;'Données projet'!$A$36,$K$205^A10,IF(A10='Données projet'!$A$36,'Données projet'!$B$36,N9+M10-V9)))</f>
        <v>7.8599897206531608</v>
      </c>
      <c r="O10" s="14">
        <f>N10*VLOOKUP('Données projet'!$B$9,Paramètres!$A$1:$I$89,3,0)*VLOOKUP('Données projet'!$B$9,Paramètres!$A$1:$I$89,5,0)</f>
        <v>4.1566769638702175</v>
      </c>
      <c r="P10" s="14">
        <f t="shared" si="33"/>
        <v>1.6228421277262521</v>
      </c>
      <c r="Q10" s="22">
        <f t="shared" si="2"/>
        <v>10.065995751197184</v>
      </c>
      <c r="R10" s="62">
        <f t="shared" si="0"/>
        <v>275.28821797341942</v>
      </c>
      <c r="S10" s="62">
        <f ca="1">AVERAGE(OFFSET($R$3,0,0,'Données projet'!$E$9+1,1))-AVERAGE(OFFSET($H$3,0,0,'Données projet'!$E$9+1,1))</f>
        <v>91.446075686521226</v>
      </c>
      <c r="T10" s="62">
        <f t="shared" si="34"/>
        <v>440.88491337513091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18.085000000000001</v>
      </c>
      <c r="AI10" s="14">
        <f>IF('Données projet'!$A$62&gt;35,AI9+AH10-AQ9,IF(A10&lt;'Données projet'!$A$62,$AF$205^A10,IF(A10='Données projet'!$A$62,'Données projet'!$B$62,AI9+AH10-AQ9)))</f>
        <v>7.8599897206531608</v>
      </c>
      <c r="AJ10" s="14">
        <f>AI10*VLOOKUP('Données projet'!$B$10,Paramètres!$A$1:$I$89,3,0)*VLOOKUP('Données projet'!$B$10,Paramètres!$A$1:$I$89,5,0)</f>
        <v>4.4141702271188148</v>
      </c>
      <c r="AK10" s="14">
        <f t="shared" si="35"/>
        <v>1.7113573699329583</v>
      </c>
      <c r="AL10" s="22">
        <f t="shared" si="4"/>
        <v>10.668627231531838</v>
      </c>
      <c r="AM10" s="62">
        <f t="shared" si="5"/>
        <v>275.89084945375407</v>
      </c>
      <c r="AN10" s="62">
        <f ca="1">AVERAGE(OFFSET($AM$3,0,0,'Données projet'!$E$10+1,1))-AVERAGE(OFFSET($H$3,0,0,'Données projet'!$E$10+1,1))</f>
        <v>96.226303286816062</v>
      </c>
      <c r="AO10" s="62">
        <f t="shared" si="36"/>
        <v>466.06545378903826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18.085000000000001</v>
      </c>
      <c r="BD10" s="13">
        <f>IF('Données projet'!$A$88&gt;35,BD9+BC10-BL9,IF(A10&lt;'Données projet'!$A$88,$BA$205^A10,IF(A10='Données projet'!$A$88,'Données projet'!$B$88,BD9+BC10-BL9)))</f>
        <v>7.8599897206531608</v>
      </c>
      <c r="BE10" s="14">
        <f>BD10*VLOOKUP('Données projet'!$B$11,Paramètres!$A$1:$I$89,3,0)*VLOOKUP('Données projet'!$B$11,Paramètres!$A$1:$I$89,5,0)</f>
        <v>4.5122628988325673</v>
      </c>
      <c r="BF10" s="14">
        <f t="shared" si="37"/>
        <v>1.7449177174140145</v>
      </c>
      <c r="BG10" s="22">
        <f t="shared" si="7"/>
        <v>10.897922906629463</v>
      </c>
      <c r="BH10" s="62">
        <f t="shared" si="8"/>
        <v>276.12014512885168</v>
      </c>
      <c r="BI10" s="62">
        <f ca="1">AVERAGE(OFFSET($BH$3,0,0,'Données projet'!$E$11+1,1))-AVERAGE(OFFSET($H$3,0,0,'Données projet'!$E$11+1,1))</f>
        <v>98.045647909910258</v>
      </c>
      <c r="BJ10" s="62">
        <f t="shared" si="38"/>
        <v>475.64984175055775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18.085000000000001</v>
      </c>
      <c r="N11" s="14">
        <f>IF('Données projet'!$A$36&gt;35,N10+M11-V10,IF(A11&lt;'Données projet'!$A$36,$K$205^A11,IF(A11='Données projet'!$A$36,'Données projet'!$B$36,N10+M11-V10)))</f>
        <v>10.552112275652243</v>
      </c>
      <c r="O11" s="14">
        <f>N11*VLOOKUP('Données projet'!$B$9,Paramètres!$A$1:$I$89,3,0)*VLOOKUP('Données projet'!$B$9,Paramètres!$A$1:$I$89,5,0)</f>
        <v>5.580379055855933</v>
      </c>
      <c r="P11" s="14">
        <f t="shared" si="33"/>
        <v>2.1052521048820716</v>
      </c>
      <c r="Q11" s="22">
        <f t="shared" si="2"/>
        <v>13.385807604952026</v>
      </c>
      <c r="R11" s="62">
        <f t="shared" si="0"/>
        <v>279.83025204939651</v>
      </c>
      <c r="S11" s="62">
        <f ca="1">AVERAGE(OFFSET($R$3,0,0,'Données projet'!$E$9+1,1))-AVERAGE(OFFSET($H$3,0,0,'Données projet'!$E$9+1,1))</f>
        <v>91.446075686521226</v>
      </c>
      <c r="T11" s="62">
        <f t="shared" si="34"/>
        <v>440.88491337513091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18.085000000000001</v>
      </c>
      <c r="AI11" s="14">
        <f>IF('Données projet'!$A$62&gt;35,AI10+AH11-AQ10,IF(A11&lt;'Données projet'!$A$62,$AF$205^A11,IF(A11='Données projet'!$A$62,'Données projet'!$B$62,AI10+AH11-AQ10)))</f>
        <v>10.552112275652243</v>
      </c>
      <c r="AJ11" s="14">
        <f>AI11*VLOOKUP('Données projet'!$B$10,Paramètres!$A$1:$I$89,3,0)*VLOOKUP('Données projet'!$B$10,Paramètres!$A$1:$I$89,5,0)</f>
        <v>5.9260662540063</v>
      </c>
      <c r="AK11" s="14">
        <f t="shared" si="35"/>
        <v>2.220079602138938</v>
      </c>
      <c r="AL11" s="22">
        <f t="shared" si="4"/>
        <v>14.187870699452958</v>
      </c>
      <c r="AM11" s="62">
        <f t="shared" si="5"/>
        <v>280.63231514389742</v>
      </c>
      <c r="AN11" s="62">
        <f ca="1">AVERAGE(OFFSET($AM$3,0,0,'Données projet'!$E$10+1,1))-AVERAGE(OFFSET($H$3,0,0,'Données projet'!$E$10+1,1))</f>
        <v>96.226303286816062</v>
      </c>
      <c r="AO11" s="62">
        <f t="shared" si="36"/>
        <v>466.06545378903826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18.085000000000001</v>
      </c>
      <c r="BD11" s="13">
        <f>IF('Données projet'!$A$88&gt;35,BD10+BC11-BL10,IF(A11&lt;'Données projet'!$A$88,$BA$205^A11,IF(A11='Données projet'!$A$88,'Données projet'!$B$88,BD10+BC11-BL10)))</f>
        <v>10.552112275652243</v>
      </c>
      <c r="BE11" s="14">
        <f>BD11*VLOOKUP('Données projet'!$B$11,Paramètres!$A$1:$I$89,3,0)*VLOOKUP('Données projet'!$B$11,Paramètres!$A$1:$I$89,5,0)</f>
        <v>6.0577566152064399</v>
      </c>
      <c r="BF11" s="14">
        <f t="shared" si="37"/>
        <v>2.2636161797073662</v>
      </c>
      <c r="BG11" s="22">
        <f t="shared" si="7"/>
        <v>14.493057617808212</v>
      </c>
      <c r="BH11" s="62">
        <f t="shared" si="8"/>
        <v>280.93750206225269</v>
      </c>
      <c r="BI11" s="62">
        <f ca="1">AVERAGE(OFFSET($BH$3,0,0,'Données projet'!$E$11+1,1))-AVERAGE(OFFSET($H$3,0,0,'Données projet'!$E$11+1,1))</f>
        <v>98.045647909910258</v>
      </c>
      <c r="BJ11" s="62">
        <f t="shared" si="38"/>
        <v>475.64984175055775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18.085000000000001</v>
      </c>
      <c r="N12" s="14">
        <f>IF('Données projet'!$A$36&gt;35,N11+M12-V11,IF(A12&lt;'Données projet'!$A$36,$K$205^A12,IF(A12='Données projet'!$A$36,'Données projet'!$B$36,N11+M12-V11)))</f>
        <v>14.166312862393653</v>
      </c>
      <c r="O12" s="14">
        <f>N12*VLOOKUP('Données projet'!$B$9,Paramètres!$A$1:$I$89,3,0)*VLOOKUP('Données projet'!$B$9,Paramètres!$A$1:$I$89,5,0)</f>
        <v>7.49171289414826</v>
      </c>
      <c r="P12" s="14">
        <f t="shared" si="33"/>
        <v>2.7310644389791277</v>
      </c>
      <c r="Q12" s="22">
        <f t="shared" si="2"/>
        <v>17.804670521863532</v>
      </c>
      <c r="R12" s="62">
        <f t="shared" si="0"/>
        <v>285.47133718853024</v>
      </c>
      <c r="S12" s="62">
        <f ca="1">AVERAGE(OFFSET($R$3,0,0,'Données projet'!$E$9+1,1))-AVERAGE(OFFSET($H$3,0,0,'Données projet'!$E$9+1,1))</f>
        <v>91.446075686521226</v>
      </c>
      <c r="T12" s="62">
        <f t="shared" si="34"/>
        <v>440.88491337513091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18.085000000000001</v>
      </c>
      <c r="AI12" s="14">
        <f>IF('Données projet'!$A$62&gt;35,AI11+AH12-AQ11,IF(A12&lt;'Données projet'!$A$62,$AF$205^A12,IF(A12='Données projet'!$A$62,'Données projet'!$B$62,AI11+AH12-AQ11)))</f>
        <v>14.166312862393653</v>
      </c>
      <c r="AJ12" s="14">
        <f>AI12*VLOOKUP('Données projet'!$B$10,Paramètres!$A$1:$I$89,3,0)*VLOOKUP('Données projet'!$B$10,Paramètres!$A$1:$I$89,5,0)</f>
        <v>7.9558013035202757</v>
      </c>
      <c r="AK12" s="14">
        <f t="shared" si="35"/>
        <v>2.8800258358816477</v>
      </c>
      <c r="AL12" s="22">
        <f t="shared" si="4"/>
        <v>18.872398934458349</v>
      </c>
      <c r="AM12" s="62">
        <f t="shared" si="5"/>
        <v>286.53906560112506</v>
      </c>
      <c r="AN12" s="62">
        <f ca="1">AVERAGE(OFFSET($AM$3,0,0,'Données projet'!$E$10+1,1))-AVERAGE(OFFSET($H$3,0,0,'Données projet'!$E$10+1,1))</f>
        <v>96.226303286816062</v>
      </c>
      <c r="AO12" s="62">
        <f t="shared" si="36"/>
        <v>466.06545378903826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18.085000000000001</v>
      </c>
      <c r="BD12" s="13">
        <f>IF('Données projet'!$A$88&gt;35,BD11+BC12-BL11,IF(A12&lt;'Données projet'!$A$88,$BA$205^A12,IF(A12='Données projet'!$A$88,'Données projet'!$B$88,BD11+BC12-BL11)))</f>
        <v>14.166312862393653</v>
      </c>
      <c r="BE12" s="14">
        <f>BD12*VLOOKUP('Données projet'!$B$11,Paramètres!$A$1:$I$89,3,0)*VLOOKUP('Données projet'!$B$11,Paramètres!$A$1:$I$89,5,0)</f>
        <v>8.1325968880429489</v>
      </c>
      <c r="BF12" s="14">
        <f t="shared" si="37"/>
        <v>2.936504201829488</v>
      </c>
      <c r="BG12" s="22">
        <f t="shared" si="7"/>
        <v>19.278684398194496</v>
      </c>
      <c r="BH12" s="62">
        <f t="shared" si="8"/>
        <v>286.9453510648612</v>
      </c>
      <c r="BI12" s="62">
        <f ca="1">AVERAGE(OFFSET($BH$3,0,0,'Données projet'!$E$11+1,1))-AVERAGE(OFFSET($H$3,0,0,'Données projet'!$E$11+1,1))</f>
        <v>98.045647909910258</v>
      </c>
      <c r="BJ12" s="62">
        <f t="shared" si="38"/>
        <v>475.64984175055775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18.085000000000001</v>
      </c>
      <c r="N13" s="14">
        <f>IF('Données projet'!$A$36&gt;35,N12+M13-V12,IF(A13&lt;'Données projet'!$A$36,$K$205^A13,IF(A13='Données projet'!$A$36,'Données projet'!$B$36,N12+M13-V12)))</f>
        <v>19.018412131405722</v>
      </c>
      <c r="O13" s="14">
        <f>N13*VLOOKUP('Données projet'!$B$9,Paramètres!$A$1:$I$89,3,0)*VLOOKUP('Données projet'!$B$9,Paramètres!$A$1:$I$89,5,0)</f>
        <v>10.057697071572603</v>
      </c>
      <c r="P13" s="14">
        <f t="shared" si="33"/>
        <v>3.5429072615862283</v>
      </c>
      <c r="Q13" s="22">
        <f t="shared" si="2"/>
        <v>23.687719213584966</v>
      </c>
      <c r="R13" s="62">
        <f t="shared" si="0"/>
        <v>292.57660810247381</v>
      </c>
      <c r="S13" s="62">
        <f ca="1">AVERAGE(OFFSET($R$3,0,0,'Données projet'!$E$9+1,1))-AVERAGE(OFFSET($H$3,0,0,'Données projet'!$E$9+1,1))</f>
        <v>91.446075686521226</v>
      </c>
      <c r="T13" s="62">
        <f t="shared" si="34"/>
        <v>440.88491337513091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18.085000000000001</v>
      </c>
      <c r="AI13" s="14">
        <f>IF('Données projet'!$A$62&gt;35,AI12+AH13-AQ12,IF(A13&lt;'Données projet'!$A$62,$AF$205^A13,IF(A13='Données projet'!$A$62,'Données projet'!$B$62,AI12+AH13-AQ12)))</f>
        <v>19.018412131405722</v>
      </c>
      <c r="AJ13" s="14">
        <f>AI13*VLOOKUP('Données projet'!$B$10,Paramètres!$A$1:$I$89,3,0)*VLOOKUP('Données projet'!$B$10,Paramètres!$A$1:$I$89,5,0)</f>
        <v>10.680740252997452</v>
      </c>
      <c r="AK13" s="14">
        <f t="shared" si="35"/>
        <v>3.7361492837258576</v>
      </c>
      <c r="AL13" s="22">
        <f t="shared" si="4"/>
        <v>25.109415943126432</v>
      </c>
      <c r="AM13" s="62">
        <f t="shared" si="5"/>
        <v>293.99830483201526</v>
      </c>
      <c r="AN13" s="62">
        <f ca="1">AVERAGE(OFFSET($AM$3,0,0,'Données projet'!$E$10+1,1))-AVERAGE(OFFSET($H$3,0,0,'Données projet'!$E$10+1,1))</f>
        <v>96.226303286816062</v>
      </c>
      <c r="AO13" s="62">
        <f t="shared" si="36"/>
        <v>466.06545378903826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18.085000000000001</v>
      </c>
      <c r="BD13" s="13">
        <f>IF('Données projet'!$A$88&gt;35,BD12+BC13-BL12,IF(A13&lt;'Données projet'!$A$88,$BA$205^A13,IF(A13='Données projet'!$A$88,'Données projet'!$B$88,BD12+BC13-BL12)))</f>
        <v>19.018412131405722</v>
      </c>
      <c r="BE13" s="14">
        <f>BD13*VLOOKUP('Données projet'!$B$11,Paramètres!$A$1:$I$89,3,0)*VLOOKUP('Données projet'!$B$11,Paramètres!$A$1:$I$89,5,0)</f>
        <v>10.918090036397397</v>
      </c>
      <c r="BF13" s="14">
        <f t="shared" si="37"/>
        <v>3.8094165453778492</v>
      </c>
      <c r="BG13" s="22">
        <f t="shared" si="7"/>
        <v>25.650407296591883</v>
      </c>
      <c r="BH13" s="62">
        <f t="shared" si="8"/>
        <v>294.53929618548074</v>
      </c>
      <c r="BI13" s="62">
        <f ca="1">AVERAGE(OFFSET($BH$3,0,0,'Données projet'!$E$11+1,1))-AVERAGE(OFFSET($H$3,0,0,'Données projet'!$E$11+1,1))</f>
        <v>98.045647909910258</v>
      </c>
      <c r="BJ13" s="62">
        <f t="shared" si="38"/>
        <v>475.64984175055775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18.085000000000001</v>
      </c>
      <c r="N14" s="14">
        <f>IF('Données projet'!$A$36&gt;35,N13+M14-V13,IF(A14&lt;'Données projet'!$A$36,$K$205^A14,IF(A14='Données projet'!$A$36,'Données projet'!$B$36,N13+M14-V13)))</f>
        <v>25.532402362803996</v>
      </c>
      <c r="O14" s="14">
        <f>N14*VLOOKUP('Données projet'!$B$9,Paramètres!$A$1:$I$89,3,0)*VLOOKUP('Données projet'!$B$9,Paramètres!$A$1:$I$89,5,0)</f>
        <v>13.502555665545268</v>
      </c>
      <c r="P14" s="14">
        <f t="shared" si="33"/>
        <v>4.5960804457958648</v>
      </c>
      <c r="Q14" s="22">
        <f t="shared" si="2"/>
        <v>31.521791227252475</v>
      </c>
      <c r="R14" s="62">
        <f t="shared" si="0"/>
        <v>301.63290233836364</v>
      </c>
      <c r="S14" s="62">
        <f ca="1">AVERAGE(OFFSET($R$3,0,0,'Données projet'!$E$9+1,1))-AVERAGE(OFFSET($H$3,0,0,'Données projet'!$E$9+1,1))</f>
        <v>91.446075686521226</v>
      </c>
      <c r="T14" s="62">
        <f t="shared" si="34"/>
        <v>440.88491337513091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18.085000000000001</v>
      </c>
      <c r="AI14" s="14">
        <f>IF('Données projet'!$A$62&gt;35,AI13+AH14-AQ13,IF(A14&lt;'Données projet'!$A$62,$AF$205^A14,IF(A14='Données projet'!$A$62,'Données projet'!$B$62,AI13+AH14-AQ13)))</f>
        <v>25.532402362803996</v>
      </c>
      <c r="AJ14" s="14">
        <f>AI14*VLOOKUP('Données projet'!$B$10,Paramètres!$A$1:$I$89,3,0)*VLOOKUP('Données projet'!$B$10,Paramètres!$A$1:$I$89,5,0)</f>
        <v>14.338997166950724</v>
      </c>
      <c r="AK14" s="14">
        <f t="shared" si="35"/>
        <v>4.8467660589621442</v>
      </c>
      <c r="AL14" s="22">
        <f t="shared" si="4"/>
        <v>33.41520428513158</v>
      </c>
      <c r="AM14" s="62">
        <f t="shared" si="5"/>
        <v>303.52631539624269</v>
      </c>
      <c r="AN14" s="62">
        <f ca="1">AVERAGE(OFFSET($AM$3,0,0,'Données projet'!$E$10+1,1))-AVERAGE(OFFSET($H$3,0,0,'Données projet'!$E$10+1,1))</f>
        <v>96.226303286816062</v>
      </c>
      <c r="AO14" s="62">
        <f t="shared" si="36"/>
        <v>466.06545378903826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18.085000000000001</v>
      </c>
      <c r="BD14" s="13">
        <f>IF('Données projet'!$A$88&gt;35,BD13+BC14-BL13,IF(A14&lt;'Données projet'!$A$88,$BA$205^A14,IF(A14='Données projet'!$A$88,'Données projet'!$B$88,BD13+BC14-BL13)))</f>
        <v>25.532402362803996</v>
      </c>
      <c r="BE14" s="14">
        <f>BD14*VLOOKUP('Données projet'!$B$11,Paramètres!$A$1:$I$89,3,0)*VLOOKUP('Données projet'!$B$11,Paramètres!$A$1:$I$89,5,0)</f>
        <v>14.657641548438519</v>
      </c>
      <c r="BF14" s="14">
        <f t="shared" si="37"/>
        <v>4.941812924073977</v>
      </c>
      <c r="BG14" s="22">
        <f t="shared" si="7"/>
        <v>34.135716539625932</v>
      </c>
      <c r="BH14" s="62">
        <f t="shared" si="8"/>
        <v>304.24682765073709</v>
      </c>
      <c r="BI14" s="62">
        <f ca="1">AVERAGE(OFFSET($BH$3,0,0,'Données projet'!$E$11+1,1))-AVERAGE(OFFSET($H$3,0,0,'Données projet'!$E$11+1,1))</f>
        <v>98.045647909910258</v>
      </c>
      <c r="BJ14" s="62">
        <f t="shared" si="38"/>
        <v>475.64984175055775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18.085000000000001</v>
      </c>
      <c r="N15" s="14">
        <f>IF('Données projet'!$A$36&gt;35,N14+M15-V14,IF(A15&lt;'Données projet'!$A$36,$K$205^A15,IF(A15='Données projet'!$A$36,'Données projet'!$B$36,N14+M15-V14)))</f>
        <v>34.277497296402018</v>
      </c>
      <c r="O15" s="14">
        <f>N15*VLOOKUP('Données projet'!$B$9,Paramètres!$A$1:$I$89,3,0)*VLOOKUP('Données projet'!$B$9,Paramètres!$A$1:$I$89,5,0)</f>
        <v>18.127311670229247</v>
      </c>
      <c r="P15" s="14">
        <f t="shared" si="33"/>
        <v>5.9623224387672815</v>
      </c>
      <c r="Q15" s="22">
        <f t="shared" si="2"/>
        <v>41.956112739835618</v>
      </c>
      <c r="R15" s="62">
        <f t="shared" si="0"/>
        <v>313.28944607316896</v>
      </c>
      <c r="S15" s="62">
        <f ca="1">AVERAGE(OFFSET($R$3,0,0,'Données projet'!$E$9+1,1))-AVERAGE(OFFSET($H$3,0,0,'Données projet'!$E$9+1,1))</f>
        <v>91.446075686521226</v>
      </c>
      <c r="T15" s="62">
        <f t="shared" si="34"/>
        <v>440.88491337513091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18.085000000000001</v>
      </c>
      <c r="AI15" s="14">
        <f>IF('Données projet'!$A$62&gt;35,AI14+AH15-AQ14,IF(A15&lt;'Données projet'!$A$62,$AF$205^A15,IF(A15='Données projet'!$A$62,'Données projet'!$B$62,AI14+AH15-AQ14)))</f>
        <v>34.277497296402018</v>
      </c>
      <c r="AJ15" s="14">
        <f>AI15*VLOOKUP('Données projet'!$B$10,Paramètres!$A$1:$I$89,3,0)*VLOOKUP('Données projet'!$B$10,Paramètres!$A$1:$I$89,5,0)</f>
        <v>19.250242481659374</v>
      </c>
      <c r="AK15" s="14">
        <f t="shared" si="35"/>
        <v>6.2875274638065308</v>
      </c>
      <c r="AL15" s="22">
        <f t="shared" si="4"/>
        <v>44.478282655019775</v>
      </c>
      <c r="AM15" s="62">
        <f t="shared" si="5"/>
        <v>315.81161598835308</v>
      </c>
      <c r="AN15" s="62">
        <f ca="1">AVERAGE(OFFSET($AM$3,0,0,'Données projet'!$E$10+1,1))-AVERAGE(OFFSET($H$3,0,0,'Données projet'!$E$10+1,1))</f>
        <v>96.226303286816062</v>
      </c>
      <c r="AO15" s="62">
        <f t="shared" si="36"/>
        <v>466.06545378903826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18.085000000000001</v>
      </c>
      <c r="BD15" s="13">
        <f>IF('Données projet'!$A$88&gt;35,BD14+BC15-BL14,IF(A15&lt;'Données projet'!$A$88,$BA$205^A15,IF(A15='Données projet'!$A$88,'Données projet'!$B$88,BD14+BC15-BL14)))</f>
        <v>34.277497296402018</v>
      </c>
      <c r="BE15" s="14">
        <f>BD15*VLOOKUP('Données projet'!$B$11,Paramètres!$A$1:$I$89,3,0)*VLOOKUP('Données projet'!$B$11,Paramètres!$A$1:$I$89,5,0)</f>
        <v>19.678025647918471</v>
      </c>
      <c r="BF15" s="14">
        <f t="shared" si="37"/>
        <v>6.4108281899957618</v>
      </c>
      <c r="BG15" s="22">
        <f t="shared" si="7"/>
        <v>45.43808710103395</v>
      </c>
      <c r="BH15" s="62">
        <f t="shared" si="8"/>
        <v>316.77142043436726</v>
      </c>
      <c r="BI15" s="62">
        <f ca="1">AVERAGE(OFFSET($BH$3,0,0,'Données projet'!$E$11+1,1))-AVERAGE(OFFSET($H$3,0,0,'Données projet'!$E$11+1,1))</f>
        <v>98.045647909910258</v>
      </c>
      <c r="BJ15" s="62">
        <f t="shared" si="38"/>
        <v>475.64984175055775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18.085000000000001</v>
      </c>
      <c r="N16" s="14">
        <f>IF('Données projet'!$A$36&gt;35,N15+M16-V15,IF(A16&lt;'Données projet'!$A$36,$K$205^A16,IF(A16='Données projet'!$A$36,'Données projet'!$B$36,N15+M16-V15)))</f>
        <v>46.017871887234897</v>
      </c>
      <c r="O16" s="14">
        <f>N16*VLOOKUP('Données projet'!$B$9,Paramètres!$A$1:$I$89,3,0)*VLOOKUP('Données projet'!$B$9,Paramètres!$A$1:$I$89,5,0)</f>
        <v>24.336091368845306</v>
      </c>
      <c r="P16" s="14">
        <f t="shared" si="33"/>
        <v>7.7346968320246727</v>
      </c>
      <c r="Q16" s="22">
        <f t="shared" si="2"/>
        <v>55.856622783181876</v>
      </c>
      <c r="R16" s="62">
        <f t="shared" si="0"/>
        <v>328.41217833873742</v>
      </c>
      <c r="S16" s="62">
        <f ca="1">AVERAGE(OFFSET($R$3,0,0,'Données projet'!$E$9+1,1))-AVERAGE(OFFSET($H$3,0,0,'Données projet'!$E$9+1,1))</f>
        <v>91.446075686521226</v>
      </c>
      <c r="T16" s="62">
        <f t="shared" si="34"/>
        <v>440.88491337513091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18.085000000000001</v>
      </c>
      <c r="AI16" s="14">
        <f>IF('Données projet'!$A$62&gt;35,AI15+AH16-AQ15,IF(A16&lt;'Données projet'!$A$62,$AF$205^A16,IF(A16='Données projet'!$A$62,'Données projet'!$B$62,AI15+AH16-AQ15)))</f>
        <v>46.017871887234897</v>
      </c>
      <c r="AJ16" s="14">
        <f>AI16*VLOOKUP('Données projet'!$B$10,Paramètres!$A$1:$I$89,3,0)*VLOOKUP('Données projet'!$B$10,Paramètres!$A$1:$I$89,5,0)</f>
        <v>25.843636851871121</v>
      </c>
      <c r="AK16" s="14">
        <f t="shared" si="35"/>
        <v>8.1565730896008457</v>
      </c>
      <c r="AL16" s="22">
        <f t="shared" si="4"/>
        <v>59.217032314730339</v>
      </c>
      <c r="AM16" s="62">
        <f t="shared" si="5"/>
        <v>331.77258787028586</v>
      </c>
      <c r="AN16" s="62">
        <f ca="1">AVERAGE(OFFSET($AM$3,0,0,'Données projet'!$E$10+1,1))-AVERAGE(OFFSET($H$3,0,0,'Données projet'!$E$10+1,1))</f>
        <v>96.226303286816062</v>
      </c>
      <c r="AO16" s="62">
        <f t="shared" si="36"/>
        <v>466.06545378903826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18.085000000000001</v>
      </c>
      <c r="BD16" s="13">
        <f>IF('Données projet'!$A$88&gt;35,BD15+BC16-BL15,IF(A16&lt;'Données projet'!$A$88,$BA$205^A16,IF(A16='Données projet'!$A$88,'Données projet'!$B$88,BD15+BC16-BL15)))</f>
        <v>46.017871887234897</v>
      </c>
      <c r="BE16" s="14">
        <f>BD16*VLOOKUP('Données projet'!$B$11,Paramètres!$A$1:$I$89,3,0)*VLOOKUP('Données projet'!$B$11,Paramètres!$A$1:$I$89,5,0)</f>
        <v>26.41793989302381</v>
      </c>
      <c r="BF16" s="14">
        <f t="shared" si="37"/>
        <v>8.3165264879681047</v>
      </c>
      <c r="BG16" s="22">
        <f t="shared" si="7"/>
        <v>60.495862280227591</v>
      </c>
      <c r="BH16" s="62">
        <f t="shared" si="8"/>
        <v>333.05141783578313</v>
      </c>
      <c r="BI16" s="62">
        <f ca="1">AVERAGE(OFFSET($BH$3,0,0,'Données projet'!$E$11+1,1))-AVERAGE(OFFSET($H$3,0,0,'Données projet'!$E$11+1,1))</f>
        <v>98.045647909910258</v>
      </c>
      <c r="BJ16" s="62">
        <f t="shared" si="38"/>
        <v>475.64984175055775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18.085000000000001</v>
      </c>
      <c r="N17" s="14">
        <f>IF('Données projet'!$A$36&gt;35,N16+M17-V16,IF(A17&lt;'Données projet'!$A$36,$K$205^A17,IF(A17='Données projet'!$A$36,'Données projet'!$B$36,N16+M17-V16)))</f>
        <v>61.779438408773352</v>
      </c>
      <c r="O17" s="14">
        <f>N17*VLOOKUP('Données projet'!$B$9,Paramètres!$A$1:$I$89,3,0)*VLOOKUP('Données projet'!$B$9,Paramètres!$A$1:$I$89,5,0)</f>
        <v>32.671438208095701</v>
      </c>
      <c r="P17" s="14">
        <f t="shared" si="33"/>
        <v>10.033931525464686</v>
      </c>
      <c r="Q17" s="22">
        <f t="shared" si="2"/>
        <v>74.378518952617668</v>
      </c>
      <c r="R17" s="62">
        <f t="shared" si="0"/>
        <v>348.15629673039541</v>
      </c>
      <c r="S17" s="62">
        <f ca="1">AVERAGE(OFFSET($R$3,0,0,'Données projet'!$E$9+1,1))-AVERAGE(OFFSET($H$3,0,0,'Données projet'!$E$9+1,1))</f>
        <v>91.446075686521226</v>
      </c>
      <c r="T17" s="62">
        <f t="shared" si="34"/>
        <v>440.88491337513091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18.085000000000001</v>
      </c>
      <c r="AI17" s="14">
        <f>IF('Données projet'!$A$62&gt;35,AI16+AH17-AQ16,IF(A17&lt;'Données projet'!$A$62,$AF$205^A17,IF(A17='Données projet'!$A$62,'Données projet'!$B$62,AI16+AH17-AQ16)))</f>
        <v>61.779438408773352</v>
      </c>
      <c r="AJ17" s="14">
        <f>AI17*VLOOKUP('Données projet'!$B$10,Paramètres!$A$1:$I$89,3,0)*VLOOKUP('Données projet'!$B$10,Paramètres!$A$1:$I$89,5,0)</f>
        <v>34.695332610367117</v>
      </c>
      <c r="AK17" s="14">
        <f t="shared" si="35"/>
        <v>10.581215740045925</v>
      </c>
      <c r="AL17" s="22">
        <f t="shared" si="4"/>
        <v>78.856655043636053</v>
      </c>
      <c r="AM17" s="62">
        <f t="shared" si="5"/>
        <v>352.63443282141384</v>
      </c>
      <c r="AN17" s="62">
        <f ca="1">AVERAGE(OFFSET($AM$3,0,0,'Données projet'!$E$10+1,1))-AVERAGE(OFFSET($H$3,0,0,'Données projet'!$E$10+1,1))</f>
        <v>96.226303286816062</v>
      </c>
      <c r="AO17" s="62">
        <f t="shared" si="36"/>
        <v>466.06545378903826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18.085000000000001</v>
      </c>
      <c r="BD17" s="13">
        <f>IF('Données projet'!$A$88&gt;35,BD16+BC17-BL16,IF(A17&lt;'Données projet'!$A$88,$BA$205^A17,IF(A17='Données projet'!$A$88,'Données projet'!$B$88,BD16+BC17-BL16)))</f>
        <v>61.779438408773352</v>
      </c>
      <c r="BE17" s="14">
        <f>BD17*VLOOKUP('Données projet'!$B$11,Paramètres!$A$1:$I$89,3,0)*VLOOKUP('Données projet'!$B$11,Paramètres!$A$1:$I$89,5,0)</f>
        <v>35.466340001708609</v>
      </c>
      <c r="BF17" s="14">
        <f t="shared" si="37"/>
        <v>10.788717272599511</v>
      </c>
      <c r="BG17" s="22">
        <f t="shared" si="7"/>
        <v>80.560891419419974</v>
      </c>
      <c r="BH17" s="62">
        <f t="shared" si="8"/>
        <v>354.33866919719776</v>
      </c>
      <c r="BI17" s="62">
        <f ca="1">AVERAGE(OFFSET($BH$3,0,0,'Données projet'!$E$11+1,1))-AVERAGE(OFFSET($H$3,0,0,'Données projet'!$E$11+1,1))</f>
        <v>98.045647909910258</v>
      </c>
      <c r="BJ17" s="62">
        <f t="shared" si="38"/>
        <v>475.64984175055775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18.085000000000001</v>
      </c>
      <c r="N18" s="14">
        <f>IF('Données projet'!$A$36&gt;35,N17+M18-V17,IF(A18&lt;'Données projet'!$A$36,$K$205^A18,IF(A18='Données projet'!$A$36,'Données projet'!$B$36,N17+M18-V17)))</f>
        <v>82.939494017804662</v>
      </c>
      <c r="O18" s="14">
        <f>N18*VLOOKUP('Données projet'!$B$9,Paramètres!$A$1:$I$89,3,0)*VLOOKUP('Données projet'!$B$9,Paramètres!$A$1:$I$89,5,0)</f>
        <v>43.861722016375822</v>
      </c>
      <c r="P18" s="14">
        <f t="shared" si="33"/>
        <v>13.016642286593623</v>
      </c>
      <c r="Q18" s="22">
        <f t="shared" si="2"/>
        <v>99.063151161005109</v>
      </c>
      <c r="R18" s="62">
        <f t="shared" si="0"/>
        <v>374.06315116100512</v>
      </c>
      <c r="S18" s="62">
        <f ca="1">AVERAGE(OFFSET($R$3,0,0,'Données projet'!$E$9+1,1))-AVERAGE(OFFSET($H$3,0,0,'Données projet'!$E$9+1,1))</f>
        <v>91.446075686521226</v>
      </c>
      <c r="T18" s="62">
        <f t="shared" si="34"/>
        <v>440.88491337513091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18.085000000000001</v>
      </c>
      <c r="AI18" s="14">
        <f>IF('Données projet'!$A$62&gt;35,AI17+AH18-AQ17,IF(A18&lt;'Données projet'!$A$62,$AF$205^A18,IF(A18='Données projet'!$A$62,'Données projet'!$B$62,AI17+AH18-AQ17)))</f>
        <v>82.939494017804662</v>
      </c>
      <c r="AJ18" s="14">
        <f>AI18*VLOOKUP('Données projet'!$B$10,Paramètres!$A$1:$I$89,3,0)*VLOOKUP('Données projet'!$B$10,Paramètres!$A$1:$I$89,5,0)</f>
        <v>46.578819840399099</v>
      </c>
      <c r="AK18" s="14">
        <f t="shared" si="35"/>
        <v>13.726613530888457</v>
      </c>
      <c r="AL18" s="22">
        <f t="shared" si="4"/>
        <v>105.03196312165915</v>
      </c>
      <c r="AM18" s="62">
        <f t="shared" si="5"/>
        <v>380.03196312165915</v>
      </c>
      <c r="AN18" s="62">
        <f ca="1">AVERAGE(OFFSET($AM$3,0,0,'Données projet'!$E$10+1,1))-AVERAGE(OFFSET($H$3,0,0,'Données projet'!$E$10+1,1))</f>
        <v>96.226303286816062</v>
      </c>
      <c r="AO18" s="62">
        <f t="shared" si="36"/>
        <v>466.06545378903826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18.085000000000001</v>
      </c>
      <c r="BD18" s="13">
        <f>IF('Données projet'!$A$88&gt;35,BD17+BC18-BL17,IF(A18&lt;'Données projet'!$A$88,$BA$205^A18,IF(A18='Données projet'!$A$88,'Données projet'!$B$88,BD17+BC18-BL17)))</f>
        <v>82.939494017804662</v>
      </c>
      <c r="BE18" s="14">
        <f>BD18*VLOOKUP('Données projet'!$B$11,Paramètres!$A$1:$I$89,3,0)*VLOOKUP('Données projet'!$B$11,Paramètres!$A$1:$I$89,5,0)</f>
        <v>47.6139047257413</v>
      </c>
      <c r="BF18" s="14">
        <f t="shared" si="37"/>
        <v>13.995797471033478</v>
      </c>
      <c r="BG18" s="22">
        <f t="shared" si="7"/>
        <v>107.30356465938273</v>
      </c>
      <c r="BH18" s="62">
        <f t="shared" si="8"/>
        <v>382.30356465938274</v>
      </c>
      <c r="BI18" s="62">
        <f ca="1">AVERAGE(OFFSET($BH$3,0,0,'Données projet'!$E$11+1,1))-AVERAGE(OFFSET($H$3,0,0,'Données projet'!$E$11+1,1))</f>
        <v>98.045647909910258</v>
      </c>
      <c r="BJ18" s="62">
        <f t="shared" si="38"/>
        <v>475.64984175055775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18.085000000000001</v>
      </c>
      <c r="N19" s="14">
        <f>IF('Données projet'!$A$36&gt;35,N18+M19-V18,IF(A19&lt;'Données projet'!$A$36,$K$205^A19,IF(A19='Données projet'!$A$36,'Données projet'!$B$36,N18+M19-V18)))</f>
        <v>111.34707347797077</v>
      </c>
      <c r="O19" s="14">
        <f>N19*VLOOKUP('Données projet'!$B$9,Paramètres!$A$1:$I$89,3,0)*VLOOKUP('Données projet'!$B$9,Paramètres!$A$1:$I$89,5,0)</f>
        <v>58.884786338090073</v>
      </c>
      <c r="P19" s="14">
        <f t="shared" si="33"/>
        <v>16.886000864879396</v>
      </c>
      <c r="Q19" s="22">
        <f t="shared" si="2"/>
        <v>131.96745437850515</v>
      </c>
      <c r="R19" s="62">
        <f t="shared" si="0"/>
        <v>408.18967660072735</v>
      </c>
      <c r="S19" s="62">
        <f ca="1">AVERAGE(OFFSET($R$3,0,0,'Données projet'!$E$9+1,1))-AVERAGE(OFFSET($H$3,0,0,'Données projet'!$E$9+1,1))</f>
        <v>91.446075686521226</v>
      </c>
      <c r="T19" s="62">
        <f t="shared" si="34"/>
        <v>440.88491337513091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18.085000000000001</v>
      </c>
      <c r="AI19" s="14">
        <f>IF('Données projet'!$A$62&gt;35,AI18+AH19-AQ18,IF(A19&lt;'Données projet'!$A$62,$AF$205^A19,IF(A19='Données projet'!$A$62,'Données projet'!$B$62,AI18+AH19-AQ18)))</f>
        <v>111.34707347797077</v>
      </c>
      <c r="AJ19" s="14">
        <f>AI19*VLOOKUP('Données projet'!$B$10,Paramètres!$A$1:$I$89,3,0)*VLOOKUP('Données projet'!$B$10,Paramètres!$A$1:$I$89,5,0)</f>
        <v>62.532516465228383</v>
      </c>
      <c r="AK19" s="14">
        <f t="shared" si="35"/>
        <v>17.807019878941841</v>
      </c>
      <c r="AL19" s="22">
        <f t="shared" si="4"/>
        <v>139.92469246609647</v>
      </c>
      <c r="AM19" s="62">
        <f t="shared" si="5"/>
        <v>416.1469146883187</v>
      </c>
      <c r="AN19" s="62">
        <f ca="1">AVERAGE(OFFSET($AM$3,0,0,'Données projet'!$E$10+1,1))-AVERAGE(OFFSET($H$3,0,0,'Données projet'!$E$10+1,1))</f>
        <v>96.226303286816062</v>
      </c>
      <c r="AO19" s="62">
        <f t="shared" si="36"/>
        <v>466.06545378903826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18.085000000000001</v>
      </c>
      <c r="BD19" s="13">
        <f>IF('Données projet'!$A$88&gt;35,BD18+BC19-BL18,IF(A19&lt;'Données projet'!$A$88,$BA$205^A19,IF(A19='Données projet'!$A$88,'Données projet'!$B$88,BD18+BC19-BL18)))</f>
        <v>111.34707347797077</v>
      </c>
      <c r="BE19" s="14">
        <f>BD19*VLOOKUP('Données projet'!$B$11,Paramètres!$A$1:$I$89,3,0)*VLOOKUP('Données projet'!$B$11,Paramètres!$A$1:$I$89,5,0)</f>
        <v>63.922127942233459</v>
      </c>
      <c r="BF19" s="14">
        <f t="shared" si="37"/>
        <v>18.156222088391978</v>
      </c>
      <c r="BG19" s="22">
        <f t="shared" si="7"/>
        <v>142.9531263033393</v>
      </c>
      <c r="BH19" s="62">
        <f t="shared" si="8"/>
        <v>419.1753485255615</v>
      </c>
      <c r="BI19" s="62">
        <f ca="1">AVERAGE(OFFSET($BH$3,0,0,'Données projet'!$E$11+1,1))-AVERAGE(OFFSET($H$3,0,0,'Données projet'!$E$11+1,1))</f>
        <v>98.045647909910258</v>
      </c>
      <c r="BJ19" s="62">
        <f t="shared" si="38"/>
        <v>475.64984175055775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18.085000000000001</v>
      </c>
      <c r="N20" s="14">
        <f>IF('Données projet'!$A$36&gt;35,N19+M20-V19,IF(A20&lt;'Données projet'!$A$36,$K$205^A20,IF(A20='Données projet'!$A$36,'Données projet'!$B$36,N19+M20-V19)))</f>
        <v>149.48452385599433</v>
      </c>
      <c r="O20" s="14">
        <f>N20*VLOOKUP('Données projet'!$B$9,Paramètres!$A$1:$I$89,3,0)*VLOOKUP('Données projet'!$B$9,Paramètres!$A$1:$I$89,5,0)</f>
        <v>79.053395596004037</v>
      </c>
      <c r="P20" s="14">
        <f t="shared" si="33"/>
        <v>21.905574335585904</v>
      </c>
      <c r="Q20" s="22">
        <f t="shared" si="2"/>
        <v>175.83687263085244</v>
      </c>
      <c r="R20" s="62">
        <f t="shared" si="0"/>
        <v>453.2813170752969</v>
      </c>
      <c r="S20" s="62">
        <f ca="1">AVERAGE(OFFSET($R$3,0,0,'Données projet'!$E$9+1,1))-AVERAGE(OFFSET($H$3,0,0,'Données projet'!$E$9+1,1))</f>
        <v>91.446075686521226</v>
      </c>
      <c r="T20" s="62">
        <f t="shared" si="34"/>
        <v>440.88491337513091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18.085000000000001</v>
      </c>
      <c r="AI20" s="14">
        <f>IF('Données projet'!$A$62&gt;35,AI19+AH20-AQ19,IF(A20&lt;'Données projet'!$A$62,$AF$205^A20,IF(A20='Données projet'!$A$62,'Données projet'!$B$62,AI19+AH20-AQ19)))</f>
        <v>149.48452385599433</v>
      </c>
      <c r="AJ20" s="14">
        <f>AI20*VLOOKUP('Données projet'!$B$10,Paramètres!$A$1:$I$89,3,0)*VLOOKUP('Données projet'!$B$10,Paramètres!$A$1:$I$89,5,0)</f>
        <v>83.950508597526408</v>
      </c>
      <c r="AK20" s="14">
        <f t="shared" si="35"/>
        <v>23.100377690061332</v>
      </c>
      <c r="AL20" s="22">
        <f t="shared" si="4"/>
        <v>186.44696028421535</v>
      </c>
      <c r="AM20" s="62">
        <f t="shared" si="5"/>
        <v>463.89140472865984</v>
      </c>
      <c r="AN20" s="62">
        <f ca="1">AVERAGE(OFFSET($AM$3,0,0,'Données projet'!$E$10+1,1))-AVERAGE(OFFSET($H$3,0,0,'Données projet'!$E$10+1,1))</f>
        <v>96.226303286816062</v>
      </c>
      <c r="AO20" s="62">
        <f t="shared" si="36"/>
        <v>466.06545378903826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18.085000000000001</v>
      </c>
      <c r="BD20" s="13">
        <f>IF('Données projet'!$A$88&gt;35,BD19+BC20-BL19,IF(A20&lt;'Données projet'!$A$88,$BA$205^A20,IF(A20='Données projet'!$A$88,'Données projet'!$B$88,BD19+BC20-BL19)))</f>
        <v>149.48452385599433</v>
      </c>
      <c r="BE20" s="14">
        <f>BD20*VLOOKUP('Données projet'!$B$11,Paramètres!$A$1:$I$89,3,0)*VLOOKUP('Données projet'!$B$11,Paramètres!$A$1:$I$89,5,0)</f>
        <v>85.816075455249234</v>
      </c>
      <c r="BF20" s="14">
        <f t="shared" si="37"/>
        <v>23.553384593144624</v>
      </c>
      <c r="BG20" s="22">
        <f t="shared" si="7"/>
        <v>190.4851429176193</v>
      </c>
      <c r="BH20" s="62">
        <f t="shared" si="8"/>
        <v>467.92958736206378</v>
      </c>
      <c r="BI20" s="62">
        <f ca="1">AVERAGE(OFFSET($BH$3,0,0,'Données projet'!$E$11+1,1))-AVERAGE(OFFSET($H$3,0,0,'Données projet'!$E$11+1,1))</f>
        <v>98.045647909910258</v>
      </c>
      <c r="BJ20" s="62">
        <f t="shared" si="38"/>
        <v>475.64984175055775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18.085000000000001</v>
      </c>
      <c r="N21" s="14">
        <f>IF('Données projet'!$A$36&gt;35,N20+M21-V20,IF(A21&lt;'Données projet'!$A$36,$K$205^A21,IF(A21='Données projet'!$A$36,'Données projet'!$B$36,N20+M21-V20)))</f>
        <v>200.68442011521987</v>
      </c>
      <c r="O21" s="14">
        <f>N21*VLOOKUP('Données projet'!$B$9,Paramètres!$A$1:$I$89,3,0)*VLOOKUP('Données projet'!$B$9,Paramètres!$A$1:$I$89,5,0)</f>
        <v>106.12994873373289</v>
      </c>
      <c r="P21" s="14">
        <f t="shared" si="33"/>
        <v>28.417278360438317</v>
      </c>
      <c r="Q21" s="22">
        <f t="shared" si="2"/>
        <v>234.33642052234816</v>
      </c>
      <c r="R21" s="62">
        <f t="shared" si="0"/>
        <v>513.00308718901488</v>
      </c>
      <c r="S21" s="62">
        <f ca="1">AVERAGE(OFFSET($R$3,0,0,'Données projet'!$E$9+1,1))-AVERAGE(OFFSET($H$3,0,0,'Données projet'!$E$9+1,1))</f>
        <v>91.446075686521226</v>
      </c>
      <c r="T21" s="62">
        <f t="shared" si="34"/>
        <v>440.88491337513091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18.085000000000001</v>
      </c>
      <c r="AI21" s="14">
        <f>IF('Données projet'!$A$62&gt;35,AI20+AH21-AQ20,IF(A21&lt;'Données projet'!$A$62,$AF$205^A21,IF(A21='Données projet'!$A$62,'Données projet'!$B$62,AI20+AH21-AQ20)))</f>
        <v>200.68442011521987</v>
      </c>
      <c r="AJ21" s="14">
        <f>AI21*VLOOKUP('Données projet'!$B$10,Paramètres!$A$1:$I$89,3,0)*VLOOKUP('Données projet'!$B$10,Paramètres!$A$1:$I$89,5,0)</f>
        <v>112.70437033670747</v>
      </c>
      <c r="AK21" s="14">
        <f t="shared" si="35"/>
        <v>29.967251850745615</v>
      </c>
      <c r="AL21" s="22">
        <f t="shared" si="4"/>
        <v>248.48640864314746</v>
      </c>
      <c r="AM21" s="62">
        <f t="shared" si="5"/>
        <v>527.15307530981408</v>
      </c>
      <c r="AN21" s="62">
        <f ca="1">AVERAGE(OFFSET($AM$3,0,0,'Données projet'!$E$10+1,1))-AVERAGE(OFFSET($H$3,0,0,'Données projet'!$E$10+1,1))</f>
        <v>96.226303286816062</v>
      </c>
      <c r="AO21" s="62">
        <f t="shared" si="36"/>
        <v>466.06545378903826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18.085000000000001</v>
      </c>
      <c r="BD21" s="13">
        <f>IF('Données projet'!$A$88&gt;35,BD20+BC21-BL20,IF(A21&lt;'Données projet'!$A$88,$BA$205^A21,IF(A21='Données projet'!$A$88,'Données projet'!$B$88,BD20+BC21-BL20)))</f>
        <v>200.68442011521987</v>
      </c>
      <c r="BE21" s="14">
        <f>BD21*VLOOKUP('Données projet'!$B$11,Paramètres!$A$1:$I$89,3,0)*VLOOKUP('Données projet'!$B$11,Paramètres!$A$1:$I$89,5,0)</f>
        <v>115.20891189974542</v>
      </c>
      <c r="BF21" s="14">
        <f t="shared" si="37"/>
        <v>30.554920681834204</v>
      </c>
      <c r="BG21" s="22">
        <f t="shared" si="7"/>
        <v>253.87200841291778</v>
      </c>
      <c r="BH21" s="62">
        <f t="shared" si="8"/>
        <v>532.53867507958444</v>
      </c>
      <c r="BI21" s="62">
        <f ca="1">AVERAGE(OFFSET($BH$3,0,0,'Données projet'!$E$11+1,1))-AVERAGE(OFFSET($H$3,0,0,'Données projet'!$E$11+1,1))</f>
        <v>98.045647909910258</v>
      </c>
      <c r="BJ21" s="62">
        <f t="shared" si="38"/>
        <v>475.64984175055775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18.085000000000001</v>
      </c>
      <c r="N22" s="14">
        <f>IF('Données projet'!$A$36&gt;35,N21+M22-V21,IF(A22&lt;'Données projet'!$A$36,$K$205^A22,IF(A22='Données projet'!$A$36,'Données projet'!$B$36,N21+M22-V21)))</f>
        <v>269.42077639943636</v>
      </c>
      <c r="O22" s="14">
        <f>N22*VLOOKUP('Données projet'!$B$9,Paramètres!$A$1:$I$89,3,0)*VLOOKUP('Données projet'!$B$9,Paramètres!$A$1:$I$89,5,0)</f>
        <v>142.48048339107794</v>
      </c>
      <c r="P22" s="14">
        <f t="shared" si="33"/>
        <v>36.864667277989298</v>
      </c>
      <c r="Q22" s="22">
        <f t="shared" si="2"/>
        <v>312.35947074862543</v>
      </c>
      <c r="R22" s="62">
        <f t="shared" si="0"/>
        <v>592.24835963751434</v>
      </c>
      <c r="S22" s="62">
        <f ca="1">AVERAGE(OFFSET($R$3,0,0,'Données projet'!$E$9+1,1))-AVERAGE(OFFSET($H$3,0,0,'Données projet'!$E$9+1,1))</f>
        <v>91.446075686521226</v>
      </c>
      <c r="T22" s="62">
        <f t="shared" si="34"/>
        <v>440.88491337513091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18.085000000000001</v>
      </c>
      <c r="AI22" s="14">
        <f>IF('Données projet'!$A$62&gt;35,AI21+AH22-AQ21,IF(A22&lt;'Données projet'!$A$62,$AF$205^A22,IF(A22='Données projet'!$A$62,'Données projet'!$B$62,AI21+AH22-AQ21)))</f>
        <v>269.42077639943636</v>
      </c>
      <c r="AJ22" s="14">
        <f>AI22*VLOOKUP('Données projet'!$B$10,Paramètres!$A$1:$I$89,3,0)*VLOOKUP('Données projet'!$B$10,Paramètres!$A$1:$I$89,5,0)</f>
        <v>151.30670802592346</v>
      </c>
      <c r="AK22" s="14">
        <f t="shared" si="35"/>
        <v>38.875389637996506</v>
      </c>
      <c r="AL22" s="22">
        <f t="shared" si="4"/>
        <v>331.23382009799388</v>
      </c>
      <c r="AM22" s="62">
        <f t="shared" si="5"/>
        <v>611.1227089868828</v>
      </c>
      <c r="AN22" s="62">
        <f ca="1">AVERAGE(OFFSET($AM$3,0,0,'Données projet'!$E$10+1,1))-AVERAGE(OFFSET($H$3,0,0,'Données projet'!$E$10+1,1))</f>
        <v>96.226303286816062</v>
      </c>
      <c r="AO22" s="62">
        <f t="shared" si="36"/>
        <v>466.06545378903826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18.085000000000001</v>
      </c>
      <c r="BD22" s="13">
        <f>IF('Données projet'!$A$88&gt;35,BD21+BC22-BL21,IF(A22&lt;'Données projet'!$A$88,$BA$205^A22,IF(A22='Données projet'!$A$88,'Données projet'!$B$88,BD21+BC22-BL21)))</f>
        <v>269.42077639943636</v>
      </c>
      <c r="BE22" s="14">
        <f>BD22*VLOOKUP('Données projet'!$B$11,Paramètres!$A$1:$I$89,3,0)*VLOOKUP('Données projet'!$B$11,Paramètres!$A$1:$I$89,5,0)</f>
        <v>154.66907931538842</v>
      </c>
      <c r="BF22" s="14">
        <f t="shared" si="37"/>
        <v>39.637750327607307</v>
      </c>
      <c r="BG22" s="22">
        <f t="shared" si="7"/>
        <v>338.41772829488417</v>
      </c>
      <c r="BH22" s="62">
        <f t="shared" si="8"/>
        <v>618.30661718377303</v>
      </c>
      <c r="BI22" s="62">
        <f ca="1">AVERAGE(OFFSET($BH$3,0,0,'Données projet'!$E$11+1,1))-AVERAGE(OFFSET($H$3,0,0,'Données projet'!$E$11+1,1))</f>
        <v>98.045647909910258</v>
      </c>
      <c r="BJ22" s="62">
        <f t="shared" si="38"/>
        <v>475.64984175055775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361.7</v>
      </c>
      <c r="L23" s="13">
        <f>VLOOKUP(A23,'Données projet'!$A$35:$I$55,9,0)</f>
        <v>18.085000000000001</v>
      </c>
      <c r="M23" s="13">
        <f t="array" ref="M23">INDEX(L:L,MIN(IF(ISNUMBER(L23:L219),ROW(L23:L219),"")))</f>
        <v>18.085000000000001</v>
      </c>
      <c r="N23" s="14">
        <f>IF('Données projet'!$A$36&gt;35,N22+M23-V22,IF(A23&lt;'Données projet'!$A$36,$K$205^A23,IF(A23='Données projet'!$A$36,'Données projet'!$B$36,N22+M23-V22)))</f>
        <v>361.7</v>
      </c>
      <c r="O23" s="14">
        <f>N23*VLOOKUP('Données projet'!$B$9,Paramètres!$A$1:$I$89,3,0)*VLOOKUP('Données projet'!$B$9,Paramètres!$A$1:$I$89,5,0)</f>
        <v>191.28142800000003</v>
      </c>
      <c r="P23" s="14">
        <f t="shared" si="33"/>
        <v>47.823147462595081</v>
      </c>
      <c r="Q23" s="22">
        <f t="shared" si="2"/>
        <v>416.44046893068645</v>
      </c>
      <c r="R23" s="62">
        <f t="shared" si="0"/>
        <v>697.55158004179759</v>
      </c>
      <c r="S23" s="62">
        <f ca="1">AVERAGE(OFFSET($R$3,0,0,'Données projet'!$E$9+1,1))-AVERAGE(OFFSET($H$3,0,0,'Données projet'!$E$9+1,1))</f>
        <v>91.446075686521226</v>
      </c>
      <c r="T23" s="62">
        <f t="shared" si="34"/>
        <v>440.88491337513091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361.7</v>
      </c>
      <c r="W23" s="17">
        <f>IF(ISNA(VLOOKUP(A23,'Données projet'!$A$35:$I$55,5,0)),0%,VLOOKUP(A23,'Données projet'!$A$35:$I$55,5,0)*VLOOKUP('Données projet'!$B$9,Paramètres!$A$1:$I$89,7,0))</f>
        <v>0.46199999999999997</v>
      </c>
      <c r="X23" s="78">
        <f>IF(ISNA(VLOOKUP(A23,'Données projet'!$A$35:$I$55,6,0)),0%,VLOOKUP(A23,'Données projet'!$A$35:$I$55,6,0)*VLOOKUP('Données projet'!$B$9,Paramètres!$A$1:$I$89,7,0))</f>
        <v>0.126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97.692650197649286</v>
      </c>
      <c r="AA23" s="23">
        <f>EXP(-LN(2)/25)*AA22+(1-EXP(-LN(2)/25))/(LN(2)/25)*Calculateur!V23*Calculateur!X23*VLOOKUP('Données projet'!$B$9,Paramètres!$A$1:$I$89,3,0)*0.475*44/12</f>
        <v>26.538544639091757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124.23119483674104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361.7</v>
      </c>
      <c r="AG23" s="13">
        <f>VLOOKUP(A23,'Données projet'!$A$61:$I$81,9,0)</f>
        <v>18.085000000000001</v>
      </c>
      <c r="AH23" s="13">
        <f t="array" ref="AH23">INDEX(AG:AG,MIN(IF(ISNUMBER(AG23:AG219),ROW(AG23:AG219),"")))</f>
        <v>18.085000000000001</v>
      </c>
      <c r="AI23" s="14">
        <f>IF('Données projet'!$A$62&gt;35,AI22+AH23-AQ22,IF(A23&lt;'Données projet'!$A$62,$AF$205^A23,IF(A23='Données projet'!$A$62,'Données projet'!$B$62,AI22+AH23-AQ22)))</f>
        <v>361.7</v>
      </c>
      <c r="AJ23" s="14">
        <f>AI23*VLOOKUP('Données projet'!$B$10,Paramètres!$A$1:$I$89,3,0)*VLOOKUP('Données projet'!$B$10,Paramètres!$A$1:$I$89,5,0)</f>
        <v>203.13072</v>
      </c>
      <c r="AK23" s="14">
        <f t="shared" si="35"/>
        <v>50.431582016034696</v>
      </c>
      <c r="AL23" s="22">
        <f t="shared" si="4"/>
        <v>441.6210093445938</v>
      </c>
      <c r="AM23" s="62">
        <f t="shared" si="5"/>
        <v>722.73212045570494</v>
      </c>
      <c r="AN23" s="62">
        <f ca="1">AVERAGE(OFFSET($AM$3,0,0,'Données projet'!$E$10+1,1))-AVERAGE(OFFSET($H$3,0,0,'Données projet'!$E$10+1,1))</f>
        <v>96.226303286816062</v>
      </c>
      <c r="AO23" s="62">
        <f t="shared" si="36"/>
        <v>466.06545378903826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361.7</v>
      </c>
      <c r="AR23" s="17">
        <f>IF(ISNA(VLOOKUP(A23,'Données projet'!$A$61:$I$81,5,0)),0%,VLOOKUP(A23,'Données projet'!$A$61:$I$81,5,0)*VLOOKUP('Données projet'!$B$10,Paramètres!$A$1:$I$89,7,0))</f>
        <v>0.46199999999999997</v>
      </c>
      <c r="AS23" s="17">
        <f>IF(ISNA(VLOOKUP(A23,'Données projet'!$A$61:$I$81,6,0)),0%,VLOOKUP(A23,'Données projet'!$A$61:$I$81,6,0)*VLOOKUP('Données projet'!$B$10,Paramètres!$A$1:$I$89,7,0))</f>
        <v>0.126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103.74440728953904</v>
      </c>
      <c r="AV23" s="23">
        <f>EXP(-LN(2)/25)*AV22+(1-EXP(-LN(2)/25))/(LN(2)/25)*Calculateur!AQ23*Calculateur!AS23*VLOOKUP('Données projet'!$B$10,Paramètres!$A$1:$I$89,3,0)*0.475*44/12</f>
        <v>28.182525280451426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131.92693256999047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361.7</v>
      </c>
      <c r="BB23" s="13">
        <f>VLOOKUP(A23,'Données projet'!$A$87:$I$107,9,0)</f>
        <v>18.085000000000001</v>
      </c>
      <c r="BC23" s="13">
        <f t="array" ref="BC23">INDEX(BB:BB,MIN(IF(ISNUMBER(BB23:BB219),ROW(BB23:BB219),"")))</f>
        <v>18.085000000000001</v>
      </c>
      <c r="BD23" s="13">
        <f>IF('Données projet'!$A$88&gt;35,BD22+BC23-BL22,IF(A23&lt;'Données projet'!$A$88,$BA$205^A23,IF(A23='Données projet'!$A$88,'Données projet'!$B$88,BD22+BC23-BL22)))</f>
        <v>361.7</v>
      </c>
      <c r="BE23" s="14">
        <f>BD23*VLOOKUP('Données projet'!$B$11,Paramètres!$A$1:$I$89,3,0)*VLOOKUP('Données projet'!$B$11,Paramètres!$A$1:$I$89,5,0)</f>
        <v>207.64473599999997</v>
      </c>
      <c r="BF23" s="14">
        <f t="shared" si="37"/>
        <v>51.420563888677584</v>
      </c>
      <c r="BG23" s="22">
        <f t="shared" si="7"/>
        <v>451.20539730611335</v>
      </c>
      <c r="BH23" s="62">
        <f t="shared" si="8"/>
        <v>732.31650841722444</v>
      </c>
      <c r="BI23" s="62">
        <f ca="1">AVERAGE(OFFSET($BH$3,0,0,'Données projet'!$E$11+1,1))-AVERAGE(OFFSET($H$3,0,0,'Données projet'!$E$11+1,1))</f>
        <v>98.045647909910258</v>
      </c>
      <c r="BJ23" s="62">
        <f t="shared" si="38"/>
        <v>475.64984175055775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361.7</v>
      </c>
      <c r="BM23" s="17">
        <f>IF(ISNA(VLOOKUP(A23,'Données projet'!$A$87:$I$107,5,0)),0%,VLOOKUP(A23,'Données projet'!$A$87:$I$107,5,0)*VLOOKUP('Données projet'!$B$11,Paramètres!$A$1:$I$89,7,0))</f>
        <v>0.46199999999999997</v>
      </c>
      <c r="BN23" s="17">
        <f>IF(ISNA(VLOOKUP(A23,'Données projet'!$A$87:$I$107,6,0)),0%,VLOOKUP(A23,'Données projet'!$A$87:$I$107,6,0)*VLOOKUP('Données projet'!$B$11,Paramètres!$A$1:$I$89,7,0))</f>
        <v>0.126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106.04983856263992</v>
      </c>
      <c r="BQ23" s="23">
        <f>EXP(-LN(2)/25)*BQ22+(1-EXP(-LN(2)/25))/(LN(2)/25)*Calculateur!BL23*Calculateur!BN23*VLOOKUP('Données projet'!$B$11,Paramètres!$A$1:$I$89,3,0)*0.475*44/12</f>
        <v>28.808803620017013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134.85864218265692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91.446075686521226</v>
      </c>
      <c r="T24" s="62">
        <f t="shared" si="34"/>
        <v>440.88491337513091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95.776956913906318</v>
      </c>
      <c r="AA24" s="23">
        <f>EXP(-LN(2)/25)*AA23+(1-EXP(-LN(2)/25))/(LN(2)/25)*Calculateur!V24*Calculateur!X24*VLOOKUP('Données projet'!$B$9,Paramètres!$A$1:$I$89,3,0)*0.475*44/12</f>
        <v>25.812846740334386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121.58980365424071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96.226303286816062</v>
      </c>
      <c r="AO24" s="62">
        <f t="shared" si="36"/>
        <v>466.06545378903826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101.71004274043146</v>
      </c>
      <c r="AV24" s="23">
        <f>EXP(-LN(2)/25)*AV23+(1-EXP(-LN(2)/25))/(LN(2)/25)*Calculateur!AQ24*Calculateur!AS24*VLOOKUP('Données projet'!$B$10,Paramètres!$A$1:$I$89,3,0)*0.475*44/12</f>
        <v>27.411872644602887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129.12191538503436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>
        <f>BD24*VLOOKUP('Données projet'!$B$11,Paramètres!$A$1:$I$89,3,0)*VLOOKUP('Données projet'!$B$11,Paramètres!$A$1:$I$89,5,0)</f>
        <v>0</v>
      </c>
      <c r="BF24" s="14" t="e">
        <f t="shared" si="37"/>
        <v>#NUM!</v>
      </c>
      <c r="BG24" s="22" t="e">
        <f t="shared" si="7"/>
        <v>#NUM!</v>
      </c>
      <c r="BH24" s="62" t="e">
        <f t="shared" si="8"/>
        <v>#NUM!</v>
      </c>
      <c r="BI24" s="62">
        <f ca="1">AVERAGE(OFFSET($BH$3,0,0,'Données projet'!$E$11+1,1))-AVERAGE(OFFSET($H$3,0,0,'Données projet'!$E$11+1,1))</f>
        <v>98.045647909910258</v>
      </c>
      <c r="BJ24" s="62">
        <f t="shared" si="38"/>
        <v>475.64984175055775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103.97026591244106</v>
      </c>
      <c r="BQ24" s="23">
        <f>EXP(-LN(2)/25)*BQ23+(1-EXP(-LN(2)/25))/(LN(2)/25)*Calculateur!BL24*Calculateur!BN24*VLOOKUP('Données projet'!$B$11,Paramètres!$A$1:$I$89,3,0)*0.475*44/12</f>
        <v>28.021025370038508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131.99129128247958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91.446075686521226</v>
      </c>
      <c r="T25" s="62">
        <f t="shared" si="34"/>
        <v>440.88491337513091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93.89882920700002</v>
      </c>
      <c r="AA25" s="23">
        <f>EXP(-LN(2)/25)*AA24+(1-EXP(-LN(2)/25))/(LN(2)/25)*Calculateur!V25*Calculateur!X25*VLOOKUP('Données projet'!$B$9,Paramètres!$A$1:$I$89,3,0)*0.475*44/12</f>
        <v>25.10699308878133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119.00582229578134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96.226303286816062</v>
      </c>
      <c r="AO25" s="62">
        <f t="shared" si="36"/>
        <v>466.06545378903826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99.715570839292027</v>
      </c>
      <c r="AV25" s="23">
        <f>EXP(-LN(2)/25)*AV24+(1-EXP(-LN(2)/25))/(LN(2)/25)*Calculateur!AQ25*Calculateur!AS25*VLOOKUP('Données projet'!$B$10,Paramètres!$A$1:$I$89,3,0)*0.475*44/12</f>
        <v>26.662293545608488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126.37786438490052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>
        <f>BD25*VLOOKUP('Données projet'!$B$11,Paramètres!$A$1:$I$89,3,0)*VLOOKUP('Données projet'!$B$11,Paramètres!$A$1:$I$89,5,0)</f>
        <v>0</v>
      </c>
      <c r="BF25" s="14" t="e">
        <f t="shared" si="37"/>
        <v>#NUM!</v>
      </c>
      <c r="BG25" s="22" t="e">
        <f t="shared" si="7"/>
        <v>#NUM!</v>
      </c>
      <c r="BH25" s="62" t="e">
        <f t="shared" si="8"/>
        <v>#NUM!</v>
      </c>
      <c r="BI25" s="62">
        <f ca="1">AVERAGE(OFFSET($BH$3,0,0,'Données projet'!$E$11+1,1))-AVERAGE(OFFSET($H$3,0,0,'Données projet'!$E$11+1,1))</f>
        <v>98.045647909910258</v>
      </c>
      <c r="BJ25" s="62">
        <f t="shared" si="38"/>
        <v>475.64984175055775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101.93147241349853</v>
      </c>
      <c r="BQ25" s="23">
        <f>EXP(-LN(2)/25)*BQ24+(1-EXP(-LN(2)/25))/(LN(2)/25)*Calculateur!BL25*Calculateur!BN25*VLOOKUP('Données projet'!$B$11,Paramètres!$A$1:$I$89,3,0)*0.475*44/12</f>
        <v>27.254788957733123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129.18626137123164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91.446075686521226</v>
      </c>
      <c r="T26" s="62">
        <f t="shared" si="34"/>
        <v>440.88491337513091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92.057530438881358</v>
      </c>
      <c r="AA26" s="23">
        <f>EXP(-LN(2)/25)*AA25+(1-EXP(-LN(2)/25))/(LN(2)/25)*Calculateur!V26*Calculateur!X26*VLOOKUP('Données projet'!$B$9,Paramètres!$A$1:$I$89,3,0)*0.475*44/12</f>
        <v>24.42044104244922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116.47797148133057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96.226303286816062</v>
      </c>
      <c r="AO26" s="62">
        <f t="shared" si="36"/>
        <v>466.06545378903826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97.760209315626199</v>
      </c>
      <c r="AV26" s="23">
        <f>EXP(-LN(2)/25)*AV25+(1-EXP(-LN(2)/25))/(LN(2)/25)*Calculateur!AQ26*Calculateur!AS26*VLOOKUP('Données projet'!$B$10,Paramètres!$A$1:$I$89,3,0)*0.475*44/12</f>
        <v>25.933211726494743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123.69342104212095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>
        <f>BD26*VLOOKUP('Données projet'!$B$11,Paramètres!$A$1:$I$89,3,0)*VLOOKUP('Données projet'!$B$11,Paramètres!$A$1:$I$89,5,0)</f>
        <v>0</v>
      </c>
      <c r="BF26" s="14" t="e">
        <f t="shared" si="37"/>
        <v>#NUM!</v>
      </c>
      <c r="BG26" s="22" t="e">
        <f t="shared" si="7"/>
        <v>#NUM!</v>
      </c>
      <c r="BH26" s="62" t="e">
        <f t="shared" si="8"/>
        <v>#NUM!</v>
      </c>
      <c r="BI26" s="62">
        <f ca="1">AVERAGE(OFFSET($BH$3,0,0,'Données projet'!$E$11+1,1))-AVERAGE(OFFSET($H$3,0,0,'Données projet'!$E$11+1,1))</f>
        <v>98.045647909910258</v>
      </c>
      <c r="BJ26" s="62">
        <f t="shared" si="38"/>
        <v>475.64984175055775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99.932658411529005</v>
      </c>
      <c r="BQ26" s="23">
        <f>EXP(-LN(2)/25)*BQ25+(1-EXP(-LN(2)/25))/(LN(2)/25)*Calculateur!BL26*Calculateur!BN26*VLOOKUP('Données projet'!$B$11,Paramètres!$A$1:$I$89,3,0)*0.475*44/12</f>
        <v>26.509505320416849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126.44216373194585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91.446075686521226</v>
      </c>
      <c r="T27" s="62">
        <f t="shared" si="34"/>
        <v>440.88491337513091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90.252338416524154</v>
      </c>
      <c r="AA27" s="23">
        <f>EXP(-LN(2)/25)*AA26+(1-EXP(-LN(2)/25))/(LN(2)/25)*Calculateur!V27*Calculateur!X27*VLOOKUP('Données projet'!$B$9,Paramètres!$A$1:$I$89,3,0)*0.475*44/12</f>
        <v>23.752662797928267</v>
      </c>
      <c r="AB27" s="23">
        <f>EXP(-LN(2)/2)*AB26+(1-EXP(-LN(2)/2))/(LN(2)/2)*V27*Y27*VLOOKUP('Données projet'!$B$9,Paramètres!$A$1:$I$89,3,0)*0.475*44/12</f>
        <v>0</v>
      </c>
      <c r="AC27" s="24">
        <f t="shared" si="3"/>
        <v>114.00500121445242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96.226303286816062</v>
      </c>
      <c r="AO27" s="62">
        <f t="shared" si="36"/>
        <v>466.06545378903826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95.843191238786687</v>
      </c>
      <c r="AV27" s="23">
        <f>EXP(-LN(2)/25)*AV26+(1-EXP(-LN(2)/25))/(LN(2)/25)*Calculateur!AQ27*Calculateur!AS27*VLOOKUP('Données projet'!$B$10,Paramètres!$A$1:$I$89,3,0)*0.475*44/12</f>
        <v>25.22406668806541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121.06725792685209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>
        <f>BD27*VLOOKUP('Données projet'!$B$11,Paramètres!$A$1:$I$89,3,0)*VLOOKUP('Données projet'!$B$11,Paramètres!$A$1:$I$89,5,0)</f>
        <v>0</v>
      </c>
      <c r="BF27" s="14" t="e">
        <f t="shared" si="37"/>
        <v>#NUM!</v>
      </c>
      <c r="BG27" s="22" t="e">
        <f t="shared" si="7"/>
        <v>#NUM!</v>
      </c>
      <c r="BH27" s="62" t="e">
        <f t="shared" si="8"/>
        <v>#NUM!</v>
      </c>
      <c r="BI27" s="62">
        <f ca="1">AVERAGE(OFFSET($BH$3,0,0,'Données projet'!$E$11+1,1))-AVERAGE(OFFSET($H$3,0,0,'Données projet'!$E$11+1,1))</f>
        <v>98.045647909910258</v>
      </c>
      <c r="BJ27" s="62">
        <f t="shared" si="38"/>
        <v>475.64984175055775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97.973039932981948</v>
      </c>
      <c r="BQ27" s="23">
        <f>EXP(-LN(2)/25)*BQ26+(1-EXP(-LN(2)/25))/(LN(2)/25)*Calculateur!BL27*Calculateur!BN27*VLOOKUP('Données projet'!$B$11,Paramètres!$A$1:$I$89,3,0)*0.475*44/12</f>
        <v>25.784601503355756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123.75764143633771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91.446075686521226</v>
      </c>
      <c r="T28" s="62">
        <f t="shared" si="34"/>
        <v>440.88491337513091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88.482545108666969</v>
      </c>
      <c r="AA28" s="23">
        <f>EXP(-LN(2)/25)*AA27+(1-EXP(-LN(2)/25))/(LN(2)/25)*Calculateur!V28*Calculateur!X28*VLOOKUP('Données projet'!$B$9,Paramètres!$A$1:$I$89,3,0)*0.475*44/12</f>
        <v>23.10314498462067</v>
      </c>
      <c r="AB28" s="23">
        <f>EXP(-LN(2)/2)*AB27+(1-EXP(-LN(2)/2))/(LN(2)/2)*V28*Y28*VLOOKUP('Données projet'!$B$9,Paramètres!$A$1:$I$89,3,0)*0.475*44/12</f>
        <v>0</v>
      </c>
      <c r="AC28" s="24">
        <f t="shared" si="3"/>
        <v>111.58569009328764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96.226303286816062</v>
      </c>
      <c r="AO28" s="62">
        <f t="shared" si="36"/>
        <v>466.06545378903826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93.963764717168431</v>
      </c>
      <c r="AV28" s="23">
        <f>EXP(-LN(2)/25)*AV27+(1-EXP(-LN(2)/25))/(LN(2)/25)*Calculateur!AQ28*Calculateur!AS28*VLOOKUP('Données projet'!$B$10,Paramètres!$A$1:$I$89,3,0)*0.475*44/12</f>
        <v>24.534313258004243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118.49807797517268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>
        <f>BD28*VLOOKUP('Données projet'!$B$11,Paramètres!$A$1:$I$89,3,0)*VLOOKUP('Données projet'!$B$11,Paramètres!$A$1:$I$89,5,0)</f>
        <v>0</v>
      </c>
      <c r="BF28" s="14" t="e">
        <f t="shared" si="37"/>
        <v>#NUM!</v>
      </c>
      <c r="BG28" s="22" t="e">
        <f t="shared" si="7"/>
        <v>#NUM!</v>
      </c>
      <c r="BH28" s="62" t="e">
        <f t="shared" si="8"/>
        <v>#NUM!</v>
      </c>
      <c r="BI28" s="62">
        <f ca="1">AVERAGE(OFFSET($BH$3,0,0,'Données projet'!$E$11+1,1))-AVERAGE(OFFSET($H$3,0,0,'Données projet'!$E$11+1,1))</f>
        <v>98.045647909910258</v>
      </c>
      <c r="BJ28" s="62">
        <f t="shared" si="38"/>
        <v>475.64984175055775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96.051848377549959</v>
      </c>
      <c r="BQ28" s="23">
        <f>EXP(-LN(2)/25)*BQ27+(1-EXP(-LN(2)/25))/(LN(2)/25)*Calculateur!BL28*Calculateur!BN28*VLOOKUP('Données projet'!$B$11,Paramètres!$A$1:$I$89,3,0)*0.475*44/12</f>
        <v>25.079520219293229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121.13136859684319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91.446075686521226</v>
      </c>
      <c r="T29" s="62">
        <f t="shared" si="34"/>
        <v>440.88491337513091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86.747456368109525</v>
      </c>
      <c r="AA29" s="23">
        <f>EXP(-LN(2)/25)*AA28+(1-EXP(-LN(2)/25))/(LN(2)/25)*Calculateur!V29*Calculateur!X29*VLOOKUP('Données projet'!$B$9,Paramètres!$A$1:$I$89,3,0)*0.475*44/12</f>
        <v>22.471388270074627</v>
      </c>
      <c r="AB29" s="23">
        <f>EXP(-LN(2)/2)*AB28+(1-EXP(-LN(2)/2))/(LN(2)/2)*V29*Y29*VLOOKUP('Données projet'!$B$9,Paramètres!$A$1:$I$89,3,0)*0.475*44/12</f>
        <v>0</v>
      </c>
      <c r="AC29" s="24">
        <f t="shared" si="3"/>
        <v>109.21884463818415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96.226303286816062</v>
      </c>
      <c r="AO29" s="62">
        <f t="shared" si="36"/>
        <v>466.06545378903826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92.12119260330212</v>
      </c>
      <c r="AV29" s="23">
        <f>EXP(-LN(2)/25)*AV28+(1-EXP(-LN(2)/25))/(LN(2)/25)*Calculateur!AQ29*Calculateur!AS29*VLOOKUP('Données projet'!$B$10,Paramètres!$A$1:$I$89,3,0)*0.475*44/12</f>
        <v>23.863421171760656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115.98461377506277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>
        <f>BD29*VLOOKUP('Données projet'!$B$11,Paramètres!$A$1:$I$89,3,0)*VLOOKUP('Données projet'!$B$11,Paramètres!$A$1:$I$89,5,0)</f>
        <v>0</v>
      </c>
      <c r="BF29" s="14" t="e">
        <f t="shared" si="37"/>
        <v>#NUM!</v>
      </c>
      <c r="BG29" s="22" t="e">
        <f t="shared" si="7"/>
        <v>#NUM!</v>
      </c>
      <c r="BH29" s="62" t="e">
        <f t="shared" si="8"/>
        <v>#NUM!</v>
      </c>
      <c r="BI29" s="62">
        <f ca="1">AVERAGE(OFFSET($BH$3,0,0,'Données projet'!$E$11+1,1))-AVERAGE(OFFSET($H$3,0,0,'Données projet'!$E$11+1,1))</f>
        <v>98.045647909910258</v>
      </c>
      <c r="BJ29" s="62">
        <f t="shared" si="38"/>
        <v>475.64984175055775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94.168330216708839</v>
      </c>
      <c r="BQ29" s="23">
        <f>EXP(-LN(2)/25)*BQ28+(1-EXP(-LN(2)/25))/(LN(2)/25)*Calculateur!BL29*Calculateur!BN29*VLOOKUP('Données projet'!$B$11,Paramètres!$A$1:$I$89,3,0)*0.475*44/12</f>
        <v>24.393719420022009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118.56204963673085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91.446075686521226</v>
      </c>
      <c r="T30" s="62">
        <f t="shared" si="34"/>
        <v>440.88491337513091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85.046391659454784</v>
      </c>
      <c r="AA30" s="23">
        <f>EXP(-LN(2)/25)*AA29+(1-EXP(-LN(2)/25))/(LN(2)/25)*Calculateur!V30*Calculateur!X30*VLOOKUP('Données projet'!$B$9,Paramètres!$A$1:$I$89,3,0)*0.475*44/12</f>
        <v>21.856906976110487</v>
      </c>
      <c r="AB30" s="23">
        <f>EXP(-LN(2)/2)*AB29+(1-EXP(-LN(2)/2))/(LN(2)/2)*V30*Y30*VLOOKUP('Données projet'!$B$9,Paramètres!$A$1:$I$89,3,0)*0.475*44/12</f>
        <v>0</v>
      </c>
      <c r="AC30" s="24">
        <f t="shared" si="3"/>
        <v>106.90329863556528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96.226303286816062</v>
      </c>
      <c r="AO30" s="62">
        <f t="shared" si="36"/>
        <v>466.06545378903826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90.314752204730709</v>
      </c>
      <c r="AV30" s="23">
        <f>EXP(-LN(2)/25)*AV29+(1-EXP(-LN(2)/25))/(LN(2)/25)*Calculateur!AQ30*Calculateur!AS30*VLOOKUP('Données projet'!$B$10,Paramètres!$A$1:$I$89,3,0)*0.475*44/12</f>
        <v>23.210874664896082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113.52562686962679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>
        <f>BD30*VLOOKUP('Données projet'!$B$11,Paramètres!$A$1:$I$89,3,0)*VLOOKUP('Données projet'!$B$11,Paramètres!$A$1:$I$89,5,0)</f>
        <v>0</v>
      </c>
      <c r="BF30" s="14" t="e">
        <f t="shared" si="37"/>
        <v>#NUM!</v>
      </c>
      <c r="BG30" s="22" t="e">
        <f t="shared" si="7"/>
        <v>#NUM!</v>
      </c>
      <c r="BH30" s="62" t="e">
        <f t="shared" si="8"/>
        <v>#NUM!</v>
      </c>
      <c r="BI30" s="62">
        <f ca="1">AVERAGE(OFFSET($BH$3,0,0,'Données projet'!$E$11+1,1))-AVERAGE(OFFSET($H$3,0,0,'Données projet'!$E$11+1,1))</f>
        <v>98.045647909910258</v>
      </c>
      <c r="BJ30" s="62">
        <f t="shared" si="38"/>
        <v>475.64984175055775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92.321746698169179</v>
      </c>
      <c r="BQ30" s="23">
        <f>EXP(-LN(2)/25)*BQ29+(1-EXP(-LN(2)/25))/(LN(2)/25)*Calculateur!BL30*Calculateur!BN30*VLOOKUP('Données projet'!$B$11,Paramètres!$A$1:$I$89,3,0)*0.475*44/12</f>
        <v>23.726671879671557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116.04841857784074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91.446075686521226</v>
      </c>
      <c r="T31" s="62">
        <f t="shared" si="34"/>
        <v>440.88491337513091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83.378683792189733</v>
      </c>
      <c r="AA31" s="23">
        <f>EXP(-LN(2)/25)*AA30+(1-EXP(-LN(2)/25))/(LN(2)/25)*Calculateur!V31*Calculateur!X31*VLOOKUP('Données projet'!$B$9,Paramètres!$A$1:$I$89,3,0)*0.475*44/12</f>
        <v>21.259228705443963</v>
      </c>
      <c r="AB31" s="23">
        <f>EXP(-LN(2)/2)*AB30+(1-EXP(-LN(2)/2))/(LN(2)/2)*V31*Y31*VLOOKUP('Données projet'!$B$9,Paramètres!$A$1:$I$89,3,0)*0.475*44/12</f>
        <v>0</v>
      </c>
      <c r="AC31" s="24">
        <f t="shared" si="3"/>
        <v>104.63791249763369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96.226303286816062</v>
      </c>
      <c r="AO31" s="62">
        <f t="shared" si="36"/>
        <v>466.06545378903826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88.543735000555444</v>
      </c>
      <c r="AV31" s="23">
        <f>EXP(-LN(2)/25)*AV30+(1-EXP(-LN(2)/25))/(LN(2)/25)*Calculateur!AQ31*Calculateur!AS31*VLOOKUP('Données projet'!$B$10,Paramètres!$A$1:$I$89,3,0)*0.475*44/12</f>
        <v>22.576172076577649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111.11990707713309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>
        <f>BD31*VLOOKUP('Données projet'!$B$11,Paramètres!$A$1:$I$89,3,0)*VLOOKUP('Données projet'!$B$11,Paramètres!$A$1:$I$89,5,0)</f>
        <v>0</v>
      </c>
      <c r="BF31" s="14" t="e">
        <f t="shared" si="37"/>
        <v>#NUM!</v>
      </c>
      <c r="BG31" s="22" t="e">
        <f t="shared" si="7"/>
        <v>#NUM!</v>
      </c>
      <c r="BH31" s="62" t="e">
        <f t="shared" si="8"/>
        <v>#NUM!</v>
      </c>
      <c r="BI31" s="62">
        <f ca="1">AVERAGE(OFFSET($BH$3,0,0,'Données projet'!$E$11+1,1))-AVERAGE(OFFSET($H$3,0,0,'Données projet'!$E$11+1,1))</f>
        <v>98.045647909910258</v>
      </c>
      <c r="BJ31" s="62">
        <f t="shared" si="38"/>
        <v>475.64984175055775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90.511373556123345</v>
      </c>
      <c r="BQ31" s="23">
        <f>EXP(-LN(2)/25)*BQ30+(1-EXP(-LN(2)/25))/(LN(2)/25)*Calculateur!BL31*Calculateur!BN31*VLOOKUP('Données projet'!$B$11,Paramètres!$A$1:$I$89,3,0)*0.475*44/12</f>
        <v>23.077864789390492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113.58923834551383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91.446075686521226</v>
      </c>
      <c r="T32" s="62">
        <f t="shared" si="34"/>
        <v>440.88491337513091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81.743678659000395</v>
      </c>
      <c r="AA32" s="23">
        <f>EXP(-LN(2)/25)*AA31+(1-EXP(-LN(2)/25))/(LN(2)/25)*Calculateur!V32*Calculateur!X32*VLOOKUP('Données projet'!$B$9,Paramètres!$A$1:$I$89,3,0)*0.475*44/12</f>
        <v>20.67789397851935</v>
      </c>
      <c r="AB32" s="23">
        <f>EXP(-LN(2)/2)*AB31+(1-EXP(-LN(2)/2))/(LN(2)/2)*V32*Y32*VLOOKUP('Données projet'!$B$9,Paramètres!$A$1:$I$89,3,0)*0.475*44/12</f>
        <v>0</v>
      </c>
      <c r="AC32" s="24">
        <f t="shared" si="3"/>
        <v>102.42157263751974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96.226303286816062</v>
      </c>
      <c r="AO32" s="62">
        <f t="shared" si="36"/>
        <v>466.06545378903826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86.807446363540222</v>
      </c>
      <c r="AV32" s="23">
        <f>EXP(-LN(2)/25)*AV31+(1-EXP(-LN(2)/25))/(LN(2)/25)*Calculateur!AQ32*Calculateur!AS32*VLOOKUP('Données projet'!$B$10,Paramètres!$A$1:$I$89,3,0)*0.475*44/12</f>
        <v>21.958825463914341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108.76627182745456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>
        <f>BD32*VLOOKUP('Données projet'!$B$11,Paramètres!$A$1:$I$89,3,0)*VLOOKUP('Données projet'!$B$11,Paramètres!$A$1:$I$89,5,0)</f>
        <v>0</v>
      </c>
      <c r="BF32" s="14" t="e">
        <f t="shared" si="37"/>
        <v>#NUM!</v>
      </c>
      <c r="BG32" s="22" t="e">
        <f t="shared" si="7"/>
        <v>#NUM!</v>
      </c>
      <c r="BH32" s="62" t="e">
        <f t="shared" si="8"/>
        <v>#NUM!</v>
      </c>
      <c r="BI32" s="62">
        <f ca="1">AVERAGE(OFFSET($BH$3,0,0,'Données projet'!$E$11+1,1))-AVERAGE(OFFSET($H$3,0,0,'Données projet'!$E$11+1,1))</f>
        <v>98.045647909910258</v>
      </c>
      <c r="BJ32" s="62">
        <f t="shared" si="38"/>
        <v>475.64984175055775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88.736500727174445</v>
      </c>
      <c r="BQ32" s="23">
        <f>EXP(-LN(2)/25)*BQ31+(1-EXP(-LN(2)/25))/(LN(2)/25)*Calculateur!BL32*Calculateur!BN32*VLOOKUP('Données projet'!$B$11,Paramètres!$A$1:$I$89,3,0)*0.475*44/12</f>
        <v>22.446799363112444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111.18330009028689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91.446075686521226</v>
      </c>
      <c r="T33" s="62">
        <f t="shared" si="34"/>
        <v>440.88491337513091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80.140734979218237</v>
      </c>
      <c r="AA33" s="23">
        <f>EXP(-LN(2)/25)*AA32+(1-EXP(-LN(2)/25))/(LN(2)/25)*Calculateur!V33*Calculateur!X33*VLOOKUP('Données projet'!$B$9,Paramètres!$A$1:$I$89,3,0)*0.475*44/12</f>
        <v>20.112455880273554</v>
      </c>
      <c r="AB33" s="23">
        <f>EXP(-LN(2)/2)*AB32+(1-EXP(-LN(2)/2))/(LN(2)/2)*V33*Y33*VLOOKUP('Données projet'!$B$9,Paramètres!$A$1:$I$89,3,0)*0.475*44/12</f>
        <v>0</v>
      </c>
      <c r="AC33" s="24">
        <f t="shared" si="3"/>
        <v>100.2531908594918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96.226303286816062</v>
      </c>
      <c r="AO33" s="62">
        <f t="shared" si="36"/>
        <v>466.06545378903826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85.10520528766537</v>
      </c>
      <c r="AV33" s="23">
        <f>EXP(-LN(2)/25)*AV32+(1-EXP(-LN(2)/25))/(LN(2)/25)*Calculateur!AQ33*Calculateur!AS33*VLOOKUP('Données projet'!$B$10,Paramètres!$A$1:$I$89,3,0)*0.475*44/12</f>
        <v>21.35836022683916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106.46356551450452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>
        <f>BD33*VLOOKUP('Données projet'!$B$11,Paramètres!$A$1:$I$89,3,0)*VLOOKUP('Données projet'!$B$11,Paramètres!$A$1:$I$89,5,0)</f>
        <v>0</v>
      </c>
      <c r="BF33" s="14" t="e">
        <f t="shared" si="37"/>
        <v>#NUM!</v>
      </c>
      <c r="BG33" s="22" t="e">
        <f t="shared" si="7"/>
        <v>#NUM!</v>
      </c>
      <c r="BH33" s="62" t="e">
        <f t="shared" si="8"/>
        <v>#NUM!</v>
      </c>
      <c r="BI33" s="62">
        <f ca="1">AVERAGE(OFFSET($BH$3,0,0,'Données projet'!$E$11+1,1))-AVERAGE(OFFSET($H$3,0,0,'Données projet'!$E$11+1,1))</f>
        <v>98.045647909910258</v>
      </c>
      <c r="BJ33" s="62">
        <f t="shared" si="38"/>
        <v>475.64984175055775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86.996432071835699</v>
      </c>
      <c r="BQ33" s="23">
        <f>EXP(-LN(2)/25)*BQ32+(1-EXP(-LN(2)/25))/(LN(2)/25)*Calculateur!BL33*Calculateur!BN33*VLOOKUP('Données projet'!$B$11,Paramètres!$A$1:$I$89,3,0)*0.475*44/12</f>
        <v>21.832990454102259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108.82942252593796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91.446075686521226</v>
      </c>
      <c r="T34" s="62">
        <f t="shared" si="34"/>
        <v>440.88491337513091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78.56922404729751</v>
      </c>
      <c r="AA34" s="23">
        <f>EXP(-LN(2)/25)*AA33+(1-EXP(-LN(2)/25))/(LN(2)/25)*Calculateur!V34*Calculateur!X34*VLOOKUP('Données projet'!$B$9,Paramètres!$A$1:$I$89,3,0)*0.475*44/12</f>
        <v>19.562479716559388</v>
      </c>
      <c r="AB34" s="23">
        <f>EXP(-LN(2)/2)*AB33+(1-EXP(-LN(2)/2))/(LN(2)/2)*V34*Y34*VLOOKUP('Données projet'!$B$9,Paramètres!$A$1:$I$89,3,0)*0.475*44/12</f>
        <v>0</v>
      </c>
      <c r="AC34" s="24">
        <f t="shared" si="3"/>
        <v>98.131703763856905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96.226303286816062</v>
      </c>
      <c r="AO34" s="62">
        <f t="shared" si="36"/>
        <v>466.06545378903826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83.436344121023879</v>
      </c>
      <c r="AV34" s="23">
        <f>EXP(-LN(2)/25)*AV33+(1-EXP(-LN(2)/25))/(LN(2)/25)*Calculateur!AQ34*Calculateur!AS34*VLOOKUP('Données projet'!$B$10,Paramètres!$A$1:$I$89,3,0)*0.475*44/12</f>
        <v>20.774314743248894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104.21065886427277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>
        <f>BD34*VLOOKUP('Données projet'!$B$11,Paramètres!$A$1:$I$89,3,0)*VLOOKUP('Données projet'!$B$11,Paramètres!$A$1:$I$89,5,0)</f>
        <v>0</v>
      </c>
      <c r="BF34" s="14" t="e">
        <f t="shared" si="37"/>
        <v>#NUM!</v>
      </c>
      <c r="BG34" s="22" t="e">
        <f t="shared" si="7"/>
        <v>#NUM!</v>
      </c>
      <c r="BH34" s="62" t="e">
        <f t="shared" si="8"/>
        <v>#NUM!</v>
      </c>
      <c r="BI34" s="62">
        <f ca="1">AVERAGE(OFFSET($BH$3,0,0,'Données projet'!$E$11+1,1))-AVERAGE(OFFSET($H$3,0,0,'Données projet'!$E$11+1,1))</f>
        <v>98.045647909910258</v>
      </c>
      <c r="BJ34" s="62">
        <f t="shared" si="38"/>
        <v>475.64984175055775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85.290485101491072</v>
      </c>
      <c r="BQ34" s="23">
        <f>EXP(-LN(2)/25)*BQ33+(1-EXP(-LN(2)/25))/(LN(2)/25)*Calculateur!BL34*Calculateur!BN34*VLOOKUP('Données projet'!$B$11,Paramètres!$A$1:$I$89,3,0)*0.475*44/12</f>
        <v>21.235966181987763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106.52645128347883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91.446075686521226</v>
      </c>
      <c r="T35" s="62">
        <f t="shared" si="34"/>
        <v>440.88491337513091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77.028529486224727</v>
      </c>
      <c r="AA35" s="23">
        <f>EXP(-LN(2)/25)*AA34+(1-EXP(-LN(2)/25))/(LN(2)/25)*Calculateur!V35*Calculateur!X35*VLOOKUP('Données projet'!$B$9,Paramètres!$A$1:$I$89,3,0)*0.475*44/12</f>
        <v>19.027542679963972</v>
      </c>
      <c r="AB35" s="23">
        <f>EXP(-LN(2)/2)*AB34+(1-EXP(-LN(2)/2))/(LN(2)/2)*V35*Y35*VLOOKUP('Données projet'!$B$9,Paramètres!$A$1:$I$89,3,0)*0.475*44/12</f>
        <v>0</v>
      </c>
      <c r="AC35" s="24">
        <f t="shared" si="3"/>
        <v>96.056072166188699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96.226303286816062</v>
      </c>
      <c r="AO35" s="62">
        <f t="shared" si="36"/>
        <v>466.06545378903826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81.800208303955429</v>
      </c>
      <c r="AV35" s="23">
        <f>EXP(-LN(2)/25)*AV34+(1-EXP(-LN(2)/25))/(LN(2)/25)*Calculateur!AQ35*Calculateur!AS35*VLOOKUP('Données projet'!$B$10,Paramètres!$A$1:$I$89,3,0)*0.475*44/12</f>
        <v>20.206240014121022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102.00644831807645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>
        <f>BD35*VLOOKUP('Données projet'!$B$11,Paramètres!$A$1:$I$89,3,0)*VLOOKUP('Données projet'!$B$11,Paramètres!$A$1:$I$89,5,0)</f>
        <v>0</v>
      </c>
      <c r="BF35" s="14" t="e">
        <f t="shared" si="37"/>
        <v>#NUM!</v>
      </c>
      <c r="BG35" s="22" t="e">
        <f t="shared" si="7"/>
        <v>#NUM!</v>
      </c>
      <c r="BH35" s="62" t="e">
        <f t="shared" si="8"/>
        <v>#NUM!</v>
      </c>
      <c r="BI35" s="62">
        <f ca="1">AVERAGE(OFFSET($BH$3,0,0,'Données projet'!$E$11+1,1))-AVERAGE(OFFSET($H$3,0,0,'Données projet'!$E$11+1,1))</f>
        <v>98.045647909910258</v>
      </c>
      <c r="BJ35" s="62">
        <f t="shared" si="38"/>
        <v>475.64984175055775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83.617990710709989</v>
      </c>
      <c r="BQ35" s="23">
        <f>EXP(-LN(2)/25)*BQ34+(1-EXP(-LN(2)/25))/(LN(2)/25)*Calculateur!BL35*Calculateur!BN35*VLOOKUP('Données projet'!$B$11,Paramètres!$A$1:$I$89,3,0)*0.475*44/12</f>
        <v>20.655267569990382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104.27325828070038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91.446075686521226</v>
      </c>
      <c r="T36" s="62">
        <f t="shared" si="34"/>
        <v>440.88491337513091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75.518047005763691</v>
      </c>
      <c r="AA36" s="23">
        <f>EXP(-LN(2)/25)*AA35+(1-EXP(-LN(2)/25))/(LN(2)/25)*Calculateur!V36*Calculateur!X36*VLOOKUP('Données projet'!$B$9,Paramètres!$A$1:$I$89,3,0)*0.475*44/12</f>
        <v>18.507233524765375</v>
      </c>
      <c r="AB36" s="23">
        <f>EXP(-LN(2)/2)*AB35+(1-EXP(-LN(2)/2))/(LN(2)/2)*V36*Y36*VLOOKUP('Données projet'!$B$9,Paramètres!$A$1:$I$89,3,0)*0.475*44/12</f>
        <v>0</v>
      </c>
      <c r="AC36" s="24">
        <f t="shared" si="3"/>
        <v>94.025280530529074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96.226303286816062</v>
      </c>
      <c r="AO36" s="62">
        <f t="shared" si="36"/>
        <v>466.06545378903826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80.196156112315379</v>
      </c>
      <c r="AV36" s="23">
        <f>EXP(-LN(2)/25)*AV35+(1-EXP(-LN(2)/25))/(LN(2)/25)*Calculateur!AQ36*Calculateur!AS36*VLOOKUP('Données projet'!$B$10,Paramètres!$A$1:$I$89,3,0)*0.475*44/12</f>
        <v>19.653699318334901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99.84985543065028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>
        <f>BD36*VLOOKUP('Données projet'!$B$11,Paramètres!$A$1:$I$89,3,0)*VLOOKUP('Données projet'!$B$11,Paramètres!$A$1:$I$89,5,0)</f>
        <v>0</v>
      </c>
      <c r="BF36" s="14" t="e">
        <f t="shared" si="37"/>
        <v>#NUM!</v>
      </c>
      <c r="BG36" s="22" t="e">
        <f t="shared" si="7"/>
        <v>#NUM!</v>
      </c>
      <c r="BH36" s="62" t="e">
        <f t="shared" si="8"/>
        <v>#NUM!</v>
      </c>
      <c r="BI36" s="62">
        <f ca="1">AVERAGE(OFFSET($BH$3,0,0,'Données projet'!$E$11+1,1))-AVERAGE(OFFSET($H$3,0,0,'Données projet'!$E$11+1,1))</f>
        <v>98.045647909910258</v>
      </c>
      <c r="BJ36" s="62">
        <f t="shared" si="38"/>
        <v>475.64984175055775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81.978292914811277</v>
      </c>
      <c r="BQ36" s="23">
        <f>EXP(-LN(2)/25)*BQ35+(1-EXP(-LN(2)/25))/(LN(2)/25)*Calculateur!BL36*Calculateur!BN36*VLOOKUP('Données projet'!$B$11,Paramètres!$A$1:$I$89,3,0)*0.475*44/12</f>
        <v>20.090448192075684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102.06874110688696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91.446075686521226</v>
      </c>
      <c r="T37" s="62">
        <f t="shared" si="34"/>
        <v>440.88491337513091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74.037184165441147</v>
      </c>
      <c r="AA37" s="23">
        <f>EXP(-LN(2)/25)*AA36+(1-EXP(-LN(2)/25))/(LN(2)/25)*Calculateur!V37*Calculateur!X37*VLOOKUP('Données projet'!$B$9,Paramètres!$A$1:$I$89,3,0)*0.475*44/12</f>
        <v>18.001152250777555</v>
      </c>
      <c r="AB37" s="23">
        <f>EXP(-LN(2)/2)*AB36+(1-EXP(-LN(2)/2))/(LN(2)/2)*V37*Y37*VLOOKUP('Données projet'!$B$9,Paramètres!$A$1:$I$89,3,0)*0.475*44/12</f>
        <v>0</v>
      </c>
      <c r="AC37" s="24">
        <f t="shared" si="3"/>
        <v>92.038336416218698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96.226303286816062</v>
      </c>
      <c r="AO37" s="62">
        <f t="shared" si="36"/>
        <v>466.06545378903826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78.623558405778169</v>
      </c>
      <c r="AV37" s="23">
        <f>EXP(-LN(2)/25)*AV36+(1-EXP(-LN(2)/25))/(LN(2)/25)*Calculateur!AQ37*Calculateur!AS37*VLOOKUP('Données projet'!$B$10,Paramètres!$A$1:$I$89,3,0)*0.475*44/12</f>
        <v>19.116267876931904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97.739826282710069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>
        <f>BD37*VLOOKUP('Données projet'!$B$11,Paramètres!$A$1:$I$89,3,0)*VLOOKUP('Données projet'!$B$11,Paramètres!$A$1:$I$89,5,0)</f>
        <v>0</v>
      </c>
      <c r="BF37" s="14" t="e">
        <f t="shared" si="37"/>
        <v>#NUM!</v>
      </c>
      <c r="BG37" s="22" t="e">
        <f t="shared" si="7"/>
        <v>#NUM!</v>
      </c>
      <c r="BH37" s="62" t="e">
        <f t="shared" si="8"/>
        <v>#NUM!</v>
      </c>
      <c r="BI37" s="62">
        <f ca="1">AVERAGE(OFFSET($BH$3,0,0,'Données projet'!$E$11+1,1))-AVERAGE(OFFSET($H$3,0,0,'Données projet'!$E$11+1,1))</f>
        <v>98.045647909910258</v>
      </c>
      <c r="BJ37" s="62">
        <f t="shared" si="38"/>
        <v>475.64984175055775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80.370748592573236</v>
      </c>
      <c r="BQ37" s="23">
        <f>EXP(-LN(2)/25)*BQ36+(1-EXP(-LN(2)/25))/(LN(2)/25)*Calculateur!BL37*Calculateur!BN37*VLOOKUP('Données projet'!$B$11,Paramètres!$A$1:$I$89,3,0)*0.475*44/12</f>
        <v>19.541073829752619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99.911822422325855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91.446075686521226</v>
      </c>
      <c r="T38" s="62">
        <f t="shared" si="34"/>
        <v>440.88491337513091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72.585360142180178</v>
      </c>
      <c r="AA38" s="23">
        <f>EXP(-LN(2)/25)*AA37+(1-EXP(-LN(2)/25))/(LN(2)/25)*Calculateur!V38*Calculateur!X38*VLOOKUP('Données projet'!$B$9,Paramètres!$A$1:$I$89,3,0)*0.475*44/12</f>
        <v>17.508909795840587</v>
      </c>
      <c r="AB38" s="23">
        <f>EXP(-LN(2)/2)*AB37+(1-EXP(-LN(2)/2))/(LN(2)/2)*V38*Y38*VLOOKUP('Données projet'!$B$9,Paramètres!$A$1:$I$89,3,0)*0.475*44/12</f>
        <v>0</v>
      </c>
      <c r="AC38" s="24">
        <f t="shared" si="3"/>
        <v>90.094269938020773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96.226303286816062</v>
      </c>
      <c r="AO38" s="62">
        <f t="shared" si="36"/>
        <v>466.06545378903826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77.081798381076268</v>
      </c>
      <c r="AV38" s="23">
        <f>EXP(-LN(2)/25)*AV37+(1-EXP(-LN(2)/25))/(LN(2)/25)*Calculateur!AQ38*Calculateur!AS38*VLOOKUP('Données projet'!$B$10,Paramètres!$A$1:$I$89,3,0)*0.475*44/12</f>
        <v>18.593532526556363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95.675330907632627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>
        <f>BD38*VLOOKUP('Données projet'!$B$11,Paramètres!$A$1:$I$89,3,0)*VLOOKUP('Données projet'!$B$11,Paramètres!$A$1:$I$89,5,0)</f>
        <v>0</v>
      </c>
      <c r="BF38" s="14" t="e">
        <f t="shared" si="37"/>
        <v>#NUM!</v>
      </c>
      <c r="BG38" s="22" t="e">
        <f t="shared" si="7"/>
        <v>#NUM!</v>
      </c>
      <c r="BH38" s="62" t="e">
        <f t="shared" si="8"/>
        <v>#NUM!</v>
      </c>
      <c r="BI38" s="62">
        <f ca="1">AVERAGE(OFFSET($BH$3,0,0,'Données projet'!$E$11+1,1))-AVERAGE(OFFSET($H$3,0,0,'Données projet'!$E$11+1,1))</f>
        <v>98.045647909910258</v>
      </c>
      <c r="BJ38" s="62">
        <f t="shared" si="38"/>
        <v>475.64984175055775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78.794727233989065</v>
      </c>
      <c r="BQ38" s="23">
        <f>EXP(-LN(2)/25)*BQ37+(1-EXP(-LN(2)/25))/(LN(2)/25)*Calculateur!BL38*Calculateur!BN38*VLOOKUP('Données projet'!$B$11,Paramètres!$A$1:$I$89,3,0)*0.475*44/12</f>
        <v>19.006722138257622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97.80144937224668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91.446075686521226</v>
      </c>
      <c r="T39" s="62">
        <f t="shared" si="34"/>
        <v>440.88491337513091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71.162005502490146</v>
      </c>
      <c r="AA39" s="23">
        <f>EXP(-LN(2)/25)*AA38+(1-EXP(-LN(2)/25))/(LN(2)/25)*Calculateur!V39*Calculateur!X39*VLOOKUP('Données projet'!$B$9,Paramètres!$A$1:$I$89,3,0)*0.475*44/12</f>
        <v>17.030127736719777</v>
      </c>
      <c r="AB39" s="23">
        <f>EXP(-LN(2)/2)*AB38+(1-EXP(-LN(2)/2))/(LN(2)/2)*V39*Y39*VLOOKUP('Données projet'!$B$9,Paramètres!$A$1:$I$89,3,0)*0.475*44/12</f>
        <v>0</v>
      </c>
      <c r="AC39" s="24">
        <f t="shared" si="3"/>
        <v>88.192133239209923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96.226303286816062</v>
      </c>
      <c r="AO39" s="62">
        <f t="shared" si="36"/>
        <v>466.06545378903826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75.570271330078</v>
      </c>
      <c r="AV39" s="23">
        <f>EXP(-LN(2)/25)*AV38+(1-EXP(-LN(2)/25))/(LN(2)/25)*Calculateur!AQ39*Calculateur!AS39*VLOOKUP('Données projet'!$B$10,Paramètres!$A$1:$I$89,3,0)*0.475*44/12</f>
        <v>18.0850914018263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93.655362731904304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>
        <f>BD39*VLOOKUP('Données projet'!$B$11,Paramètres!$A$1:$I$89,3,0)*VLOOKUP('Données projet'!$B$11,Paramètres!$A$1:$I$89,5,0)</f>
        <v>0</v>
      </c>
      <c r="BF39" s="14" t="e">
        <f t="shared" si="37"/>
        <v>#NUM!</v>
      </c>
      <c r="BG39" s="22" t="e">
        <f t="shared" si="7"/>
        <v>#NUM!</v>
      </c>
      <c r="BH39" s="62" t="e">
        <f t="shared" si="8"/>
        <v>#NUM!</v>
      </c>
      <c r="BI39" s="62">
        <f ca="1">AVERAGE(OFFSET($BH$3,0,0,'Données projet'!$E$11+1,1))-AVERAGE(OFFSET($H$3,0,0,'Données projet'!$E$11+1,1))</f>
        <v>98.045647909910258</v>
      </c>
      <c r="BJ39" s="62">
        <f t="shared" si="38"/>
        <v>475.64984175055775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77.249610692968616</v>
      </c>
      <c r="BQ39" s="23">
        <f>EXP(-LN(2)/25)*BQ38+(1-EXP(-LN(2)/25))/(LN(2)/25)*Calculateur!BL39*Calculateur!BN39*VLOOKUP('Données projet'!$B$11,Paramètres!$A$1:$I$89,3,0)*0.475*44/12</f>
        <v>18.48698232186689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95.736593014835506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91.446075686521226</v>
      </c>
      <c r="T40" s="62">
        <f t="shared" si="34"/>
        <v>440.88491337513091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69.766561979123836</v>
      </c>
      <c r="AA40" s="23">
        <f>EXP(-LN(2)/25)*AA39+(1-EXP(-LN(2)/25))/(LN(2)/25)*Calculateur!V40*Calculateur!X40*VLOOKUP('Données projet'!$B$9,Paramètres!$A$1:$I$89,3,0)*0.475*44/12</f>
        <v>16.564437998183681</v>
      </c>
      <c r="AB40" s="23">
        <f>EXP(-LN(2)/2)*AB39+(1-EXP(-LN(2)/2))/(LN(2)/2)*V40*Y40*VLOOKUP('Données projet'!$B$9,Paramètres!$A$1:$I$89,3,0)*0.475*44/12</f>
        <v>0</v>
      </c>
      <c r="AC40" s="24">
        <f t="shared" si="3"/>
        <v>86.330999977307513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96.226303286816062</v>
      </c>
      <c r="AO40" s="62">
        <f t="shared" si="36"/>
        <v>466.06545378903826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74.08838440260935</v>
      </c>
      <c r="AV40" s="23">
        <f>EXP(-LN(2)/25)*AV39+(1-EXP(-LN(2)/25))/(LN(2)/25)*Calculateur!AQ40*Calculateur!AS40*VLOOKUP('Données projet'!$B$10,Paramètres!$A$1:$I$89,3,0)*0.475*44/12</f>
        <v>17.590553626389738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91.678938028999085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>
        <f>BD40*VLOOKUP('Données projet'!$B$11,Paramètres!$A$1:$I$89,3,0)*VLOOKUP('Données projet'!$B$11,Paramètres!$A$1:$I$89,5,0)</f>
        <v>0</v>
      </c>
      <c r="BF40" s="14" t="e">
        <f t="shared" si="37"/>
        <v>#NUM!</v>
      </c>
      <c r="BG40" s="22" t="e">
        <f t="shared" si="7"/>
        <v>#NUM!</v>
      </c>
      <c r="BH40" s="62" t="e">
        <f t="shared" si="8"/>
        <v>#NUM!</v>
      </c>
      <c r="BI40" s="62">
        <f ca="1">AVERAGE(OFFSET($BH$3,0,0,'Données projet'!$E$11+1,1))-AVERAGE(OFFSET($H$3,0,0,'Données projet'!$E$11+1,1))</f>
        <v>98.045647909910258</v>
      </c>
      <c r="BJ40" s="62">
        <f t="shared" si="38"/>
        <v>475.64984175055775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75.734792944889548</v>
      </c>
      <c r="BQ40" s="23">
        <f>EXP(-LN(2)/25)*BQ39+(1-EXP(-LN(2)/25))/(LN(2)/25)*Calculateur!BL40*Calculateur!BN40*VLOOKUP('Données projet'!$B$11,Paramètres!$A$1:$I$89,3,0)*0.475*44/12</f>
        <v>17.981454818087293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93.716247762976849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91.446075686521226</v>
      </c>
      <c r="T41" s="62">
        <f t="shared" si="34"/>
        <v>440.88491337513091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68.398482252114221</v>
      </c>
      <c r="AA41" s="23">
        <f>EXP(-LN(2)/25)*AA40+(1-EXP(-LN(2)/25))/(LN(2)/25)*Calculateur!V41*Calculateur!X41*VLOOKUP('Données projet'!$B$9,Paramètres!$A$1:$I$89,3,0)*0.475*44/12</f>
        <v>16.111482570037413</v>
      </c>
      <c r="AB41" s="23">
        <f>EXP(-LN(2)/2)*AB40+(1-EXP(-LN(2)/2))/(LN(2)/2)*V41*Y41*VLOOKUP('Données projet'!$B$9,Paramètres!$A$1:$I$89,3,0)*0.475*44/12</f>
        <v>0</v>
      </c>
      <c r="AC41" s="24">
        <f t="shared" si="3"/>
        <v>84.50996482215163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96.226303286816062</v>
      </c>
      <c r="AO41" s="62">
        <f t="shared" si="36"/>
        <v>466.06545378903826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72.635556373926576</v>
      </c>
      <c r="AV41" s="23">
        <f>EXP(-LN(2)/25)*AV40+(1-EXP(-LN(2)/25))/(LN(2)/25)*Calculateur!AQ41*Calculateur!AS41*VLOOKUP('Données projet'!$B$10,Paramètres!$A$1:$I$89,3,0)*0.475*44/12</f>
        <v>17.109539012429099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89.745095386355672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>
        <f>BD41*VLOOKUP('Données projet'!$B$11,Paramètres!$A$1:$I$89,3,0)*VLOOKUP('Données projet'!$B$11,Paramètres!$A$1:$I$89,5,0)</f>
        <v>0</v>
      </c>
      <c r="BF41" s="14" t="e">
        <f t="shared" si="37"/>
        <v>#NUM!</v>
      </c>
      <c r="BG41" s="22" t="e">
        <f t="shared" si="7"/>
        <v>#NUM!</v>
      </c>
      <c r="BH41" s="62" t="e">
        <f t="shared" si="8"/>
        <v>#NUM!</v>
      </c>
      <c r="BI41" s="62">
        <f ca="1">AVERAGE(OFFSET($BH$3,0,0,'Données projet'!$E$11+1,1))-AVERAGE(OFFSET($H$3,0,0,'Données projet'!$E$11+1,1))</f>
        <v>98.045647909910258</v>
      </c>
      <c r="BJ41" s="62">
        <f t="shared" si="38"/>
        <v>475.64984175055775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74.249679848902716</v>
      </c>
      <c r="BQ41" s="23">
        <f>EXP(-LN(2)/25)*BQ40+(1-EXP(-LN(2)/25))/(LN(2)/25)*Calculateur!BL41*Calculateur!BN41*VLOOKUP('Données projet'!$B$11,Paramètres!$A$1:$I$89,3,0)*0.475*44/12</f>
        <v>17.489750990483085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91.739430839385804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91.446075686521226</v>
      </c>
      <c r="T42" s="62">
        <f t="shared" si="34"/>
        <v>440.88491337513091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67.057229734105036</v>
      </c>
      <c r="AA42" s="23">
        <f>EXP(-LN(2)/25)*AA41+(1-EXP(-LN(2)/25))/(LN(2)/25)*Calculateur!V42*Calculateur!X42*VLOOKUP('Données projet'!$B$9,Paramètres!$A$1:$I$89,3,0)*0.475*44/12</f>
        <v>15.670913231893696</v>
      </c>
      <c r="AB42" s="23">
        <f>EXP(-LN(2)/2)*AB41+(1-EXP(-LN(2)/2))/(LN(2)/2)*V42*Y42*VLOOKUP('Données projet'!$B$9,Paramètres!$A$1:$I$89,3,0)*0.475*44/12</f>
        <v>0</v>
      </c>
      <c r="AC42" s="24">
        <f t="shared" si="3"/>
        <v>82.728142965998728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96.226303286816062</v>
      </c>
      <c r="AO42" s="62">
        <f t="shared" si="36"/>
        <v>466.06545378903826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71.211217416748681</v>
      </c>
      <c r="AV42" s="23">
        <f>EXP(-LN(2)/25)*AV41+(1-EXP(-LN(2)/25))/(LN(2)/25)*Calculateur!AQ42*Calculateur!AS42*VLOOKUP('Données projet'!$B$10,Paramètres!$A$1:$I$89,3,0)*0.475*44/12</f>
        <v>16.641677768382674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87.852895185131359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>
        <f>BD42*VLOOKUP('Données projet'!$B$11,Paramètres!$A$1:$I$89,3,0)*VLOOKUP('Données projet'!$B$11,Paramètres!$A$1:$I$89,5,0)</f>
        <v>0</v>
      </c>
      <c r="BF42" s="14" t="e">
        <f t="shared" si="37"/>
        <v>#NUM!</v>
      </c>
      <c r="BG42" s="22" t="e">
        <f t="shared" si="7"/>
        <v>#NUM!</v>
      </c>
      <c r="BH42" s="62" t="e">
        <f t="shared" si="8"/>
        <v>#NUM!</v>
      </c>
      <c r="BI42" s="62">
        <f ca="1">AVERAGE(OFFSET($BH$3,0,0,'Données projet'!$E$11+1,1))-AVERAGE(OFFSET($H$3,0,0,'Données projet'!$E$11+1,1))</f>
        <v>98.045647909910258</v>
      </c>
      <c r="BJ42" s="62">
        <f t="shared" si="38"/>
        <v>475.64984175055775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72.793688914898638</v>
      </c>
      <c r="BQ42" s="23">
        <f>EXP(-LN(2)/25)*BQ41+(1-EXP(-LN(2)/25))/(LN(2)/25)*Calculateur!BL42*Calculateur!BN42*VLOOKUP('Données projet'!$B$11,Paramètres!$A$1:$I$89,3,0)*0.475*44/12</f>
        <v>17.011492829902295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89.805181744800933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91.446075686521226</v>
      </c>
      <c r="T43" s="62">
        <f t="shared" si="34"/>
        <v>440.88491337513091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65.742278359890747</v>
      </c>
      <c r="AA43" s="23">
        <f>EXP(-LN(2)/25)*AA42+(1-EXP(-LN(2)/25))/(LN(2)/25)*Calculateur!V43*Calculateur!X43*VLOOKUP('Données projet'!$B$9,Paramètres!$A$1:$I$89,3,0)*0.475*44/12</f>
        <v>15.242391285470053</v>
      </c>
      <c r="AB43" s="23">
        <f>EXP(-LN(2)/2)*AB42+(1-EXP(-LN(2)/2))/(LN(2)/2)*V43*Y43*VLOOKUP('Données projet'!$B$9,Paramètres!$A$1:$I$89,3,0)*0.475*44/12</f>
        <v>0</v>
      </c>
      <c r="AC43" s="24">
        <f t="shared" si="3"/>
        <v>80.984669645360796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96.226303286816062</v>
      </c>
      <c r="AO43" s="62">
        <f t="shared" si="36"/>
        <v>466.06545378903826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69.814808877760058</v>
      </c>
      <c r="AV43" s="23">
        <f>EXP(-LN(2)/25)*AV42+(1-EXP(-LN(2)/25))/(LN(2)/25)*Calculateur!AQ43*Calculateur!AS43*VLOOKUP('Données projet'!$B$10,Paramètres!$A$1:$I$89,3,0)*0.475*44/12</f>
        <v>16.186610214658451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86.001419092418502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>
        <f>BD43*VLOOKUP('Données projet'!$B$11,Paramètres!$A$1:$I$89,3,0)*VLOOKUP('Données projet'!$B$11,Paramètres!$A$1:$I$89,5,0)</f>
        <v>0</v>
      </c>
      <c r="BF43" s="14" t="e">
        <f t="shared" si="37"/>
        <v>#NUM!</v>
      </c>
      <c r="BG43" s="22" t="e">
        <f t="shared" si="7"/>
        <v>#NUM!</v>
      </c>
      <c r="BH43" s="62" t="e">
        <f t="shared" si="8"/>
        <v>#NUM!</v>
      </c>
      <c r="BI43" s="62">
        <f ca="1">AVERAGE(OFFSET($BH$3,0,0,'Données projet'!$E$11+1,1))-AVERAGE(OFFSET($H$3,0,0,'Données projet'!$E$11+1,1))</f>
        <v>98.045647909910258</v>
      </c>
      <c r="BJ43" s="62">
        <f t="shared" si="38"/>
        <v>475.64984175055775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71.366249075043598</v>
      </c>
      <c r="BQ43" s="23">
        <f>EXP(-LN(2)/25)*BQ42+(1-EXP(-LN(2)/25))/(LN(2)/25)*Calculateur!BL43*Calculateur!BN43*VLOOKUP('Données projet'!$B$11,Paramètres!$A$1:$I$89,3,0)*0.475*44/12</f>
        <v>16.546312663873088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87.912561738916679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91.446075686521226</v>
      </c>
      <c r="T44" s="62">
        <f t="shared" si="34"/>
        <v>440.88491337513091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64.453112380083653</v>
      </c>
      <c r="AA44" s="23">
        <f>EXP(-LN(2)/25)*AA43+(1-EXP(-LN(2)/25))/(LN(2)/25)*Calculateur!V44*Calculateur!X44*VLOOKUP('Données projet'!$B$9,Paramètres!$A$1:$I$89,3,0)*0.475*44/12</f>
        <v>14.825587294206354</v>
      </c>
      <c r="AB44" s="23">
        <f>EXP(-LN(2)/2)*AB43+(1-EXP(-LN(2)/2))/(LN(2)/2)*V44*Y44*VLOOKUP('Données projet'!$B$9,Paramètres!$A$1:$I$89,3,0)*0.475*44/12</f>
        <v>0</v>
      </c>
      <c r="AC44" s="24">
        <f t="shared" si="3"/>
        <v>79.27869967429001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96.226303286816062</v>
      </c>
      <c r="AO44" s="62">
        <f t="shared" si="36"/>
        <v>466.06545378903826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68.445783058495891</v>
      </c>
      <c r="AV44" s="23">
        <f>EXP(-LN(2)/25)*AV43+(1-EXP(-LN(2)/25))/(LN(2)/25)*Calculateur!AQ44*Calculateur!AS44*VLOOKUP('Données projet'!$B$10,Paramètres!$A$1:$I$89,3,0)*0.475*44/12</f>
        <v>15.743986507121779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84.189769565617667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>
        <f>BD44*VLOOKUP('Données projet'!$B$11,Paramètres!$A$1:$I$89,3,0)*VLOOKUP('Données projet'!$B$11,Paramètres!$A$1:$I$89,5,0)</f>
        <v>0</v>
      </c>
      <c r="BF44" s="14" t="e">
        <f t="shared" si="37"/>
        <v>#NUM!</v>
      </c>
      <c r="BG44" s="22" t="e">
        <f t="shared" si="7"/>
        <v>#NUM!</v>
      </c>
      <c r="BH44" s="62" t="e">
        <f t="shared" si="8"/>
        <v>#NUM!</v>
      </c>
      <c r="BI44" s="62">
        <f ca="1">AVERAGE(OFFSET($BH$3,0,0,'Données projet'!$E$11+1,1))-AVERAGE(OFFSET($H$3,0,0,'Données projet'!$E$11+1,1))</f>
        <v>98.045647909910258</v>
      </c>
      <c r="BJ44" s="62">
        <f t="shared" si="38"/>
        <v>475.64984175055775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69.966800459795792</v>
      </c>
      <c r="BQ44" s="23">
        <f>EXP(-LN(2)/25)*BQ43+(1-EXP(-LN(2)/25))/(LN(2)/25)*Calculateur!BL44*Calculateur!BN44*VLOOKUP('Données projet'!$B$11,Paramètres!$A$1:$I$89,3,0)*0.475*44/12</f>
        <v>16.093852873946712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86.060653333742508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91.446075686521226</v>
      </c>
      <c r="T45" s="62">
        <f t="shared" si="34"/>
        <v>440.88491337513091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63.189226158826976</v>
      </c>
      <c r="AA45" s="23">
        <f>EXP(-LN(2)/25)*AA44+(1-EXP(-LN(2)/25))/(LN(2)/25)*Calculateur!V45*Calculateur!X45*VLOOKUP('Données projet'!$B$9,Paramètres!$A$1:$I$89,3,0)*0.475*44/12</f>
        <v>14.420180830002529</v>
      </c>
      <c r="AB45" s="23">
        <f>EXP(-LN(2)/2)*AB44+(1-EXP(-LN(2)/2))/(LN(2)/2)*V45*Y45*VLOOKUP('Données projet'!$B$9,Paramètres!$A$1:$I$89,3,0)*0.475*44/12</f>
        <v>0</v>
      </c>
      <c r="AC45" s="24">
        <f t="shared" si="3"/>
        <v>77.609406988829505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96.226303286816062</v>
      </c>
      <c r="AO45" s="62">
        <f t="shared" si="36"/>
        <v>466.06545378903826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67.103603000524203</v>
      </c>
      <c r="AV45" s="23">
        <f>EXP(-LN(2)/25)*AV44+(1-EXP(-LN(2)/25))/(LN(2)/25)*Calculateur!AQ45*Calculateur!AS45*VLOOKUP('Données projet'!$B$10,Paramètres!$A$1:$I$89,3,0)*0.475*44/12</f>
        <v>15.313466368144267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82.417069368668464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>
        <f>BD45*VLOOKUP('Données projet'!$B$11,Paramètres!$A$1:$I$89,3,0)*VLOOKUP('Données projet'!$B$11,Paramètres!$A$1:$I$89,5,0)</f>
        <v>0</v>
      </c>
      <c r="BF45" s="14" t="e">
        <f t="shared" si="37"/>
        <v>#NUM!</v>
      </c>
      <c r="BG45" s="22" t="e">
        <f t="shared" si="7"/>
        <v>#NUM!</v>
      </c>
      <c r="BH45" s="62" t="e">
        <f t="shared" si="8"/>
        <v>#NUM!</v>
      </c>
      <c r="BI45" s="62">
        <f ca="1">AVERAGE(OFFSET($BH$3,0,0,'Données projet'!$E$11+1,1))-AVERAGE(OFFSET($H$3,0,0,'Données projet'!$E$11+1,1))</f>
        <v>98.045647909910258</v>
      </c>
      <c r="BJ45" s="62">
        <f t="shared" si="38"/>
        <v>475.64984175055775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68.59479417831362</v>
      </c>
      <c r="BQ45" s="23">
        <f>EXP(-LN(2)/25)*BQ44+(1-EXP(-LN(2)/25))/(LN(2)/25)*Calculateur!BL45*Calculateur!BN45*VLOOKUP('Données projet'!$B$11,Paramètres!$A$1:$I$89,3,0)*0.475*44/12</f>
        <v>15.6537656207697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84.248559799083324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91.446075686521226</v>
      </c>
      <c r="T46" s="62">
        <f t="shared" si="34"/>
        <v>440.88491337513091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61.950123975474668</v>
      </c>
      <c r="AA46" s="23">
        <f>EXP(-LN(2)/25)*AA45+(1-EXP(-LN(2)/25))/(LN(2)/25)*Calculateur!V46*Calculateur!X46*VLOOKUP('Données projet'!$B$9,Paramètres!$A$1:$I$89,3,0)*0.475*44/12</f>
        <v>14.025860226881758</v>
      </c>
      <c r="AB46" s="23">
        <f>EXP(-LN(2)/2)*AB45+(1-EXP(-LN(2)/2))/(LN(2)/2)*V46*Y46*VLOOKUP('Données projet'!$B$9,Paramètres!$A$1:$I$89,3,0)*0.475*44/12</f>
        <v>0</v>
      </c>
      <c r="AC46" s="24">
        <f t="shared" si="3"/>
        <v>75.975984202356429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96.226303286816062</v>
      </c>
      <c r="AO46" s="62">
        <f t="shared" si="36"/>
        <v>466.06545378903826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65.78774227484034</v>
      </c>
      <c r="AV46" s="23">
        <f>EXP(-LN(2)/25)*AV45+(1-EXP(-LN(2)/25))/(LN(2)/25)*Calculateur!AQ46*Calculateur!AS46*VLOOKUP('Données projet'!$B$10,Paramètres!$A$1:$I$89,3,0)*0.475*44/12</f>
        <v>14.894718825007166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80.682461099847501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>
        <f>BD46*VLOOKUP('Données projet'!$B$11,Paramètres!$A$1:$I$89,3,0)*VLOOKUP('Données projet'!$B$11,Paramètres!$A$1:$I$89,5,0)</f>
        <v>0</v>
      </c>
      <c r="BF46" s="14" t="e">
        <f t="shared" si="37"/>
        <v>#NUM!</v>
      </c>
      <c r="BG46" s="22" t="e">
        <f t="shared" si="7"/>
        <v>#NUM!</v>
      </c>
      <c r="BH46" s="62" t="e">
        <f t="shared" si="8"/>
        <v>#NUM!</v>
      </c>
      <c r="BI46" s="62">
        <f ca="1">AVERAGE(OFFSET($BH$3,0,0,'Données projet'!$E$11+1,1))-AVERAGE(OFFSET($H$3,0,0,'Données projet'!$E$11+1,1))</f>
        <v>98.045647909910258</v>
      </c>
      <c r="BJ46" s="62">
        <f t="shared" si="38"/>
        <v>475.64984175055775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67.249692103170105</v>
      </c>
      <c r="BQ46" s="23">
        <f>EXP(-LN(2)/25)*BQ45+(1-EXP(-LN(2)/25))/(LN(2)/25)*Calculateur!BL46*Calculateur!BN46*VLOOKUP('Données projet'!$B$11,Paramètres!$A$1:$I$89,3,0)*0.475*44/12</f>
        <v>15.225712576673995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82.475404679844104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91.446075686521226</v>
      </c>
      <c r="T47" s="62">
        <f t="shared" si="34"/>
        <v>440.88491337513091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60.735319830160194</v>
      </c>
      <c r="AA47" s="23">
        <f>EXP(-LN(2)/25)*AA46+(1-EXP(-LN(2)/25))/(LN(2)/25)*Calculateur!V47*Calculateur!X47*VLOOKUP('Données projet'!$B$9,Paramètres!$A$1:$I$89,3,0)*0.475*44/12</f>
        <v>13.642322341389743</v>
      </c>
      <c r="AB47" s="23">
        <f>EXP(-LN(2)/2)*AB46+(1-EXP(-LN(2)/2))/(LN(2)/2)*V47*Y47*VLOOKUP('Données projet'!$B$9,Paramètres!$A$1:$I$89,3,0)*0.475*44/12</f>
        <v>0</v>
      </c>
      <c r="AC47" s="24">
        <f t="shared" si="3"/>
        <v>74.377642171549937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96.226303286816062</v>
      </c>
      <c r="AO47" s="62">
        <f t="shared" si="36"/>
        <v>466.06545378903826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64.497684775391335</v>
      </c>
      <c r="AV47" s="23">
        <f>EXP(-LN(2)/25)*AV46+(1-EXP(-LN(2)/25))/(LN(2)/25)*Calculateur!AQ47*Calculateur!AS47*VLOOKUP('Données projet'!$B$10,Paramètres!$A$1:$I$89,3,0)*0.475*44/12</f>
        <v>14.487421955458125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78.985106730849452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>
        <f>BD47*VLOOKUP('Données projet'!$B$11,Paramètres!$A$1:$I$89,3,0)*VLOOKUP('Données projet'!$B$11,Paramètres!$A$1:$I$89,5,0)</f>
        <v>0</v>
      </c>
      <c r="BF47" s="14" t="e">
        <f t="shared" si="37"/>
        <v>#NUM!</v>
      </c>
      <c r="BG47" s="22" t="e">
        <f t="shared" si="7"/>
        <v>#NUM!</v>
      </c>
      <c r="BH47" s="62" t="e">
        <f t="shared" si="8"/>
        <v>#NUM!</v>
      </c>
      <c r="BI47" s="62">
        <f ca="1">AVERAGE(OFFSET($BH$3,0,0,'Données projet'!$E$11+1,1))-AVERAGE(OFFSET($H$3,0,0,'Données projet'!$E$11+1,1))</f>
        <v>98.045647909910258</v>
      </c>
      <c r="BJ47" s="62">
        <f t="shared" si="38"/>
        <v>475.64984175055775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65.930966659288899</v>
      </c>
      <c r="BQ47" s="23">
        <f>EXP(-LN(2)/25)*BQ46+(1-EXP(-LN(2)/25))/(LN(2)/25)*Calculateur!BL47*Calculateur!BN47*VLOOKUP('Données projet'!$B$11,Paramètres!$A$1:$I$89,3,0)*0.475*44/12</f>
        <v>14.80936466557942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80.740331324868322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91.446075686521226</v>
      </c>
      <c r="T48" s="62">
        <f t="shared" si="34"/>
        <v>440.88491337513091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59.544337253177972</v>
      </c>
      <c r="AA48" s="23">
        <f>EXP(-LN(2)/25)*AA47+(1-EXP(-LN(2)/25))/(LN(2)/25)*Calculateur!V48*Calculateur!X48*VLOOKUP('Données projet'!$B$9,Paramètres!$A$1:$I$89,3,0)*0.475*44/12</f>
        <v>13.269272319545889</v>
      </c>
      <c r="AB48" s="23">
        <f>EXP(-LN(2)/2)*AB47+(1-EXP(-LN(2)/2))/(LN(2)/2)*V48*Y48*VLOOKUP('Données projet'!$B$9,Paramètres!$A$1:$I$89,3,0)*0.475*44/12</f>
        <v>0</v>
      </c>
      <c r="AC48" s="24">
        <f t="shared" si="3"/>
        <v>72.813609572723863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96.226303286816062</v>
      </c>
      <c r="AO48" s="62">
        <f t="shared" si="36"/>
        <v>466.06545378903826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63.232924516649149</v>
      </c>
      <c r="AV48" s="23">
        <f>EXP(-LN(2)/25)*AV47+(1-EXP(-LN(2)/25))/(LN(2)/25)*Calculateur!AQ48*Calculateur!AS48*VLOOKUP('Données projet'!$B$10,Paramètres!$A$1:$I$89,3,0)*0.475*44/12</f>
        <v>14.091262640225713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77.324187156874856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>
        <f>BD48*VLOOKUP('Données projet'!$B$11,Paramètres!$A$1:$I$89,3,0)*VLOOKUP('Données projet'!$B$11,Paramètres!$A$1:$I$89,5,0)</f>
        <v>0</v>
      </c>
      <c r="BF48" s="14" t="e">
        <f t="shared" si="37"/>
        <v>#NUM!</v>
      </c>
      <c r="BG48" s="22" t="e">
        <f t="shared" si="7"/>
        <v>#NUM!</v>
      </c>
      <c r="BH48" s="62" t="e">
        <f t="shared" si="8"/>
        <v>#NUM!</v>
      </c>
      <c r="BI48" s="62">
        <f ca="1">AVERAGE(OFFSET($BH$3,0,0,'Données projet'!$E$11+1,1))-AVERAGE(OFFSET($H$3,0,0,'Données projet'!$E$11+1,1))</f>
        <v>98.045647909910258</v>
      </c>
      <c r="BJ48" s="62">
        <f t="shared" si="38"/>
        <v>475.64984175055775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64.638100617019106</v>
      </c>
      <c r="BQ48" s="23">
        <f>EXP(-LN(2)/25)*BQ47+(1-EXP(-LN(2)/25))/(LN(2)/25)*Calculateur!BL48*Calculateur!BN48*VLOOKUP('Données projet'!$B$11,Paramètres!$A$1:$I$89,3,0)*0.475*44/12</f>
        <v>14.40440181000851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79.042502427027614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91.446075686521226</v>
      </c>
      <c r="T49" s="62">
        <f t="shared" si="34"/>
        <v>440.88491337513091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58.376709118102724</v>
      </c>
      <c r="AA49" s="23">
        <f>EXP(-LN(2)/25)*AA48+(1-EXP(-LN(2)/25))/(LN(2)/25)*Calculateur!V49*Calculateur!X49*VLOOKUP('Données projet'!$B$9,Paramètres!$A$1:$I$89,3,0)*0.475*44/12</f>
        <v>12.906423370167204</v>
      </c>
      <c r="AB49" s="23">
        <f>EXP(-LN(2)/2)*AB48+(1-EXP(-LN(2)/2))/(LN(2)/2)*V49*Y49*VLOOKUP('Données projet'!$B$9,Paramètres!$A$1:$I$89,3,0)*0.475*44/12</f>
        <v>0</v>
      </c>
      <c r="AC49" s="24">
        <f t="shared" si="3"/>
        <v>71.283132488269928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96.226303286816062</v>
      </c>
      <c r="AO49" s="62">
        <f t="shared" si="36"/>
        <v>466.06545378903826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61.992965435153316</v>
      </c>
      <c r="AV49" s="23">
        <f>EXP(-LN(2)/25)*AV48+(1-EXP(-LN(2)/25))/(LN(2)/25)*Calculateur!AQ49*Calculateur!AS49*VLOOKUP('Données projet'!$B$10,Paramètres!$A$1:$I$89,3,0)*0.475*44/12</f>
        <v>13.705936322301444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75.698901757454763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>
        <f>BD49*VLOOKUP('Données projet'!$B$11,Paramètres!$A$1:$I$89,3,0)*VLOOKUP('Données projet'!$B$11,Paramètres!$A$1:$I$89,5,0)</f>
        <v>0</v>
      </c>
      <c r="BF49" s="14" t="e">
        <f t="shared" si="37"/>
        <v>#NUM!</v>
      </c>
      <c r="BG49" s="22" t="e">
        <f t="shared" si="7"/>
        <v>#NUM!</v>
      </c>
      <c r="BH49" s="62" t="e">
        <f t="shared" si="8"/>
        <v>#NUM!</v>
      </c>
      <c r="BI49" s="62">
        <f ca="1">AVERAGE(OFFSET($BH$3,0,0,'Données projet'!$E$11+1,1))-AVERAGE(OFFSET($H$3,0,0,'Données projet'!$E$11+1,1))</f>
        <v>98.045647909910258</v>
      </c>
      <c r="BJ49" s="62">
        <f t="shared" si="38"/>
        <v>475.64984175055775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63.370586889267805</v>
      </c>
      <c r="BQ49" s="23">
        <f>EXP(-LN(2)/25)*BQ48+(1-EXP(-LN(2)/25))/(LN(2)/25)*Calculateur!BL49*Calculateur!BN49*VLOOKUP('Données projet'!$B$11,Paramètres!$A$1:$I$89,3,0)*0.475*44/12</f>
        <v>14.010512685019258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77.381099574287063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91.446075686521226</v>
      </c>
      <c r="T50" s="62">
        <f t="shared" si="34"/>
        <v>440.88491337513091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57.231977458573461</v>
      </c>
      <c r="AA50" s="23">
        <f>EXP(-LN(2)/25)*AA49+(1-EXP(-LN(2)/25))/(LN(2)/25)*Calculateur!V50*Calculateur!X50*VLOOKUP('Données projet'!$B$9,Paramètres!$A$1:$I$89,3,0)*0.475*44/12</f>
        <v>12.553496544390674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69.785474002964136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96.226303286816062</v>
      </c>
      <c r="AO50" s="62">
        <f t="shared" si="36"/>
        <v>466.06545378903826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60.777321194945252</v>
      </c>
      <c r="AV50" s="23">
        <f>EXP(-LN(2)/25)*AV49+(1-EXP(-LN(2)/25))/(LN(2)/25)*Calculateur!AQ50*Calculateur!AS50*VLOOKUP('Données projet'!$B$10,Paramètres!$A$1:$I$89,3,0)*0.475*44/12</f>
        <v>13.331146772804244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74.10846796774949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>
        <f>BD50*VLOOKUP('Données projet'!$B$11,Paramètres!$A$1:$I$89,3,0)*VLOOKUP('Données projet'!$B$11,Paramètres!$A$1:$I$89,5,0)</f>
        <v>0</v>
      </c>
      <c r="BF50" s="14" t="e">
        <f t="shared" si="37"/>
        <v>#NUM!</v>
      </c>
      <c r="BG50" s="22" t="e">
        <f t="shared" si="7"/>
        <v>#NUM!</v>
      </c>
      <c r="BH50" s="62" t="e">
        <f t="shared" si="8"/>
        <v>#NUM!</v>
      </c>
      <c r="BI50" s="62">
        <f ca="1">AVERAGE(OFFSET($BH$3,0,0,'Données projet'!$E$11+1,1))-AVERAGE(OFFSET($H$3,0,0,'Données projet'!$E$11+1,1))</f>
        <v>98.045647909910258</v>
      </c>
      <c r="BJ50" s="62">
        <f t="shared" si="38"/>
        <v>475.64984175055775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62.127928332610672</v>
      </c>
      <c r="BQ50" s="23">
        <f>EXP(-LN(2)/25)*BQ49+(1-EXP(-LN(2)/25))/(LN(2)/25)*Calculateur!BL50*Calculateur!BN50*VLOOKUP('Données projet'!$B$11,Paramètres!$A$1:$I$89,3,0)*0.475*44/12</f>
        <v>13.627394478866565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75.755322811477242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91.446075686521226</v>
      </c>
      <c r="T51" s="62">
        <f t="shared" si="34"/>
        <v>440.88491337513091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56.109693288670201</v>
      </c>
      <c r="AA51" s="23">
        <f>EXP(-LN(2)/25)*AA50+(1-EXP(-LN(2)/25))/(LN(2)/25)*Calculateur!V51*Calculateur!X51*VLOOKUP('Données projet'!$B$9,Paramètres!$A$1:$I$89,3,0)*0.475*44/12</f>
        <v>12.210220521224619</v>
      </c>
      <c r="AB51" s="23">
        <f>EXP(-LN(2)/2)*AB50+(1-EXP(-LN(2)/2))/(LN(2)/2)*V51*Y51*VLOOKUP('Données projet'!$B$9,Paramètres!$A$1:$I$89,3,0)*0.475*44/12</f>
        <v>0</v>
      </c>
      <c r="AC51" s="24">
        <f t="shared" si="3"/>
        <v>68.319913809894814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96.226303286816062</v>
      </c>
      <c r="AO51" s="62">
        <f t="shared" si="36"/>
        <v>466.06545378903826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59.585514996817899</v>
      </c>
      <c r="AV51" s="23">
        <f>EXP(-LN(2)/25)*AV50+(1-EXP(-LN(2)/25))/(LN(2)/25)*Calculateur!AQ51*Calculateur!AS51*VLOOKUP('Données projet'!$B$10,Paramètres!$A$1:$I$89,3,0)*0.475*44/12</f>
        <v>12.966605863247372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72.552120860065273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>
        <f>BD51*VLOOKUP('Données projet'!$B$11,Paramètres!$A$1:$I$89,3,0)*VLOOKUP('Données projet'!$B$11,Paramètres!$A$1:$I$89,5,0)</f>
        <v>0</v>
      </c>
      <c r="BF51" s="14" t="e">
        <f t="shared" si="37"/>
        <v>#NUM!</v>
      </c>
      <c r="BG51" s="22" t="e">
        <f t="shared" si="7"/>
        <v>#NUM!</v>
      </c>
      <c r="BH51" s="62" t="e">
        <f t="shared" si="8"/>
        <v>#NUM!</v>
      </c>
      <c r="BI51" s="62">
        <f ca="1">AVERAGE(OFFSET($BH$3,0,0,'Données projet'!$E$11+1,1))-AVERAGE(OFFSET($H$3,0,0,'Données projet'!$E$11+1,1))</f>
        <v>98.045647909910258</v>
      </c>
      <c r="BJ51" s="62">
        <f t="shared" si="38"/>
        <v>475.64984175055775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60.909637552302712</v>
      </c>
      <c r="BQ51" s="23">
        <f>EXP(-LN(2)/25)*BQ50+(1-EXP(-LN(2)/25))/(LN(2)/25)*Calculateur!BL51*Calculateur!BN51*VLOOKUP('Données projet'!$B$11,Paramètres!$A$1:$I$89,3,0)*0.475*44/12</f>
        <v>13.254752660208428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74.164390212511137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91.446075686521226</v>
      </c>
      <c r="T52" s="62">
        <f t="shared" si="34"/>
        <v>440.88491337513091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55.00941642681299</v>
      </c>
      <c r="AA52" s="23">
        <f>EXP(-LN(2)/25)*AA51+(1-EXP(-LN(2)/25))/(LN(2)/25)*Calculateur!V52*Calculateur!X52*VLOOKUP('Données projet'!$B$9,Paramètres!$A$1:$I$89,3,0)*0.475*44/12</f>
        <v>11.87633139896414</v>
      </c>
      <c r="AB52" s="23">
        <f>EXP(-LN(2)/2)*AB51+(1-EXP(-LN(2)/2))/(LN(2)/2)*V52*Y52*VLOOKUP('Données projet'!$B$9,Paramètres!$A$1:$I$89,3,0)*0.475*44/12</f>
        <v>0</v>
      </c>
      <c r="AC52" s="24">
        <f t="shared" si="3"/>
        <v>66.885747825777131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96.226303286816062</v>
      </c>
      <c r="AO52" s="62">
        <f t="shared" si="36"/>
        <v>466.06545378903826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58.417079391305819</v>
      </c>
      <c r="AV52" s="23">
        <f>EXP(-LN(2)/25)*AV51+(1-EXP(-LN(2)/25))/(LN(2)/25)*Calculateur!AQ52*Calculateur!AS52*VLOOKUP('Données projet'!$B$10,Paramètres!$A$1:$I$89,3,0)*0.475*44/12</f>
        <v>12.612033344032705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71.029112735338529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>
        <f>BD52*VLOOKUP('Données projet'!$B$11,Paramètres!$A$1:$I$89,3,0)*VLOOKUP('Données projet'!$B$11,Paramètres!$A$1:$I$89,5,0)</f>
        <v>0</v>
      </c>
      <c r="BF52" s="14" t="e">
        <f t="shared" si="37"/>
        <v>#NUM!</v>
      </c>
      <c r="BG52" s="22" t="e">
        <f t="shared" si="7"/>
        <v>#NUM!</v>
      </c>
      <c r="BH52" s="62" t="e">
        <f t="shared" si="8"/>
        <v>#NUM!</v>
      </c>
      <c r="BI52" s="62">
        <f ca="1">AVERAGE(OFFSET($BH$3,0,0,'Données projet'!$E$11+1,1))-AVERAGE(OFFSET($H$3,0,0,'Données projet'!$E$11+1,1))</f>
        <v>98.045647909910258</v>
      </c>
      <c r="BJ52" s="62">
        <f t="shared" si="38"/>
        <v>475.64984175055775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59.715236711112588</v>
      </c>
      <c r="BQ52" s="23">
        <f>EXP(-LN(2)/25)*BQ51+(1-EXP(-LN(2)/25))/(LN(2)/25)*Calculateur!BL52*Calculateur!BN52*VLOOKUP('Données projet'!$B$11,Paramètres!$A$1:$I$89,3,0)*0.475*44/12</f>
        <v>12.892300751677881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72.607537462790475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91.446075686521226</v>
      </c>
      <c r="T53" s="62">
        <f t="shared" si="34"/>
        <v>440.88491337513091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53.930715323114178</v>
      </c>
      <c r="AA53" s="23">
        <f>EXP(-LN(2)/25)*AA52+(1-EXP(-LN(2)/25))/(LN(2)/25)*Calculateur!V53*Calculateur!X53*VLOOKUP('Données projet'!$B$9,Paramètres!$A$1:$I$89,3,0)*0.475*44/12</f>
        <v>11.551572492310342</v>
      </c>
      <c r="AB53" s="23">
        <f>EXP(-LN(2)/2)*AB52+(1-EXP(-LN(2)/2))/(LN(2)/2)*V53*Y53*VLOOKUP('Données projet'!$B$9,Paramètres!$A$1:$I$89,3,0)*0.475*44/12</f>
        <v>0</v>
      </c>
      <c r="AC53" s="24">
        <f t="shared" si="3"/>
        <v>65.482287815424513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96.226303286816062</v>
      </c>
      <c r="AO53" s="62">
        <f t="shared" si="36"/>
        <v>466.06545378903826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57.271556095342483</v>
      </c>
      <c r="AV53" s="23">
        <f>EXP(-LN(2)/25)*AV52+(1-EXP(-LN(2)/25))/(LN(2)/25)*Calculateur!AQ53*Calculateur!AS53*VLOOKUP('Données projet'!$B$10,Paramètres!$A$1:$I$89,3,0)*0.475*44/12</f>
        <v>12.267156629002121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69.538712724344606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>
        <f>BD53*VLOOKUP('Données projet'!$B$11,Paramètres!$A$1:$I$89,3,0)*VLOOKUP('Données projet'!$B$11,Paramètres!$A$1:$I$89,5,0)</f>
        <v>0</v>
      </c>
      <c r="BF53" s="14" t="e">
        <f t="shared" si="37"/>
        <v>#NUM!</v>
      </c>
      <c r="BG53" s="22" t="e">
        <f t="shared" si="7"/>
        <v>#NUM!</v>
      </c>
      <c r="BH53" s="62" t="e">
        <f t="shared" si="8"/>
        <v>#NUM!</v>
      </c>
      <c r="BI53" s="62">
        <f ca="1">AVERAGE(OFFSET($BH$3,0,0,'Données projet'!$E$11+1,1))-AVERAGE(OFFSET($H$3,0,0,'Données projet'!$E$11+1,1))</f>
        <v>98.045647909910258</v>
      </c>
      <c r="BJ53" s="62">
        <f t="shared" si="38"/>
        <v>475.64984175055775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58.54425734190562</v>
      </c>
      <c r="BQ53" s="23">
        <f>EXP(-LN(2)/25)*BQ52+(1-EXP(-LN(2)/25))/(LN(2)/25)*Calculateur!BL53*Calculateur!BN53*VLOOKUP('Données projet'!$B$11,Paramètres!$A$1:$I$89,3,0)*0.475*44/12</f>
        <v>12.539760109646618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71.084017451552242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91.446075686521226</v>
      </c>
      <c r="T54" s="62">
        <f t="shared" si="34"/>
        <v>440.88491337513091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52.873166890116195</v>
      </c>
      <c r="AA54" s="23">
        <f>EXP(-LN(2)/25)*AA53+(1-EXP(-LN(2)/25))/(LN(2)/25)*Calculateur!V54*Calculateur!X54*VLOOKUP('Données projet'!$B$9,Paramètres!$A$1:$I$89,3,0)*0.475*44/12</f>
        <v>11.235694135037321</v>
      </c>
      <c r="AB54" s="23">
        <f>EXP(-LN(2)/2)*AB53+(1-EXP(-LN(2)/2))/(LN(2)/2)*V54*Y54*VLOOKUP('Données projet'!$B$9,Paramètres!$A$1:$I$89,3,0)*0.475*44/12</f>
        <v>0</v>
      </c>
      <c r="AC54" s="24">
        <f t="shared" si="3"/>
        <v>64.108861025153516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96.226303286816062</v>
      </c>
      <c r="AO54" s="62">
        <f t="shared" si="36"/>
        <v>466.06545378903826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56.148495812512763</v>
      </c>
      <c r="AV54" s="23">
        <f>EXP(-LN(2)/25)*AV53+(1-EXP(-LN(2)/25))/(LN(2)/25)*Calculateur!AQ54*Calculateur!AS54*VLOOKUP('Données projet'!$B$10,Paramètres!$A$1:$I$89,3,0)*0.475*44/12</f>
        <v>11.931710585880328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68.080206398393088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>
        <f>BD54*VLOOKUP('Données projet'!$B$11,Paramètres!$A$1:$I$89,3,0)*VLOOKUP('Données projet'!$B$11,Paramètres!$A$1:$I$89,5,0)</f>
        <v>0</v>
      </c>
      <c r="BF54" s="14" t="e">
        <f t="shared" si="37"/>
        <v>#NUM!</v>
      </c>
      <c r="BG54" s="22" t="e">
        <f t="shared" si="7"/>
        <v>#NUM!</v>
      </c>
      <c r="BH54" s="62" t="e">
        <f t="shared" si="8"/>
        <v>#NUM!</v>
      </c>
      <c r="BI54" s="62">
        <f ca="1">AVERAGE(OFFSET($BH$3,0,0,'Données projet'!$E$11+1,1))-AVERAGE(OFFSET($H$3,0,0,'Données projet'!$E$11+1,1))</f>
        <v>98.045647909910258</v>
      </c>
      <c r="BJ54" s="62">
        <f t="shared" si="38"/>
        <v>475.64984175055775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57.396240163901908</v>
      </c>
      <c r="BQ54" s="23">
        <f>EXP(-LN(2)/25)*BQ53+(1-EXP(-LN(2)/25))/(LN(2)/25)*Calculateur!BL54*Calculateur!BN54*VLOOKUP('Données projet'!$B$11,Paramètres!$A$1:$I$89,3,0)*0.475*44/12</f>
        <v>12.196859710011008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69.593099873912919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91.446075686521226</v>
      </c>
      <c r="T55" s="62">
        <f t="shared" si="34"/>
        <v>440.88491337513091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51.836356336848453</v>
      </c>
      <c r="AA55" s="23">
        <f>EXP(-LN(2)/25)*AA54+(1-EXP(-LN(2)/25))/(LN(2)/25)*Calculateur!V55*Calculateur!X55*VLOOKUP('Données projet'!$B$9,Paramètres!$A$1:$I$89,3,0)*0.475*44/12</f>
        <v>10.928453488055251</v>
      </c>
      <c r="AB55" s="23">
        <f>EXP(-LN(2)/2)*AB54+(1-EXP(-LN(2)/2))/(LN(2)/2)*V55*Y55*VLOOKUP('Données projet'!$B$9,Paramètres!$A$1:$I$89,3,0)*0.475*44/12</f>
        <v>0</v>
      </c>
      <c r="AC55" s="24">
        <f t="shared" si="3"/>
        <v>62.764809824903708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96.226303286816062</v>
      </c>
      <c r="AO55" s="62">
        <f t="shared" si="36"/>
        <v>466.06545378903826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55.047458056830202</v>
      </c>
      <c r="AV55" s="23">
        <f>EXP(-LN(2)/25)*AV54+(1-EXP(-LN(2)/25))/(LN(2)/25)*Calculateur!AQ55*Calculateur!AS55*VLOOKUP('Données projet'!$B$10,Paramètres!$A$1:$I$89,3,0)*0.475*44/12</f>
        <v>11.605437332448041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66.652895389278243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>
        <f>BD55*VLOOKUP('Données projet'!$B$11,Paramètres!$A$1:$I$89,3,0)*VLOOKUP('Données projet'!$B$11,Paramètres!$A$1:$I$89,5,0)</f>
        <v>0</v>
      </c>
      <c r="BF55" s="14" t="e">
        <f t="shared" si="37"/>
        <v>#NUM!</v>
      </c>
      <c r="BG55" s="22" t="e">
        <f t="shared" si="7"/>
        <v>#NUM!</v>
      </c>
      <c r="BH55" s="62" t="e">
        <f t="shared" si="8"/>
        <v>#NUM!</v>
      </c>
      <c r="BI55" s="62">
        <f ca="1">AVERAGE(OFFSET($BH$3,0,0,'Données projet'!$E$11+1,1))-AVERAGE(OFFSET($H$3,0,0,'Données projet'!$E$11+1,1))</f>
        <v>98.045647909910258</v>
      </c>
      <c r="BJ55" s="62">
        <f t="shared" si="38"/>
        <v>475.64984175055775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56.270734902537512</v>
      </c>
      <c r="BQ55" s="23">
        <f>EXP(-LN(2)/25)*BQ54+(1-EXP(-LN(2)/25))/(LN(2)/25)*Calculateur!BL55*Calculateur!BN55*VLOOKUP('Données projet'!$B$11,Paramètres!$A$1:$I$89,3,0)*0.475*44/12</f>
        <v>11.863335939835782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68.134070842373291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91.446075686521226</v>
      </c>
      <c r="T56" s="62">
        <f t="shared" si="34"/>
        <v>440.88491337513091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50.819877006138299</v>
      </c>
      <c r="AA56" s="23">
        <f>EXP(-LN(2)/25)*AA55+(1-EXP(-LN(2)/25))/(LN(2)/25)*Calculateur!V56*Calculateur!X56*VLOOKUP('Données projet'!$B$9,Paramètres!$A$1:$I$89,3,0)*0.475*44/12</f>
        <v>10.629614352721989</v>
      </c>
      <c r="AB56" s="23">
        <f>EXP(-LN(2)/2)*AB55+(1-EXP(-LN(2)/2))/(LN(2)/2)*V56*Y56*VLOOKUP('Données projet'!$B$9,Paramètres!$A$1:$I$89,3,0)*0.475*44/12</f>
        <v>0</v>
      </c>
      <c r="AC56" s="24">
        <f t="shared" si="3"/>
        <v>61.449491358860286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96.226303286816062</v>
      </c>
      <c r="AO56" s="62">
        <f t="shared" si="36"/>
        <v>466.06545378903826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53.968010979969854</v>
      </c>
      <c r="AV56" s="23">
        <f>EXP(-LN(2)/25)*AV55+(1-EXP(-LN(2)/25))/(LN(2)/25)*Calculateur!AQ56*Calculateur!AS56*VLOOKUP('Données projet'!$B$10,Paramètres!$A$1:$I$89,3,0)*0.475*44/12</f>
        <v>11.288086038288824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65.256097018258686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>
        <f>BD56*VLOOKUP('Données projet'!$B$11,Paramètres!$A$1:$I$89,3,0)*VLOOKUP('Données projet'!$B$11,Paramètres!$A$1:$I$89,5,0)</f>
        <v>0</v>
      </c>
      <c r="BF56" s="14" t="e">
        <f t="shared" si="37"/>
        <v>#NUM!</v>
      </c>
      <c r="BG56" s="22" t="e">
        <f t="shared" si="7"/>
        <v>#NUM!</v>
      </c>
      <c r="BH56" s="62" t="e">
        <f t="shared" si="8"/>
        <v>#NUM!</v>
      </c>
      <c r="BI56" s="62">
        <f ca="1">AVERAGE(OFFSET($BH$3,0,0,'Données projet'!$E$11+1,1))-AVERAGE(OFFSET($H$3,0,0,'Données projet'!$E$11+1,1))</f>
        <v>98.045647909910258</v>
      </c>
      <c r="BJ56" s="62">
        <f t="shared" si="38"/>
        <v>475.64984175055775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55.167300112858051</v>
      </c>
      <c r="BQ56" s="23">
        <f>EXP(-LN(2)/25)*BQ55+(1-EXP(-LN(2)/25))/(LN(2)/25)*Calculateur!BL56*Calculateur!BN56*VLOOKUP('Données projet'!$B$11,Paramètres!$A$1:$I$89,3,0)*0.475*44/12</f>
        <v>11.53893239469525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66.706232507553295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91.446075686521226</v>
      </c>
      <c r="T57" s="62">
        <f t="shared" si="34"/>
        <v>440.88491337513091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49.823330215112193</v>
      </c>
      <c r="AA57" s="23">
        <f>EXP(-LN(2)/25)*AA56+(1-EXP(-LN(2)/25))/(LN(2)/25)*Calculateur!V57*Calculateur!X57*VLOOKUP('Données projet'!$B$9,Paramètres!$A$1:$I$89,3,0)*0.475*44/12</f>
        <v>10.338946989259682</v>
      </c>
      <c r="AB57" s="23">
        <f>EXP(-LN(2)/2)*AB56+(1-EXP(-LN(2)/2))/(LN(2)/2)*V57*Y57*VLOOKUP('Données projet'!$B$9,Paramètres!$A$1:$I$89,3,0)*0.475*44/12</f>
        <v>0</v>
      </c>
      <c r="AC57" s="24">
        <f t="shared" si="3"/>
        <v>60.162277204371875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96.226303286816062</v>
      </c>
      <c r="AO57" s="62">
        <f t="shared" si="36"/>
        <v>466.06545378903826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52.909731201889038</v>
      </c>
      <c r="AV57" s="23">
        <f>EXP(-LN(2)/25)*AV56+(1-EXP(-LN(2)/25))/(LN(2)/25)*Calculateur!AQ57*Calculateur!AS57*VLOOKUP('Données projet'!$B$10,Paramètres!$A$1:$I$89,3,0)*0.475*44/12</f>
        <v>10.97941273195717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63.889143933846206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>
        <f>BD57*VLOOKUP('Données projet'!$B$11,Paramètres!$A$1:$I$89,3,0)*VLOOKUP('Données projet'!$B$11,Paramètres!$A$1:$I$89,5,0)</f>
        <v>0</v>
      </c>
      <c r="BF57" s="14" t="e">
        <f t="shared" si="37"/>
        <v>#NUM!</v>
      </c>
      <c r="BG57" s="22" t="e">
        <f t="shared" si="7"/>
        <v>#NUM!</v>
      </c>
      <c r="BH57" s="62" t="e">
        <f t="shared" si="8"/>
        <v>#NUM!</v>
      </c>
      <c r="BI57" s="62">
        <f ca="1">AVERAGE(OFFSET($BH$3,0,0,'Données projet'!$E$11+1,1))-AVERAGE(OFFSET($H$3,0,0,'Données projet'!$E$11+1,1))</f>
        <v>98.045647909910258</v>
      </c>
      <c r="BJ57" s="62">
        <f t="shared" si="38"/>
        <v>475.64984175055775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54.08550300637544</v>
      </c>
      <c r="BQ57" s="23">
        <f>EXP(-LN(2)/25)*BQ56+(1-EXP(-LN(2)/25))/(LN(2)/25)*Calculateur!BL57*Calculateur!BN57*VLOOKUP('Données projet'!$B$11,Paramètres!$A$1:$I$89,3,0)*0.475*44/12</f>
        <v>11.223399681556225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65.308902687931663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91.446075686521226</v>
      </c>
      <c r="T58" s="62">
        <f t="shared" si="34"/>
        <v>440.88491337513091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48.846325098824586</v>
      </c>
      <c r="AA58" s="23">
        <f>EXP(-LN(2)/25)*AA57+(1-EXP(-LN(2)/25))/(LN(2)/25)*Calculateur!V58*Calculateur!X58*VLOOKUP('Données projet'!$B$9,Paramètres!$A$1:$I$89,3,0)*0.475*44/12</f>
        <v>10.056227940136784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58.902553038961372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96.226303286816062</v>
      </c>
      <c r="AO58" s="62">
        <f t="shared" si="36"/>
        <v>466.06545378903826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51.872203644769456</v>
      </c>
      <c r="AV58" s="23">
        <f>EXP(-LN(2)/25)*AV57+(1-EXP(-LN(2)/25))/(LN(2)/25)*Calculateur!AQ58*Calculateur!AS58*VLOOKUP('Données projet'!$B$10,Paramètres!$A$1:$I$89,3,0)*0.475*44/12</f>
        <v>10.67918011341958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62.551383758189033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>
        <f>BD58*VLOOKUP('Données projet'!$B$11,Paramètres!$A$1:$I$89,3,0)*VLOOKUP('Données projet'!$B$11,Paramètres!$A$1:$I$89,5,0)</f>
        <v>0</v>
      </c>
      <c r="BF58" s="14" t="e">
        <f t="shared" si="37"/>
        <v>#NUM!</v>
      </c>
      <c r="BG58" s="22" t="e">
        <f t="shared" si="7"/>
        <v>#NUM!</v>
      </c>
      <c r="BH58" s="62" t="e">
        <f t="shared" si="8"/>
        <v>#NUM!</v>
      </c>
      <c r="BI58" s="62">
        <f ca="1">AVERAGE(OFFSET($BH$3,0,0,'Données projet'!$E$11+1,1))-AVERAGE(OFFSET($H$3,0,0,'Données projet'!$E$11+1,1))</f>
        <v>98.045647909910258</v>
      </c>
      <c r="BJ58" s="62">
        <f t="shared" si="38"/>
        <v>475.64984175055775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53.024919281319868</v>
      </c>
      <c r="BQ58" s="23">
        <f>EXP(-LN(2)/25)*BQ57+(1-EXP(-LN(2)/25))/(LN(2)/25)*Calculateur!BL58*Calculateur!BN58*VLOOKUP('Données projet'!$B$11,Paramètres!$A$1:$I$89,3,0)*0.475*44/12</f>
        <v>10.916495227051133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63.941414508370997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91.446075686521226</v>
      </c>
      <c r="T59" s="62">
        <f t="shared" si="34"/>
        <v>440.88491337513091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47.888478456953102</v>
      </c>
      <c r="AA59" s="23">
        <f>EXP(-LN(2)/25)*AA58+(1-EXP(-LN(2)/25))/(LN(2)/25)*Calculateur!V59*Calculateur!X59*VLOOKUP('Données projet'!$B$9,Paramètres!$A$1:$I$89,3,0)*0.475*44/12</f>
        <v>9.7812398582797009</v>
      </c>
      <c r="AB59" s="23">
        <f>EXP(-LN(2)/2)*AB58+(1-EXP(-LN(2)/2))/(LN(2)/2)*V59*Y59*VLOOKUP('Données projet'!$B$9,Paramètres!$A$1:$I$89,3,0)*0.475*44/12</f>
        <v>0</v>
      </c>
      <c r="AC59" s="24">
        <f t="shared" si="3"/>
        <v>57.669718315232799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96.226303286816062</v>
      </c>
      <c r="AO59" s="62">
        <f t="shared" si="36"/>
        <v>466.06545378903826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50.855021370215667</v>
      </c>
      <c r="AV59" s="23">
        <f>EXP(-LN(2)/25)*AV58+(1-EXP(-LN(2)/25))/(LN(2)/25)*Calculateur!AQ59*Calculateur!AS59*VLOOKUP('Données projet'!$B$10,Paramètres!$A$1:$I$89,3,0)*0.475*44/12</f>
        <v>10.387157371624447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61.242178741840114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>
        <f>BD59*VLOOKUP('Données projet'!$B$11,Paramètres!$A$1:$I$89,3,0)*VLOOKUP('Données projet'!$B$11,Paramètres!$A$1:$I$89,5,0)</f>
        <v>0</v>
      </c>
      <c r="BF59" s="14" t="e">
        <f t="shared" si="37"/>
        <v>#NUM!</v>
      </c>
      <c r="BG59" s="22" t="e">
        <f t="shared" si="7"/>
        <v>#NUM!</v>
      </c>
      <c r="BH59" s="62" t="e">
        <f t="shared" si="8"/>
        <v>#NUM!</v>
      </c>
      <c r="BI59" s="62">
        <f ca="1">AVERAGE(OFFSET($BH$3,0,0,'Données projet'!$E$11+1,1))-AVERAGE(OFFSET($H$3,0,0,'Données projet'!$E$11+1,1))</f>
        <v>98.045647909910258</v>
      </c>
      <c r="BJ59" s="62">
        <f t="shared" si="38"/>
        <v>475.64984175055775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51.98513295622044</v>
      </c>
      <c r="BQ59" s="23">
        <f>EXP(-LN(2)/25)*BQ58+(1-EXP(-LN(2)/25))/(LN(2)/25)*Calculateur!BL59*Calculateur!BN59*VLOOKUP('Données projet'!$B$11,Paramètres!$A$1:$I$89,3,0)*0.475*44/12</f>
        <v>10.617983090993885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62.603116047214328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91.446075686521226</v>
      </c>
      <c r="T60" s="62">
        <f t="shared" si="34"/>
        <v>440.88491337513091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46.949414603499953</v>
      </c>
      <c r="AA60" s="23">
        <f>EXP(-LN(2)/25)*AA59+(1-EXP(-LN(2)/25))/(LN(2)/25)*Calculateur!V60*Calculateur!X60*VLOOKUP('Données projet'!$B$9,Paramètres!$A$1:$I$89,3,0)*0.475*44/12</f>
        <v>9.513771339981993</v>
      </c>
      <c r="AB60" s="23">
        <f>EXP(-LN(2)/2)*AB59+(1-EXP(-LN(2)/2))/(LN(2)/2)*V60*Y60*VLOOKUP('Données projet'!$B$9,Paramètres!$A$1:$I$89,3,0)*0.475*44/12</f>
        <v>0</v>
      </c>
      <c r="AC60" s="24">
        <f t="shared" si="3"/>
        <v>56.463185943481946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96.226303286816062</v>
      </c>
      <c r="AO60" s="62">
        <f t="shared" si="36"/>
        <v>466.06545378903826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49.85778541964595</v>
      </c>
      <c r="AV60" s="23">
        <f>EXP(-LN(2)/25)*AV59+(1-EXP(-LN(2)/25))/(LN(2)/25)*Calculateur!AQ60*Calculateur!AS60*VLOOKUP('Données projet'!$B$10,Paramètres!$A$1:$I$89,3,0)*0.475*44/12</f>
        <v>10.103120007060511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59.960905426706461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>
        <f>BD60*VLOOKUP('Données projet'!$B$11,Paramètres!$A$1:$I$89,3,0)*VLOOKUP('Données projet'!$B$11,Paramètres!$A$1:$I$89,5,0)</f>
        <v>0</v>
      </c>
      <c r="BF60" s="14" t="e">
        <f t="shared" si="37"/>
        <v>#NUM!</v>
      </c>
      <c r="BG60" s="22" t="e">
        <f t="shared" si="7"/>
        <v>#NUM!</v>
      </c>
      <c r="BH60" s="62" t="e">
        <f t="shared" si="8"/>
        <v>#NUM!</v>
      </c>
      <c r="BI60" s="62">
        <f ca="1">AVERAGE(OFFSET($BH$3,0,0,'Données projet'!$E$11+1,1))-AVERAGE(OFFSET($H$3,0,0,'Données projet'!$E$11+1,1))</f>
        <v>98.045647909910258</v>
      </c>
      <c r="BJ60" s="62">
        <f t="shared" si="38"/>
        <v>475.64984175055775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50.965736206749177</v>
      </c>
      <c r="BQ60" s="23">
        <f>EXP(-LN(2)/25)*BQ59+(1-EXP(-LN(2)/25))/(LN(2)/25)*Calculateur!BL60*Calculateur!BN60*VLOOKUP('Données projet'!$B$11,Paramètres!$A$1:$I$89,3,0)*0.475*44/12</f>
        <v>10.327633784995195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61.29336999174437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91.446075686521226</v>
      </c>
      <c r="T61" s="62">
        <f t="shared" si="34"/>
        <v>440.88491337513091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46.028765219440629</v>
      </c>
      <c r="AA61" s="23">
        <f>EXP(-LN(2)/25)*AA60+(1-EXP(-LN(2)/25))/(LN(2)/25)*Calculateur!V61*Calculateur!X61*VLOOKUP('Données projet'!$B$9,Paramètres!$A$1:$I$89,3,0)*0.475*44/12</f>
        <v>9.2536167623826948</v>
      </c>
      <c r="AB61" s="23">
        <f>EXP(-LN(2)/2)*AB60+(1-EXP(-LN(2)/2))/(LN(2)/2)*V61*Y61*VLOOKUP('Données projet'!$B$9,Paramètres!$A$1:$I$89,3,0)*0.475*44/12</f>
        <v>0</v>
      </c>
      <c r="AC61" s="24">
        <f t="shared" si="3"/>
        <v>55.28238198182332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96.226303286816062</v>
      </c>
      <c r="AO61" s="62">
        <f t="shared" si="36"/>
        <v>466.06545378903826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48.880104657813035</v>
      </c>
      <c r="AV61" s="23">
        <f>EXP(-LN(2)/25)*AV60+(1-EXP(-LN(2)/25))/(LN(2)/25)*Calculateur!AQ61*Calculateur!AS61*VLOOKUP('Données projet'!$B$10,Paramètres!$A$1:$I$89,3,0)*0.475*44/12</f>
        <v>9.8268496591674506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58.706954316980486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>
        <f>BD61*VLOOKUP('Données projet'!$B$11,Paramètres!$A$1:$I$89,3,0)*VLOOKUP('Données projet'!$B$11,Paramètres!$A$1:$I$89,5,0)</f>
        <v>0</v>
      </c>
      <c r="BF61" s="14" t="e">
        <f t="shared" si="37"/>
        <v>#NUM!</v>
      </c>
      <c r="BG61" s="22" t="e">
        <f t="shared" si="7"/>
        <v>#NUM!</v>
      </c>
      <c r="BH61" s="62" t="e">
        <f t="shared" si="8"/>
        <v>#NUM!</v>
      </c>
      <c r="BI61" s="62">
        <f ca="1">AVERAGE(OFFSET($BH$3,0,0,'Données projet'!$E$11+1,1))-AVERAGE(OFFSET($H$3,0,0,'Données projet'!$E$11+1,1))</f>
        <v>98.045647909910258</v>
      </c>
      <c r="BJ61" s="62">
        <f t="shared" si="38"/>
        <v>475.64984175055775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49.966329205764424</v>
      </c>
      <c r="BQ61" s="23">
        <f>EXP(-LN(2)/25)*BQ60+(1-EXP(-LN(2)/25))/(LN(2)/25)*Calculateur!BL61*Calculateur!BN61*VLOOKUP('Données projet'!$B$11,Paramètres!$A$1:$I$89,3,0)*0.475*44/12</f>
        <v>10.045224096037844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60.011553301802266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91.446075686521226</v>
      </c>
      <c r="T62" s="62">
        <f t="shared" si="34"/>
        <v>440.88491337513091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45.126169208262027</v>
      </c>
      <c r="AA62" s="23">
        <f>EXP(-LN(2)/25)*AA61+(1-EXP(-LN(2)/25))/(LN(2)/25)*Calculateur!V62*Calculateur!X62*VLOOKUP('Données projet'!$B$9,Paramètres!$A$1:$I$89,3,0)*0.475*44/12</f>
        <v>9.0005761253887844</v>
      </c>
      <c r="AB62" s="23">
        <f>EXP(-LN(2)/2)*AB61+(1-EXP(-LN(2)/2))/(LN(2)/2)*V62*Y62*VLOOKUP('Données projet'!$B$9,Paramètres!$A$1:$I$89,3,0)*0.475*44/12</f>
        <v>0</v>
      </c>
      <c r="AC62" s="24">
        <f t="shared" si="3"/>
        <v>54.12674533365081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96.226303286816062</v>
      </c>
      <c r="AO62" s="62">
        <f t="shared" si="36"/>
        <v>466.06545378903826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47.92159561939328</v>
      </c>
      <c r="AV62" s="23">
        <f>EXP(-LN(2)/25)*AV61+(1-EXP(-LN(2)/25))/(LN(2)/25)*Calculateur!AQ62*Calculateur!AS62*VLOOKUP('Données projet'!$B$10,Paramètres!$A$1:$I$89,3,0)*0.475*44/12</f>
        <v>9.5581339384659518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57.47972955785923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>
        <f>BD62*VLOOKUP('Données projet'!$B$11,Paramètres!$A$1:$I$89,3,0)*VLOOKUP('Données projet'!$B$11,Paramètres!$A$1:$I$89,5,0)</f>
        <v>0</v>
      </c>
      <c r="BF62" s="14" t="e">
        <f t="shared" si="37"/>
        <v>#NUM!</v>
      </c>
      <c r="BG62" s="22" t="e">
        <f t="shared" si="7"/>
        <v>#NUM!</v>
      </c>
      <c r="BH62" s="62" t="e">
        <f t="shared" si="8"/>
        <v>#NUM!</v>
      </c>
      <c r="BI62" s="62">
        <f ca="1">AVERAGE(OFFSET($BH$3,0,0,'Données projet'!$E$11+1,1))-AVERAGE(OFFSET($H$3,0,0,'Données projet'!$E$11+1,1))</f>
        <v>98.045647909910258</v>
      </c>
      <c r="BJ62" s="62">
        <f t="shared" si="38"/>
        <v>475.64984175055775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48.986519966490903</v>
      </c>
      <c r="BQ62" s="23">
        <f>EXP(-LN(2)/25)*BQ61+(1-EXP(-LN(2)/25))/(LN(2)/25)*Calculateur!BL62*Calculateur!BN62*VLOOKUP('Données projet'!$B$11,Paramètres!$A$1:$I$89,3,0)*0.475*44/12</f>
        <v>9.7705369148763115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58.757056881367212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91.446075686521226</v>
      </c>
      <c r="T63" s="62">
        <f t="shared" si="34"/>
        <v>440.88491337513091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44.241272554333435</v>
      </c>
      <c r="AA63" s="23">
        <f>EXP(-LN(2)/25)*AA62+(1-EXP(-LN(2)/25))/(LN(2)/25)*Calculateur!V63*Calculateur!X63*VLOOKUP('Données projet'!$B$9,Paramètres!$A$1:$I$89,3,0)*0.475*44/12</f>
        <v>8.7544548979203007</v>
      </c>
      <c r="AB63" s="23">
        <f>EXP(-LN(2)/2)*AB62+(1-EXP(-LN(2)/2))/(LN(2)/2)*V63*Y63*VLOOKUP('Données projet'!$B$9,Paramètres!$A$1:$I$89,3,0)*0.475*44/12</f>
        <v>0</v>
      </c>
      <c r="AC63" s="24">
        <f t="shared" si="3"/>
        <v>52.995727452253732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96.226303286816062</v>
      </c>
      <c r="AO63" s="62">
        <f t="shared" si="36"/>
        <v>466.06545378903826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46.981882358584151</v>
      </c>
      <c r="AV63" s="23">
        <f>EXP(-LN(2)/25)*AV62+(1-EXP(-LN(2)/25))/(LN(2)/25)*Calculateur!AQ63*Calculateur!AS63*VLOOKUP('Données projet'!$B$10,Paramètres!$A$1:$I$89,3,0)*0.475*44/12</f>
        <v>9.2967662632781813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56.278648621862331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>
        <f>BD63*VLOOKUP('Données projet'!$B$11,Paramètres!$A$1:$I$89,3,0)*VLOOKUP('Données projet'!$B$11,Paramètres!$A$1:$I$89,5,0)</f>
        <v>0</v>
      </c>
      <c r="BF63" s="14" t="e">
        <f t="shared" si="37"/>
        <v>#NUM!</v>
      </c>
      <c r="BG63" s="22" t="e">
        <f t="shared" si="7"/>
        <v>#NUM!</v>
      </c>
      <c r="BH63" s="62" t="e">
        <f t="shared" si="8"/>
        <v>#NUM!</v>
      </c>
      <c r="BI63" s="62">
        <f ca="1">AVERAGE(OFFSET($BH$3,0,0,'Données projet'!$E$11+1,1))-AVERAGE(OFFSET($H$3,0,0,'Données projet'!$E$11+1,1))</f>
        <v>98.045647909910258</v>
      </c>
      <c r="BJ63" s="62">
        <f t="shared" si="38"/>
        <v>475.64984175055775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48.025924188774908</v>
      </c>
      <c r="BQ63" s="23">
        <f>EXP(-LN(2)/25)*BQ62+(1-EXP(-LN(2)/25))/(LN(2)/25)*Calculateur!BL63*Calculateur!BN63*VLOOKUP('Données projet'!$B$11,Paramètres!$A$1:$I$89,3,0)*0.475*44/12</f>
        <v>9.5033610691288128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57.529285257903723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91.446075686521226</v>
      </c>
      <c r="T64" s="62">
        <f t="shared" si="34"/>
        <v>440.88491337513091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43.373728184054713</v>
      </c>
      <c r="AA64" s="23">
        <f>EXP(-LN(2)/25)*AA63+(1-EXP(-LN(2)/25))/(LN(2)/25)*Calculateur!V64*Calculateur!X64*VLOOKUP('Données projet'!$B$9,Paramètres!$A$1:$I$89,3,0)*0.475*44/12</f>
        <v>8.5150638683598956</v>
      </c>
      <c r="AB64" s="23">
        <f>EXP(-LN(2)/2)*AB63+(1-EXP(-LN(2)/2))/(LN(2)/2)*V64*Y64*VLOOKUP('Données projet'!$B$9,Paramètres!$A$1:$I$89,3,0)*0.475*44/12</f>
        <v>0</v>
      </c>
      <c r="AC64" s="24">
        <f t="shared" si="3"/>
        <v>51.888792052414608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96.226303286816062</v>
      </c>
      <c r="AO64" s="62">
        <f t="shared" si="36"/>
        <v>466.06545378903826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46.060596301650996</v>
      </c>
      <c r="AV64" s="23">
        <f>EXP(-LN(2)/25)*AV63+(1-EXP(-LN(2)/25))/(LN(2)/25)*Calculateur!AQ64*Calculateur!AS64*VLOOKUP('Données projet'!$B$10,Paramètres!$A$1:$I$89,3,0)*0.475*44/12</f>
        <v>9.0425457009131502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55.103142002564148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>
        <f>BD64*VLOOKUP('Données projet'!$B$11,Paramètres!$A$1:$I$89,3,0)*VLOOKUP('Données projet'!$B$11,Paramètres!$A$1:$I$89,5,0)</f>
        <v>0</v>
      </c>
      <c r="BF64" s="14" t="e">
        <f t="shared" si="37"/>
        <v>#NUM!</v>
      </c>
      <c r="BG64" s="22" t="e">
        <f t="shared" si="7"/>
        <v>#NUM!</v>
      </c>
      <c r="BH64" s="62" t="e">
        <f t="shared" si="8"/>
        <v>#NUM!</v>
      </c>
      <c r="BI64" s="62">
        <f ca="1">AVERAGE(OFFSET($BH$3,0,0,'Données projet'!$E$11+1,1))-AVERAGE(OFFSET($H$3,0,0,'Données projet'!$E$11+1,1))</f>
        <v>98.045647909910258</v>
      </c>
      <c r="BJ64" s="62">
        <f t="shared" si="38"/>
        <v>475.64984175055775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47.084165108354355</v>
      </c>
      <c r="BQ64" s="23">
        <f>EXP(-LN(2)/25)*BQ63+(1-EXP(-LN(2)/25))/(LN(2)/25)*Calculateur!BL64*Calculateur!BN64*VLOOKUP('Données projet'!$B$11,Paramètres!$A$1:$I$89,3,0)*0.475*44/12</f>
        <v>9.2434911609334467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56.3276562692878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91.446075686521226</v>
      </c>
      <c r="T65" s="62">
        <f t="shared" si="34"/>
        <v>440.88491337513091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42.523195829727342</v>
      </c>
      <c r="AA65" s="23">
        <f>EXP(-LN(2)/25)*AA64+(1-EXP(-LN(2)/25))/(LN(2)/25)*Calculateur!V65*Calculateur!X65*VLOOKUP('Données projet'!$B$9,Paramètres!$A$1:$I$89,3,0)*0.475*44/12</f>
        <v>8.282218999091846</v>
      </c>
      <c r="AB65" s="23">
        <f>EXP(-LN(2)/2)*AB64+(1-EXP(-LN(2)/2))/(LN(2)/2)*V65*Y65*VLOOKUP('Données projet'!$B$9,Paramètres!$A$1:$I$89,3,0)*0.475*44/12</f>
        <v>0</v>
      </c>
      <c r="AC65" s="24">
        <f t="shared" si="3"/>
        <v>50.805414828819188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96.226303286816062</v>
      </c>
      <c r="AO65" s="62">
        <f t="shared" si="36"/>
        <v>466.06545378903826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45.157376102365291</v>
      </c>
      <c r="AV65" s="23">
        <f>EXP(-LN(2)/25)*AV64+(1-EXP(-LN(2)/25))/(LN(2)/25)*Calculateur!AQ65*Calculateur!AS65*VLOOKUP('Données projet'!$B$10,Paramètres!$A$1:$I$89,3,0)*0.475*44/12</f>
        <v>8.7952768131948691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53.952652915560158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>
        <f>BD65*VLOOKUP('Données projet'!$B$11,Paramètres!$A$1:$I$89,3,0)*VLOOKUP('Données projet'!$B$11,Paramètres!$A$1:$I$89,5,0)</f>
        <v>0</v>
      </c>
      <c r="BF65" s="14" t="e">
        <f t="shared" si="37"/>
        <v>#NUM!</v>
      </c>
      <c r="BG65" s="22" t="e">
        <f t="shared" si="7"/>
        <v>#NUM!</v>
      </c>
      <c r="BH65" s="62" t="e">
        <f t="shared" si="8"/>
        <v>#NUM!</v>
      </c>
      <c r="BI65" s="62">
        <f ca="1">AVERAGE(OFFSET($BH$3,0,0,'Données projet'!$E$11+1,1))-AVERAGE(OFFSET($H$3,0,0,'Données projet'!$E$11+1,1))</f>
        <v>98.045647909910258</v>
      </c>
      <c r="BJ65" s="62">
        <f t="shared" si="38"/>
        <v>475.64984175055775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46.160873349084525</v>
      </c>
      <c r="BQ65" s="23">
        <f>EXP(-LN(2)/25)*BQ64+(1-EXP(-LN(2)/25))/(LN(2)/25)*Calculateur!BL65*Calculateur!BN65*VLOOKUP('Données projet'!$B$11,Paramètres!$A$1:$I$89,3,0)*0.475*44/12</f>
        <v>8.9907274090436484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55.151600758128176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91.446075686521226</v>
      </c>
      <c r="T66" s="62">
        <f t="shared" si="34"/>
        <v>440.88491337513091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41.689341896094817</v>
      </c>
      <c r="AA66" s="23">
        <f>EXP(-LN(2)/25)*AA65+(1-EXP(-LN(2)/25))/(LN(2)/25)*Calculateur!V66*Calculateur!X66*VLOOKUP('Données projet'!$B$9,Paramètres!$A$1:$I$89,3,0)*0.475*44/12</f>
        <v>8.055741285018712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49.745083181113529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96.226303286816062</v>
      </c>
      <c r="AO66" s="62">
        <f t="shared" si="36"/>
        <v>466.06545378903826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44.271867500277658</v>
      </c>
      <c r="AV66" s="23">
        <f>EXP(-LN(2)/25)*AV65+(1-EXP(-LN(2)/25))/(LN(2)/25)*Calculateur!AQ66*Calculateur!AS66*VLOOKUP('Données projet'!$B$10,Paramètres!$A$1:$I$89,3,0)*0.475*44/12</f>
        <v>8.5547695062145497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52.826637006492206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>
        <f>BD66*VLOOKUP('Données projet'!$B$11,Paramètres!$A$1:$I$89,3,0)*VLOOKUP('Données projet'!$B$11,Paramètres!$A$1:$I$89,5,0)</f>
        <v>0</v>
      </c>
      <c r="BF66" s="14" t="e">
        <f t="shared" si="37"/>
        <v>#NUM!</v>
      </c>
      <c r="BG66" s="22" t="e">
        <f t="shared" si="7"/>
        <v>#NUM!</v>
      </c>
      <c r="BH66" s="62" t="e">
        <f t="shared" si="8"/>
        <v>#NUM!</v>
      </c>
      <c r="BI66" s="62">
        <f ca="1">AVERAGE(OFFSET($BH$3,0,0,'Données projet'!$E$11+1,1))-AVERAGE(OFFSET($H$3,0,0,'Données projet'!$E$11+1,1))</f>
        <v>98.045647909910258</v>
      </c>
      <c r="BJ66" s="62">
        <f t="shared" si="38"/>
        <v>475.64984175055775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45.255686778061609</v>
      </c>
      <c r="BQ66" s="23">
        <f>EXP(-LN(2)/25)*BQ65+(1-EXP(-LN(2)/25))/(LN(2)/25)*Calculateur!BL66*Calculateur!BN66*VLOOKUP('Données projet'!$B$11,Paramètres!$A$1:$I$89,3,0)*0.475*44/12</f>
        <v>8.7448754952415442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54.000562273303153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91.446075686521226</v>
      </c>
      <c r="T67" s="62">
        <f t="shared" si="34"/>
        <v>440.88491337513091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40.871839329500148</v>
      </c>
      <c r="AA67" s="23">
        <f>EXP(-LN(2)/25)*AA66+(1-EXP(-LN(2)/25))/(LN(2)/25)*Calculateur!V67*Calculateur!X67*VLOOKUP('Données projet'!$B$9,Paramètres!$A$1:$I$89,3,0)*0.475*44/12</f>
        <v>7.8354566159468524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48.707295945447001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96.226303286816062</v>
      </c>
      <c r="AO67" s="62">
        <f t="shared" si="36"/>
        <v>466.06545378903826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43.403723181770047</v>
      </c>
      <c r="AV67" s="23">
        <f>EXP(-LN(2)/25)*AV66+(1-EXP(-LN(2)/25))/(LN(2)/25)*Calculateur!AQ67*Calculateur!AS67*VLOOKUP('Données projet'!$B$10,Paramètres!$A$1:$I$89,3,0)*0.475*44/12</f>
        <v>8.3208388841913372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51.724562065961386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>
        <f>BD67*VLOOKUP('Données projet'!$B$11,Paramètres!$A$1:$I$89,3,0)*VLOOKUP('Données projet'!$B$11,Paramètres!$A$1:$I$89,5,0)</f>
        <v>0</v>
      </c>
      <c r="BF67" s="14" t="e">
        <f t="shared" si="37"/>
        <v>#NUM!</v>
      </c>
      <c r="BG67" s="22" t="e">
        <f t="shared" si="7"/>
        <v>#NUM!</v>
      </c>
      <c r="BH67" s="62" t="e">
        <f t="shared" si="8"/>
        <v>#NUM!</v>
      </c>
      <c r="BI67" s="62">
        <f ca="1">AVERAGE(OFFSET($BH$3,0,0,'Données projet'!$E$11+1,1))-AVERAGE(OFFSET($H$3,0,0,'Données projet'!$E$11+1,1))</f>
        <v>98.045647909910258</v>
      </c>
      <c r="BJ67" s="62">
        <f t="shared" si="38"/>
        <v>475.64984175055775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44.368250363587158</v>
      </c>
      <c r="BQ67" s="23">
        <f>EXP(-LN(2)/25)*BQ66+(1-EXP(-LN(2)/25))/(LN(2)/25)*Calculateur!BL67*Calculateur!BN67*VLOOKUP('Données projet'!$B$11,Paramètres!$A$1:$I$89,3,0)*0.475*44/12</f>
        <v>8.5057464149511492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52.873996778538306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91.446075686521226</v>
      </c>
      <c r="T68" s="62">
        <f t="shared" si="34"/>
        <v>440.88491337513091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40.070367489609069</v>
      </c>
      <c r="AA68" s="23">
        <f>EXP(-LN(2)/25)*AA67+(1-EXP(-LN(2)/25))/(LN(2)/25)*Calculateur!V68*Calculateur!X68*VLOOKUP('Données projet'!$B$9,Paramètres!$A$1:$I$89,3,0)*0.475*44/12</f>
        <v>7.6211956427350307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47.6915631323441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96.226303286816062</v>
      </c>
      <c r="AO68" s="62">
        <f t="shared" si="36"/>
        <v>466.06545378903826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42.552602643832621</v>
      </c>
      <c r="AV68" s="23">
        <f>EXP(-LN(2)/25)*AV67+(1-EXP(-LN(2)/25))/(LN(2)/25)*Calculateur!AQ68*Calculateur!AS68*VLOOKUP('Données projet'!$B$10,Paramètres!$A$1:$I$89,3,0)*0.475*44/12</f>
        <v>8.0933051073292255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50.645907751161843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>
        <f>BD68*VLOOKUP('Données projet'!$B$11,Paramètres!$A$1:$I$89,3,0)*VLOOKUP('Données projet'!$B$11,Paramètres!$A$1:$I$89,5,0)</f>
        <v>0</v>
      </c>
      <c r="BF68" s="14" t="e">
        <f t="shared" si="37"/>
        <v>#NUM!</v>
      </c>
      <c r="BG68" s="22" t="e">
        <f t="shared" ref="BG68:BG131" si="61">(BE68+BF68)*0.475*44/12</f>
        <v>#NUM!</v>
      </c>
      <c r="BH68" s="62" t="e">
        <f t="shared" ref="BH68:BH131" si="62">BG68+(AY68+AZ68)*44/12</f>
        <v>#NUM!</v>
      </c>
      <c r="BI68" s="62">
        <f ca="1">AVERAGE(OFFSET($BH$3,0,0,'Données projet'!$E$11+1,1))-AVERAGE(OFFSET($H$3,0,0,'Données projet'!$E$11+1,1))</f>
        <v>98.045647909910258</v>
      </c>
      <c r="BJ68" s="62">
        <f t="shared" si="38"/>
        <v>475.64984175055775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43.498216035917793</v>
      </c>
      <c r="BQ68" s="23">
        <f>EXP(-LN(2)/25)*BQ67+(1-EXP(-LN(2)/25))/(LN(2)/25)*Calculateur!BL68*Calculateur!BN68*VLOOKUP('Données projet'!$B$11,Paramètres!$A$1:$I$89,3,0)*0.475*44/12</f>
        <v>8.273156331936546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51.77137236785434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91.446075686521226</v>
      </c>
      <c r="T69" s="62">
        <f t="shared" ref="T69:T132" si="88">$T$3</f>
        <v>440.88491337513091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39.284612023648705</v>
      </c>
      <c r="AA69" s="23">
        <f>EXP(-LN(2)/25)*AA68+(1-EXP(-LN(2)/25))/(LN(2)/25)*Calculateur!V69*Calculateur!X69*VLOOKUP('Données projet'!$B$9,Paramètres!$A$1:$I$89,3,0)*0.475*44/12</f>
        <v>7.4127936471031806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46.697405670751884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96.226303286816062</v>
      </c>
      <c r="AO69" s="62">
        <f t="shared" ref="AO69:AO132" si="90">$AO$3</f>
        <v>466.06545378903826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41.718172060511883</v>
      </c>
      <c r="AV69" s="23">
        <f>EXP(-LN(2)/25)*AV68+(1-EXP(-LN(2)/25))/(LN(2)/25)*Calculateur!AQ69*Calculateur!AS69*VLOOKUP('Données projet'!$B$10,Paramètres!$A$1:$I$89,3,0)*0.475*44/12</f>
        <v>7.8719932535608894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49.59016531407277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>
        <f>BD69*VLOOKUP('Données projet'!$B$11,Paramètres!$A$1:$I$89,3,0)*VLOOKUP('Données projet'!$B$11,Paramètres!$A$1:$I$89,5,0)</f>
        <v>0</v>
      </c>
      <c r="BF69" s="14" t="e">
        <f t="shared" ref="BF69:BF132" si="91">EXP(-1.0587+0.8836*LN(BE69)+0.284)</f>
        <v>#NUM!</v>
      </c>
      <c r="BG69" s="22" t="e">
        <f t="shared" si="61"/>
        <v>#NUM!</v>
      </c>
      <c r="BH69" s="62" t="e">
        <f t="shared" si="62"/>
        <v>#NUM!</v>
      </c>
      <c r="BI69" s="62">
        <f ca="1">AVERAGE(OFFSET($BH$3,0,0,'Données projet'!$E$11+1,1))-AVERAGE(OFFSET($H$3,0,0,'Données projet'!$E$11+1,1))</f>
        <v>98.045647909910258</v>
      </c>
      <c r="BJ69" s="62">
        <f t="shared" ref="BJ69:BJ132" si="92">$BJ$3</f>
        <v>475.64984175055775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42.645242550745479</v>
      </c>
      <c r="BQ69" s="23">
        <f>EXP(-LN(2)/25)*BQ68+(1-EXP(-LN(2)/25))/(LN(2)/25)*Calculateur!BL69*Calculateur!BN69*VLOOKUP('Données projet'!$B$11,Paramètres!$A$1:$I$89,3,0)*0.475*44/12</f>
        <v>8.046926436973358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50.692168987718837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91.446075686521226</v>
      </c>
      <c r="T70" s="62">
        <f t="shared" si="88"/>
        <v>440.88491337513091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38.514264743112314</v>
      </c>
      <c r="AA70" s="23">
        <f>EXP(-LN(2)/25)*AA69+(1-EXP(-LN(2)/25))/(LN(2)/25)*Calculateur!V70*Calculateur!X70*VLOOKUP('Données projet'!$B$9,Paramètres!$A$1:$I$89,3,0)*0.475*44/12</f>
        <v>7.2100904150012681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45.724355158113582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96.226303286816062</v>
      </c>
      <c r="AO70" s="62">
        <f t="shared" si="90"/>
        <v>466.06545378903826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40.900104151977658</v>
      </c>
      <c r="AV70" s="23">
        <f>EXP(-LN(2)/25)*AV69+(1-EXP(-LN(2)/25))/(LN(2)/25)*Calculateur!AQ70*Calculateur!AS70*VLOOKUP('Données projet'!$B$10,Paramètres!$A$1:$I$89,3,0)*0.475*44/12</f>
        <v>7.6567331840721335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48.556837336049789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>
        <f>BD70*VLOOKUP('Données projet'!$B$11,Paramètres!$A$1:$I$89,3,0)*VLOOKUP('Données projet'!$B$11,Paramètres!$A$1:$I$89,5,0)</f>
        <v>0</v>
      </c>
      <c r="BF70" s="14" t="e">
        <f t="shared" si="91"/>
        <v>#NUM!</v>
      </c>
      <c r="BG70" s="22" t="e">
        <f t="shared" si="61"/>
        <v>#NUM!</v>
      </c>
      <c r="BH70" s="62" t="e">
        <f t="shared" si="62"/>
        <v>#NUM!</v>
      </c>
      <c r="BI70" s="62">
        <f ca="1">AVERAGE(OFFSET($BH$3,0,0,'Données projet'!$E$11+1,1))-AVERAGE(OFFSET($H$3,0,0,'Données projet'!$E$11+1,1))</f>
        <v>98.045647909910258</v>
      </c>
      <c r="BJ70" s="62">
        <f t="shared" si="92"/>
        <v>475.64984175055775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41.808995355354938</v>
      </c>
      <c r="BQ70" s="23">
        <f>EXP(-LN(2)/25)*BQ69+(1-EXP(-LN(2)/25))/(LN(2)/25)*Calculateur!BL70*Calculateur!BN70*VLOOKUP('Données projet'!$B$11,Paramètres!$A$1:$I$89,3,0)*0.475*44/12</f>
        <v>7.826882810384852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49.63587816573979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91.446075686521226</v>
      </c>
      <c r="T71" s="62">
        <f t="shared" si="88"/>
        <v>440.88491337513091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37.759023502881796</v>
      </c>
      <c r="AA71" s="23">
        <f>EXP(-LN(2)/25)*AA70+(1-EXP(-LN(2)/25))/(LN(2)/25)*Calculateur!V71*Calculateur!X71*VLOOKUP('Données projet'!$B$9,Paramètres!$A$1:$I$89,3,0)*0.475*44/12</f>
        <v>7.0129301134408824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44.771953616322676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96.226303286816062</v>
      </c>
      <c r="AO71" s="62">
        <f t="shared" si="90"/>
        <v>466.06545378903826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40.09807805615764</v>
      </c>
      <c r="AV71" s="23">
        <f>EXP(-LN(2)/25)*AV70+(1-EXP(-LN(2)/25))/(LN(2)/25)*Calculateur!AQ71*Calculateur!AS71*VLOOKUP('Données projet'!$B$10,Paramètres!$A$1:$I$89,3,0)*0.475*44/12</f>
        <v>7.4473594125035829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47.54543746866122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>
        <f>BD71*VLOOKUP('Données projet'!$B$11,Paramètres!$A$1:$I$89,3,0)*VLOOKUP('Données projet'!$B$11,Paramètres!$A$1:$I$89,5,0)</f>
        <v>0</v>
      </c>
      <c r="BF71" s="14" t="e">
        <f t="shared" si="91"/>
        <v>#NUM!</v>
      </c>
      <c r="BG71" s="22" t="e">
        <f t="shared" si="61"/>
        <v>#NUM!</v>
      </c>
      <c r="BH71" s="62" t="e">
        <f t="shared" si="62"/>
        <v>#NUM!</v>
      </c>
      <c r="BI71" s="62">
        <f ca="1">AVERAGE(OFFSET($BH$3,0,0,'Données projet'!$E$11+1,1))-AVERAGE(OFFSET($H$3,0,0,'Données projet'!$E$11+1,1))</f>
        <v>98.045647909910258</v>
      </c>
      <c r="BJ71" s="62">
        <f t="shared" si="92"/>
        <v>475.64984175055775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40.989146457405582</v>
      </c>
      <c r="BQ71" s="23">
        <f>EXP(-LN(2)/25)*BQ70+(1-EXP(-LN(2)/25))/(LN(2)/25)*Calculateur!BL71*Calculateur!BN71*VLOOKUP('Données projet'!$B$11,Paramètres!$A$1:$I$89,3,0)*0.475*44/12</f>
        <v>7.6128562883369995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48.602002745742581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91.446075686521226</v>
      </c>
      <c r="T72" s="62">
        <f t="shared" si="88"/>
        <v>440.88491337513091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37.018592082720524</v>
      </c>
      <c r="AA72" s="23">
        <f>EXP(-LN(2)/25)*AA71+(1-EXP(-LN(2)/25))/(LN(2)/25)*Calculateur!V72*Calculateur!X72*VLOOKUP('Données projet'!$B$9,Paramètres!$A$1:$I$89,3,0)*0.475*44/12</f>
        <v>6.8211611706948752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43.839753253415395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96.226303286816062</v>
      </c>
      <c r="AO72" s="62">
        <f t="shared" si="90"/>
        <v>466.06545378903826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39.311779202889035</v>
      </c>
      <c r="AV72" s="23">
        <f>EXP(-LN(2)/25)*AV71+(1-EXP(-LN(2)/25))/(LN(2)/25)*Calculateur!AQ72*Calculateur!AS72*VLOOKUP('Données projet'!$B$10,Paramètres!$A$1:$I$89,3,0)*0.475*44/12</f>
        <v>7.2437109777290623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46.555490180618094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>
        <f>BD72*VLOOKUP('Données projet'!$B$11,Paramètres!$A$1:$I$89,3,0)*VLOOKUP('Données projet'!$B$11,Paramètres!$A$1:$I$89,5,0)</f>
        <v>0</v>
      </c>
      <c r="BF72" s="14" t="e">
        <f t="shared" si="91"/>
        <v>#NUM!</v>
      </c>
      <c r="BG72" s="22" t="e">
        <f t="shared" si="61"/>
        <v>#NUM!</v>
      </c>
      <c r="BH72" s="62" t="e">
        <f t="shared" si="62"/>
        <v>#NUM!</v>
      </c>
      <c r="BI72" s="62">
        <f ca="1">AVERAGE(OFFSET($BH$3,0,0,'Données projet'!$E$11+1,1))-AVERAGE(OFFSET($H$3,0,0,'Données projet'!$E$11+1,1))</f>
        <v>98.045647909910258</v>
      </c>
      <c r="BJ72" s="62">
        <f t="shared" si="92"/>
        <v>475.64984175055775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40.185374296286561</v>
      </c>
      <c r="BQ72" s="23">
        <f>EXP(-LN(2)/25)*BQ71+(1-EXP(-LN(2)/25))/(LN(2)/25)*Calculateur!BL72*Calculateur!BN72*VLOOKUP('Données projet'!$B$11,Paramètres!$A$1:$I$89,3,0)*0.475*44/12</f>
        <v>7.4046823327897116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47.590056629076273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91.446075686521226</v>
      </c>
      <c r="T73" s="62">
        <f t="shared" si="88"/>
        <v>440.88491337513091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36.292680071090039</v>
      </c>
      <c r="AA73" s="23">
        <f>EXP(-LN(2)/25)*AA72+(1-EXP(-LN(2)/25))/(LN(2)/25)*Calculateur!V73*Calculateur!X73*VLOOKUP('Données projet'!$B$9,Paramètres!$A$1:$I$89,3,0)*0.475*44/12</f>
        <v>6.6346361597729482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42.927316230862985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96.226303286816062</v>
      </c>
      <c r="AO73" s="62">
        <f t="shared" si="90"/>
        <v>466.06545378903826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38.540899190538084</v>
      </c>
      <c r="AV73" s="23">
        <f>EXP(-LN(2)/25)*AV72+(1-EXP(-LN(2)/25))/(LN(2)/25)*Calculateur!AQ73*Calculateur!AS73*VLOOKUP('Données projet'!$B$10,Paramètres!$A$1:$I$89,3,0)*0.475*44/12</f>
        <v>7.0456313201128564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45.586530510650938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>
        <f>BD73*VLOOKUP('Données projet'!$B$11,Paramètres!$A$1:$I$89,3,0)*VLOOKUP('Données projet'!$B$11,Paramètres!$A$1:$I$89,5,0)</f>
        <v>0</v>
      </c>
      <c r="BF73" s="14" t="e">
        <f t="shared" si="91"/>
        <v>#NUM!</v>
      </c>
      <c r="BG73" s="22" t="e">
        <f t="shared" si="61"/>
        <v>#NUM!</v>
      </c>
      <c r="BH73" s="62" t="e">
        <f t="shared" si="62"/>
        <v>#NUM!</v>
      </c>
      <c r="BI73" s="62">
        <f ca="1">AVERAGE(OFFSET($BH$3,0,0,'Données projet'!$E$11+1,1))-AVERAGE(OFFSET($H$3,0,0,'Données projet'!$E$11+1,1))</f>
        <v>98.045647909910258</v>
      </c>
      <c r="BJ73" s="62">
        <f t="shared" si="92"/>
        <v>475.64984175055775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39.397363616994475</v>
      </c>
      <c r="BQ73" s="23">
        <f>EXP(-LN(2)/25)*BQ72+(1-EXP(-LN(2)/25))/(LN(2)/25)*Calculateur!BL73*Calculateur!BN73*VLOOKUP('Données projet'!$B$11,Paramètres!$A$1:$I$89,3,0)*0.475*44/12</f>
        <v>7.2022009050042568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46.59956452199873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91.446075686521226</v>
      </c>
      <c r="T74" s="62">
        <f t="shared" si="88"/>
        <v>440.88491337513091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35.581002751245023</v>
      </c>
      <c r="AA74" s="23">
        <f>EXP(-LN(2)/25)*AA73+(1-EXP(-LN(2)/25))/(LN(2)/25)*Calculateur!V74*Calculateur!X74*VLOOKUP('Données projet'!$B$9,Paramètres!$A$1:$I$89,3,0)*0.475*44/12</f>
        <v>6.4532116850836045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42.034214436328625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96.226303286816062</v>
      </c>
      <c r="AO74" s="62">
        <f t="shared" si="90"/>
        <v>466.06545378903826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37.78513566503895</v>
      </c>
      <c r="AV74" s="23">
        <f>EXP(-LN(2)/25)*AV73+(1-EXP(-LN(2)/25))/(LN(2)/25)*Calculateur!AQ74*Calculateur!AS74*VLOOKUP('Données projet'!$B$10,Paramètres!$A$1:$I$89,3,0)*0.475*44/12</f>
        <v>6.8529681611507218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44.638103826189671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>
        <f>BD74*VLOOKUP('Données projet'!$B$11,Paramètres!$A$1:$I$89,3,0)*VLOOKUP('Données projet'!$B$11,Paramètres!$A$1:$I$89,5,0)</f>
        <v>0</v>
      </c>
      <c r="BF74" s="14" t="e">
        <f t="shared" si="91"/>
        <v>#NUM!</v>
      </c>
      <c r="BG74" s="22" t="e">
        <f t="shared" si="61"/>
        <v>#NUM!</v>
      </c>
      <c r="BH74" s="62" t="e">
        <f t="shared" si="62"/>
        <v>#NUM!</v>
      </c>
      <c r="BI74" s="62">
        <f ca="1">AVERAGE(OFFSET($BH$3,0,0,'Données projet'!$E$11+1,1))-AVERAGE(OFFSET($H$3,0,0,'Données projet'!$E$11+1,1))</f>
        <v>98.045647909910258</v>
      </c>
      <c r="BJ74" s="62">
        <f t="shared" si="92"/>
        <v>475.64984175055775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38.624805346484251</v>
      </c>
      <c r="BQ74" s="23">
        <f>EXP(-LN(2)/25)*BQ73+(1-EXP(-LN(2)/25))/(LN(2)/25)*Calculateur!BL74*Calculateur!BN74*VLOOKUP('Données projet'!$B$11,Paramètres!$A$1:$I$89,3,0)*0.475*44/12</f>
        <v>7.0052563425096306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45.630061688993884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91.446075686521226</v>
      </c>
      <c r="T75" s="62">
        <f t="shared" si="88"/>
        <v>440.88491337513091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34.883280989561868</v>
      </c>
      <c r="AA75" s="23">
        <f>EXP(-LN(2)/25)*AA74+(1-EXP(-LN(2)/25))/(LN(2)/25)*Calculateur!V75*Calculateur!X75*VLOOKUP('Données projet'!$B$9,Paramètres!$A$1:$I$89,3,0)*0.475*44/12</f>
        <v>6.2767482721953396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41.160029261757209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96.226303286816062</v>
      </c>
      <c r="AO75" s="62">
        <f t="shared" si="90"/>
        <v>466.06545378903826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37.044192201304625</v>
      </c>
      <c r="AV75" s="23">
        <f>EXP(-LN(2)/25)*AV74+(1-EXP(-LN(2)/25))/(LN(2)/25)*Calculateur!AQ75*Calculateur!AS75*VLOOKUP('Données projet'!$B$10,Paramètres!$A$1:$I$89,3,0)*0.475*44/12</f>
        <v>6.665573386402122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43.709765587706748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>
        <f>BD75*VLOOKUP('Données projet'!$B$11,Paramètres!$A$1:$I$89,3,0)*VLOOKUP('Données projet'!$B$11,Paramètres!$A$1:$I$89,5,0)</f>
        <v>0</v>
      </c>
      <c r="BF75" s="14" t="e">
        <f t="shared" si="91"/>
        <v>#NUM!</v>
      </c>
      <c r="BG75" s="22" t="e">
        <f t="shared" si="61"/>
        <v>#NUM!</v>
      </c>
      <c r="BH75" s="62" t="e">
        <f t="shared" si="62"/>
        <v>#NUM!</v>
      </c>
      <c r="BI75" s="62">
        <f ca="1">AVERAGE(OFFSET($BH$3,0,0,'Données projet'!$E$11+1,1))-AVERAGE(OFFSET($H$3,0,0,'Données projet'!$E$11+1,1))</f>
        <v>98.045647909910258</v>
      </c>
      <c r="BJ75" s="62">
        <f t="shared" si="92"/>
        <v>475.64984175055775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37.867396472444717</v>
      </c>
      <c r="BQ75" s="23">
        <f>EXP(-LN(2)/25)*BQ74+(1-EXP(-LN(2)/25))/(LN(2)/25)*Calculateur!BL75*Calculateur!BN75*VLOOKUP('Données projet'!$B$11,Paramètres!$A$1:$I$89,3,0)*0.475*44/12</f>
        <v>6.8136972394332842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44.681093711877999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91.446075686521226</v>
      </c>
      <c r="T76" s="62">
        <f t="shared" si="88"/>
        <v>440.88491337513091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34.199241126057061</v>
      </c>
      <c r="AA76" s="23">
        <f>EXP(-LN(2)/25)*AA75+(1-EXP(-LN(2)/25))/(LN(2)/25)*Calculateur!V76*Calculateur!X76*VLOOKUP('Données projet'!$B$9,Paramètres!$A$1:$I$89,3,0)*0.475*44/12</f>
        <v>6.105110260612312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40.304351386669374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96.226303286816062</v>
      </c>
      <c r="AO76" s="62">
        <f t="shared" si="90"/>
        <v>466.06545378903826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36.317778186963238</v>
      </c>
      <c r="AV76" s="23">
        <f>EXP(-LN(2)/25)*AV75+(1-EXP(-LN(2)/25))/(LN(2)/25)*Calculateur!AQ76*Calculateur!AS76*VLOOKUP('Données projet'!$B$10,Paramètres!$A$1:$I$89,3,0)*0.475*44/12</f>
        <v>6.4833029316236859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42.801081118586922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>
        <f>BD76*VLOOKUP('Données projet'!$B$11,Paramètres!$A$1:$I$89,3,0)*VLOOKUP('Données projet'!$B$11,Paramètres!$A$1:$I$89,5,0)</f>
        <v>0</v>
      </c>
      <c r="BF76" s="14" t="e">
        <f t="shared" si="91"/>
        <v>#NUM!</v>
      </c>
      <c r="BG76" s="22" t="e">
        <f t="shared" si="61"/>
        <v>#NUM!</v>
      </c>
      <c r="BH76" s="62" t="e">
        <f t="shared" si="62"/>
        <v>#NUM!</v>
      </c>
      <c r="BI76" s="62">
        <f ca="1">AVERAGE(OFFSET($BH$3,0,0,'Données projet'!$E$11+1,1))-AVERAGE(OFFSET($H$3,0,0,'Données projet'!$E$11+1,1))</f>
        <v>98.045647909910258</v>
      </c>
      <c r="BJ76" s="62">
        <f t="shared" si="92"/>
        <v>475.64984175055775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37.124839924451301</v>
      </c>
      <c r="BQ76" s="23">
        <f>EXP(-LN(2)/25)*BQ75+(1-EXP(-LN(2)/25))/(LN(2)/25)*Calculateur!BL76*Calculateur!BN76*VLOOKUP('Données projet'!$B$11,Paramètres!$A$1:$I$89,3,0)*0.475*44/12</f>
        <v>6.6273763301042159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43.75221625455552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91.446075686521226</v>
      </c>
      <c r="T77" s="62">
        <f t="shared" si="88"/>
        <v>440.88491337513091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33.528614867052468</v>
      </c>
      <c r="AA77" s="23">
        <f>EXP(-LN(2)/25)*AA76+(1-EXP(-LN(2)/25))/(LN(2)/25)*Calculateur!V77*Calculateur!X77*VLOOKUP('Données projet'!$B$9,Paramètres!$A$1:$I$89,3,0)*0.475*44/12</f>
        <v>5.9381656994820728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39.466780566534538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96.226303286816062</v>
      </c>
      <c r="AO77" s="62">
        <f t="shared" si="90"/>
        <v>466.06545378903826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35.605608708374291</v>
      </c>
      <c r="AV77" s="23">
        <f>EXP(-LN(2)/25)*AV76+(1-EXP(-LN(2)/25))/(LN(2)/25)*Calculateur!AQ77*Calculateur!AS77*VLOOKUP('Données projet'!$B$10,Paramètres!$A$1:$I$89,3,0)*0.475*44/12</f>
        <v>6.3060166720163524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41.911625380390646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>
        <f>BD77*VLOOKUP('Données projet'!$B$11,Paramètres!$A$1:$I$89,3,0)*VLOOKUP('Données projet'!$B$11,Paramètres!$A$1:$I$89,5,0)</f>
        <v>0</v>
      </c>
      <c r="BF77" s="14" t="e">
        <f t="shared" si="91"/>
        <v>#NUM!</v>
      </c>
      <c r="BG77" s="22" t="e">
        <f t="shared" si="61"/>
        <v>#NUM!</v>
      </c>
      <c r="BH77" s="62" t="e">
        <f t="shared" si="62"/>
        <v>#NUM!</v>
      </c>
      <c r="BI77" s="62">
        <f ca="1">AVERAGE(OFFSET($BH$3,0,0,'Données projet'!$E$11+1,1))-AVERAGE(OFFSET($H$3,0,0,'Données projet'!$E$11+1,1))</f>
        <v>98.045647909910258</v>
      </c>
      <c r="BJ77" s="62">
        <f t="shared" si="92"/>
        <v>475.64984175055775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36.396844457449262</v>
      </c>
      <c r="BQ77" s="23">
        <f>EXP(-LN(2)/25)*BQ76+(1-EXP(-LN(2)/25))/(LN(2)/25)*Calculateur!BL77*Calculateur!BN77*VLOOKUP('Données projet'!$B$11,Paramètres!$A$1:$I$89,3,0)*0.475*44/12</f>
        <v>6.4461503758389416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42.842994833288202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91.446075686521226</v>
      </c>
      <c r="T78" s="62">
        <f t="shared" si="88"/>
        <v>440.88491337513091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32.871139179945324</v>
      </c>
      <c r="AA78" s="23">
        <f>EXP(-LN(2)/25)*AA77+(1-EXP(-LN(2)/25))/(LN(2)/25)*Calculateur!V78*Calculateur!X78*VLOOKUP('Données projet'!$B$9,Paramètres!$A$1:$I$89,3,0)*0.475*44/12</f>
        <v>5.7757862461551737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38.646925426100495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96.226303286816062</v>
      </c>
      <c r="AO78" s="62">
        <f t="shared" si="90"/>
        <v>466.06545378903826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34.907404438879979</v>
      </c>
      <c r="AV78" s="23">
        <f>EXP(-LN(2)/25)*AV77+(1-EXP(-LN(2)/25))/(LN(2)/25)*Calculateur!AQ78*Calculateur!AS78*VLOOKUP('Données projet'!$B$10,Paramètres!$A$1:$I$89,3,0)*0.475*44/12</f>
        <v>6.1335783145010607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41.040982753381037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>
        <f>BD78*VLOOKUP('Données projet'!$B$11,Paramètres!$A$1:$I$89,3,0)*VLOOKUP('Données projet'!$B$11,Paramètres!$A$1:$I$89,5,0)</f>
        <v>0</v>
      </c>
      <c r="BF78" s="14" t="e">
        <f t="shared" si="91"/>
        <v>#NUM!</v>
      </c>
      <c r="BG78" s="22" t="e">
        <f t="shared" si="61"/>
        <v>#NUM!</v>
      </c>
      <c r="BH78" s="62" t="e">
        <f t="shared" si="62"/>
        <v>#NUM!</v>
      </c>
      <c r="BI78" s="62">
        <f ca="1">AVERAGE(OFFSET($BH$3,0,0,'Données projet'!$E$11+1,1))-AVERAGE(OFFSET($H$3,0,0,'Données projet'!$E$11+1,1))</f>
        <v>98.045647909910258</v>
      </c>
      <c r="BJ78" s="62">
        <f t="shared" si="92"/>
        <v>475.64984175055775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35.683124537521742</v>
      </c>
      <c r="BQ78" s="23">
        <f>EXP(-LN(2)/25)*BQ77+(1-EXP(-LN(2)/25))/(LN(2)/25)*Calculateur!BL78*Calculateur!BN78*VLOOKUP('Données projet'!$B$11,Paramètres!$A$1:$I$89,3,0)*0.475*44/12</f>
        <v>6.26988005482331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41.953004592345053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91.446075686521226</v>
      </c>
      <c r="T79" s="62">
        <f t="shared" si="88"/>
        <v>440.88491337513091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32.226556190041784</v>
      </c>
      <c r="AA79" s="23">
        <f>EXP(-LN(2)/25)*AA78+(1-EXP(-LN(2)/25))/(LN(2)/25)*Calculateur!V79*Calculateur!X79*VLOOKUP('Données projet'!$B$9,Paramètres!$A$1:$I$89,3,0)*0.475*44/12</f>
        <v>5.6178470675186629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37.844403257560444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96.226303286816062</v>
      </c>
      <c r="AO79" s="62">
        <f t="shared" si="90"/>
        <v>466.06545378903826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34.222891529247896</v>
      </c>
      <c r="AV79" s="23">
        <f>EXP(-LN(2)/25)*AV78+(1-EXP(-LN(2)/25))/(LN(2)/25)*Calculateur!AQ79*Calculateur!AS79*VLOOKUP('Données projet'!$B$10,Paramètres!$A$1:$I$89,3,0)*0.475*44/12</f>
        <v>5.965855292940164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40.188746822188058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>
        <f>BD79*VLOOKUP('Données projet'!$B$11,Paramètres!$A$1:$I$89,3,0)*VLOOKUP('Données projet'!$B$11,Paramètres!$A$1:$I$89,5,0)</f>
        <v>0</v>
      </c>
      <c r="BF79" s="14" t="e">
        <f t="shared" si="91"/>
        <v>#NUM!</v>
      </c>
      <c r="BG79" s="22" t="e">
        <f t="shared" si="61"/>
        <v>#NUM!</v>
      </c>
      <c r="BH79" s="62" t="e">
        <f t="shared" si="62"/>
        <v>#NUM!</v>
      </c>
      <c r="BI79" s="62">
        <f ca="1">AVERAGE(OFFSET($BH$3,0,0,'Données projet'!$E$11+1,1))-AVERAGE(OFFSET($H$3,0,0,'Données projet'!$E$11+1,1))</f>
        <v>98.045647909910258</v>
      </c>
      <c r="BJ79" s="62">
        <f t="shared" si="92"/>
        <v>475.64984175055775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34.983400229897839</v>
      </c>
      <c r="BQ79" s="23">
        <f>EXP(-LN(2)/25)*BQ78+(1-EXP(-LN(2)/25))/(LN(2)/25)*Calculateur!BL79*Calculateur!BN79*VLOOKUP('Données projet'!$B$11,Paramètres!$A$1:$I$89,3,0)*0.475*44/12</f>
        <v>6.0984298550055049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41.081830084903345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91.446075686521226</v>
      </c>
      <c r="T80" s="62">
        <f t="shared" si="88"/>
        <v>440.88491337513091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31.594613079413445</v>
      </c>
      <c r="AA80" s="23">
        <f>EXP(-LN(2)/25)*AA79+(1-EXP(-LN(2)/25))/(LN(2)/25)*Calculateur!V80*Calculateur!X80*VLOOKUP('Données projet'!$B$9,Paramètres!$A$1:$I$89,3,0)*0.475*44/12</f>
        <v>5.464226744027628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37.058839823441076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96.226303286816062</v>
      </c>
      <c r="AO80" s="62">
        <f t="shared" si="90"/>
        <v>466.06545378903826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33.551801500262052</v>
      </c>
      <c r="AV80" s="23">
        <f>EXP(-LN(2)/25)*AV79+(1-EXP(-LN(2)/25))/(LN(2)/25)*Calculateur!AQ80*Calculateur!AS80*VLOOKUP('Données projet'!$B$10,Paramètres!$A$1:$I$89,3,0)*0.475*44/12</f>
        <v>5.8027186662240204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39.354520166486068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>
        <f>BD80*VLOOKUP('Données projet'!$B$11,Paramètres!$A$1:$I$89,3,0)*VLOOKUP('Données projet'!$B$11,Paramètres!$A$1:$I$89,5,0)</f>
        <v>0</v>
      </c>
      <c r="BF80" s="14" t="e">
        <f t="shared" si="91"/>
        <v>#NUM!</v>
      </c>
      <c r="BG80" s="22" t="e">
        <f t="shared" si="61"/>
        <v>#NUM!</v>
      </c>
      <c r="BH80" s="62" t="e">
        <f t="shared" si="62"/>
        <v>#NUM!</v>
      </c>
      <c r="BI80" s="62">
        <f ca="1">AVERAGE(OFFSET($BH$3,0,0,'Données projet'!$E$11+1,1))-AVERAGE(OFFSET($H$3,0,0,'Données projet'!$E$11+1,1))</f>
        <v>98.045647909910258</v>
      </c>
      <c r="BJ80" s="62">
        <f t="shared" si="92"/>
        <v>475.64984175055775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34.297397089156753</v>
      </c>
      <c r="BQ80" s="23">
        <f>EXP(-LN(2)/25)*BQ79+(1-EXP(-LN(2)/25))/(LN(2)/25)*Calculateur!BL80*Calculateur!BN80*VLOOKUP('Données projet'!$B$11,Paramètres!$A$1:$I$89,3,0)*0.475*44/12</f>
        <v>5.9316679699178918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40.229065059074642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91.446075686521226</v>
      </c>
      <c r="T81" s="62">
        <f t="shared" si="88"/>
        <v>440.88491337513091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30.975061987737291</v>
      </c>
      <c r="AA81" s="23">
        <f>EXP(-LN(2)/25)*AA80+(1-EXP(-LN(2)/25))/(LN(2)/25)*Calculateur!V81*Calculateur!X81*VLOOKUP('Données projet'!$B$9,Paramètres!$A$1:$I$89,3,0)*0.475*44/12</f>
        <v>5.314807176360997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36.289869164098292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96.226303286816062</v>
      </c>
      <c r="AO81" s="62">
        <f t="shared" si="90"/>
        <v>466.06545378903826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32.89387113742012</v>
      </c>
      <c r="AV81" s="23">
        <f>EXP(-LN(2)/25)*AV80+(1-EXP(-LN(2)/25))/(LN(2)/25)*Calculateur!AQ81*Calculateur!AS81*VLOOKUP('Données projet'!$B$10,Paramètres!$A$1:$I$89,3,0)*0.475*44/12</f>
        <v>5.6440430191444122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38.537914156564533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>
        <f>BD81*VLOOKUP('Données projet'!$B$11,Paramètres!$A$1:$I$89,3,0)*VLOOKUP('Données projet'!$B$11,Paramètres!$A$1:$I$89,5,0)</f>
        <v>0</v>
      </c>
      <c r="BF81" s="14" t="e">
        <f t="shared" si="91"/>
        <v>#NUM!</v>
      </c>
      <c r="BG81" s="22" t="e">
        <f t="shared" si="61"/>
        <v>#NUM!</v>
      </c>
      <c r="BH81" s="62" t="e">
        <f t="shared" si="62"/>
        <v>#NUM!</v>
      </c>
      <c r="BI81" s="62">
        <f ca="1">AVERAGE(OFFSET($BH$3,0,0,'Données projet'!$E$11+1,1))-AVERAGE(OFFSET($H$3,0,0,'Données projet'!$E$11+1,1))</f>
        <v>98.045647909910258</v>
      </c>
      <c r="BJ81" s="62">
        <f t="shared" si="92"/>
        <v>475.64984175055775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33.624846051585003</v>
      </c>
      <c r="BQ81" s="23">
        <f>EXP(-LN(2)/25)*BQ80+(1-EXP(-LN(2)/25))/(LN(2)/25)*Calculateur!BL81*Calculateur!BN81*VLOOKUP('Données projet'!$B$11,Paramètres!$A$1:$I$89,3,0)*0.475*44/12</f>
        <v>5.7694661973476258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39.394312248932629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91.446075686521226</v>
      </c>
      <c r="T82" s="62">
        <f t="shared" si="88"/>
        <v>440.88491337513091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30.367659915080054</v>
      </c>
      <c r="AA82" s="23">
        <f>EXP(-LN(2)/25)*AA81+(1-EXP(-LN(2)/25))/(LN(2)/25)*Calculateur!V82*Calculateur!X82*VLOOKUP('Données projet'!$B$9,Paramètres!$A$1:$I$89,3,0)*0.475*44/12</f>
        <v>5.1694734946298428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35.537133409709895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96.226303286816062</v>
      </c>
      <c r="AO82" s="62">
        <f t="shared" si="90"/>
        <v>466.06545378903826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32.248842387695625</v>
      </c>
      <c r="AV82" s="23">
        <f>EXP(-LN(2)/25)*AV81+(1-EXP(-LN(2)/25))/(LN(2)/25)*Calculateur!AQ82*Calculateur!AS82*VLOOKUP('Données projet'!$B$10,Paramètres!$A$1:$I$89,3,0)*0.475*44/12</f>
        <v>5.4897063659785852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37.738548753674209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>
        <f>BD82*VLOOKUP('Données projet'!$B$11,Paramètres!$A$1:$I$89,3,0)*VLOOKUP('Données projet'!$B$11,Paramètres!$A$1:$I$89,5,0)</f>
        <v>0</v>
      </c>
      <c r="BF82" s="14" t="e">
        <f t="shared" si="91"/>
        <v>#NUM!</v>
      </c>
      <c r="BG82" s="22" t="e">
        <f t="shared" si="61"/>
        <v>#NUM!</v>
      </c>
      <c r="BH82" s="62" t="e">
        <f t="shared" si="62"/>
        <v>#NUM!</v>
      </c>
      <c r="BI82" s="62">
        <f ca="1">AVERAGE(OFFSET($BH$3,0,0,'Données projet'!$E$11+1,1))-AVERAGE(OFFSET($H$3,0,0,'Données projet'!$E$11+1,1))</f>
        <v>98.045647909910258</v>
      </c>
      <c r="BJ82" s="62">
        <f t="shared" si="92"/>
        <v>475.64984175055775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32.965483329644407</v>
      </c>
      <c r="BQ82" s="23">
        <f>EXP(-LN(2)/25)*BQ81+(1-EXP(-LN(2)/25))/(LN(2)/25)*Calculateur!BL82*Calculateur!BN82*VLOOKUP('Données projet'!$B$11,Paramètres!$A$1:$I$89,3,0)*0.475*44/12</f>
        <v>5.6116998407781136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38.577183170422522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91.446075686521226</v>
      </c>
      <c r="T83" s="62">
        <f t="shared" si="88"/>
        <v>440.88491337513091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29.772168626588943</v>
      </c>
      <c r="AA83" s="23">
        <f>EXP(-LN(2)/25)*AA82+(1-EXP(-LN(2)/25))/(LN(2)/25)*Calculateur!V83*Calculateur!X83*VLOOKUP('Données projet'!$B$9,Paramètres!$A$1:$I$89,3,0)*0.475*44/12</f>
        <v>5.0281139700683939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34.80028259665734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96.226303286816062</v>
      </c>
      <c r="AO83" s="62">
        <f t="shared" si="90"/>
        <v>466.06545378903826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31.616462258324532</v>
      </c>
      <c r="AV83" s="23">
        <f>EXP(-LN(2)/25)*AV82+(1-EXP(-LN(2)/25))/(LN(2)/25)*Calculateur!AQ83*Calculateur!AS83*VLOOKUP('Données projet'!$B$10,Paramètres!$A$1:$I$89,3,0)*0.475*44/12</f>
        <v>5.33959005670979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36.95605231503432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>
        <f>BD83*VLOOKUP('Données projet'!$B$11,Paramètres!$A$1:$I$89,3,0)*VLOOKUP('Données projet'!$B$11,Paramètres!$A$1:$I$89,5,0)</f>
        <v>0</v>
      </c>
      <c r="BF83" s="14" t="e">
        <f t="shared" si="91"/>
        <v>#NUM!</v>
      </c>
      <c r="BG83" s="22" t="e">
        <f t="shared" si="61"/>
        <v>#NUM!</v>
      </c>
      <c r="BH83" s="62" t="e">
        <f t="shared" si="62"/>
        <v>#NUM!</v>
      </c>
      <c r="BI83" s="62">
        <f ca="1">AVERAGE(OFFSET($BH$3,0,0,'Données projet'!$E$11+1,1))-AVERAGE(OFFSET($H$3,0,0,'Données projet'!$E$11+1,1))</f>
        <v>98.045647909910258</v>
      </c>
      <c r="BJ83" s="62">
        <f t="shared" si="92"/>
        <v>475.64984175055775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32.31905030850951</v>
      </c>
      <c r="BQ83" s="23">
        <f>EXP(-LN(2)/25)*BQ82+(1-EXP(-LN(2)/25))/(LN(2)/25)*Calculateur!BL83*Calculateur!BN83*VLOOKUP('Données projet'!$B$11,Paramètres!$A$1:$I$89,3,0)*0.475*44/12</f>
        <v>5.4582476135255673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37.777297922035075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91.446075686521226</v>
      </c>
      <c r="T84" s="62">
        <f t="shared" si="88"/>
        <v>440.88491337513091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29.188354559051323</v>
      </c>
      <c r="AA84" s="23">
        <f>EXP(-LN(2)/25)*AA83+(1-EXP(-LN(2)/25))/(LN(2)/25)*Calculateur!V84*Calculateur!X84*VLOOKUP('Données projet'!$B$9,Paramètres!$A$1:$I$89,3,0)*0.475*44/12</f>
        <v>4.8906199291398522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34.078974488191179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96.226303286816062</v>
      </c>
      <c r="AO84" s="62">
        <f t="shared" si="90"/>
        <v>466.06545378903826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30.996482717576615</v>
      </c>
      <c r="AV84" s="23">
        <f>EXP(-LN(2)/25)*AV83+(1-EXP(-LN(2)/25))/(LN(2)/25)*Calculateur!AQ84*Calculateur!AS84*VLOOKUP('Données projet'!$B$10,Paramètres!$A$1:$I$89,3,0)*0.475*44/12</f>
        <v>5.1935786858122235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36.190061403388839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>
        <f>BD84*VLOOKUP('Données projet'!$B$11,Paramètres!$A$1:$I$89,3,0)*VLOOKUP('Données projet'!$B$11,Paramètres!$A$1:$I$89,5,0)</f>
        <v>0</v>
      </c>
      <c r="BF84" s="14" t="e">
        <f t="shared" si="91"/>
        <v>#NUM!</v>
      </c>
      <c r="BG84" s="22" t="e">
        <f t="shared" si="61"/>
        <v>#NUM!</v>
      </c>
      <c r="BH84" s="62" t="e">
        <f t="shared" si="62"/>
        <v>#NUM!</v>
      </c>
      <c r="BI84" s="62">
        <f ca="1">AVERAGE(OFFSET($BH$3,0,0,'Données projet'!$E$11+1,1))-AVERAGE(OFFSET($H$3,0,0,'Données projet'!$E$11+1,1))</f>
        <v>98.045647909910258</v>
      </c>
      <c r="BJ84" s="62">
        <f t="shared" si="92"/>
        <v>475.64984175055775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31.685293444633864</v>
      </c>
      <c r="BQ84" s="23">
        <f>EXP(-LN(2)/25)*BQ83+(1-EXP(-LN(2)/25))/(LN(2)/25)*Calculateur!BL84*Calculateur!BN84*VLOOKUP('Données projet'!$B$11,Paramètres!$A$1:$I$89,3,0)*0.475*44/12</f>
        <v>5.3089915454969434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36.994284990130808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91.446075686521226</v>
      </c>
      <c r="T85" s="62">
        <f t="shared" si="88"/>
        <v>440.88491337513091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28.615988729286695</v>
      </c>
      <c r="AA85" s="23">
        <f>EXP(-LN(2)/25)*AA84+(1-EXP(-LN(2)/25))/(LN(2)/25)*Calculateur!V85*Calculateur!X85*VLOOKUP('Données projet'!$B$9,Paramètres!$A$1:$I$89,3,0)*0.475*44/12</f>
        <v>4.7568856699909983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33.372874399277691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96.226303286816062</v>
      </c>
      <c r="AO85" s="62">
        <f t="shared" si="90"/>
        <v>466.06545378903826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30.388660597472583</v>
      </c>
      <c r="AV85" s="23">
        <f>EXP(-LN(2)/25)*AV84+(1-EXP(-LN(2)/25))/(LN(2)/25)*Calculateur!AQ85*Calculateur!AS85*VLOOKUP('Données projet'!$B$10,Paramètres!$A$1:$I$89,3,0)*0.475*44/12</f>
        <v>5.0515600035302555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35.440220601002835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>
        <f>BD85*VLOOKUP('Données projet'!$B$11,Paramètres!$A$1:$I$89,3,0)*VLOOKUP('Données projet'!$B$11,Paramètres!$A$1:$I$89,5,0)</f>
        <v>0</v>
      </c>
      <c r="BF85" s="14" t="e">
        <f t="shared" si="91"/>
        <v>#NUM!</v>
      </c>
      <c r="BG85" s="22" t="e">
        <f t="shared" si="61"/>
        <v>#NUM!</v>
      </c>
      <c r="BH85" s="62" t="e">
        <f t="shared" si="62"/>
        <v>#NUM!</v>
      </c>
      <c r="BI85" s="62">
        <f ca="1">AVERAGE(OFFSET($BH$3,0,0,'Données projet'!$E$11+1,1))-AVERAGE(OFFSET($H$3,0,0,'Données projet'!$E$11+1,1))</f>
        <v>98.045647909910258</v>
      </c>
      <c r="BJ85" s="62">
        <f t="shared" si="92"/>
        <v>475.64984175055775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31.063964166305301</v>
      </c>
      <c r="BQ85" s="23">
        <f>EXP(-LN(2)/25)*BQ84+(1-EXP(-LN(2)/25))/(LN(2)/25)*Calculateur!BL85*Calculateur!BN85*VLOOKUP('Données projet'!$B$11,Paramètres!$A$1:$I$89,3,0)*0.475*44/12</f>
        <v>5.1638168924975982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36.227781058802897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91.446075686521226</v>
      </c>
      <c r="T86" s="62">
        <f t="shared" si="88"/>
        <v>440.88491337513091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28.054846644335065</v>
      </c>
      <c r="AA86" s="23">
        <f>EXP(-LN(2)/25)*AA85+(1-EXP(-LN(2)/25))/(LN(2)/25)*Calculateur!V86*Calculateur!X86*VLOOKUP('Données projet'!$B$9,Paramètres!$A$1:$I$89,3,0)*0.475*44/12</f>
        <v>4.6268083811913492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32.68165502552641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96.226303286816062</v>
      </c>
      <c r="AO86" s="62">
        <f t="shared" si="90"/>
        <v>466.06545378903826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29.792757498408907</v>
      </c>
      <c r="AV86" s="23">
        <f>EXP(-LN(2)/25)*AV85+(1-EXP(-LN(2)/25))/(LN(2)/25)*Calculateur!AQ86*Calculateur!AS86*VLOOKUP('Données projet'!$B$10,Paramètres!$A$1:$I$89,3,0)*0.475*44/12</f>
        <v>4.9134248295837253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34.706182327992636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>
        <f>BD86*VLOOKUP('Données projet'!$B$11,Paramètres!$A$1:$I$89,3,0)*VLOOKUP('Données projet'!$B$11,Paramètres!$A$1:$I$89,5,0)</f>
        <v>0</v>
      </c>
      <c r="BF86" s="14" t="e">
        <f t="shared" si="91"/>
        <v>#NUM!</v>
      </c>
      <c r="BG86" s="22" t="e">
        <f t="shared" si="61"/>
        <v>#NUM!</v>
      </c>
      <c r="BH86" s="62" t="e">
        <f t="shared" si="62"/>
        <v>#NUM!</v>
      </c>
      <c r="BI86" s="62">
        <f ca="1">AVERAGE(OFFSET($BH$3,0,0,'Données projet'!$E$11+1,1))-AVERAGE(OFFSET($H$3,0,0,'Données projet'!$E$11+1,1))</f>
        <v>98.045647909910258</v>
      </c>
      <c r="BJ86" s="62">
        <f t="shared" si="92"/>
        <v>475.64984175055775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30.45481877615132</v>
      </c>
      <c r="BQ86" s="23">
        <f>EXP(-LN(2)/25)*BQ85+(1-EXP(-LN(2)/25))/(LN(2)/25)*Calculateur!BL86*Calculateur!BN86*VLOOKUP('Données projet'!$B$11,Paramètres!$A$1:$I$89,3,0)*0.475*44/12</f>
        <v>5.0226120480189227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35.477430824170241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91.446075686521226</v>
      </c>
      <c r="T87" s="62">
        <f t="shared" si="88"/>
        <v>440.88491337513091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27.50470821340646</v>
      </c>
      <c r="AA87" s="23">
        <f>EXP(-LN(2)/25)*AA86+(1-EXP(-LN(2)/25))/(LN(2)/25)*Calculateur!V87*Calculateur!X87*VLOOKUP('Données projet'!$B$9,Paramètres!$A$1:$I$89,3,0)*0.475*44/12</f>
        <v>4.500288062694394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32.004996276100854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96.226303286816062</v>
      </c>
      <c r="AO87" s="62">
        <f t="shared" si="90"/>
        <v>466.06545378903826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29.208539695652867</v>
      </c>
      <c r="AV87" s="23">
        <f>EXP(-LN(2)/25)*AV86+(1-EXP(-LN(2)/25))/(LN(2)/25)*Calculateur!AQ87*Calculateur!AS87*VLOOKUP('Données projet'!$B$10,Paramètres!$A$1:$I$89,3,0)*0.475*44/12</f>
        <v>4.7790669692329759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33.987606664885845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>
        <f>BD87*VLOOKUP('Données projet'!$B$11,Paramètres!$A$1:$I$89,3,0)*VLOOKUP('Données projet'!$B$11,Paramètres!$A$1:$I$89,5,0)</f>
        <v>0</v>
      </c>
      <c r="BF87" s="14" t="e">
        <f t="shared" si="91"/>
        <v>#NUM!</v>
      </c>
      <c r="BG87" s="22" t="e">
        <f t="shared" si="61"/>
        <v>#NUM!</v>
      </c>
      <c r="BH87" s="62" t="e">
        <f t="shared" si="62"/>
        <v>#NUM!</v>
      </c>
      <c r="BI87" s="62">
        <f ca="1">AVERAGE(OFFSET($BH$3,0,0,'Données projet'!$E$11+1,1))-AVERAGE(OFFSET($H$3,0,0,'Données projet'!$E$11+1,1))</f>
        <v>98.045647909910258</v>
      </c>
      <c r="BJ87" s="62">
        <f t="shared" si="92"/>
        <v>475.64984175055775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29.857618355556259</v>
      </c>
      <c r="BQ87" s="23">
        <f>EXP(-LN(2)/25)*BQ86+(1-EXP(-LN(2)/25))/(LN(2)/25)*Calculateur!BL87*Calculateur!BN87*VLOOKUP('Données projet'!$B$11,Paramètres!$A$1:$I$89,3,0)*0.475*44/12</f>
        <v>4.8852684574381566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34.742886812994414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91.446075686521226</v>
      </c>
      <c r="T88" s="62">
        <f t="shared" si="88"/>
        <v>440.88491337513091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26.965357661557054</v>
      </c>
      <c r="AA88" s="23">
        <f>EXP(-LN(2)/25)*AA87+(1-EXP(-LN(2)/25))/(LN(2)/25)*Calculateur!V88*Calculateur!X88*VLOOKUP('Données projet'!$B$9,Paramètres!$A$1:$I$89,3,0)*0.475*44/12</f>
        <v>4.3772274489601521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31.342585110517206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96.226303286816062</v>
      </c>
      <c r="AO88" s="62">
        <f t="shared" si="90"/>
        <v>466.06545378903826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28.635778047671199</v>
      </c>
      <c r="AV88" s="23">
        <f>EXP(-LN(2)/25)*AV87+(1-EXP(-LN(2)/25))/(LN(2)/25)*Calculateur!AQ88*Calculateur!AS88*VLOOKUP('Données projet'!$B$10,Paramètres!$A$1:$I$89,3,0)*0.475*44/12</f>
        <v>4.6483831316390907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33.284161179310289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>
        <f>BD88*VLOOKUP('Données projet'!$B$11,Paramètres!$A$1:$I$89,3,0)*VLOOKUP('Données projet'!$B$11,Paramètres!$A$1:$I$89,5,0)</f>
        <v>0</v>
      </c>
      <c r="BF88" s="14" t="e">
        <f t="shared" si="91"/>
        <v>#NUM!</v>
      </c>
      <c r="BG88" s="22" t="e">
        <f t="shared" si="61"/>
        <v>#NUM!</v>
      </c>
      <c r="BH88" s="62" t="e">
        <f t="shared" si="62"/>
        <v>#NUM!</v>
      </c>
      <c r="BI88" s="62">
        <f ca="1">AVERAGE(OFFSET($BH$3,0,0,'Données projet'!$E$11+1,1))-AVERAGE(OFFSET($H$3,0,0,'Données projet'!$E$11+1,1))</f>
        <v>98.045647909910258</v>
      </c>
      <c r="BJ88" s="62">
        <f t="shared" si="92"/>
        <v>475.64984175055775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29.272128670952775</v>
      </c>
      <c r="BQ88" s="23">
        <f>EXP(-LN(2)/25)*BQ87+(1-EXP(-LN(2)/25))/(LN(2)/25)*Calculateur!BL88*Calculateur!BN88*VLOOKUP('Données projet'!$B$11,Paramètres!$A$1:$I$89,3,0)*0.475*44/12</f>
        <v>4.7516805345644073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34.023809205517182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91.446075686521226</v>
      </c>
      <c r="T89" s="62">
        <f t="shared" si="88"/>
        <v>440.88491337513091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26.436583445058062</v>
      </c>
      <c r="AA89" s="23">
        <f>EXP(-LN(2)/25)*AA88+(1-EXP(-LN(2)/25))/(LN(2)/25)*Calculateur!V89*Calculateur!X89*VLOOKUP('Données projet'!$B$9,Paramètres!$A$1:$I$89,3,0)*0.475*44/12</f>
        <v>4.2575319341799496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30.694115379238013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96.226303286816062</v>
      </c>
      <c r="AO89" s="62">
        <f t="shared" si="90"/>
        <v>466.06545378903826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28.074247906256343</v>
      </c>
      <c r="AV89" s="23">
        <f>EXP(-LN(2)/25)*AV88+(1-EXP(-LN(2)/25))/(LN(2)/25)*Calculateur!AQ89*Calculateur!AS89*VLOOKUP('Données projet'!$B$10,Paramètres!$A$1:$I$89,3,0)*0.475*44/12</f>
        <v>4.5212728504565751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32.595520756712915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>
        <f>BD89*VLOOKUP('Données projet'!$B$11,Paramètres!$A$1:$I$89,3,0)*VLOOKUP('Données projet'!$B$11,Paramètres!$A$1:$I$89,5,0)</f>
        <v>0</v>
      </c>
      <c r="BF89" s="14" t="e">
        <f t="shared" si="91"/>
        <v>#NUM!</v>
      </c>
      <c r="BG89" s="22" t="e">
        <f t="shared" si="61"/>
        <v>#NUM!</v>
      </c>
      <c r="BH89" s="62" t="e">
        <f t="shared" si="62"/>
        <v>#NUM!</v>
      </c>
      <c r="BI89" s="62">
        <f ca="1">AVERAGE(OFFSET($BH$3,0,0,'Données projet'!$E$11+1,1))-AVERAGE(OFFSET($H$3,0,0,'Données projet'!$E$11+1,1))</f>
        <v>98.045647909910258</v>
      </c>
      <c r="BJ89" s="62">
        <f t="shared" si="92"/>
        <v>475.64984175055775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28.698120081950922</v>
      </c>
      <c r="BQ89" s="23">
        <f>EXP(-LN(2)/25)*BQ88+(1-EXP(-LN(2)/25))/(LN(2)/25)*Calculateur!BL89*Calculateur!BN89*VLOOKUP('Données projet'!$B$11,Paramètres!$A$1:$I$89,3,0)*0.475*44/12</f>
        <v>4.6217455804667242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33.319865662417648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91.446075686521226</v>
      </c>
      <c r="T90" s="62">
        <f t="shared" si="88"/>
        <v>440.88491337513091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25.918178168424191</v>
      </c>
      <c r="AA90" s="23">
        <f>EXP(-LN(2)/25)*AA89+(1-EXP(-LN(2)/25))/(LN(2)/25)*Calculateur!V90*Calculateur!X90*VLOOKUP('Données projet'!$B$9,Paramètres!$A$1:$I$89,3,0)*0.475*44/12</f>
        <v>4.1411094995459248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30.059287667970118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96.226303286816062</v>
      </c>
      <c r="AO90" s="62">
        <f t="shared" si="90"/>
        <v>466.06545378903826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27.523729028415062</v>
      </c>
      <c r="AV90" s="23">
        <f>EXP(-LN(2)/25)*AV89+(1-EXP(-LN(2)/25))/(LN(2)/25)*Calculateur!AQ90*Calculateur!AS90*VLOOKUP('Données projet'!$B$10,Paramètres!$A$1:$I$89,3,0)*0.475*44/12</f>
        <v>4.3976384065974345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31.921367435012495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>
        <f>BD90*VLOOKUP('Données projet'!$B$11,Paramètres!$A$1:$I$89,3,0)*VLOOKUP('Données projet'!$B$11,Paramètres!$A$1:$I$89,5,0)</f>
        <v>0</v>
      </c>
      <c r="BF90" s="14" t="e">
        <f t="shared" si="91"/>
        <v>#NUM!</v>
      </c>
      <c r="BG90" s="22" t="e">
        <f t="shared" si="61"/>
        <v>#NUM!</v>
      </c>
      <c r="BH90" s="62" t="e">
        <f t="shared" si="62"/>
        <v>#NUM!</v>
      </c>
      <c r="BI90" s="62">
        <f ca="1">AVERAGE(OFFSET($BH$3,0,0,'Données projet'!$E$11+1,1))-AVERAGE(OFFSET($H$3,0,0,'Données projet'!$E$11+1,1))</f>
        <v>98.045647909910258</v>
      </c>
      <c r="BJ90" s="62">
        <f t="shared" si="92"/>
        <v>475.64984175055775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28.135367451268724</v>
      </c>
      <c r="BQ90" s="23">
        <f>EXP(-LN(2)/25)*BQ89+(1-EXP(-LN(2)/25))/(LN(2)/25)*Calculateur!BL90*Calculateur!BN90*VLOOKUP('Données projet'!$B$11,Paramètres!$A$1:$I$89,3,0)*0.475*44/12</f>
        <v>4.4953637045218251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32.630731155790549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91.446075686521226</v>
      </c>
      <c r="T91" s="62">
        <f t="shared" si="88"/>
        <v>440.88491337513091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25.409938503069114</v>
      </c>
      <c r="AA91" s="23">
        <f>EXP(-LN(2)/25)*AA90+(1-EXP(-LN(2)/25))/(LN(2)/25)*Calculateur!V91*Calculateur!X91*VLOOKUP('Données projet'!$B$9,Paramètres!$A$1:$I$89,3,0)*0.475*44/12</f>
        <v>4.0278706425093578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29.43780914557847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96.226303286816062</v>
      </c>
      <c r="AO91" s="62">
        <f t="shared" si="90"/>
        <v>466.06545378903826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26.984005489984892</v>
      </c>
      <c r="AV91" s="23">
        <f>EXP(-LN(2)/25)*AV90+(1-EXP(-LN(2)/25))/(LN(2)/25)*Calculateur!AQ91*Calculateur!AS91*VLOOKUP('Données projet'!$B$10,Paramètres!$A$1:$I$89,3,0)*0.475*44/12</f>
        <v>4.2773847531072748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31.261390243092166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>
        <f>BD91*VLOOKUP('Données projet'!$B$11,Paramètres!$A$1:$I$89,3,0)*VLOOKUP('Données projet'!$B$11,Paramètres!$A$1:$I$89,5,0)</f>
        <v>0</v>
      </c>
      <c r="BF91" s="14" t="e">
        <f t="shared" si="91"/>
        <v>#NUM!</v>
      </c>
      <c r="BG91" s="22" t="e">
        <f t="shared" si="61"/>
        <v>#NUM!</v>
      </c>
      <c r="BH91" s="62" t="e">
        <f t="shared" si="62"/>
        <v>#NUM!</v>
      </c>
      <c r="BI91" s="62">
        <f ca="1">AVERAGE(OFFSET($BH$3,0,0,'Données projet'!$E$11+1,1))-AVERAGE(OFFSET($H$3,0,0,'Données projet'!$E$11+1,1))</f>
        <v>98.045647909910258</v>
      </c>
      <c r="BJ91" s="62">
        <f t="shared" si="92"/>
        <v>475.64984175055775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27.583650056428993</v>
      </c>
      <c r="BQ91" s="23">
        <f>EXP(-LN(2)/25)*BQ90+(1-EXP(-LN(2)/25))/(LN(2)/25)*Calculateur!BL91*Calculateur!BN91*VLOOKUP('Données projet'!$B$11,Paramètres!$A$1:$I$89,3,0)*0.475*44/12</f>
        <v>4.372437747620773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31.956087804049766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91.446075686521226</v>
      </c>
      <c r="T92" s="62">
        <f t="shared" si="88"/>
        <v>440.88491337513091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24.911665107556061</v>
      </c>
      <c r="AA92" s="23">
        <f>EXP(-LN(2)/25)*AA91+(1-EXP(-LN(2)/25))/(LN(2)/25)*Calculateur!V92*Calculateur!X92*VLOOKUP('Données projet'!$B$9,Paramètres!$A$1:$I$89,3,0)*0.475*44/12</f>
        <v>3.917728307973428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28.829393415529488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96.226303286816062</v>
      </c>
      <c r="AO92" s="62">
        <f t="shared" si="90"/>
        <v>466.06545378903826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26.454865600944483</v>
      </c>
      <c r="AV92" s="23">
        <f>EXP(-LN(2)/25)*AV91+(1-EXP(-LN(2)/25))/(LN(2)/25)*Calculateur!AQ92*Calculateur!AS92*VLOOKUP('Données projet'!$B$10,Paramètres!$A$1:$I$89,3,0)*0.475*44/12</f>
        <v>4.1604194420956686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30.615285043040153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>
        <f>BD92*VLOOKUP('Données projet'!$B$11,Paramètres!$A$1:$I$89,3,0)*VLOOKUP('Données projet'!$B$11,Paramètres!$A$1:$I$89,5,0)</f>
        <v>0</v>
      </c>
      <c r="BF92" s="14" t="e">
        <f t="shared" si="91"/>
        <v>#NUM!</v>
      </c>
      <c r="BG92" s="22" t="e">
        <f t="shared" si="61"/>
        <v>#NUM!</v>
      </c>
      <c r="BH92" s="62" t="e">
        <f t="shared" si="62"/>
        <v>#NUM!</v>
      </c>
      <c r="BI92" s="62">
        <f ca="1">AVERAGE(OFFSET($BH$3,0,0,'Données projet'!$E$11+1,1))-AVERAGE(OFFSET($H$3,0,0,'Données projet'!$E$11+1,1))</f>
        <v>98.045647909910258</v>
      </c>
      <c r="BJ92" s="62">
        <f t="shared" si="92"/>
        <v>475.64984175055775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27.042751503187688</v>
      </c>
      <c r="BQ92" s="23">
        <f>EXP(-LN(2)/25)*BQ91+(1-EXP(-LN(2)/25))/(LN(2)/25)*Calculateur!BL92*Calculateur!BN92*VLOOKUP('Données projet'!$B$11,Paramètres!$A$1:$I$89,3,0)*0.475*44/12</f>
        <v>4.2528732074755755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31.295624710663262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91.446075686521226</v>
      </c>
      <c r="T93" s="62">
        <f t="shared" si="88"/>
        <v>440.88491337513091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24.423162549412258</v>
      </c>
      <c r="AA93" s="23">
        <f>EXP(-LN(2)/25)*AA92+(1-EXP(-LN(2)/25))/(LN(2)/25)*Calculateur!V93*Calculateur!X93*VLOOKUP('Données projet'!$B$9,Paramètres!$A$1:$I$89,3,0)*0.475*44/12</f>
        <v>3.8105978213675171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28.233760370779773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96.226303286816062</v>
      </c>
      <c r="AO93" s="62">
        <f t="shared" si="90"/>
        <v>466.06545378903826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25.936101822384693</v>
      </c>
      <c r="AV93" s="23">
        <f>EXP(-LN(2)/25)*AV92+(1-EXP(-LN(2)/25))/(LN(2)/25)*Calculateur!AQ93*Calculateur!AS93*VLOOKUP('Données projet'!$B$10,Paramètres!$A$1:$I$89,3,0)*0.475*44/12</f>
        <v>4.0466525536646127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29.982754376049307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>
        <f>BD93*VLOOKUP('Données projet'!$B$11,Paramètres!$A$1:$I$89,3,0)*VLOOKUP('Données projet'!$B$11,Paramètres!$A$1:$I$89,5,0)</f>
        <v>0</v>
      </c>
      <c r="BF93" s="14" t="e">
        <f t="shared" si="91"/>
        <v>#NUM!</v>
      </c>
      <c r="BG93" s="22" t="e">
        <f t="shared" si="61"/>
        <v>#NUM!</v>
      </c>
      <c r="BH93" s="62" t="e">
        <f t="shared" si="62"/>
        <v>#NUM!</v>
      </c>
      <c r="BI93" s="62">
        <f ca="1">AVERAGE(OFFSET($BH$3,0,0,'Données projet'!$E$11+1,1))-AVERAGE(OFFSET($H$3,0,0,'Données projet'!$E$11+1,1))</f>
        <v>98.045647909910258</v>
      </c>
      <c r="BJ93" s="62">
        <f t="shared" si="92"/>
        <v>475.64984175055775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26.512459640659902</v>
      </c>
      <c r="BQ93" s="23">
        <f>EXP(-LN(2)/25)*BQ92+(1-EXP(-LN(2)/25))/(LN(2)/25)*Calculateur!BL93*Calculateur!BN93*VLOOKUP('Données projet'!$B$11,Paramètres!$A$1:$I$89,3,0)*0.475*44/12</f>
        <v>4.1365781659682739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30.649037806628176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91.446075686521226</v>
      </c>
      <c r="T94" s="62">
        <f t="shared" si="88"/>
        <v>440.88491337513091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23.944239228476516</v>
      </c>
      <c r="AA94" s="23">
        <f>EXP(-LN(2)/25)*AA93+(1-EXP(-LN(2)/25))/(LN(2)/25)*Calculateur!V94*Calculateur!X94*VLOOKUP('Données projet'!$B$9,Paramètres!$A$1:$I$89,3,0)*0.475*44/12</f>
        <v>3.7063968235515921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27.650636052028108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96.226303286816062</v>
      </c>
      <c r="AO94" s="62">
        <f t="shared" si="90"/>
        <v>466.06545378903826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25.427510685107798</v>
      </c>
      <c r="AV94" s="23">
        <f>EXP(-LN(2)/25)*AV93+(1-EXP(-LN(2)/25))/(LN(2)/25)*Calculateur!AQ94*Calculateur!AS94*VLOOKUP('Données projet'!$B$10,Paramètres!$A$1:$I$89,3,0)*0.475*44/12</f>
        <v>3.9359966267804447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29.363507311888242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>
        <f>BD94*VLOOKUP('Données projet'!$B$11,Paramètres!$A$1:$I$89,3,0)*VLOOKUP('Données projet'!$B$11,Paramètres!$A$1:$I$89,5,0)</f>
        <v>0</v>
      </c>
      <c r="BF94" s="14" t="e">
        <f t="shared" si="91"/>
        <v>#NUM!</v>
      </c>
      <c r="BG94" s="22" t="e">
        <f t="shared" si="61"/>
        <v>#NUM!</v>
      </c>
      <c r="BH94" s="62" t="e">
        <f t="shared" si="62"/>
        <v>#NUM!</v>
      </c>
      <c r="BI94" s="62">
        <f ca="1">AVERAGE(OFFSET($BH$3,0,0,'Données projet'!$E$11+1,1))-AVERAGE(OFFSET($H$3,0,0,'Données projet'!$E$11+1,1))</f>
        <v>98.045647909910258</v>
      </c>
      <c r="BJ94" s="62">
        <f t="shared" si="92"/>
        <v>475.64984175055775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25.992566478110188</v>
      </c>
      <c r="BQ94" s="23">
        <f>EXP(-LN(2)/25)*BQ93+(1-EXP(-LN(2)/25))/(LN(2)/25)*Calculateur!BL94*Calculateur!BN94*VLOOKUP('Données projet'!$B$11,Paramètres!$A$1:$I$89,3,0)*0.475*44/12</f>
        <v>4.0234632184866799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30.016029696596867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91.446075686521226</v>
      </c>
      <c r="T95" s="62">
        <f t="shared" si="88"/>
        <v>440.88491337513091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23.474707301749941</v>
      </c>
      <c r="AA95" s="23">
        <f>EXP(-LN(2)/25)*AA94+(1-EXP(-LN(2)/25))/(LN(2)/25)*Calculateur!V95*Calculateur!X95*VLOOKUP('Données projet'!$B$9,Paramètres!$A$1:$I$89,3,0)*0.475*44/12</f>
        <v>3.6050452075006358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27.079752509250575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96.226303286816062</v>
      </c>
      <c r="AO95" s="62">
        <f t="shared" si="90"/>
        <v>466.06545378903826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24.928892709822939</v>
      </c>
      <c r="AV95" s="23">
        <f>EXP(-LN(2)/25)*AV94+(1-EXP(-LN(2)/25))/(LN(2)/25)*Calculateur!AQ95*Calculateur!AS95*VLOOKUP('Données projet'!$B$10,Paramètres!$A$1:$I$89,3,0)*0.475*44/12</f>
        <v>3.8283665920360668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28.757259301859005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>
        <f>BD95*VLOOKUP('Données projet'!$B$11,Paramètres!$A$1:$I$89,3,0)*VLOOKUP('Données projet'!$B$11,Paramètres!$A$1:$I$89,5,0)</f>
        <v>0</v>
      </c>
      <c r="BF95" s="14" t="e">
        <f t="shared" si="91"/>
        <v>#NUM!</v>
      </c>
      <c r="BG95" s="22" t="e">
        <f t="shared" si="61"/>
        <v>#NUM!</v>
      </c>
      <c r="BH95" s="62" t="e">
        <f t="shared" si="62"/>
        <v>#NUM!</v>
      </c>
      <c r="BI95" s="62">
        <f ca="1">AVERAGE(OFFSET($BH$3,0,0,'Données projet'!$E$11+1,1))-AVERAGE(OFFSET($H$3,0,0,'Données projet'!$E$11+1,1))</f>
        <v>98.045647909910258</v>
      </c>
      <c r="BJ95" s="62">
        <f t="shared" si="92"/>
        <v>475.64984175055775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25.482868103374557</v>
      </c>
      <c r="BQ95" s="23">
        <f>EXP(-LN(2)/25)*BQ94+(1-EXP(-LN(2)/25))/(LN(2)/25)*Calculateur!BL95*Calculateur!BN95*VLOOKUP('Données projet'!$B$11,Paramètres!$A$1:$I$89,3,0)*0.475*44/12</f>
        <v>3.9134414051924269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29.396309508566983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91.446075686521226</v>
      </c>
      <c r="T96" s="62">
        <f t="shared" si="88"/>
        <v>440.88491337513091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23.014382609720279</v>
      </c>
      <c r="AA96" s="23">
        <f>EXP(-LN(2)/25)*AA95+(1-EXP(-LN(2)/25))/(LN(2)/25)*Calculateur!V96*Calculateur!X96*VLOOKUP('Données projet'!$B$9,Paramètres!$A$1:$I$89,3,0)*0.475*44/12</f>
        <v>3.506465056720443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26.520847666440723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96.226303286816062</v>
      </c>
      <c r="AO96" s="62">
        <f t="shared" si="90"/>
        <v>466.06545378903826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24.440052328906482</v>
      </c>
      <c r="AV96" s="23">
        <f>EXP(-LN(2)/25)*AV95+(1-EXP(-LN(2)/25))/(LN(2)/25)*Calculateur!AQ96*Calculateur!AS96*VLOOKUP('Données projet'!$B$10,Paramètres!$A$1:$I$89,3,0)*0.475*44/12</f>
        <v>3.7236797062517915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28.163732035158272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>
        <f>BD96*VLOOKUP('Données projet'!$B$11,Paramètres!$A$1:$I$89,3,0)*VLOOKUP('Données projet'!$B$11,Paramètres!$A$1:$I$89,5,0)</f>
        <v>0</v>
      </c>
      <c r="BF96" s="14" t="e">
        <f t="shared" si="91"/>
        <v>#NUM!</v>
      </c>
      <c r="BG96" s="22" t="e">
        <f t="shared" si="61"/>
        <v>#NUM!</v>
      </c>
      <c r="BH96" s="62" t="e">
        <f t="shared" si="62"/>
        <v>#NUM!</v>
      </c>
      <c r="BI96" s="62">
        <f ca="1">AVERAGE(OFFSET($BH$3,0,0,'Données projet'!$E$11+1,1))-AVERAGE(OFFSET($H$3,0,0,'Données projet'!$E$11+1,1))</f>
        <v>98.045647909910258</v>
      </c>
      <c r="BJ96" s="62">
        <f t="shared" si="92"/>
        <v>475.64984175055775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24.98316460288218</v>
      </c>
      <c r="BQ96" s="23">
        <f>EXP(-LN(2)/25)*BQ95+(1-EXP(-LN(2)/25))/(LN(2)/25)*Calculateur!BL96*Calculateur!BN96*VLOOKUP('Données projet'!$B$11,Paramètres!$A$1:$I$89,3,0)*0.475*44/12</f>
        <v>3.8064281441685006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28.78959274705068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91.446075686521226</v>
      </c>
      <c r="T97" s="62">
        <f t="shared" si="88"/>
        <v>440.88491337513091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22.563084604130978</v>
      </c>
      <c r="AA97" s="23">
        <f>EXP(-LN(2)/25)*AA96+(1-EXP(-LN(2)/25))/(LN(2)/25)*Calculateur!V97*Calculateur!X97*VLOOKUP('Données projet'!$B$9,Paramètres!$A$1:$I$89,3,0)*0.475*44/12</f>
        <v>3.4105805853474394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25.973665189478417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96.226303286816062</v>
      </c>
      <c r="AO97" s="62">
        <f t="shared" si="90"/>
        <v>466.06545378903826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23.960797809696608</v>
      </c>
      <c r="AV97" s="23">
        <f>EXP(-LN(2)/25)*AV96+(1-EXP(-LN(2)/25))/(LN(2)/25)*Calculateur!AQ97*Calculateur!AS97*VLOOKUP('Données projet'!$B$10,Paramètres!$A$1:$I$89,3,0)*0.475*44/12</f>
        <v>3.6218554888645311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27.582653298561141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>
        <f>BD97*VLOOKUP('Données projet'!$B$11,Paramètres!$A$1:$I$89,3,0)*VLOOKUP('Données projet'!$B$11,Paramètres!$A$1:$I$89,5,0)</f>
        <v>0</v>
      </c>
      <c r="BF97" s="14" t="e">
        <f t="shared" si="91"/>
        <v>#NUM!</v>
      </c>
      <c r="BG97" s="22" t="e">
        <f t="shared" si="61"/>
        <v>#NUM!</v>
      </c>
      <c r="BH97" s="62" t="e">
        <f t="shared" si="62"/>
        <v>#NUM!</v>
      </c>
      <c r="BI97" s="62">
        <f ca="1">AVERAGE(OFFSET($BH$3,0,0,'Données projet'!$E$11+1,1))-AVERAGE(OFFSET($H$3,0,0,'Données projet'!$E$11+1,1))</f>
        <v>98.045647909910258</v>
      </c>
      <c r="BJ97" s="62">
        <f t="shared" si="92"/>
        <v>475.64984175055775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24.493259983245419</v>
      </c>
      <c r="BQ97" s="23">
        <f>EXP(-LN(2)/25)*BQ96+(1-EXP(-LN(2)/25))/(LN(2)/25)*Calculateur!BL97*Calculateur!BN97*VLOOKUP('Données projet'!$B$11,Paramètres!$A$1:$I$89,3,0)*0.475*44/12</f>
        <v>3.7023411663948567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28.195601149640275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91.446075686521226</v>
      </c>
      <c r="T98" s="62">
        <f t="shared" si="88"/>
        <v>440.88491337513091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22.120636277166682</v>
      </c>
      <c r="AA98" s="23">
        <f>EXP(-LN(2)/25)*AA97+(1-EXP(-LN(2)/25))/(LN(2)/25)*Calculateur!V98*Calculateur!X98*VLOOKUP('Données projet'!$B$9,Paramètres!$A$1:$I$89,3,0)*0.475*44/12</f>
        <v>3.3173180798864754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25.437954357053158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96.226303286816062</v>
      </c>
      <c r="AO98" s="62">
        <f t="shared" si="90"/>
        <v>466.06545378903826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23.490941179292044</v>
      </c>
      <c r="AV98" s="23">
        <f>EXP(-LN(2)/25)*AV97+(1-EXP(-LN(2)/25))/(LN(2)/25)*Calculateur!AQ98*Calculateur!AS98*VLOOKUP('Données projet'!$B$10,Paramètres!$A$1:$I$89,3,0)*0.475*44/12</f>
        <v>3.5228156600564282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27.013756839348471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>
        <f>BD98*VLOOKUP('Données projet'!$B$11,Paramètres!$A$1:$I$89,3,0)*VLOOKUP('Données projet'!$B$11,Paramètres!$A$1:$I$89,5,0)</f>
        <v>0</v>
      </c>
      <c r="BF98" s="14" t="e">
        <f t="shared" si="91"/>
        <v>#NUM!</v>
      </c>
      <c r="BG98" s="22" t="e">
        <f t="shared" si="61"/>
        <v>#NUM!</v>
      </c>
      <c r="BH98" s="62" t="e">
        <f t="shared" si="62"/>
        <v>#NUM!</v>
      </c>
      <c r="BI98" s="62">
        <f ca="1">AVERAGE(OFFSET($BH$3,0,0,'Données projet'!$E$11+1,1))-AVERAGE(OFFSET($H$3,0,0,'Données projet'!$E$11+1,1))</f>
        <v>98.045647909910258</v>
      </c>
      <c r="BJ98" s="62">
        <f t="shared" si="92"/>
        <v>475.64984175055775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24.012962094387422</v>
      </c>
      <c r="BQ98" s="23">
        <f>EXP(-LN(2)/25)*BQ97+(1-EXP(-LN(2)/25))/(LN(2)/25)*Calculateur!BL98*Calculateur!BN98*VLOOKUP('Données projet'!$B$11,Paramètres!$A$1:$I$89,3,0)*0.475*44/12</f>
        <v>3.6011004525021293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27.614062546889553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91.446075686521226</v>
      </c>
      <c r="T99" s="62">
        <f t="shared" si="88"/>
        <v>440.88491337513091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21.686864092027324</v>
      </c>
      <c r="AA99" s="23">
        <f>EXP(-LN(2)/25)*AA98+(1-EXP(-LN(2)/25))/(LN(2)/25)*Calculateur!V99*Calculateur!X99*VLOOKUP('Données projet'!$B$9,Paramètres!$A$1:$I$89,3,0)*0.475*44/12</f>
        <v>3.2266058425418036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24.913469934569129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96.226303286816062</v>
      </c>
      <c r="AO99" s="62">
        <f t="shared" si="90"/>
        <v>466.06545378903826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23.030298150825466</v>
      </c>
      <c r="AV99" s="23">
        <f>EXP(-LN(2)/25)*AV98+(1-EXP(-LN(2)/25))/(LN(2)/25)*Calculateur!AQ99*Calculateur!AS99*VLOOKUP('Données projet'!$B$10,Paramètres!$A$1:$I$89,3,0)*0.475*44/12</f>
        <v>3.4264840805753609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26.456782231400826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>
        <f>BD99*VLOOKUP('Données projet'!$B$11,Paramètres!$A$1:$I$89,3,0)*VLOOKUP('Données projet'!$B$11,Paramètres!$A$1:$I$89,5,0)</f>
        <v>0</v>
      </c>
      <c r="BF99" s="14" t="e">
        <f t="shared" si="91"/>
        <v>#NUM!</v>
      </c>
      <c r="BG99" s="22" t="e">
        <f t="shared" si="61"/>
        <v>#NUM!</v>
      </c>
      <c r="BH99" s="62" t="e">
        <f t="shared" si="62"/>
        <v>#NUM!</v>
      </c>
      <c r="BI99" s="62">
        <f ca="1">AVERAGE(OFFSET($BH$3,0,0,'Données projet'!$E$11+1,1))-AVERAGE(OFFSET($H$3,0,0,'Données projet'!$E$11+1,1))</f>
        <v>98.045647909910258</v>
      </c>
      <c r="BJ99" s="62">
        <f t="shared" si="92"/>
        <v>475.64984175055775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23.542082554177146</v>
      </c>
      <c r="BQ99" s="23">
        <f>EXP(-LN(2)/25)*BQ98+(1-EXP(-LN(2)/25))/(LN(2)/25)*Calculateur!BL99*Calculateur!BN99*VLOOKUP('Données projet'!$B$11,Paramètres!$A$1:$I$89,3,0)*0.475*44/12</f>
        <v>3.5026281712548162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27.044710725431962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91.446075686521226</v>
      </c>
      <c r="T100" s="62">
        <f t="shared" si="88"/>
        <v>440.88491337513091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21.261597914863639</v>
      </c>
      <c r="AA100" s="23">
        <f>EXP(-LN(2)/25)*AA99+(1-EXP(-LN(2)/25))/(LN(2)/25)*Calculateur!V100*Calculateur!X100*VLOOKUP('Données projet'!$B$9,Paramètres!$A$1:$I$89,3,0)*0.475*44/12</f>
        <v>3.1383741360976711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24.39997205096131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96.226303286816062</v>
      </c>
      <c r="AO100" s="62">
        <f t="shared" si="90"/>
        <v>466.06545378903826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22.578688051182617</v>
      </c>
      <c r="AV100" s="23">
        <f>EXP(-LN(2)/25)*AV99+(1-EXP(-LN(2)/25))/(LN(2)/25)*Calculateur!AQ100*Calculateur!AS100*VLOOKUP('Données projet'!$B$10,Paramètres!$A$1:$I$89,3,0)*0.475*44/12</f>
        <v>3.332786693201061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25.911474744383678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>
        <f>BD100*VLOOKUP('Données projet'!$B$11,Paramètres!$A$1:$I$89,3,0)*VLOOKUP('Données projet'!$B$11,Paramètres!$A$1:$I$89,5,0)</f>
        <v>0</v>
      </c>
      <c r="BF100" s="14" t="e">
        <f t="shared" si="91"/>
        <v>#NUM!</v>
      </c>
      <c r="BG100" s="22" t="e">
        <f t="shared" si="61"/>
        <v>#NUM!</v>
      </c>
      <c r="BH100" s="62" t="e">
        <f t="shared" si="62"/>
        <v>#NUM!</v>
      </c>
      <c r="BI100" s="62">
        <f ca="1">AVERAGE(OFFSET($BH$3,0,0,'Données projet'!$E$11+1,1))-AVERAGE(OFFSET($H$3,0,0,'Données projet'!$E$11+1,1))</f>
        <v>98.045647909910258</v>
      </c>
      <c r="BJ100" s="62">
        <f t="shared" si="92"/>
        <v>475.64984175055775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23.080436674542231</v>
      </c>
      <c r="BQ100" s="23">
        <f>EXP(-LN(2)/25)*BQ99+(1-EXP(-LN(2)/25))/(LN(2)/25)*Calculateur!BL100*Calculateur!BN100*VLOOKUP('Données projet'!$B$11,Paramètres!$A$1:$I$89,3,0)*0.475*44/12</f>
        <v>3.406848619716643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26.487285294258875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91.446075686521226</v>
      </c>
      <c r="T101" s="62">
        <f t="shared" si="88"/>
        <v>440.88491337513091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20.84467094804738</v>
      </c>
      <c r="AA101" s="23">
        <f>EXP(-LN(2)/25)*AA100+(1-EXP(-LN(2)/25))/(LN(2)/25)*Calculateur!V101*Calculateur!X101*VLOOKUP('Données projet'!$B$9,Paramètres!$A$1:$I$89,3,0)*0.475*44/12</f>
        <v>3.0525551303061573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23.897226078353537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96.226303286816062</v>
      </c>
      <c r="AO101" s="62">
        <f t="shared" si="90"/>
        <v>466.06545378903826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22.1359337501388</v>
      </c>
      <c r="AV101" s="23">
        <f>EXP(-LN(2)/25)*AV100+(1-EXP(-LN(2)/25))/(LN(2)/25)*Calculateur!AQ101*Calculateur!AS101*VLOOKUP('Données projet'!$B$10,Paramètres!$A$1:$I$89,3,0)*0.475*44/12</f>
        <v>3.2416514658118429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25.377585215950642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>
        <f>BD101*VLOOKUP('Données projet'!$B$11,Paramètres!$A$1:$I$89,3,0)*VLOOKUP('Données projet'!$B$11,Paramètres!$A$1:$I$89,5,0)</f>
        <v>0</v>
      </c>
      <c r="BF101" s="14" t="e">
        <f t="shared" si="91"/>
        <v>#NUM!</v>
      </c>
      <c r="BG101" s="22" t="e">
        <f t="shared" si="61"/>
        <v>#NUM!</v>
      </c>
      <c r="BH101" s="62" t="e">
        <f t="shared" si="62"/>
        <v>#NUM!</v>
      </c>
      <c r="BI101" s="62">
        <f ca="1">AVERAGE(OFFSET($BH$3,0,0,'Données projet'!$E$11+1,1))-AVERAGE(OFFSET($H$3,0,0,'Données projet'!$E$11+1,1))</f>
        <v>98.045647909910258</v>
      </c>
      <c r="BJ101" s="62">
        <f t="shared" si="92"/>
        <v>475.64984175055775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22.627843389030772</v>
      </c>
      <c r="BQ101" s="23">
        <f>EXP(-LN(2)/25)*BQ100+(1-EXP(-LN(2)/25))/(LN(2)/25)*Calculateur!BL101*Calculateur!BN101*VLOOKUP('Données projet'!$B$11,Paramètres!$A$1:$I$89,3,0)*0.475*44/12</f>
        <v>3.3136881650521088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25.941531554082882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91.446075686521226</v>
      </c>
      <c r="T102" s="62">
        <f t="shared" si="88"/>
        <v>440.88491337513091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20.435919664750045</v>
      </c>
      <c r="AA102" s="23">
        <f>EXP(-LN(2)/25)*AA101+(1-EXP(-LN(2)/25))/(LN(2)/25)*Calculateur!V102*Calculateur!X102*VLOOKUP('Données projet'!$B$9,Paramètres!$A$1:$I$89,3,0)*0.475*44/12</f>
        <v>2.9690828497410378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23.405002514491084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96.226303286816062</v>
      </c>
      <c r="AO102" s="62">
        <f t="shared" si="90"/>
        <v>466.06545378903826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21.701861590884995</v>
      </c>
      <c r="AV102" s="23">
        <f>EXP(-LN(2)/25)*AV101+(1-EXP(-LN(2)/25))/(LN(2)/25)*Calculateur!AQ102*Calculateur!AS102*VLOOKUP('Données projet'!$B$10,Paramètres!$A$1:$I$89,3,0)*0.475*44/12</f>
        <v>3.1530083360081762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24.854869926893173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>
        <f>BD102*VLOOKUP('Données projet'!$B$11,Paramètres!$A$1:$I$89,3,0)*VLOOKUP('Données projet'!$B$11,Paramètres!$A$1:$I$89,5,0)</f>
        <v>0</v>
      </c>
      <c r="BF102" s="14" t="e">
        <f t="shared" si="91"/>
        <v>#NUM!</v>
      </c>
      <c r="BG102" s="22" t="e">
        <f t="shared" si="61"/>
        <v>#NUM!</v>
      </c>
      <c r="BH102" s="62" t="e">
        <f t="shared" si="62"/>
        <v>#NUM!</v>
      </c>
      <c r="BI102" s="62">
        <f ca="1">AVERAGE(OFFSET($BH$3,0,0,'Données projet'!$E$11+1,1))-AVERAGE(OFFSET($H$3,0,0,'Données projet'!$E$11+1,1))</f>
        <v>98.045647909910258</v>
      </c>
      <c r="BJ102" s="62">
        <f t="shared" si="92"/>
        <v>475.64984175055775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22.184125181793551</v>
      </c>
      <c r="BQ102" s="23">
        <f>EXP(-LN(2)/25)*BQ101+(1-EXP(-LN(2)/25))/(LN(2)/25)*Calculateur!BL102*Calculateur!BN102*VLOOKUP('Données projet'!$B$11,Paramètres!$A$1:$I$89,3,0)*0.475*44/12</f>
        <v>3.2230751879194717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25.407200369713024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91.446075686521226</v>
      </c>
      <c r="T103" s="62">
        <f t="shared" si="88"/>
        <v>440.88491337513091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20.035183744804506</v>
      </c>
      <c r="AA103" s="23">
        <f>EXP(-LN(2)/25)*AA102+(1-EXP(-LN(2)/25))/(LN(2)/25)*Calculateur!V103*Calculateur!X103*VLOOKUP('Données projet'!$B$9,Paramètres!$A$1:$I$89,3,0)*0.475*44/12</f>
        <v>2.8878931230775877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22.923076867882095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96.226303286816062</v>
      </c>
      <c r="AO103" s="62">
        <f t="shared" si="90"/>
        <v>466.06545378903826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21.276301321916282</v>
      </c>
      <c r="AV103" s="23">
        <f>EXP(-LN(2)/25)*AV102+(1-EXP(-LN(2)/25))/(LN(2)/25)*Calculateur!AQ103*Calculateur!AS103*VLOOKUP('Données projet'!$B$10,Paramètres!$A$1:$I$89,3,0)*0.475*44/12</f>
        <v>3.0667891572505304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24.343090479166811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>
        <f>BD103*VLOOKUP('Données projet'!$B$11,Paramètres!$A$1:$I$89,3,0)*VLOOKUP('Données projet'!$B$11,Paramètres!$A$1:$I$89,5,0)</f>
        <v>0</v>
      </c>
      <c r="BF103" s="14" t="e">
        <f t="shared" si="91"/>
        <v>#NUM!</v>
      </c>
      <c r="BG103" s="22" t="e">
        <f t="shared" si="61"/>
        <v>#NUM!</v>
      </c>
      <c r="BH103" s="62" t="e">
        <f t="shared" si="62"/>
        <v>#NUM!</v>
      </c>
      <c r="BI103" s="62">
        <f ca="1">AVERAGE(OFFSET($BH$3,0,0,'Données projet'!$E$11+1,1))-AVERAGE(OFFSET($H$3,0,0,'Données projet'!$E$11+1,1))</f>
        <v>98.045647909910258</v>
      </c>
      <c r="BJ103" s="62">
        <f t="shared" si="92"/>
        <v>475.64984175055775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21.749108017958868</v>
      </c>
      <c r="BQ103" s="23">
        <f>EXP(-LN(2)/25)*BQ102+(1-EXP(-LN(2)/25))/(LN(2)/25)*Calculateur!BL103*Calculateur!BN103*VLOOKUP('Données projet'!$B$11,Paramètres!$A$1:$I$89,3,0)*0.475*44/12</f>
        <v>3.1349400274116559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24.884048045370523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91.446075686521226</v>
      </c>
      <c r="T104" s="62">
        <f t="shared" si="88"/>
        <v>440.88491337513091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19.642306011824324</v>
      </c>
      <c r="AA104" s="23">
        <f>EXP(-LN(2)/25)*AA103+(1-EXP(-LN(2)/25))/(LN(2)/25)*Calculateur!V104*Calculateur!X104*VLOOKUP('Données projet'!$B$9,Paramètres!$A$1:$I$89,3,0)*0.475*44/12</f>
        <v>2.8089235337593319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22.451229545583658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96.226303286816062</v>
      </c>
      <c r="AO104" s="62">
        <f t="shared" si="90"/>
        <v>466.06545378903826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20.859086030255913</v>
      </c>
      <c r="AV104" s="23">
        <f>EXP(-LN(2)/25)*AV103+(1-EXP(-LN(2)/25))/(LN(2)/25)*Calculateur!AQ104*Calculateur!AS104*VLOOKUP('Données projet'!$B$10,Paramètres!$A$1:$I$89,3,0)*0.475*44/12</f>
        <v>2.982927646470082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23.842013676725994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>
        <f>BD104*VLOOKUP('Données projet'!$B$11,Paramètres!$A$1:$I$89,3,0)*VLOOKUP('Données projet'!$B$11,Paramètres!$A$1:$I$89,5,0)</f>
        <v>0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98.045647909910258</v>
      </c>
      <c r="BJ104" s="62">
        <f t="shared" si="92"/>
        <v>475.64984175055775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21.322621275372711</v>
      </c>
      <c r="BQ104" s="23">
        <f>EXP(-LN(2)/25)*BQ103+(1-EXP(-LN(2)/25))/(LN(2)/25)*Calculateur!BL104*Calculateur!BN104*VLOOKUP('Données projet'!$B$11,Paramètres!$A$1:$I$89,3,0)*0.475*44/12</f>
        <v>3.0492149275027529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24.371836202875464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91.446075686521226</v>
      </c>
      <c r="T105" s="62">
        <f t="shared" si="88"/>
        <v>440.88491337513091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19.257132371556128</v>
      </c>
      <c r="AA105" s="23">
        <f>EXP(-LN(2)/25)*AA104+(1-EXP(-LN(2)/25))/(LN(2)/25)*Calculateur!V105*Calculateur!X105*VLOOKUP('Données projet'!$B$9,Paramètres!$A$1:$I$89,3,0)*0.475*44/12</f>
        <v>2.7321133720138144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21.989245743569942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96.226303286816062</v>
      </c>
      <c r="AO105" s="62">
        <f t="shared" si="90"/>
        <v>466.06545378903826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20.4500520759888</v>
      </c>
      <c r="AV105" s="23">
        <f>EXP(-LN(2)/25)*AV104+(1-EXP(-LN(2)/25))/(LN(2)/25)*Calculateur!AQ105*Calculateur!AS105*VLOOKUP('Données projet'!$B$10,Paramètres!$A$1:$I$89,3,0)*0.475*44/12</f>
        <v>2.9013593331120102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23.351411409100812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>
        <f>BD105*VLOOKUP('Données projet'!$B$11,Paramètres!$A$1:$I$89,3,0)*VLOOKUP('Données projet'!$B$11,Paramètres!$A$1:$I$89,5,0)</f>
        <v>0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98.045647909910258</v>
      </c>
      <c r="BJ105" s="62">
        <f t="shared" si="92"/>
        <v>475.64984175055775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20.904497677677444</v>
      </c>
      <c r="BQ105" s="23">
        <f>EXP(-LN(2)/25)*BQ104+(1-EXP(-LN(2)/25))/(LN(2)/25)*Calculateur!BL105*Calculateur!BN105*VLOOKUP('Données projet'!$B$11,Paramètres!$A$1:$I$89,3,0)*0.475*44/12</f>
        <v>2.9658339849589463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23.870331662636389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91.446075686521226</v>
      </c>
      <c r="T106" s="62">
        <f t="shared" si="88"/>
        <v>440.88491337513091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18.879511751440869</v>
      </c>
      <c r="AA106" s="23">
        <f>EXP(-LN(2)/25)*AA105+(1-EXP(-LN(2)/25))/(LN(2)/25)*Calculateur!V106*Calculateur!X106*VLOOKUP('Données projet'!$B$9,Paramètres!$A$1:$I$89,3,0)*0.475*44/12</f>
        <v>2.6574035881804989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21.53691533962137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96.226303286816062</v>
      </c>
      <c r="AO106" s="62">
        <f t="shared" si="90"/>
        <v>466.06545378903826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20.049039028078791</v>
      </c>
      <c r="AV106" s="23">
        <f>EXP(-LN(2)/25)*AV105+(1-EXP(-LN(2)/25))/(LN(2)/25)*Calculateur!AQ106*Calculateur!AS106*VLOOKUP('Données projet'!$B$10,Paramètres!$A$1:$I$89,3,0)*0.475*44/12</f>
        <v>2.8220215095722061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22.871060537650997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>
        <f>BD106*VLOOKUP('Données projet'!$B$11,Paramètres!$A$1:$I$89,3,0)*VLOOKUP('Données projet'!$B$11,Paramètres!$A$1:$I$89,5,0)</f>
        <v>0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98.045647909910258</v>
      </c>
      <c r="BJ106" s="62">
        <f t="shared" si="92"/>
        <v>475.64984175055775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20.494573228702766</v>
      </c>
      <c r="BQ106" s="23">
        <f>EXP(-LN(2)/25)*BQ105+(1-EXP(-LN(2)/25))/(LN(2)/25)*Calculateur!BL106*Calculateur!BN106*VLOOKUP('Données projet'!$B$11,Paramètres!$A$1:$I$89,3,0)*0.475*44/12</f>
        <v>2.8847330986738133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23.379306327376579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91.446075686521226</v>
      </c>
      <c r="T107" s="62">
        <f t="shared" si="88"/>
        <v>440.88491337513091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18.509296041360233</v>
      </c>
      <c r="AA107" s="23">
        <f>EXP(-LN(2)/25)*AA106+(1-EXP(-LN(2)/25))/(LN(2)/25)*Calculateur!V107*Calculateur!X107*VLOOKUP('Données projet'!$B$9,Paramètres!$A$1:$I$89,3,0)*0.475*44/12</f>
        <v>2.5847367473149219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21.094032788675154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96.226303286816062</v>
      </c>
      <c r="AO107" s="62">
        <f t="shared" si="90"/>
        <v>466.06545378903826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19.655889601444489</v>
      </c>
      <c r="AV107" s="23">
        <f>EXP(-LN(2)/25)*AV106+(1-EXP(-LN(2)/25))/(LN(2)/25)*Calculateur!AQ107*Calculateur!AS107*VLOOKUP('Données projet'!$B$10,Paramètres!$A$1:$I$89,3,0)*0.475*44/12</f>
        <v>2.7448531829892926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22.400742784433781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>
        <f>BD107*VLOOKUP('Données projet'!$B$11,Paramètres!$A$1:$I$89,3,0)*VLOOKUP('Données projet'!$B$11,Paramètres!$A$1:$I$89,5,0)</f>
        <v>0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98.045647909910258</v>
      </c>
      <c r="BJ107" s="62">
        <f t="shared" si="92"/>
        <v>475.64984175055775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20.092687148143256</v>
      </c>
      <c r="BQ107" s="23">
        <f>EXP(-LN(2)/25)*BQ106+(1-EXP(-LN(2)/25))/(LN(2)/25)*Calculateur!BL107*Calculateur!BN107*VLOOKUP('Données projet'!$B$11,Paramètres!$A$1:$I$89,3,0)*0.475*44/12</f>
        <v>2.8058499203890572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22.898537068532313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91.446075686521226</v>
      </c>
      <c r="T108" s="62">
        <f t="shared" si="88"/>
        <v>440.88491337513091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18.146340035544995</v>
      </c>
      <c r="AA108" s="23">
        <f>EXP(-LN(2)/25)*AA107+(1-EXP(-LN(2)/25))/(LN(2)/25)*Calculateur!V108*Calculateur!X108*VLOOKUP('Données projet'!$B$9,Paramètres!$A$1:$I$89,3,0)*0.475*44/12</f>
        <v>2.5140569850341974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20.660397020579193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96.226303286816062</v>
      </c>
      <c r="AO108" s="62">
        <f t="shared" si="90"/>
        <v>466.06545378903826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19.270449595269014</v>
      </c>
      <c r="AV108" s="23">
        <f>EXP(-LN(2)/25)*AV107+(1-EXP(-LN(2)/25))/(LN(2)/25)*Calculateur!AQ108*Calculateur!AS108*VLOOKUP('Données projet'!$B$10,Paramètres!$A$1:$I$89,3,0)*0.475*44/12</f>
        <v>2.669795028354895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21.940244623623908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>
        <f>BD108*VLOOKUP('Données projet'!$B$11,Paramètres!$A$1:$I$89,3,0)*VLOOKUP('Données projet'!$B$11,Paramètres!$A$1:$I$89,5,0)</f>
        <v>0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98.045647909910258</v>
      </c>
      <c r="BJ108" s="62">
        <f t="shared" si="92"/>
        <v>475.64984175055775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19.698681808497213</v>
      </c>
      <c r="BQ108" s="23">
        <f>EXP(-LN(2)/25)*BQ107+(1-EXP(-LN(2)/25))/(LN(2)/25)*Calculateur!BL108*Calculateur!BN108*VLOOKUP('Données projet'!$B$11,Paramètres!$A$1:$I$89,3,0)*0.475*44/12</f>
        <v>2.7291238067627841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22.427805615259999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91.446075686521226</v>
      </c>
      <c r="T109" s="62">
        <f t="shared" si="88"/>
        <v>440.88491337513091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17.790501375622487</v>
      </c>
      <c r="AA109" s="23">
        <f>EXP(-LN(2)/25)*AA108+(1-EXP(-LN(2)/25))/(LN(2)/25)*Calculateur!V109*Calculateur!X109*VLOOKUP('Données projet'!$B$9,Paramètres!$A$1:$I$89,3,0)*0.475*44/12</f>
        <v>2.4453099645699266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20.235811340192413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96.226303286816062</v>
      </c>
      <c r="AO109" s="62">
        <f t="shared" si="90"/>
        <v>466.06545378903826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18.89256783251945</v>
      </c>
      <c r="AV109" s="23">
        <f>EXP(-LN(2)/25)*AV108+(1-EXP(-LN(2)/25))/(LN(2)/25)*Calculateur!AQ109*Calculateur!AS109*VLOOKUP('Données projet'!$B$10,Paramètres!$A$1:$I$89,3,0)*0.475*44/12</f>
        <v>2.5967893429061117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21.48935717542556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>
        <f>BD109*VLOOKUP('Données projet'!$B$11,Paramètres!$A$1:$I$89,3,0)*VLOOKUP('Données projet'!$B$11,Paramètres!$A$1:$I$89,5,0)</f>
        <v>0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98.045647909910258</v>
      </c>
      <c r="BJ109" s="62">
        <f t="shared" si="92"/>
        <v>475.64984175055775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19.312402673242101</v>
      </c>
      <c r="BQ109" s="23">
        <f>EXP(-LN(2)/25)*BQ108+(1-EXP(-LN(2)/25))/(LN(2)/25)*Calculateur!BL109*Calculateur!BN109*VLOOKUP('Données projet'!$B$11,Paramètres!$A$1:$I$89,3,0)*0.475*44/12</f>
        <v>2.6544957727484721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21.966898445990573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91.446075686521226</v>
      </c>
      <c r="T110" s="62">
        <f t="shared" si="88"/>
        <v>440.88491337513091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17.441640494780909</v>
      </c>
      <c r="AA110" s="23">
        <f>EXP(-LN(2)/25)*AA109+(1-EXP(-LN(2)/25))/(LN(2)/25)*Calculateur!V110*Calculateur!X110*VLOOKUP('Données projet'!$B$9,Paramètres!$A$1:$I$89,3,0)*0.475*44/12</f>
        <v>2.3784428349954996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19.820083329776409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96.226303286816062</v>
      </c>
      <c r="AO110" s="62">
        <f t="shared" si="90"/>
        <v>466.06545378903826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18.522096100652288</v>
      </c>
      <c r="AV110" s="23">
        <f>EXP(-LN(2)/25)*AV109+(1-EXP(-LN(2)/25))/(LN(2)/25)*Calculateur!AQ110*Calculateur!AS110*VLOOKUP('Données projet'!$B$10,Paramètres!$A$1:$I$89,3,0)*0.475*44/12</f>
        <v>2.5257800017651277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21.047876102417415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>
        <f>BD110*VLOOKUP('Données projet'!$B$11,Paramètres!$A$1:$I$89,3,0)*VLOOKUP('Données projet'!$B$11,Paramètres!$A$1:$I$89,5,0)</f>
        <v>0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98.045647909910258</v>
      </c>
      <c r="BJ110" s="62">
        <f t="shared" si="92"/>
        <v>475.64984175055775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18.933698236222334</v>
      </c>
      <c r="BQ110" s="23">
        <f>EXP(-LN(2)/25)*BQ109+(1-EXP(-LN(2)/25))/(LN(2)/25)*Calculateur!BL110*Calculateur!BN110*VLOOKUP('Données projet'!$B$11,Paramètres!$A$1:$I$89,3,0)*0.475*44/12</f>
        <v>2.5819084462487996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21.515606682471134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91.446075686521226</v>
      </c>
      <c r="T111" s="62">
        <f t="shared" si="88"/>
        <v>440.88491337513091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17.099620563028509</v>
      </c>
      <c r="AA111" s="23">
        <f>EXP(-LN(2)/25)*AA110+(1-EXP(-LN(2)/25))/(LN(2)/25)*Calculateur!V111*Calculateur!X111*VLOOKUP('Données projet'!$B$9,Paramètres!$A$1:$I$89,3,0)*0.475*44/12</f>
        <v>2.313404190595675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19.413024753624185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96.226303286816062</v>
      </c>
      <c r="AO111" s="62">
        <f t="shared" si="90"/>
        <v>466.06545378903826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18.158889093481594</v>
      </c>
      <c r="AV111" s="23">
        <f>EXP(-LN(2)/25)*AV110+(1-EXP(-LN(2)/25))/(LN(2)/25)*Calculateur!AQ111*Calculateur!AS111*VLOOKUP('Données projet'!$B$10,Paramètres!$A$1:$I$89,3,0)*0.475*44/12</f>
        <v>2.4567124147918626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20.615601508273457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>
        <f>BD111*VLOOKUP('Données projet'!$B$11,Paramètres!$A$1:$I$89,3,0)*VLOOKUP('Données projet'!$B$11,Paramètres!$A$1:$I$89,5,0)</f>
        <v>0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98.045647909910258</v>
      </c>
      <c r="BJ111" s="62">
        <f t="shared" si="92"/>
        <v>475.64984175055775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18.562419962225626</v>
      </c>
      <c r="BQ111" s="23">
        <f>EXP(-LN(2)/25)*BQ110+(1-EXP(-LN(2)/25))/(LN(2)/25)*Calculateur!BL111*Calculateur!BN111*VLOOKUP('Données projet'!$B$11,Paramètres!$A$1:$I$89,3,0)*0.475*44/12</f>
        <v>2.5113060240094618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21.073725986235086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91.446075686521226</v>
      </c>
      <c r="T112" s="62">
        <f t="shared" si="88"/>
        <v>440.88491337513091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16.764307433526213</v>
      </c>
      <c r="AA112" s="23">
        <f>EXP(-LN(2)/25)*AA111+(1-EXP(-LN(2)/25))/(LN(2)/25)*Calculateur!V112*Calculateur!X112*VLOOKUP('Données projet'!$B$9,Paramètres!$A$1:$I$89,3,0)*0.475*44/12</f>
        <v>2.2501440313471974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19.01445146487341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96.226303286816062</v>
      </c>
      <c r="AO112" s="62">
        <f t="shared" si="90"/>
        <v>466.06545378903826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17.802804354187121</v>
      </c>
      <c r="AV112" s="23">
        <f>EXP(-LN(2)/25)*AV111+(1-EXP(-LN(2)/25))/(LN(2)/25)*Calculateur!AQ112*Calculateur!AS112*VLOOKUP('Données projet'!$B$10,Paramètres!$A$1:$I$89,3,0)*0.475*44/12</f>
        <v>2.389533484616488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20.19233783880361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>
        <f>BD112*VLOOKUP('Données projet'!$B$11,Paramètres!$A$1:$I$89,3,0)*VLOOKUP('Données projet'!$B$11,Paramètres!$A$1:$I$89,5,0)</f>
        <v>0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98.045647909910258</v>
      </c>
      <c r="BJ112" s="62">
        <f t="shared" si="92"/>
        <v>475.64984175055775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18.198422228724606</v>
      </c>
      <c r="BQ112" s="23">
        <f>EXP(-LN(2)/25)*BQ111+(1-EXP(-LN(2)/25))/(LN(2)/25)*Calculateur!BL112*Calculateur!BN112*VLOOKUP('Données projet'!$B$11,Paramètres!$A$1:$I$89,3,0)*0.475*44/12</f>
        <v>2.4426342287190788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20.641056457443685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91.446075686521226</v>
      </c>
      <c r="T113" s="62">
        <f t="shared" si="88"/>
        <v>440.88491337513091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16.435569589972641</v>
      </c>
      <c r="AA113" s="23">
        <f>EXP(-LN(2)/25)*AA112+(1-EXP(-LN(2)/25))/(LN(2)/25)*Calculateur!V113*Calculateur!X113*VLOOKUP('Données projet'!$B$9,Paramètres!$A$1:$I$89,3,0)*0.475*44/12</f>
        <v>2.1886137244800765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18.624183314452718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96.226303286816062</v>
      </c>
      <c r="AO113" s="62">
        <f t="shared" si="90"/>
        <v>466.06545378903826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17.453702219439965</v>
      </c>
      <c r="AV113" s="23">
        <f>EXP(-LN(2)/25)*AV112+(1-EXP(-LN(2)/25))/(LN(2)/25)*Calculateur!AQ113*Calculateur!AS113*VLOOKUP('Données projet'!$B$10,Paramètres!$A$1:$I$89,3,0)*0.475*44/12</f>
        <v>2.3241915658195453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19.777893785259511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>
        <f>BD113*VLOOKUP('Données projet'!$B$11,Paramètres!$A$1:$I$89,3,0)*VLOOKUP('Données projet'!$B$11,Paramètres!$A$1:$I$89,5,0)</f>
        <v>0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98.045647909910258</v>
      </c>
      <c r="BJ113" s="62">
        <f t="shared" si="92"/>
        <v>475.64984175055775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17.84156226876085</v>
      </c>
      <c r="BQ113" s="23">
        <f>EXP(-LN(2)/25)*BQ112+(1-EXP(-LN(2)/25))/(LN(2)/25)*Calculateur!BL113*Calculateur!BN113*VLOOKUP('Données projet'!$B$11,Paramètres!$A$1:$I$89,3,0)*0.475*44/12</f>
        <v>2.3758402672822041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20.217402536043053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91.446075686521226</v>
      </c>
      <c r="T114" s="62">
        <f t="shared" si="88"/>
        <v>440.88491337513091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16.11327809502087</v>
      </c>
      <c r="AA114" s="23">
        <f>EXP(-LN(2)/25)*AA113+(1-EXP(-LN(2)/25))/(LN(2)/25)*Calculateur!V114*Calculateur!X114*VLOOKUP('Données projet'!$B$9,Paramètres!$A$1:$I$89,3,0)*0.475*44/12</f>
        <v>2.1287659670899752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18.242044062110846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96.226303286816062</v>
      </c>
      <c r="AO114" s="62">
        <f t="shared" si="90"/>
        <v>466.06545378903826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17.111445764623923</v>
      </c>
      <c r="AV114" s="23">
        <f>EXP(-LN(2)/25)*AV113+(1-EXP(-LN(2)/25))/(LN(2)/25)*Calculateur!AQ114*Calculateur!AS114*VLOOKUP('Données projet'!$B$10,Paramètres!$A$1:$I$89,3,0)*0.475*44/12</f>
        <v>2.2606364252282876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19.372082189852211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>
        <f>BD114*VLOOKUP('Données projet'!$B$11,Paramètres!$A$1:$I$89,3,0)*VLOOKUP('Données projet'!$B$11,Paramètres!$A$1:$I$89,5,0)</f>
        <v>0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98.045647909910258</v>
      </c>
      <c r="BJ114" s="62">
        <f t="shared" si="92"/>
        <v>475.64984175055775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17.491700114948898</v>
      </c>
      <c r="BQ114" s="23">
        <f>EXP(-LN(2)/25)*BQ113+(1-EXP(-LN(2)/25))/(LN(2)/25)*Calculateur!BL114*Calculateur!BN114*VLOOKUP('Données projet'!$B$11,Paramètres!$A$1:$I$89,3,0)*0.475*44/12</f>
        <v>2.3108727902333626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19.802572905182259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91.446075686521226</v>
      </c>
      <c r="T115" s="62">
        <f t="shared" si="88"/>
        <v>440.88491337513091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15.797306539706701</v>
      </c>
      <c r="AA115" s="23">
        <f>EXP(-LN(2)/25)*AA114+(1-EXP(-LN(2)/25))/(LN(2)/25)*Calculateur!V115*Calculateur!X115*VLOOKUP('Données projet'!$B$9,Paramètres!$A$1:$I$89,3,0)*0.475*44/12</f>
        <v>2.0705547497729628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17.867861289479663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96.226303286816062</v>
      </c>
      <c r="AO115" s="62">
        <f t="shared" si="90"/>
        <v>466.06545378903826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16.775900750131001</v>
      </c>
      <c r="AV115" s="23">
        <f>EXP(-LN(2)/25)*AV114+(1-EXP(-LN(2)/25))/(LN(2)/25)*Calculateur!AQ115*Calculateur!AS115*VLOOKUP('Données projet'!$B$10,Paramètres!$A$1:$I$89,3,0)*0.475*44/12</f>
        <v>2.1988192032987173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18.97471995342972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>
        <f>BD115*VLOOKUP('Données projet'!$B$11,Paramètres!$A$1:$I$89,3,0)*VLOOKUP('Données projet'!$B$11,Paramètres!$A$1:$I$89,5,0)</f>
        <v>0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98.045647909910258</v>
      </c>
      <c r="BJ115" s="62">
        <f t="shared" si="92"/>
        <v>475.64984175055775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17.148698544578355</v>
      </c>
      <c r="BQ115" s="23">
        <f>EXP(-LN(2)/25)*BQ114+(1-EXP(-LN(2)/25))/(LN(2)/25)*Calculateur!BL115*Calculateur!BN115*VLOOKUP('Données projet'!$B$11,Paramètres!$A$1:$I$89,3,0)*0.475*44/12</f>
        <v>2.247681852260913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19.39638039683927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91.446075686521226</v>
      </c>
      <c r="T116" s="62">
        <f t="shared" si="88"/>
        <v>440.88491337513091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15.487530993868624</v>
      </c>
      <c r="AA116" s="23">
        <f>EXP(-LN(2)/25)*AA115+(1-EXP(-LN(2)/25))/(LN(2)/25)*Calculateur!V116*Calculateur!X116*VLOOKUP('Données projet'!$B$9,Paramètres!$A$1:$I$89,3,0)*0.475*44/12</f>
        <v>2.0139353212546793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17.501466315123302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96.226303286816062</v>
      </c>
      <c r="AO116" s="62">
        <f t="shared" si="90"/>
        <v>466.06545378903826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16.446935568710035</v>
      </c>
      <c r="AV116" s="23">
        <f>EXP(-LN(2)/25)*AV115+(1-EXP(-LN(2)/25))/(LN(2)/25)*Calculateur!AQ116*Calculateur!AS116*VLOOKUP('Données projet'!$B$10,Paramètres!$A$1:$I$89,3,0)*0.475*44/12</f>
        <v>2.1386923765536374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18.585627945263674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>
        <f>BD116*VLOOKUP('Données projet'!$B$11,Paramètres!$A$1:$I$89,3,0)*VLOOKUP('Données projet'!$B$11,Paramètres!$A$1:$I$89,5,0)</f>
        <v>0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98.045647909910258</v>
      </c>
      <c r="BJ116" s="62">
        <f t="shared" si="92"/>
        <v>475.64984175055775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16.81242302579248</v>
      </c>
      <c r="BQ116" s="23">
        <f>EXP(-LN(2)/25)*BQ115+(1-EXP(-LN(2)/25))/(LN(2)/25)*Calculateur!BL116*Calculateur!BN116*VLOOKUP('Données projet'!$B$11,Paramètres!$A$1:$I$89,3,0)*0.475*44/12</f>
        <v>2.1862188738103869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18.998641899602866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91.446075686521226</v>
      </c>
      <c r="T117" s="62">
        <f t="shared" si="88"/>
        <v>440.88491337513091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15.183829957540006</v>
      </c>
      <c r="AA117" s="23">
        <f>EXP(-LN(2)/25)*AA116+(1-EXP(-LN(2)/25))/(LN(2)/25)*Calculateur!V117*Calculateur!X117*VLOOKUP('Données projet'!$B$9,Paramètres!$A$1:$I$89,3,0)*0.475*44/12</f>
        <v>1.9588641539867144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17.142694111526719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96.226303286816062</v>
      </c>
      <c r="AO117" s="62">
        <f t="shared" si="90"/>
        <v>466.06545378903826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16.124421193847787</v>
      </c>
      <c r="AV117" s="23">
        <f>EXP(-LN(2)/25)*AV116+(1-EXP(-LN(2)/25))/(LN(2)/25)*Calculateur!AQ117*Calculateur!AS117*VLOOKUP('Données projet'!$B$10,Paramètres!$A$1:$I$89,3,0)*0.475*44/12</f>
        <v>2.0802097210478343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18.20463091489562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>
        <f>BD117*VLOOKUP('Données projet'!$B$11,Paramètres!$A$1:$I$89,3,0)*VLOOKUP('Données projet'!$B$11,Paramètres!$A$1:$I$89,5,0)</f>
        <v>0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98.045647909910258</v>
      </c>
      <c r="BJ117" s="62">
        <f t="shared" si="92"/>
        <v>475.64984175055775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16.482741664822182</v>
      </c>
      <c r="BQ117" s="23">
        <f>EXP(-LN(2)/25)*BQ116+(1-EXP(-LN(2)/25))/(LN(2)/25)*Calculateur!BL117*Calculateur!BN117*VLOOKUP('Données projet'!$B$11,Paramètres!$A$1:$I$89,3,0)*0.475*44/12</f>
        <v>2.1264366037377882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18.609178268559969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91.446075686521226</v>
      </c>
      <c r="T118" s="62">
        <f t="shared" si="88"/>
        <v>440.88491337513091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14.88608431329445</v>
      </c>
      <c r="AA118" s="23">
        <f>EXP(-LN(2)/25)*AA117+(1-EXP(-LN(2)/25))/(LN(2)/25)*Calculateur!V118*Calculateur!X118*VLOOKUP('Données projet'!$B$9,Paramètres!$A$1:$I$89,3,0)*0.475*44/12</f>
        <v>1.905298910683759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16.791383223978208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96.226303286816062</v>
      </c>
      <c r="AO118" s="62">
        <f t="shared" si="90"/>
        <v>466.06545378903826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15.808231129162243</v>
      </c>
      <c r="AV118" s="23">
        <f>EXP(-LN(2)/25)*AV117+(1-EXP(-LN(2)/25))/(LN(2)/25)*Calculateur!AQ118*Calculateur!AS118*VLOOKUP('Données projet'!$B$10,Paramètres!$A$1:$I$89,3,0)*0.475*44/12</f>
        <v>2.0233262768323064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17.831557405994548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>
        <f>BD118*VLOOKUP('Données projet'!$B$11,Paramètres!$A$1:$I$89,3,0)*VLOOKUP('Données projet'!$B$11,Paramètres!$A$1:$I$89,5,0)</f>
        <v>0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98.045647909910258</v>
      </c>
      <c r="BJ118" s="62">
        <f t="shared" si="92"/>
        <v>475.64984175055775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16.159525154254737</v>
      </c>
      <c r="BQ118" s="23">
        <f>EXP(-LN(2)/25)*BQ117+(1-EXP(-LN(2)/25))/(LN(2)/25)*Calculateur!BL118*Calculateur!BN118*VLOOKUP('Données projet'!$B$11,Paramètres!$A$1:$I$89,3,0)*0.475*44/12</f>
        <v>2.0682890829841374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18.227814237238874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91.446075686521226</v>
      </c>
      <c r="T119" s="62">
        <f t="shared" si="88"/>
        <v>440.88491337513091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14.59417727952564</v>
      </c>
      <c r="AA119" s="23">
        <f>EXP(-LN(2)/25)*AA118+(1-EXP(-LN(2)/25))/(LN(2)/25)*Calculateur!V119*Calculateur!X119*VLOOKUP('Données projet'!$B$9,Paramètres!$A$1:$I$89,3,0)*0.475*44/12</f>
        <v>1.8531984117757965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16.447375691301438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96.226303286816062</v>
      </c>
      <c r="AO119" s="62">
        <f t="shared" si="90"/>
        <v>466.06545378903826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15.498241358788285</v>
      </c>
      <c r="AV119" s="23">
        <f>EXP(-LN(2)/25)*AV118+(1-EXP(-LN(2)/25))/(LN(2)/25)*Calculateur!AQ119*Calculateur!AS119*VLOOKUP('Données projet'!$B$10,Paramètres!$A$1:$I$89,3,0)*0.475*44/12</f>
        <v>1.9679983133902224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17.466239672178506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98.045647909910258</v>
      </c>
      <c r="BJ119" s="62">
        <f t="shared" si="92"/>
        <v>475.64984175055775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15.842646722316914</v>
      </c>
      <c r="BQ119" s="23">
        <f>EXP(-LN(2)/25)*BQ118+(1-EXP(-LN(2)/25))/(LN(2)/25)*Calculateur!BL119*Calculateur!BN119*VLOOKUP('Données projet'!$B$11,Paramètres!$A$1:$I$89,3,0)*0.475*44/12</f>
        <v>2.0117316092433404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17.854378331560255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91.446075686521226</v>
      </c>
      <c r="T120" s="62">
        <f t="shared" si="88"/>
        <v>440.88491337513091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14.307994364643326</v>
      </c>
      <c r="AA120" s="23">
        <f>EXP(-LN(2)/25)*AA119+(1-EXP(-LN(2)/25))/(LN(2)/25)*Calculateur!V120*Calculateur!X120*VLOOKUP('Données projet'!$B$9,Paramètres!$A$1:$I$89,3,0)*0.475*44/12</f>
        <v>1.8025226037503184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16.110516968393643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96.226303286816062</v>
      </c>
      <c r="AO120" s="62">
        <f t="shared" si="90"/>
        <v>466.06545378903826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15.19433029873627</v>
      </c>
      <c r="AV120" s="23">
        <f>EXP(-LN(2)/25)*AV119+(1-EXP(-LN(2)/25))/(LN(2)/25)*Calculateur!AQ120*Calculateur!AS120*VLOOKUP('Données projet'!$B$10,Paramètres!$A$1:$I$89,3,0)*0.475*44/12</f>
        <v>1.9141832960180334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17.108513594754303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98.045647909910258</v>
      </c>
      <c r="BJ120" s="62">
        <f t="shared" si="92"/>
        <v>475.64984175055775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15.531982083152633</v>
      </c>
      <c r="BQ120" s="23">
        <f>EXP(-LN(2)/25)*BQ119+(1-EXP(-LN(2)/25))/(LN(2)/25)*Calculateur!BL120*Calculateur!BN120*VLOOKUP('Données projet'!$B$11,Paramètres!$A$1:$I$89,3,0)*0.475*44/12</f>
        <v>1.9567207025962139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17.488702785748846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91.446075686521226</v>
      </c>
      <c r="T121" s="62">
        <f t="shared" si="88"/>
        <v>440.88491337513091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14.027423322167511</v>
      </c>
      <c r="AA121" s="23">
        <f>EXP(-LN(2)/25)*AA120+(1-EXP(-LN(2)/25))/(LN(2)/25)*Calculateur!V121*Calculateur!X121*VLOOKUP('Données projet'!$B$9,Paramètres!$A$1:$I$89,3,0)*0.475*44/12</f>
        <v>1.7532325283602219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15.780655850527733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96.226303286816062</v>
      </c>
      <c r="AO121" s="62">
        <f t="shared" si="90"/>
        <v>466.06545378903826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14.896378749204432</v>
      </c>
      <c r="AV121" s="23">
        <f>EXP(-LN(2)/25)*AV120+(1-EXP(-LN(2)/25))/(LN(2)/25)*Calculateur!AQ121*Calculateur!AS121*VLOOKUP('Données projet'!$B$10,Paramètres!$A$1:$I$89,3,0)*0.475*44/12</f>
        <v>1.8618398531258957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16.758218602330327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98.045647909910258</v>
      </c>
      <c r="BJ121" s="62">
        <f t="shared" si="92"/>
        <v>475.64984175055775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15.227409388075642</v>
      </c>
      <c r="BQ121" s="23">
        <f>EXP(-LN(2)/25)*BQ120+(1-EXP(-LN(2)/25))/(LN(2)/25)*Calculateur!BL121*Calculateur!BN121*VLOOKUP('Données projet'!$B$11,Paramètres!$A$1:$I$89,3,0)*0.475*44/12</f>
        <v>1.9032140720842508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17.130623460159892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91.446075686521226</v>
      </c>
      <c r="T122" s="62">
        <f t="shared" si="88"/>
        <v>440.88491337513091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13.75235410670321</v>
      </c>
      <c r="AA122" s="23">
        <f>EXP(-LN(2)/25)*AA121+(1-EXP(-LN(2)/25))/(LN(2)/25)*Calculateur!V122*Calculateur!X122*VLOOKUP('Données projet'!$B$9,Paramètres!$A$1:$I$89,3,0)*0.475*44/12</f>
        <v>1.7052902926737201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15.45764439937693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96.226303286816062</v>
      </c>
      <c r="AO122" s="62">
        <f t="shared" si="90"/>
        <v>466.06545378903826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14.604269847826412</v>
      </c>
      <c r="AV122" s="23">
        <f>EXP(-LN(2)/25)*AV121+(1-EXP(-LN(2)/25))/(LN(2)/25)*Calculateur!AQ122*Calculateur!AS122*VLOOKUP('Données projet'!$B$10,Paramètres!$A$1:$I$89,3,0)*0.475*44/12</f>
        <v>1.8109277444322656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16.415197592258679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98.045647909910258</v>
      </c>
      <c r="BJ122" s="62">
        <f t="shared" si="92"/>
        <v>475.64984175055775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14.928809177778112</v>
      </c>
      <c r="BQ122" s="23">
        <f>EXP(-LN(2)/25)*BQ121+(1-EXP(-LN(2)/25))/(LN(2)/25)*Calculateur!BL122*Calculateur!BN122*VLOOKUP('Données projet'!$B$11,Paramètres!$A$1:$I$89,3,0)*0.475*44/12</f>
        <v>1.8511705831974288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16.779979760975539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91.446075686521226</v>
      </c>
      <c r="T123" s="62">
        <f t="shared" si="88"/>
        <v>440.88491337513091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13.482678830778509</v>
      </c>
      <c r="AA123" s="23">
        <f>EXP(-LN(2)/25)*AA122+(1-EXP(-LN(2)/25))/(LN(2)/25)*Calculateur!V123*Calculateur!X123*VLOOKUP('Données projet'!$B$9,Paramètres!$A$1:$I$89,3,0)*0.475*44/12</f>
        <v>1.6586590399432382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15.141337870721747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96.226303286816062</v>
      </c>
      <c r="AO123" s="62">
        <f t="shared" si="90"/>
        <v>466.06545378903826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14.317889023835578</v>
      </c>
      <c r="AV123" s="23">
        <f>EXP(-LN(2)/25)*AV122+(1-EXP(-LN(2)/25))/(LN(2)/25)*Calculateur!AQ123*Calculateur!AS123*VLOOKUP('Données projet'!$B$10,Paramètres!$A$1:$I$89,3,0)*0.475*44/12</f>
        <v>1.7614078300282141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16.079296853863791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98.045647909910258</v>
      </c>
      <c r="BJ123" s="62">
        <f t="shared" si="92"/>
        <v>475.64984175055775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14.636064335476371</v>
      </c>
      <c r="BQ123" s="23">
        <f>EXP(-LN(2)/25)*BQ122+(1-EXP(-LN(2)/25))/(LN(2)/25)*Calculateur!BL123*Calculateur!BN123*VLOOKUP('Données projet'!$B$11,Paramètres!$A$1:$I$89,3,0)*0.475*44/12</f>
        <v>1.8005502262510651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16.436614561727435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91.446075686521226</v>
      </c>
      <c r="T124" s="62">
        <f t="shared" si="88"/>
        <v>440.88491337513091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13.218291722529013</v>
      </c>
      <c r="AA124" s="23">
        <f>EXP(-LN(2)/25)*AA123+(1-EXP(-LN(2)/25))/(LN(2)/25)*Calculateur!V124*Calculateur!X124*VLOOKUP('Données projet'!$B$9,Paramètres!$A$1:$I$89,3,0)*0.475*44/12</f>
        <v>1.6133029212709022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14.831594643799916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96.226303286816062</v>
      </c>
      <c r="AO124" s="62">
        <f t="shared" si="90"/>
        <v>466.06545378903826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14.03712395312815</v>
      </c>
      <c r="AV124" s="23">
        <f>EXP(-LN(2)/25)*AV123+(1-EXP(-LN(2)/25))/(LN(2)/25)*Calculateur!AQ124*Calculateur!AS124*VLOOKUP('Données projet'!$B$10,Paramètres!$A$1:$I$89,3,0)*0.475*44/12</f>
        <v>1.7132420402876805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15.75036599341583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98.045647909910258</v>
      </c>
      <c r="BJ124" s="62">
        <f t="shared" si="92"/>
        <v>475.64984175055775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14.349060040975445</v>
      </c>
      <c r="BQ124" s="23">
        <f>EXP(-LN(2)/25)*BQ123+(1-EXP(-LN(2)/25))/(LN(2)/25)*Calculateur!BL124*Calculateur!BN124*VLOOKUP('Données projet'!$B$11,Paramètres!$A$1:$I$89,3,0)*0.475*44/12</f>
        <v>1.7513140856274085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16.100374126602855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91.446075686521226</v>
      </c>
      <c r="T125" s="62">
        <f t="shared" si="88"/>
        <v>440.88491337513091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12.959089084212078</v>
      </c>
      <c r="AA125" s="23">
        <f>EXP(-LN(2)/25)*AA124+(1-EXP(-LN(2)/25))/(LN(2)/25)*Calculateur!V125*Calculateur!X125*VLOOKUP('Données projet'!$B$9,Paramètres!$A$1:$I$89,3,0)*0.475*44/12</f>
        <v>1.569187068048836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14.528276152260913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96.226303286816062</v>
      </c>
      <c r="AO125" s="62">
        <f t="shared" si="90"/>
        <v>466.06545378903826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13.761864514207511</v>
      </c>
      <c r="AV125" s="23">
        <f>EXP(-LN(2)/25)*AV124+(1-EXP(-LN(2)/25))/(LN(2)/25)*Calculateur!AQ125*Calculateur!AS125*VLOOKUP('Données projet'!$B$10,Paramètres!$A$1:$I$89,3,0)*0.475*44/12</f>
        <v>1.6663933466005305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15.428257860808042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98.045647909910258</v>
      </c>
      <c r="BJ125" s="62">
        <f t="shared" si="92"/>
        <v>475.64984175055775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14.067683725634348</v>
      </c>
      <c r="BQ125" s="23">
        <f>EXP(-LN(2)/25)*BQ124+(1-EXP(-LN(2)/25))/(LN(2)/25)*Calculateur!BL125*Calculateur!BN125*VLOOKUP('Données projet'!$B$11,Paramètres!$A$1:$I$89,3,0)*0.475*44/12</f>
        <v>1.7034243098583219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15.77110803549267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91.446075686521226</v>
      </c>
      <c r="T126" s="62">
        <f t="shared" si="88"/>
        <v>440.88491337513091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12.704969251534539</v>
      </c>
      <c r="AA126" s="23">
        <f>EXP(-LN(2)/25)*AA125+(1-EXP(-LN(2)/25))/(LN(2)/25)*Calculateur!V126*Calculateur!X126*VLOOKUP('Données projet'!$B$9,Paramètres!$A$1:$I$89,3,0)*0.475*44/12</f>
        <v>1.5262775651530791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14.231246816687618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96.226303286816062</v>
      </c>
      <c r="AO126" s="62">
        <f t="shared" si="90"/>
        <v>466.06545378903826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13.492002744992426</v>
      </c>
      <c r="AV126" s="23">
        <f>EXP(-LN(2)/25)*AV125+(1-EXP(-LN(2)/25))/(LN(2)/25)*Calculateur!AQ126*Calculateur!AS126*VLOOKUP('Données projet'!$B$10,Paramètres!$A$1:$I$89,3,0)*0.475*44/12</f>
        <v>1.6208257329059215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15.112828477898347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98.045647909910258</v>
      </c>
      <c r="BJ126" s="62">
        <f t="shared" si="92"/>
        <v>475.64984175055775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13.791825028214483</v>
      </c>
      <c r="BQ126" s="23">
        <f>EXP(-LN(2)/25)*BQ125+(1-EXP(-LN(2)/25))/(LN(2)/25)*Calculateur!BL126*Calculateur!BN126*VLOOKUP('Données projet'!$B$11,Paramètres!$A$1:$I$89,3,0)*0.475*44/12</f>
        <v>1.6568440825260549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15.448669110740537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91.446075686521226</v>
      </c>
      <c r="T127" s="62">
        <f t="shared" si="88"/>
        <v>440.88491337513091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12.455832553778015</v>
      </c>
      <c r="AA127" s="23">
        <f>EXP(-LN(2)/25)*AA126+(1-EXP(-LN(2)/25))/(LN(2)/25)*Calculateur!V127*Calculateur!X127*VLOOKUP('Données projet'!$B$9,Paramètres!$A$1:$I$89,3,0)*0.475*44/12</f>
        <v>1.4845414248705193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13.940373978648534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96.226303286816062</v>
      </c>
      <c r="AO127" s="62">
        <f t="shared" si="90"/>
        <v>466.06545378903826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13.227432800472222</v>
      </c>
      <c r="AV127" s="23">
        <f>EXP(-LN(2)/25)*AV126+(1-EXP(-LN(2)/25))/(LN(2)/25)*Calculateur!AQ127*Calculateur!AS127*VLOOKUP('Données projet'!$B$10,Paramètres!$A$1:$I$89,3,0)*0.475*44/12</f>
        <v>1.5765041680040881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14.803936968476311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98.045647909910258</v>
      </c>
      <c r="BJ127" s="62">
        <f t="shared" si="92"/>
        <v>475.64984175055775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13.52137575159383</v>
      </c>
      <c r="BQ127" s="23">
        <f>EXP(-LN(2)/25)*BQ126+(1-EXP(-LN(2)/25))/(LN(2)/25)*Calculateur!BL127*Calculateur!BN127*VLOOKUP('Données projet'!$B$11,Paramètres!$A$1:$I$89,3,0)*0.475*44/12</f>
        <v>1.6115375939597363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15.132913345553566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91.446075686521226</v>
      </c>
      <c r="T128" s="62">
        <f t="shared" si="88"/>
        <v>440.88491337513091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12.211581274706115</v>
      </c>
      <c r="AA128" s="23">
        <f>EXP(-LN(2)/25)*AA127+(1-EXP(-LN(2)/25))/(LN(2)/25)*Calculateur!V128*Calculateur!X128*VLOOKUP('Données projet'!$B$9,Paramètres!$A$1:$I$89,3,0)*0.475*44/12</f>
        <v>1.4439465615387943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13.655527836244909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96.226303286816062</v>
      </c>
      <c r="AO128" s="62">
        <f t="shared" si="90"/>
        <v>466.06545378903826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12.968050911192327</v>
      </c>
      <c r="AV128" s="23">
        <f>EXP(-LN(2)/25)*AV127+(1-EXP(-LN(2)/25))/(LN(2)/25)*Calculateur!AQ128*Calculateur!AS128*VLOOKUP('Données projet'!$B$10,Paramètres!$A$1:$I$89,3,0)*0.475*44/12</f>
        <v>1.5333945786252652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14.501445489817591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98.045647909910258</v>
      </c>
      <c r="BJ128" s="62">
        <f t="shared" si="92"/>
        <v>475.64984175055775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13.256229820329937</v>
      </c>
      <c r="BQ128" s="23">
        <f>EXP(-LN(2)/25)*BQ127+(1-EXP(-LN(2)/25))/(LN(2)/25)*Calculateur!BL128*Calculateur!BN128*VLOOKUP('Données projet'!$B$11,Paramètres!$A$1:$I$89,3,0)*0.475*44/12</f>
        <v>1.5674700137058284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14.823699834035764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91.446075686521226</v>
      </c>
      <c r="T129" s="62">
        <f t="shared" si="88"/>
        <v>440.88491337513091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11.972119614238244</v>
      </c>
      <c r="AA129" s="23">
        <f>EXP(-LN(2)/25)*AA128+(1-EXP(-LN(2)/25))/(LN(2)/25)*Calculateur!V129*Calculateur!X129*VLOOKUP('Données projet'!$B$9,Paramètres!$A$1:$I$89,3,0)*0.475*44/12</f>
        <v>1.4044617668796664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13.37658138111791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96.226303286816062</v>
      </c>
      <c r="AO129" s="62">
        <f t="shared" si="90"/>
        <v>466.06545378903826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12.713755342553879</v>
      </c>
      <c r="AV129" s="23">
        <f>EXP(-LN(2)/25)*AV128+(1-EXP(-LN(2)/25))/(LN(2)/25)*Calculateur!AQ129*Calculateur!AS129*VLOOKUP('Données projet'!$B$10,Paramètres!$A$1:$I$89,3,0)*0.475*44/12</f>
        <v>1.491463823235041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14.20521916578892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98.045647909910258</v>
      </c>
      <c r="BJ129" s="62">
        <f t="shared" si="92"/>
        <v>475.64984175055775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12.99628323905508</v>
      </c>
      <c r="BQ129" s="23">
        <f>EXP(-LN(2)/25)*BQ128+(1-EXP(-LN(2)/25))/(LN(2)/25)*Calculateur!BL129*Calculateur!BN129*VLOOKUP('Données projet'!$B$11,Paramètres!$A$1:$I$89,3,0)*0.475*44/12</f>
        <v>1.5246074637513769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14.520890702806456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91.446075686521226</v>
      </c>
      <c r="T130" s="62">
        <f t="shared" si="88"/>
        <v>440.88491337513091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11.737353650874956</v>
      </c>
      <c r="AA130" s="23">
        <f>EXP(-LN(2)/25)*AA129+(1-EXP(-LN(2)/25))/(LN(2)/25)*Calculateur!V130*Calculateur!X130*VLOOKUP('Données projet'!$B$9,Paramètres!$A$1:$I$89,3,0)*0.475*44/12</f>
        <v>1.3660566860069074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13.103410336881863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96.226303286816062</v>
      </c>
      <c r="AO130" s="62">
        <f t="shared" si="90"/>
        <v>466.06545378903826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12.464446354911452</v>
      </c>
      <c r="AV130" s="23">
        <f>EXP(-LN(2)/25)*AV129+(1-EXP(-LN(2)/25))/(LN(2)/25)*Calculateur!AQ130*Calculateur!AS130*VLOOKUP('Données projet'!$B$10,Paramètres!$A$1:$I$89,3,0)*0.475*44/12</f>
        <v>1.4506796665560051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13.915126021467458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98.045647909910258</v>
      </c>
      <c r="BJ130" s="62">
        <f t="shared" si="92"/>
        <v>475.64984175055775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12.741434051687264</v>
      </c>
      <c r="BQ130" s="23">
        <f>EXP(-LN(2)/25)*BQ129+(1-EXP(-LN(2)/25))/(LN(2)/25)*Calculateur!BL130*Calculateur!BN130*VLOOKUP('Données projet'!$B$11,Paramètres!$A$1:$I$89,3,0)*0.475*44/12</f>
        <v>1.4829169924794736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14.224351044166738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91.446075686521226</v>
      </c>
      <c r="T131" s="62">
        <f t="shared" si="88"/>
        <v>440.88491337513091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11.507191304860125</v>
      </c>
      <c r="AA131" s="23">
        <f>EXP(-LN(2)/25)*AA130+(1-EXP(-LN(2)/25))/(LN(2)/25)*Calculateur!V131*Calculateur!X131*VLOOKUP('Données projet'!$B$9,Paramètres!$A$1:$I$89,3,0)*0.475*44/12</f>
        <v>1.3287017940902497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12.835893098950375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96.226303286816062</v>
      </c>
      <c r="AO131" s="62">
        <f t="shared" si="90"/>
        <v>466.06545378903826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12.220026164453225</v>
      </c>
      <c r="AV131" s="23">
        <f>EXP(-LN(2)/25)*AV130+(1-EXP(-LN(2)/25))/(LN(2)/25)*Calculateur!AQ131*Calculateur!AS131*VLOOKUP('Données projet'!$B$10,Paramètres!$A$1:$I$89,3,0)*0.475*44/12</f>
        <v>1.411010754786103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13.631036919239328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98.045647909910258</v>
      </c>
      <c r="BJ131" s="62">
        <f t="shared" si="92"/>
        <v>475.64984175055775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12.491582301441076</v>
      </c>
      <c r="BQ131" s="23">
        <f>EXP(-LN(2)/25)*BQ130+(1-EXP(-LN(2)/25))/(LN(2)/25)*Calculateur!BL131*Calculateur!BN131*VLOOKUP('Données projet'!$B$11,Paramètres!$A$1:$I$89,3,0)*0.475*44/12</f>
        <v>1.4423665493369071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13.933948850777982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91.446075686521226</v>
      </c>
      <c r="T132" s="62">
        <f t="shared" si="88"/>
        <v>440.88491337513091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11.281542302065477</v>
      </c>
      <c r="AA132" s="23">
        <f>EXP(-LN(2)/25)*AA131+(1-EXP(-LN(2)/25))/(LN(2)/25)*Calculateur!V132*Calculateur!X132*VLOOKUP('Données projet'!$B$9,Paramètres!$A$1:$I$89,3,0)*0.475*44/12</f>
        <v>1.2923683736574612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12.573910675722939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96.226303286816062</v>
      </c>
      <c r="AO132" s="62">
        <f t="shared" si="90"/>
        <v>466.06545378903826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11.980398904848288</v>
      </c>
      <c r="AV132" s="23">
        <f>EXP(-LN(2)/25)*AV131+(1-EXP(-LN(2)/25))/(LN(2)/25)*Calculateur!AQ132*Calculateur!AS132*VLOOKUP('Données projet'!$B$10,Paramètres!$A$1:$I$89,3,0)*0.475*44/12</f>
        <v>1.3724265914946463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13.352825496342934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98.045647909910258</v>
      </c>
      <c r="BJ132" s="62">
        <f t="shared" si="92"/>
        <v>475.64984175055775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12.246629991622695</v>
      </c>
      <c r="BQ132" s="23">
        <f>EXP(-LN(2)/25)*BQ131+(1-EXP(-LN(2)/25))/(LN(2)/25)*Calculateur!BL132*Calculateur!BN132*VLOOKUP('Données projet'!$B$11,Paramètres!$A$1:$I$89,3,0)*0.475*44/12</f>
        <v>1.4029249601945291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13.649554951817224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91.446075686521226</v>
      </c>
      <c r="T133" s="62">
        <f t="shared" ref="T133:T196" si="142">$T$3</f>
        <v>440.88491337513091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11.060318138583328</v>
      </c>
      <c r="AA133" s="23">
        <f>EXP(-LN(2)/25)*AA132+(1-EXP(-LN(2)/25))/(LN(2)/25)*Calculateur!V133*Calculateur!X133*VLOOKUP('Données projet'!$B$9,Paramètres!$A$1:$I$89,3,0)*0.475*44/12</f>
        <v>1.2570284925170989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12.317346631100428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96.226303286816062</v>
      </c>
      <c r="AO133" s="62">
        <f t="shared" ref="AO133:AO196" si="144">$AO$3</f>
        <v>466.06545378903826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11.745470589646008</v>
      </c>
      <c r="AV133" s="23">
        <f>EXP(-LN(2)/25)*AV132+(1-EXP(-LN(2)/25))/(LN(2)/25)*Calculateur!AQ133*Calculateur!AS133*VLOOKUP('Données projet'!$B$10,Paramètres!$A$1:$I$89,3,0)*0.475*44/12</f>
        <v>1.3348975141774475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13.080368103823455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98.045647909910258</v>
      </c>
      <c r="BJ133" s="62">
        <f t="shared" ref="BJ133:BJ196" si="146">$BJ$3</f>
        <v>475.64984175055775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12.006481047193697</v>
      </c>
      <c r="BQ133" s="23">
        <f>EXP(-LN(2)/25)*BQ132+(1-EXP(-LN(2)/25))/(LN(2)/25)*Calculateur!BL133*Calculateur!BN133*VLOOKUP('Données projet'!$B$11,Paramètres!$A$1:$I$89,3,0)*0.475*44/12</f>
        <v>1.3645619033813925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13.37104295057509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91.446075686521226</v>
      </c>
      <c r="T134" s="62">
        <f t="shared" si="142"/>
        <v>440.88491337513091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10.84343204601365</v>
      </c>
      <c r="AA134" s="23">
        <f>EXP(-LN(2)/25)*AA133+(1-EXP(-LN(2)/25))/(LN(2)/25)*Calculateur!V134*Calculateur!X134*VLOOKUP('Données projet'!$B$9,Paramètres!$A$1:$I$89,3,0)*0.475*44/12</f>
        <v>1.2226549822849635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12.066087028298613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96.226303286816062</v>
      </c>
      <c r="AO134" s="62">
        <f t="shared" si="144"/>
        <v>466.06545378903826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11.515149075412721</v>
      </c>
      <c r="AV134" s="23">
        <f>EXP(-LN(2)/25)*AV133+(1-EXP(-LN(2)/25))/(LN(2)/25)*Calculateur!AQ134*Calculateur!AS134*VLOOKUP('Données projet'!$B$10,Paramètres!$A$1:$I$89,3,0)*0.475*44/12</f>
        <v>1.2983946714530559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12.813543746865776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98.045647909910258</v>
      </c>
      <c r="BJ134" s="62">
        <f t="shared" si="146"/>
        <v>475.64984175055775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11.771041277088559</v>
      </c>
      <c r="BQ134" s="23">
        <f>EXP(-LN(2)/25)*BQ133+(1-EXP(-LN(2)/25))/(LN(2)/25)*Calculateur!BL134*Calculateur!BN134*VLOOKUP('Données projet'!$B$11,Paramètres!$A$1:$I$89,3,0)*0.475*44/12</f>
        <v>1.3272478863742365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13.098289163462795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91.446075686521226</v>
      </c>
      <c r="T135" s="62">
        <f t="shared" si="142"/>
        <v>440.88491337513091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10.630798957431807</v>
      </c>
      <c r="AA135" s="23">
        <f>EXP(-LN(2)/25)*AA134+(1-EXP(-LN(2)/25))/(LN(2)/25)*Calculateur!V135*Calculateur!X135*VLOOKUP('Données projet'!$B$9,Paramètres!$A$1:$I$89,3,0)*0.475*44/12</f>
        <v>1.18922141749775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11.820020374929557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96.226303286816062</v>
      </c>
      <c r="AO135" s="62">
        <f t="shared" si="144"/>
        <v>466.06545378903826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11.289344025591296</v>
      </c>
      <c r="AV135" s="23">
        <f>EXP(-LN(2)/25)*AV134+(1-EXP(-LN(2)/25))/(LN(2)/25)*Calculateur!AQ135*Calculateur!AS135*VLOOKUP('Données projet'!$B$10,Paramètres!$A$1:$I$89,3,0)*0.475*44/12</f>
        <v>1.2628900008825639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12.55223402647386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98.045647909910258</v>
      </c>
      <c r="BJ135" s="62">
        <f t="shared" si="146"/>
        <v>475.64984175055775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11.540218337271101</v>
      </c>
      <c r="BQ135" s="23">
        <f>EXP(-LN(2)/25)*BQ134+(1-EXP(-LN(2)/25))/(LN(2)/25)*Calculateur!BL135*Calculateur!BN135*VLOOKUP('Données projet'!$B$11,Paramètres!$A$1:$I$89,3,0)*0.475*44/12</f>
        <v>1.2909542231244002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12.831172560395501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91.446075686521226</v>
      </c>
      <c r="T136" s="62">
        <f t="shared" si="142"/>
        <v>440.88491337513091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10.422335474023678</v>
      </c>
      <c r="AA136" s="23">
        <f>EXP(-LN(2)/25)*AA135+(1-EXP(-LN(2)/25))/(LN(2)/25)*Calculateur!V136*Calculateur!X136*VLOOKUP('Données projet'!$B$9,Paramètres!$A$1:$I$89,3,0)*0.475*44/12</f>
        <v>1.1567020952978377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11.579037569321516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96.226303286816062</v>
      </c>
      <c r="AO136" s="62">
        <f t="shared" si="144"/>
        <v>466.06545378903826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11.067966875069388</v>
      </c>
      <c r="AV136" s="23">
        <f>EXP(-LN(2)/25)*AV135+(1-EXP(-LN(2)/25))/(LN(2)/25)*Calculateur!AQ136*Calculateur!AS136*VLOOKUP('Données projet'!$B$10,Paramètres!$A$1:$I$89,3,0)*0.475*44/12</f>
        <v>1.2283562073959313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12.296323082465319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98.045647909910258</v>
      </c>
      <c r="BJ136" s="62">
        <f t="shared" si="146"/>
        <v>475.64984175055775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11.313921694515374</v>
      </c>
      <c r="BQ136" s="23">
        <f>EXP(-LN(2)/25)*BQ135+(1-EXP(-LN(2)/25))/(LN(2)/25)*Calculateur!BL136*Calculateur!BN136*VLOOKUP('Données projet'!$B$11,Paramètres!$A$1:$I$89,3,0)*0.475*44/12</f>
        <v>1.2556530120047313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12.569574706520106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91.446075686521226</v>
      </c>
      <c r="T137" s="62">
        <f t="shared" si="142"/>
        <v>440.88491337513091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10.21795983237501</v>
      </c>
      <c r="AA137" s="23">
        <f>EXP(-LN(2)/25)*AA136+(1-EXP(-LN(2)/25))/(LN(2)/25)*Calculateur!V137*Calculateur!X137*VLOOKUP('Données projet'!$B$9,Paramètres!$A$1:$I$89,3,0)*0.475*44/12</f>
        <v>1.1250720156735989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11.343031848048609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96.226303286816062</v>
      </c>
      <c r="AO137" s="62">
        <f t="shared" si="144"/>
        <v>466.06545378903826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10.850930795442485</v>
      </c>
      <c r="AV137" s="23">
        <f>EXP(-LN(2)/25)*AV136+(1-EXP(-LN(2)/25))/(LN(2)/25)*Calculateur!AQ137*Calculateur!AS137*VLOOKUP('Données projet'!$B$10,Paramètres!$A$1:$I$89,3,0)*0.475*44/12</f>
        <v>1.194766742308244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12.04569753775073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98.045647909910258</v>
      </c>
      <c r="BJ137" s="62">
        <f t="shared" si="146"/>
        <v>475.64984175055775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11.092062590896763</v>
      </c>
      <c r="BQ137" s="23">
        <f>EXP(-LN(2)/25)*BQ136+(1-EXP(-LN(2)/25))/(LN(2)/25)*Calculateur!BL137*Calculateur!BN137*VLOOKUP('Données projet'!$B$11,Paramètres!$A$1:$I$89,3,0)*0.475*44/12</f>
        <v>1.2213171143595398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12.313379705256303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91.446075686521226</v>
      </c>
      <c r="T138" s="62">
        <f t="shared" si="142"/>
        <v>440.88491337513091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10.017591872402242</v>
      </c>
      <c r="AA138" s="23">
        <f>EXP(-LN(2)/25)*AA137+(1-EXP(-LN(2)/25))/(LN(2)/25)*Calculateur!V138*Calculateur!X138*VLOOKUP('Données projet'!$B$9,Paramètres!$A$1:$I$89,3,0)*0.475*44/12</f>
        <v>1.0943068622400385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11.111898734642281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96.226303286816062</v>
      </c>
      <c r="AO138" s="62">
        <f t="shared" si="144"/>
        <v>466.06545378903826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10.638150660958129</v>
      </c>
      <c r="AV138" s="23">
        <f>EXP(-LN(2)/25)*AV137+(1-EXP(-LN(2)/25))/(LN(2)/25)*Calculateur!AQ138*Calculateur!AS138*VLOOKUP('Données projet'!$B$10,Paramètres!$A$1:$I$89,3,0)*0.475*44/12</f>
        <v>1.1620957829097727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11.800246443867902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98.045647909910258</v>
      </c>
      <c r="BJ138" s="62">
        <f t="shared" si="146"/>
        <v>475.64984175055775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10.874554008979421</v>
      </c>
      <c r="BQ138" s="23">
        <f>EXP(-LN(2)/25)*BQ137+(1-EXP(-LN(2)/25))/(LN(2)/25)*Calculateur!BL138*Calculateur!BN138*VLOOKUP('Données projet'!$B$11,Paramètres!$A$1:$I$89,3,0)*0.475*44/12</f>
        <v>1.1879201336411025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12.062474142620523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91.446075686521226</v>
      </c>
      <c r="T139" s="62">
        <f t="shared" si="142"/>
        <v>440.88491337513091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9.8211530059121515</v>
      </c>
      <c r="AA139" s="23">
        <f>EXP(-LN(2)/25)*AA138+(1-EXP(-LN(2)/25))/(LN(2)/25)*Calculateur!V139*Calculateur!X139*VLOOKUP('Données projet'!$B$9,Paramètres!$A$1:$I$89,3,0)*0.475*44/12</f>
        <v>1.0643829835449878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10.885535989457139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96.226303286816062</v>
      </c>
      <c r="AO139" s="62">
        <f t="shared" si="144"/>
        <v>466.06545378903826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10.429543015127944</v>
      </c>
      <c r="AV139" s="23">
        <f>EXP(-LN(2)/25)*AV138+(1-EXP(-LN(2)/25))/(LN(2)/25)*Calculateur!AQ139*Calculateur!AS139*VLOOKUP('Données projet'!$B$10,Paramètres!$A$1:$I$89,3,0)*0.475*44/12</f>
        <v>1.1303182126141438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11.559861227742088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98.045647909910258</v>
      </c>
      <c r="BJ139" s="62">
        <f t="shared" si="146"/>
        <v>475.64984175055775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10.661310637686343</v>
      </c>
      <c r="BQ139" s="23">
        <f>EXP(-LN(2)/25)*BQ138+(1-EXP(-LN(2)/25))/(LN(2)/25)*Calculateur!BL139*Calculateur!BN139*VLOOKUP('Données projet'!$B$11,Paramètres!$A$1:$I$89,3,0)*0.475*44/12</f>
        <v>1.1554363951166817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11.816747032803026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91.446075686521226</v>
      </c>
      <c r="T140" s="62">
        <f t="shared" si="142"/>
        <v>440.88491337513091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9.6285661857780536</v>
      </c>
      <c r="AA140" s="23">
        <f>EXP(-LN(2)/25)*AA139+(1-EXP(-LN(2)/25))/(LN(2)/25)*Calculateur!V140*Calculateur!X140*VLOOKUP('Données projet'!$B$9,Paramètres!$A$1:$I$89,3,0)*0.475*44/12</f>
        <v>1.0352773748864816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10.663843560664535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96.226303286816062</v>
      </c>
      <c r="AO140" s="62">
        <f t="shared" si="144"/>
        <v>466.06545378903826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10.22502603799439</v>
      </c>
      <c r="AV140" s="23">
        <f>EXP(-LN(2)/25)*AV139+(1-EXP(-LN(2)/25))/(LN(2)/25)*Calculateur!AQ140*Calculateur!AS140*VLOOKUP('Données projet'!$B$10,Paramètres!$A$1:$I$89,3,0)*0.475*44/12</f>
        <v>1.0994096016493586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11.324435639643749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98.045647909910258</v>
      </c>
      <c r="BJ140" s="62">
        <f t="shared" si="146"/>
        <v>475.64984175055775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10.45224883883871</v>
      </c>
      <c r="BQ140" s="23">
        <f>EXP(-LN(2)/25)*BQ139+(1-EXP(-LN(2)/25))/(LN(2)/25)*Calculateur!BL140*Calculateur!BN140*VLOOKUP('Données projet'!$B$11,Paramètres!$A$1:$I$89,3,0)*0.475*44/12</f>
        <v>1.1238409261304567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11.576089764969167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91.446075686521226</v>
      </c>
      <c r="T141" s="62">
        <f t="shared" si="142"/>
        <v>440.88491337513091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9.4397558757204241</v>
      </c>
      <c r="AA141" s="23">
        <f>EXP(-LN(2)/25)*AA140+(1-EXP(-LN(2)/25))/(LN(2)/25)*Calculateur!V141*Calculateur!X141*VLOOKUP('Données projet'!$B$9,Paramètres!$A$1:$I$89,3,0)*0.475*44/12</f>
        <v>1.0069676606273399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10.446723536347765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96.226303286816062</v>
      </c>
      <c r="AO141" s="62">
        <f t="shared" si="144"/>
        <v>466.06545378903826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10.024519514039385</v>
      </c>
      <c r="AV141" s="23">
        <f>EXP(-LN(2)/25)*AV140+(1-EXP(-LN(2)/25))/(LN(2)/25)*Calculateur!AQ141*Calculateur!AS141*VLOOKUP('Données projet'!$B$10,Paramètres!$A$1:$I$89,3,0)*0.475*44/12</f>
        <v>1.0693461882768187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11.093865702316204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98.045647909910258</v>
      </c>
      <c r="BJ141" s="62">
        <f t="shared" si="146"/>
        <v>475.64984175055775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10.247286614351371</v>
      </c>
      <c r="BQ141" s="23">
        <f>EXP(-LN(2)/25)*BQ140+(1-EXP(-LN(2)/25))/(LN(2)/25)*Calculateur!BL141*Calculateur!BN141*VLOOKUP('Données projet'!$B$11,Paramètres!$A$1:$I$89,3,0)*0.475*44/12</f>
        <v>1.0931094369051937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11.340396051256564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91.446075686521226</v>
      </c>
      <c r="T142" s="62">
        <f t="shared" si="142"/>
        <v>440.88491337513091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9.2546480206801061</v>
      </c>
      <c r="AA142" s="23">
        <f>EXP(-LN(2)/25)*AA141+(1-EXP(-LN(2)/25))/(LN(2)/25)*Calculateur!V142*Calculateur!X142*VLOOKUP('Données projet'!$B$9,Paramètres!$A$1:$I$89,3,0)*0.475*44/12</f>
        <v>0.97943207699335744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10.234080097673463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96.226303286816062</v>
      </c>
      <c r="AO142" s="62">
        <f t="shared" si="144"/>
        <v>466.06545378903826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9.8279448007222339</v>
      </c>
      <c r="AV142" s="23">
        <f>EXP(-LN(2)/25)*AV141+(1-EXP(-LN(2)/25))/(LN(2)/25)*Calculateur!AQ142*Calculateur!AS142*VLOOKUP('Données projet'!$B$10,Paramètres!$A$1:$I$89,3,0)*0.475*44/12</f>
        <v>1.0401048605239172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10.86804966124615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98.045647909910258</v>
      </c>
      <c r="BJ142" s="62">
        <f t="shared" si="146"/>
        <v>475.64984175055775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10.046343574071615</v>
      </c>
      <c r="BQ142" s="23">
        <f>EXP(-LN(2)/25)*BQ141+(1-EXP(-LN(2)/25))/(LN(2)/25)*Calculateur!BL142*Calculateur!BN142*VLOOKUP('Données projet'!$B$11,Paramètres!$A$1:$I$89,3,0)*0.475*44/12</f>
        <v>1.0632183018688943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11.109561875940511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91.446075686521226</v>
      </c>
      <c r="T143" s="62">
        <f t="shared" si="142"/>
        <v>440.88491337513091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9.0731700177724868</v>
      </c>
      <c r="AA143" s="23">
        <f>EXP(-LN(2)/25)*AA142+(1-EXP(-LN(2)/25))/(LN(2)/25)*Calculateur!V143*Calculateur!X143*VLOOKUP('Données projet'!$B$9,Paramètres!$A$1:$I$89,3,0)*0.475*44/12</f>
        <v>0.95264945534187973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10.025819473114366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96.226303286816062</v>
      </c>
      <c r="AO143" s="62">
        <f t="shared" si="144"/>
        <v>466.06545378903826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9.6352247976344962</v>
      </c>
      <c r="AV143" s="23">
        <f>EXP(-LN(2)/25)*AV142+(1-EXP(-LN(2)/25))/(LN(2)/25)*Calculateur!AQ143*Calculateur!AS143*VLOOKUP('Données projet'!$B$10,Paramètres!$A$1:$I$89,3,0)*0.475*44/12</f>
        <v>1.0116631384161532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10.64688793605065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98.045647909910258</v>
      </c>
      <c r="BJ143" s="62">
        <f t="shared" si="146"/>
        <v>475.64984175055775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9.849340904248594</v>
      </c>
      <c r="BQ143" s="23">
        <f>EXP(-LN(2)/25)*BQ142+(1-EXP(-LN(2)/25))/(LN(2)/25)*Calculateur!BL143*Calculateur!BN143*VLOOKUP('Données projet'!$B$11,Paramètres!$A$1:$I$89,3,0)*0.475*44/12</f>
        <v>1.0341445414920689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10.883485445740662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91.446075686521226</v>
      </c>
      <c r="T144" s="62">
        <f t="shared" si="142"/>
        <v>440.88491337513091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8.8952506878112327</v>
      </c>
      <c r="AA144" s="23">
        <f>EXP(-LN(2)/25)*AA143+(1-EXP(-LN(2)/25))/(LN(2)/25)*Calculateur!V144*Calculateur!X144*VLOOKUP('Données projet'!$B$9,Paramètres!$A$1:$I$89,3,0)*0.475*44/12</f>
        <v>0.92659920588789846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9.821849893699131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96.226303286816062</v>
      </c>
      <c r="AO144" s="62">
        <f t="shared" si="144"/>
        <v>466.06545378903826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9.4462839162597145</v>
      </c>
      <c r="AV144" s="23">
        <f>EXP(-LN(2)/25)*AV143+(1-EXP(-LN(2)/25))/(LN(2)/25)*Calculateur!AQ144*Calculateur!AS144*VLOOKUP('Données projet'!$B$10,Paramètres!$A$1:$I$89,3,0)*0.475*44/12</f>
        <v>0.98399915669511118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10.430283072954825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98.045647909910258</v>
      </c>
      <c r="BJ144" s="62">
        <f t="shared" si="146"/>
        <v>475.64984175055775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9.656201336621038</v>
      </c>
      <c r="BQ144" s="23">
        <f>EXP(-LN(2)/25)*BQ143+(1-EXP(-LN(2)/25))/(LN(2)/25)*Calculateur!BL144*Calculateur!BN144*VLOOKUP('Données projet'!$B$11,Paramètres!$A$1:$I$89,3,0)*0.475*44/12</f>
        <v>1.0058658046216704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10.662067141242709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91.446075686521226</v>
      </c>
      <c r="T145" s="62">
        <f t="shared" si="142"/>
        <v>440.88491337513091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8.7208202473904439</v>
      </c>
      <c r="AA145" s="23">
        <f>EXP(-LN(2)/25)*AA144+(1-EXP(-LN(2)/25))/(LN(2)/25)*Calculateur!V145*Calculateur!X145*VLOOKUP('Données projet'!$B$9,Paramètres!$A$1:$I$89,3,0)*0.475*44/12</f>
        <v>0.9012613018751594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9.6220815492656033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96.226303286816062</v>
      </c>
      <c r="AO145" s="62">
        <f t="shared" si="144"/>
        <v>466.06545378903826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9.2610480503261332</v>
      </c>
      <c r="AV145" s="23">
        <f>EXP(-LN(2)/25)*AV144+(1-EXP(-LN(2)/25))/(LN(2)/25)*Calculateur!AQ145*Calculateur!AS145*VLOOKUP('Données projet'!$B$10,Paramètres!$A$1:$I$89,3,0)*0.475*44/12</f>
        <v>0.95709164800901669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10.21813969833515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98.045647909910258</v>
      </c>
      <c r="BJ145" s="62">
        <f t="shared" si="146"/>
        <v>475.64984175055775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9.4668491181111545</v>
      </c>
      <c r="BQ145" s="23">
        <f>EXP(-LN(2)/25)*BQ144+(1-EXP(-LN(2)/25))/(LN(2)/25)*Calculateur!BL145*Calculateur!BN145*VLOOKUP('Données projet'!$B$11,Paramètres!$A$1:$I$89,3,0)*0.475*44/12</f>
        <v>0.97836035129810706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10.445209469409262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91.446075686521226</v>
      </c>
      <c r="T146" s="62">
        <f t="shared" si="142"/>
        <v>440.88491337513091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8.5498102815142438</v>
      </c>
      <c r="AA146" s="23">
        <f>EXP(-LN(2)/25)*AA145+(1-EXP(-LN(2)/25))/(LN(2)/25)*Calculateur!V146*Calculateur!X146*VLOOKUP('Données projet'!$B$9,Paramètres!$A$1:$I$89,3,0)*0.475*44/12</f>
        <v>0.87661626418011118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9.4264265456943548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96.226303286816062</v>
      </c>
      <c r="AO146" s="62">
        <f t="shared" si="144"/>
        <v>466.06545378903826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9.0794445467407883</v>
      </c>
      <c r="AV146" s="23">
        <f>EXP(-LN(2)/25)*AV145+(1-EXP(-LN(2)/25))/(LN(2)/25)*Calculateur!AQ146*Calculateur!AS146*VLOOKUP('Données projet'!$B$10,Paramètres!$A$1:$I$89,3,0)*0.475*44/12</f>
        <v>0.93091992656294786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10.010364473303737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98.045647909910258</v>
      </c>
      <c r="BJ146" s="62">
        <f t="shared" si="146"/>
        <v>475.64984175055775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9.2812099811128004</v>
      </c>
      <c r="BQ146" s="23">
        <f>EXP(-LN(2)/25)*BQ145+(1-EXP(-LN(2)/25))/(LN(2)/25)*Calculateur!BL146*Calculateur!BN146*VLOOKUP('Données projet'!$B$11,Paramètres!$A$1:$I$89,3,0)*0.475*44/12</f>
        <v>0.95160703604212549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10.232817017154925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91.446075686521226</v>
      </c>
      <c r="T147" s="62">
        <f t="shared" si="142"/>
        <v>440.88491337513091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8.3821537167630957</v>
      </c>
      <c r="AA147" s="23">
        <f>EXP(-LN(2)/25)*AA146+(1-EXP(-LN(2)/25))/(LN(2)/25)*Calculateur!V147*Calculateur!X147*VLOOKUP('Données projet'!$B$9,Paramètres!$A$1:$I$89,3,0)*0.475*44/12</f>
        <v>0.85264514633686028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9.2347988630999556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96.226303286816062</v>
      </c>
      <c r="AO147" s="62">
        <f t="shared" si="144"/>
        <v>466.06545378903826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8.9014021770935514</v>
      </c>
      <c r="AV147" s="23">
        <f>EXP(-LN(2)/25)*AV146+(1-EXP(-LN(2)/25))/(LN(2)/25)*Calculateur!AQ147*Calculateur!AS147*VLOOKUP('Données projet'!$B$10,Paramètres!$A$1:$I$89,3,0)*0.475*44/12</f>
        <v>0.90546387221613278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9.8068660493096846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98.045647909910258</v>
      </c>
      <c r="BJ147" s="62">
        <f t="shared" si="146"/>
        <v>475.64984175055775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9.0992111143622925</v>
      </c>
      <c r="BQ147" s="23">
        <f>EXP(-LN(2)/25)*BQ146+(1-EXP(-LN(2)/25))/(LN(2)/25)*Calculateur!BL147*Calculateur!BN147*VLOOKUP('Données projet'!$B$11,Paramètres!$A$1:$I$89,3,0)*0.475*44/12</f>
        <v>0.9255852915987145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10.024796405961007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91.446075686521226</v>
      </c>
      <c r="T148" s="62">
        <f t="shared" si="142"/>
        <v>440.88491337513091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8.2177847949863096</v>
      </c>
      <c r="AA148" s="23">
        <f>EXP(-LN(2)/25)*AA147+(1-EXP(-LN(2)/25))/(LN(2)/25)*Calculateur!V148*Calculateur!X148*VLOOKUP('Données projet'!$B$9,Paramètres!$A$1:$I$89,3,0)*0.475*44/12</f>
        <v>0.8293295199716193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9.0471143149579287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96.226303286816062</v>
      </c>
      <c r="AO148" s="62">
        <f t="shared" si="144"/>
        <v>466.06545378903826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8.7268511097199735</v>
      </c>
      <c r="AV148" s="23">
        <f>EXP(-LN(2)/25)*AV147+(1-EXP(-LN(2)/25))/(LN(2)/25)*Calculateur!AQ148*Calculateur!AS148*VLOOKUP('Données projet'!$B$10,Paramètres!$A$1:$I$89,3,0)*0.475*44/12</f>
        <v>0.88070391501410705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9.6075550247340811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98.045647909910258</v>
      </c>
      <c r="BJ148" s="62">
        <f t="shared" si="146"/>
        <v>475.64984175055775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8.9207811343804142</v>
      </c>
      <c r="BQ148" s="23">
        <f>EXP(-LN(2)/25)*BQ147+(1-EXP(-LN(2)/25))/(LN(2)/25)*Calculateur!BL148*Calculateur!BN148*VLOOKUP('Données projet'!$B$11,Paramètres!$A$1:$I$89,3,0)*0.475*44/12</f>
        <v>0.90027511312553266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9.8210562475059469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91.446075686521226</v>
      </c>
      <c r="T149" s="62">
        <f t="shared" si="142"/>
        <v>440.88491337513091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8.0566390475104246</v>
      </c>
      <c r="AA149" s="23">
        <f>EXP(-LN(2)/25)*AA148+(1-EXP(-LN(2)/25))/(LN(2)/25)*Calculateur!V149*Calculateur!X149*VLOOKUP('Données projet'!$B$9,Paramètres!$A$1:$I$89,3,0)*0.475*44/12</f>
        <v>0.80665146063545135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8.8632905081458766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96.226303286816062</v>
      </c>
      <c r="AO149" s="62">
        <f t="shared" si="144"/>
        <v>466.06545378903826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8.5557228823119544</v>
      </c>
      <c r="AV149" s="23">
        <f>EXP(-LN(2)/25)*AV148+(1-EXP(-LN(2)/25))/(LN(2)/25)*Calculateur!AQ149*Calculateur!AS149*VLOOKUP('Données projet'!$B$10,Paramètres!$A$1:$I$89,3,0)*0.475*44/12</f>
        <v>0.85662102014384023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9.4123439024557953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98.045647909910258</v>
      </c>
      <c r="BJ149" s="62">
        <f t="shared" si="146"/>
        <v>475.64984175055775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8.7458500574744384</v>
      </c>
      <c r="BQ149" s="23">
        <f>EXP(-LN(2)/25)*BQ148+(1-EXP(-LN(2)/25))/(LN(2)/25)*Calculateur!BL149*Calculateur!BN149*VLOOKUP('Données projet'!$B$11,Paramètres!$A$1:$I$89,3,0)*0.475*44/12</f>
        <v>0.87565704281370438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9.6215071002881434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91.446075686521226</v>
      </c>
      <c r="T150" s="62">
        <f t="shared" si="142"/>
        <v>440.88491337513091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7.8986532698533409</v>
      </c>
      <c r="AA150" s="23">
        <f>EXP(-LN(2)/25)*AA149+(1-EXP(-LN(2)/25))/(LN(2)/25)*Calculateur!V150*Calculateur!X150*VLOOKUP('Données projet'!$B$9,Paramètres!$A$1:$I$89,3,0)*0.475*44/12</f>
        <v>0.78459353402441823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8.6832468038777595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96.226303286816062</v>
      </c>
      <c r="AO150" s="62">
        <f t="shared" si="144"/>
        <v>466.06545378903826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8.3879503750654933</v>
      </c>
      <c r="AV150" s="23">
        <f>EXP(-LN(2)/25)*AV149+(1-EXP(-LN(2)/25))/(LN(2)/25)*Calculateur!AQ150*Calculateur!AS150*VLOOKUP('Données projet'!$B$10,Paramètres!$A$1:$I$89,3,0)*0.475*44/12</f>
        <v>0.83319667330026526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9.2211470483657578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98.045647909910258</v>
      </c>
      <c r="BJ150" s="62">
        <f t="shared" si="146"/>
        <v>475.64984175055775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8.574349272289167</v>
      </c>
      <c r="BQ150" s="23">
        <f>EXP(-LN(2)/25)*BQ149+(1-EXP(-LN(2)/25))/(LN(2)/25)*Calculateur!BL150*Calculateur!BN150*VLOOKUP('Données projet'!$B$11,Paramètres!$A$1:$I$89,3,0)*0.475*44/12</f>
        <v>0.85171215492916108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9.426061427218329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91.446075686521226</v>
      </c>
      <c r="T151" s="62">
        <f t="shared" si="142"/>
        <v>440.88491337513091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7.7437654969343033</v>
      </c>
      <c r="AA151" s="23">
        <f>EXP(-LN(2)/25)*AA150+(1-EXP(-LN(2)/25))/(LN(2)/25)*Calculateur!V151*Calculateur!X151*VLOOKUP('Données projet'!$B$9,Paramètres!$A$1:$I$89,3,0)*0.475*44/12</f>
        <v>0.76313878257653978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8.5069042795108434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96.226303286816062</v>
      </c>
      <c r="AO151" s="62">
        <f t="shared" si="144"/>
        <v>466.06545378903826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8.2234677843550106</v>
      </c>
      <c r="AV151" s="23">
        <f>EXP(-LN(2)/25)*AV150+(1-EXP(-LN(2)/25))/(LN(2)/25)*Calculateur!AQ151*Calculateur!AS151*VLOOKUP('Données projet'!$B$10,Paramètres!$A$1:$I$89,3,0)*0.475*44/12</f>
        <v>0.81041286645296073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9.033880650807971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98.045647909910258</v>
      </c>
      <c r="BJ151" s="62">
        <f t="shared" si="146"/>
        <v>475.64984175055775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8.4062115128962294</v>
      </c>
      <c r="BQ151" s="23">
        <f>EXP(-LN(2)/25)*BQ150+(1-EXP(-LN(2)/25))/(LN(2)/25)*Calculateur!BL151*Calculateur!BN151*VLOOKUP('Données projet'!$B$11,Paramètres!$A$1:$I$89,3,0)*0.475*44/12</f>
        <v>0.82842204126302754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9.2346335541592577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91.446075686521226</v>
      </c>
      <c r="T152" s="62">
        <f t="shared" si="142"/>
        <v>440.88491337513091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7.591914978769994</v>
      </c>
      <c r="AA152" s="23">
        <f>EXP(-LN(2)/25)*AA151+(1-EXP(-LN(2)/25))/(LN(2)/25)*Calculateur!V152*Calculateur!X152*VLOOKUP('Données projet'!$B$9,Paramètres!$A$1:$I$89,3,0)*0.475*44/12</f>
        <v>0.74227071243525988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8.3341856912052545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96.226303286816062</v>
      </c>
      <c r="AO152" s="62">
        <f t="shared" si="144"/>
        <v>466.06545378903826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8.0622105969238866</v>
      </c>
      <c r="AV152" s="23">
        <f>EXP(-LN(2)/25)*AV151+(1-EXP(-LN(2)/25))/(LN(2)/25)*Calculateur!AQ152*Calculateur!AS152*VLOOKUP('Données projet'!$B$10,Paramètres!$A$1:$I$89,3,0)*0.475*44/12</f>
        <v>0.78825208400204405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8.850462680925931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98.045647909910258</v>
      </c>
      <c r="BJ152" s="62">
        <f t="shared" si="146"/>
        <v>475.64984175055775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8.2413708324110804</v>
      </c>
      <c r="BQ152" s="23">
        <f>EXP(-LN(2)/25)*BQ151+(1-EXP(-LN(2)/25))/(LN(2)/25)*Calculateur!BL152*Calculateur!BN152*VLOOKUP('Données projet'!$B$11,Paramètres!$A$1:$I$89,3,0)*0.475*44/12</f>
        <v>0.80576879697986825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9.0471396293909478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91.446075686521226</v>
      </c>
      <c r="T153" s="62">
        <f t="shared" si="142"/>
        <v>440.88491337513091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7.4430421566472162</v>
      </c>
      <c r="AA153" s="23">
        <f>EXP(-LN(2)/25)*AA152+(1-EXP(-LN(2)/25))/(LN(2)/25)*Calculateur!V153*Calculateur!X153*VLOOKUP('Données projet'!$B$9,Paramètres!$A$1:$I$89,3,0)*0.475*44/12</f>
        <v>0.72197328076939737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8.1650154374166135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96.226303286816062</v>
      </c>
      <c r="AO153" s="62">
        <f t="shared" si="144"/>
        <v>466.06545378903826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7.9041155645811143</v>
      </c>
      <c r="AV153" s="23">
        <f>EXP(-LN(2)/25)*AV152+(1-EXP(-LN(2)/25))/(LN(2)/25)*Calculateur!AQ153*Calculateur!AS153*VLOOKUP('Données projet'!$B$10,Paramètres!$A$1:$I$89,3,0)*0.475*44/12</f>
        <v>0.76669728931263259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8.6708128538937466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98.045647909910258</v>
      </c>
      <c r="BJ153" s="62">
        <f t="shared" si="146"/>
        <v>475.64984175055775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8.079762577127358</v>
      </c>
      <c r="BQ153" s="23">
        <f>EXP(-LN(2)/25)*BQ152+(1-EXP(-LN(2)/25))/(LN(2)/25)*Calculateur!BL153*Calculateur!BN153*VLOOKUP('Données projet'!$B$11,Paramètres!$A$1:$I$89,3,0)*0.475*44/12</f>
        <v>0.78373500685291431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8.8634975839802728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91.446075686521226</v>
      </c>
      <c r="T154" s="62">
        <f t="shared" si="142"/>
        <v>440.88491337513091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7.2970886397628112</v>
      </c>
      <c r="AA154" s="23">
        <f>EXP(-LN(2)/25)*AA153+(1-EXP(-LN(2)/25))/(LN(2)/25)*Calculateur!V154*Calculateur!X154*VLOOKUP('Données projet'!$B$9,Paramètres!$A$1:$I$89,3,0)*0.475*44/12</f>
        <v>0.70223088343983342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7.9993195232026446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96.226303286816062</v>
      </c>
      <c r="AO154" s="62">
        <f t="shared" si="144"/>
        <v>466.06545378903826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7.7491206793941352</v>
      </c>
      <c r="AV154" s="23">
        <f>EXP(-LN(2)/25)*AV153+(1-EXP(-LN(2)/25))/(LN(2)/25)*Calculateur!AQ154*Calculateur!AS154*VLOOKUP('Données projet'!$B$10,Paramètres!$A$1:$I$89,3,0)*0.475*44/12</f>
        <v>0.7457319116175205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8.4948525910116555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98.045647909910258</v>
      </c>
      <c r="BJ154" s="62">
        <f t="shared" si="146"/>
        <v>475.64984175055775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7.9213233611584464</v>
      </c>
      <c r="BQ154" s="23">
        <f>EXP(-LN(2)/25)*BQ153+(1-EXP(-LN(2)/25))/(LN(2)/25)*Calculateur!BL154*Calculateur!BN154*VLOOKUP('Données projet'!$B$11,Paramètres!$A$1:$I$89,3,0)*0.475*44/12</f>
        <v>0.76230373187568856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8.6836270930341346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91.446075686521226</v>
      </c>
      <c r="T155" s="62">
        <f t="shared" si="142"/>
        <v>440.88491337513091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7.1539971823216542</v>
      </c>
      <c r="AA155" s="23">
        <f>EXP(-LN(2)/25)*AA154+(1-EXP(-LN(2)/25))/(LN(2)/25)*Calculateur!V155*Calculateur!X155*VLOOKUP('Données projet'!$B$9,Paramètres!$A$1:$I$89,3,0)*0.475*44/12</f>
        <v>0.68302834300345394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7.8370255253251084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96.226303286816062</v>
      </c>
      <c r="AO155" s="62">
        <f t="shared" si="144"/>
        <v>466.06545378903826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7.597165149368128</v>
      </c>
      <c r="AV155" s="23">
        <f>EXP(-LN(2)/25)*AV154+(1-EXP(-LN(2)/25))/(LN(2)/25)*Calculateur!AQ155*Calculateur!AS155*VLOOKUP('Données projet'!$B$10,Paramètres!$A$1:$I$89,3,0)*0.475*44/12</f>
        <v>0.72533983327800255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8.3225049826461301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98.045647909910258</v>
      </c>
      <c r="BJ155" s="62">
        <f t="shared" si="146"/>
        <v>475.64984175055775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7.7659910415763056</v>
      </c>
      <c r="BQ155" s="23">
        <f>EXP(-LN(2)/25)*BQ154+(1-EXP(-LN(2)/25))/(LN(2)/25)*Calculateur!BL155*Calculateur!BN155*VLOOKUP('Données projet'!$B$11,Paramètres!$A$1:$I$89,3,0)*0.475*44/12</f>
        <v>0.74145849623973692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8.5074495378160417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91.446075686521226</v>
      </c>
      <c r="T156" s="62">
        <f t="shared" si="142"/>
        <v>440.88491337513091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7.0137116610837476</v>
      </c>
      <c r="AA156" s="23">
        <f>EXP(-LN(2)/25)*AA155+(1-EXP(-LN(2)/25))/(LN(2)/25)*Calculateur!V156*Calculateur!X156*VLOOKUP('Données projet'!$B$9,Paramètres!$A$1:$I$89,3,0)*0.475*44/12</f>
        <v>0.66435089704512507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7.6780625581288726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96.226303286816062</v>
      </c>
      <c r="AO156" s="62">
        <f t="shared" si="144"/>
        <v>466.06545378903826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7.448189374602209</v>
      </c>
      <c r="AV156" s="23">
        <f>EXP(-LN(2)/25)*AV155+(1-EXP(-LN(2)/25))/(LN(2)/25)*Calculateur!AQ156*Calculateur!AS156*VLOOKUP('Données projet'!$B$10,Paramètres!$A$1:$I$89,3,0)*0.475*44/12</f>
        <v>0.70550537739305152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8.1536947519952605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98.045647909910258</v>
      </c>
      <c r="BJ156" s="62">
        <f t="shared" si="146"/>
        <v>475.64984175055775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7.6137046940378106</v>
      </c>
      <c r="BQ156" s="23">
        <f>EXP(-LN(2)/25)*BQ155+(1-EXP(-LN(2)/25))/(LN(2)/25)*Calculateur!BL156*Calculateur!BN156*VLOOKUP('Données projet'!$B$11,Paramètres!$A$1:$I$89,3,0)*0.475*44/12</f>
        <v>0.72118327466845367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8.3348879687062638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91.446075686521226</v>
      </c>
      <c r="T157" s="62">
        <f t="shared" si="142"/>
        <v>440.88491337513091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6.8761770533515971</v>
      </c>
      <c r="AA157" s="23">
        <f>EXP(-LN(2)/25)*AA156+(1-EXP(-LN(2)/25))/(LN(2)/25)*Calculateur!V157*Calculateur!X157*VLOOKUP('Données projet'!$B$9,Paramètres!$A$1:$I$89,3,0)*0.475*44/12</f>
        <v>0.6461841868287308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7.5223612401803281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96.226303286816062</v>
      </c>
      <c r="AO157" s="62">
        <f t="shared" si="144"/>
        <v>466.06545378903826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7.3021349239131998</v>
      </c>
      <c r="AV157" s="23">
        <f>EXP(-LN(2)/25)*AV156+(1-EXP(-LN(2)/25))/(LN(2)/25)*Calculateur!AQ157*Calculateur!AS157*VLOOKUP('Données projet'!$B$10,Paramètres!$A$1:$I$89,3,0)*0.475*44/12</f>
        <v>0.68621329574732315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7.9883482196605229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98.045647909910258</v>
      </c>
      <c r="BJ157" s="62">
        <f t="shared" si="146"/>
        <v>475.64984175055775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7.4644045888890451</v>
      </c>
      <c r="BQ157" s="23">
        <f>EXP(-LN(2)/25)*BQ156+(1-EXP(-LN(2)/25))/(LN(2)/25)*Calculateur!BL157*Calculateur!BN157*VLOOKUP('Données projet'!$B$11,Paramètres!$A$1:$I$89,3,0)*0.475*44/12</f>
        <v>0.70146248009726464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8.1658670689863104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91.446075686521226</v>
      </c>
      <c r="T158" s="62">
        <f t="shared" si="142"/>
        <v>440.88491337513091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6.7413394153892465</v>
      </c>
      <c r="AA158" s="23">
        <f>EXP(-LN(2)/25)*AA157+(1-EXP(-LN(2)/25))/(LN(2)/25)*Calculateur!V158*Calculateur!X158*VLOOKUP('Données projet'!$B$9,Paramètres!$A$1:$I$89,3,0)*0.475*44/12</f>
        <v>0.62851424625854968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7.3698536616477961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96.226303286816062</v>
      </c>
      <c r="AO158" s="62">
        <f t="shared" si="144"/>
        <v>466.06545378903826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7.1589445119177828</v>
      </c>
      <c r="AV158" s="23">
        <f>EXP(-LN(2)/25)*AV157+(1-EXP(-LN(2)/25))/(LN(2)/25)*Calculateur!AQ158*Calculateur!AS158*VLOOKUP('Données projet'!$B$10,Paramètres!$A$1:$I$89,3,0)*0.475*44/12</f>
        <v>0.66744875708872375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7.8263932690065063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98.045647909910258</v>
      </c>
      <c r="BJ158" s="62">
        <f t="shared" si="146"/>
        <v>475.64984175055775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7.318032167738175</v>
      </c>
      <c r="BQ158" s="23">
        <f>EXP(-LN(2)/25)*BQ157+(1-EXP(-LN(2)/25))/(LN(2)/25)*Calculateur!BL158*Calculateur!BN158*VLOOKUP('Données projet'!$B$11,Paramètres!$A$1:$I$89,3,0)*0.475*44/12</f>
        <v>0.68228095169069636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8.0003131194288706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91.446075686521226</v>
      </c>
      <c r="T159" s="62">
        <f t="shared" si="142"/>
        <v>440.88491337513091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6.6091458612644995</v>
      </c>
      <c r="AA159" s="23">
        <f>EXP(-LN(2)/25)*AA158+(1-EXP(-LN(2)/25))/(LN(2)/25)*Calculateur!V159*Calculateur!X159*VLOOKUP('Données projet'!$B$9,Paramètres!$A$1:$I$89,3,0)*0.475*44/12</f>
        <v>0.61132749114248197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7.220473352406982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96.226303286816062</v>
      </c>
      <c r="AO159" s="62">
        <f t="shared" si="144"/>
        <v>466.06545378903826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7.0185619765640688</v>
      </c>
      <c r="AV159" s="23">
        <f>EXP(-LN(2)/25)*AV158+(1-EXP(-LN(2)/25))/(LN(2)/25)*Calculateur!AQ159*Calculateur!AS159*VLOOKUP('Données projet'!$B$10,Paramètres!$A$1:$I$89,3,0)*0.475*44/12</f>
        <v>0.64919733572652794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7.6677593122905972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98.045647909910258</v>
      </c>
      <c r="BJ159" s="62">
        <f t="shared" si="146"/>
        <v>475.64984175055775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7.1745300204877118</v>
      </c>
      <c r="BQ159" s="23">
        <f>EXP(-LN(2)/25)*BQ158+(1-EXP(-LN(2)/25))/(LN(2)/25)*Calculateur!BL159*Calculateur!BN159*VLOOKUP('Données projet'!$B$11,Paramètres!$A$1:$I$89,3,0)*0.475*44/12</f>
        <v>0.66362394318711837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7.8381539636748299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91.446075686521226</v>
      </c>
      <c r="T160" s="62">
        <f t="shared" si="142"/>
        <v>440.88491337513091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6.4795445421060318</v>
      </c>
      <c r="AA160" s="23">
        <f>EXP(-LN(2)/25)*AA159+(1-EXP(-LN(2)/25))/(LN(2)/25)*Calculateur!V160*Calculateur!X160*VLOOKUP('Données projet'!$B$9,Paramètres!$A$1:$I$89,3,0)*0.475*44/12</f>
        <v>0.59461070874887523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7.0741552508549068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96.226303286816062</v>
      </c>
      <c r="AO160" s="62">
        <f t="shared" si="144"/>
        <v>466.06545378903826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6.8809322571037494</v>
      </c>
      <c r="AV160" s="23">
        <f>EXP(-LN(2)/25)*AV159+(1-EXP(-LN(2)/25))/(LN(2)/25)*Calculateur!AQ160*Calculateur!AS160*VLOOKUP('Données projet'!$B$10,Paramètres!$A$1:$I$89,3,0)*0.475*44/12</f>
        <v>0.63144500044128193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7.5123772575450314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98.045647909910258</v>
      </c>
      <c r="BJ160" s="62">
        <f t="shared" si="146"/>
        <v>475.64984175055775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7.0338418628171633</v>
      </c>
      <c r="BQ160" s="23">
        <f>EXP(-LN(2)/25)*BQ159+(1-EXP(-LN(2)/25))/(LN(2)/25)*Calculateur!BL160*Calculateur!BN160*VLOOKUP('Données projet'!$B$11,Paramètres!$A$1:$I$89,3,0)*0.475*44/12</f>
        <v>0.64547711156220022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7.6793189743793633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91.446075686521226</v>
      </c>
      <c r="T161" s="62">
        <f t="shared" si="142"/>
        <v>440.88491337513091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6.3524846257672625</v>
      </c>
      <c r="AA161" s="23">
        <f>EXP(-LN(2)/25)*AA160+(1-EXP(-LN(2)/25))/(LN(2)/25)*Calculateur!V161*Calculateur!X161*VLOOKUP('Données projet'!$B$9,Paramètres!$A$1:$I$89,3,0)*0.475*44/12</f>
        <v>0.57835104764891909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6.9308356734161816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96.226303286816062</v>
      </c>
      <c r="AO161" s="62">
        <f t="shared" si="144"/>
        <v>466.06545378903826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6.7460013724962069</v>
      </c>
      <c r="AV161" s="23">
        <f>EXP(-LN(2)/25)*AV160+(1-EXP(-LN(2)/25))/(LN(2)/25)*Calculateur!AQ161*Calculateur!AS161*VLOOKUP('Données projet'!$B$10,Paramètres!$A$1:$I$89,3,0)*0.475*44/12</f>
        <v>0.61417810369796566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7.3601794761941726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98.045647909910258</v>
      </c>
      <c r="BJ161" s="62">
        <f t="shared" si="146"/>
        <v>475.64984175055775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6.8959125141072306</v>
      </c>
      <c r="BQ161" s="23">
        <f>EXP(-LN(2)/25)*BQ160+(1-EXP(-LN(2)/25))/(LN(2)/25)*Calculateur!BL161*Calculateur!BN161*VLOOKUP('Données projet'!$B$11,Paramètres!$A$1:$I$89,3,0)*0.475*44/12</f>
        <v>0.62782650600236578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7.5237390201095966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91.446075686521226</v>
      </c>
      <c r="T162" s="62">
        <f t="shared" si="142"/>
        <v>440.88491337513091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6.2279162768890002</v>
      </c>
      <c r="AA162" s="23">
        <f>EXP(-LN(2)/25)*AA161+(1-EXP(-LN(2)/25))/(LN(2)/25)*Calculateur!V162*Calculateur!X162*VLOOKUP('Données projet'!$B$9,Paramètres!$A$1:$I$89,3,0)*0.475*44/12</f>
        <v>0.56253600783679969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6.7904522847257995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96.226303286816062</v>
      </c>
      <c r="AO162" s="62">
        <f t="shared" si="144"/>
        <v>466.06545378903826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6.6137164002361049</v>
      </c>
      <c r="AV162" s="23">
        <f>EXP(-LN(2)/25)*AV161+(1-EXP(-LN(2)/25))/(LN(2)/25)*Calculateur!AQ162*Calculateur!AS162*VLOOKUP('Données projet'!$B$10,Paramètres!$A$1:$I$89,3,0)*0.475*44/12</f>
        <v>0.59738337115412199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7.2110997713902272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98.045647909910258</v>
      </c>
      <c r="BJ162" s="62">
        <f t="shared" si="146"/>
        <v>475.64984175055775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6.7606878757969042</v>
      </c>
      <c r="BQ162" s="23">
        <f>EXP(-LN(2)/25)*BQ161+(1-EXP(-LN(2)/25))/(LN(2)/25)*Calculateur!BL162*Calculateur!BN162*VLOOKUP('Données projet'!$B$11,Paramètres!$A$1:$I$89,3,0)*0.475*44/12</f>
        <v>0.61065855717977002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7.371346432976674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91.446075686521226</v>
      </c>
      <c r="T163" s="62">
        <f t="shared" si="142"/>
        <v>440.88491337513091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6.1057906373530502</v>
      </c>
      <c r="AA163" s="23">
        <f>EXP(-LN(2)/25)*AA162+(1-EXP(-LN(2)/25))/(LN(2)/25)*Calculateur!V163*Calculateur!X163*VLOOKUP('Données projet'!$B$9,Paramètres!$A$1:$I$89,3,0)*0.475*44/12</f>
        <v>0.54715343112001946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6.6529440684730696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96.226303286816062</v>
      </c>
      <c r="AO163" s="62">
        <f t="shared" si="144"/>
        <v>466.06545378903826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6.4840254555961581</v>
      </c>
      <c r="AV163" s="23">
        <f>EXP(-LN(2)/25)*AV162+(1-EXP(-LN(2)/25))/(LN(2)/25)*Calculateur!AQ163*Calculateur!AS163*VLOOKUP('Données projet'!$B$10,Paramètres!$A$1:$I$89,3,0)*0.475*44/12</f>
        <v>0.58104789145488633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7.0650733470510447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98.045647909910258</v>
      </c>
      <c r="BJ163" s="62">
        <f t="shared" si="146"/>
        <v>475.64984175055775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6.6281149101649586</v>
      </c>
      <c r="BQ163" s="23">
        <f>EXP(-LN(2)/25)*BQ162+(1-EXP(-LN(2)/25))/(LN(2)/25)*Calculateur!BL163*Calculateur!BN163*VLOOKUP('Données projet'!$B$11,Paramètres!$A$1:$I$89,3,0)*0.475*44/12</f>
        <v>0.59396006682055136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7.2220749769855104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91.446075686521226</v>
      </c>
      <c r="T164" s="62">
        <f t="shared" si="142"/>
        <v>440.88491337513091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5.9860598071191147</v>
      </c>
      <c r="AA164" s="23">
        <f>EXP(-LN(2)/25)*AA163+(1-EXP(-LN(2)/25))/(LN(2)/25)*Calculateur!V164*Calculateur!X164*VLOOKUP('Données projet'!$B$9,Paramètres!$A$1:$I$89,3,0)*0.475*44/12</f>
        <v>0.53219149177249414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6.5182512988916086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96.226303286816062</v>
      </c>
      <c r="AO164" s="62">
        <f t="shared" si="144"/>
        <v>466.06545378903826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6.3568776712769353</v>
      </c>
      <c r="AV164" s="23">
        <f>EXP(-LN(2)/25)*AV163+(1-EXP(-LN(2)/25))/(LN(2)/25)*Calculateur!AQ164*Calculateur!AS164*VLOOKUP('Données projet'!$B$10,Paramètres!$A$1:$I$89,3,0)*0.475*44/12</f>
        <v>0.56515910630707189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6.9220367775840073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98.045647909910258</v>
      </c>
      <c r="BJ164" s="62">
        <f t="shared" si="146"/>
        <v>475.64984175055775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6.4981416195275301</v>
      </c>
      <c r="BQ164" s="23">
        <f>EXP(-LN(2)/25)*BQ163+(1-EXP(-LN(2)/25))/(LN(2)/25)*Calculateur!BL164*Calculateur!BN164*VLOOKUP('Données projet'!$B$11,Paramètres!$A$1:$I$89,3,0)*0.475*44/12</f>
        <v>0.57771819755834097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7.0758598170858713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91.446075686521226</v>
      </c>
      <c r="T165" s="62">
        <f t="shared" si="142"/>
        <v>440.88491337513091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5.868676825437471</v>
      </c>
      <c r="AA165" s="23">
        <f>EXP(-LN(2)/25)*AA164+(1-EXP(-LN(2)/25))/(LN(2)/25)*Calculateur!V165*Calculateur!X165*VLOOKUP('Données projet'!$B$9,Paramètres!$A$1:$I$89,3,0)*0.475*44/12</f>
        <v>0.51763868744324104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6.3863155128807119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96.226303286816062</v>
      </c>
      <c r="AO165" s="62">
        <f t="shared" si="144"/>
        <v>466.06545378903826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6.2322231774557215</v>
      </c>
      <c r="AV165" s="23">
        <f>EXP(-LN(2)/25)*AV164+(1-EXP(-LN(2)/25))/(LN(2)/25)*Calculateur!AQ165*Calculateur!AS165*VLOOKUP('Données projet'!$B$10,Paramètres!$A$1:$I$89,3,0)*0.475*44/12</f>
        <v>0.54970480082467932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6.7819279782804012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98.045647909910258</v>
      </c>
      <c r="BJ165" s="62">
        <f t="shared" si="146"/>
        <v>475.64984175055775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6.3707170258436223</v>
      </c>
      <c r="BQ165" s="23">
        <f>EXP(-LN(2)/25)*BQ164+(1-EXP(-LN(2)/25))/(LN(2)/25)*Calculateur!BL165*Calculateur!BN165*VLOOKUP('Données projet'!$B$11,Paramètres!$A$1:$I$89,3,0)*0.475*44/12</f>
        <v>0.56192046306522847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6.9326374889088509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91.446075686521226</v>
      </c>
      <c r="T166" s="62">
        <f t="shared" si="142"/>
        <v>440.88491337513091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5.7535956524300556</v>
      </c>
      <c r="AA166" s="23">
        <f>EXP(-LN(2)/25)*AA165+(1-EXP(-LN(2)/25))/(LN(2)/25)*Calculateur!V166*Calculateur!X166*VLOOKUP('Données projet'!$B$9,Paramètres!$A$1:$I$89,3,0)*0.475*44/12</f>
        <v>0.50348383031367017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6.2570794827437259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96.226303286816062</v>
      </c>
      <c r="AO166" s="62">
        <f t="shared" si="144"/>
        <v>466.06545378903826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6.1100130822266081</v>
      </c>
      <c r="AV166" s="23">
        <f>EXP(-LN(2)/25)*AV165+(1-EXP(-LN(2)/25))/(LN(2)/25)*Calculateur!AQ166*Calculateur!AS166*VLOOKUP('Données projet'!$B$10,Paramètres!$A$1:$I$89,3,0)*0.475*44/12</f>
        <v>0.53467309413840935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6.6446861763650178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98.045647909910258</v>
      </c>
      <c r="BJ166" s="62">
        <f t="shared" si="146"/>
        <v>475.64984175055775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6.2457911507205282</v>
      </c>
      <c r="BQ166" s="23">
        <f>EXP(-LN(2)/25)*BQ165+(1-EXP(-LN(2)/25))/(LN(2)/25)*Calculateur!BL166*Calculateur!BN166*VLOOKUP('Données projet'!$B$11,Paramètres!$A$1:$I$89,3,0)*0.475*44/12</f>
        <v>0.54655471845259695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6.7923458691731255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91.446075686521226</v>
      </c>
      <c r="T167" s="62">
        <f t="shared" si="142"/>
        <v>440.88491337513091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5.6407711510327312</v>
      </c>
      <c r="AA167" s="23">
        <f>EXP(-LN(2)/25)*AA166+(1-EXP(-LN(2)/25))/(LN(2)/25)*Calculateur!V167*Calculateur!X167*VLOOKUP('Données projet'!$B$9,Paramètres!$A$1:$I$89,3,0)*0.475*44/12</f>
        <v>0.48971603849667894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6.1304871895294104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96.226303286816062</v>
      </c>
      <c r="AO167" s="62">
        <f t="shared" si="144"/>
        <v>466.06545378903826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5.9901994524241395</v>
      </c>
      <c r="AV167" s="23">
        <f>EXP(-LN(2)/25)*AV166+(1-EXP(-LN(2)/25))/(LN(2)/25)*Calculateur!AQ167*Calculateur!AS167*VLOOKUP('Données projet'!$B$10,Paramètres!$A$1:$I$89,3,0)*0.475*44/12</f>
        <v>0.52005243026195858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6.5102518826860978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98.045647909910258</v>
      </c>
      <c r="BJ167" s="62">
        <f t="shared" si="146"/>
        <v>475.64984175055775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6.123314995811338</v>
      </c>
      <c r="BQ167" s="23">
        <f>EXP(-LN(2)/25)*BQ166+(1-EXP(-LN(2)/25))/(LN(2)/25)*Calculateur!BL167*Calculateur!BN167*VLOOKUP('Données projet'!$B$11,Paramètres!$A$1:$I$89,3,0)*0.475*44/12</f>
        <v>0.53160915093444716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6.6549241467457847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91.446075686521226</v>
      </c>
      <c r="T168" s="62">
        <f t="shared" si="142"/>
        <v>440.88491337513091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5.5301590692916571</v>
      </c>
      <c r="AA168" s="23">
        <f>EXP(-LN(2)/25)*AA167+(1-EXP(-LN(2)/25))/(LN(2)/25)*Calculateur!V168*Calculateur!X168*VLOOKUP('Données projet'!$B$9,Paramètres!$A$1:$I$89,3,0)*0.475*44/12</f>
        <v>0.47632472767094003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6.0064837969625975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96.226303286816062</v>
      </c>
      <c r="AO168" s="62">
        <f t="shared" si="144"/>
        <v>466.06545378903826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5.8727352948229994</v>
      </c>
      <c r="AV168" s="23">
        <f>EXP(-LN(2)/25)*AV167+(1-EXP(-LN(2)/25))/(LN(2)/25)*Calculateur!AQ168*Calculateur!AS168*VLOOKUP('Données projet'!$B$10,Paramètres!$A$1:$I$89,3,0)*0.475*44/12</f>
        <v>0.50583156920807659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6.3785668640310762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98.045647909910258</v>
      </c>
      <c r="BJ168" s="62">
        <f t="shared" si="146"/>
        <v>475.64984175055775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6.0032405235968387</v>
      </c>
      <c r="BQ168" s="23">
        <f>EXP(-LN(2)/25)*BQ167+(1-EXP(-LN(2)/25))/(LN(2)/25)*Calculateur!BL168*Calculateur!BN168*VLOOKUP('Données projet'!$B$11,Paramètres!$A$1:$I$89,3,0)*0.475*44/12</f>
        <v>0.51707227074603446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6.5203127943428729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91.446075686521226</v>
      </c>
      <c r="T169" s="62">
        <f t="shared" si="142"/>
        <v>440.88491337513091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5.4217160230068178</v>
      </c>
      <c r="AA169" s="23">
        <f>EXP(-LN(2)/25)*AA168+(1-EXP(-LN(2)/25))/(LN(2)/25)*Calculateur!V169*Calculateur!X169*VLOOKUP('Données projet'!$B$9,Paramètres!$A$1:$I$89,3,0)*0.475*44/12</f>
        <v>0.4632996029439494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5.8850156259507669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96.226303286816062</v>
      </c>
      <c r="AO169" s="62">
        <f t="shared" si="144"/>
        <v>466.06545378903826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5.7575745377063559</v>
      </c>
      <c r="AV169" s="23">
        <f>EXP(-LN(2)/25)*AV168+(1-EXP(-LN(2)/25))/(LN(2)/25)*Calculateur!AQ169*Calculateur!AS169*VLOOKUP('Données projet'!$B$10,Paramètres!$A$1:$I$89,3,0)*0.475*44/12</f>
        <v>0.49199957834755559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6.2495741160539113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98.045647909910258</v>
      </c>
      <c r="BJ169" s="62">
        <f t="shared" si="146"/>
        <v>475.64984175055775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5.8855206385442695</v>
      </c>
      <c r="BQ169" s="23">
        <f>EXP(-LN(2)/25)*BQ168+(1-EXP(-LN(2)/25))/(LN(2)/25)*Calculateur!BL169*Calculateur!BN169*VLOOKUP('Données projet'!$B$11,Paramètres!$A$1:$I$89,3,0)*0.475*44/12</f>
        <v>0.50293290231083521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6.3884535408551049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91.446075686521226</v>
      </c>
      <c r="T170" s="62">
        <f t="shared" si="142"/>
        <v>440.88491337513091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5.3153994787158965</v>
      </c>
      <c r="AA170" s="23">
        <f>EXP(-LN(2)/25)*AA169+(1-EXP(-LN(2)/25))/(LN(2)/25)*Calculateur!V170*Calculateur!X170*VLOOKUP('Données projet'!$B$9,Paramètres!$A$1:$I$89,3,0)*0.475*44/12</f>
        <v>0.45063065093757987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5.7660301296534762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96.226303286816062</v>
      </c>
      <c r="AO170" s="62">
        <f t="shared" si="144"/>
        <v>466.06545378903826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5.6446720127956436</v>
      </c>
      <c r="AV170" s="23">
        <f>EXP(-LN(2)/25)*AV169+(1-EXP(-LN(2)/25))/(LN(2)/25)*Calculateur!AQ170*Calculateur!AS170*VLOOKUP('Données projet'!$B$10,Paramètres!$A$1:$I$89,3,0)*0.475*44/12</f>
        <v>0.47854582400450835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6.1232178368001522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98.045647909910258</v>
      </c>
      <c r="BJ170" s="62">
        <f t="shared" si="146"/>
        <v>475.64984175055775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5.7701091686355417</v>
      </c>
      <c r="BQ170" s="23">
        <f>EXP(-LN(2)/25)*BQ169+(1-EXP(-LN(2)/25))/(LN(2)/25)*Calculateur!BL170*Calculateur!BN170*VLOOKUP('Données projet'!$B$11,Paramètres!$A$1:$I$89,3,0)*0.475*44/12</f>
        <v>0.48918017564905353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6.2592893442845954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91.446075686521226</v>
      </c>
      <c r="T171" s="62">
        <f t="shared" si="142"/>
        <v>440.88491337513091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5.2111677370118317</v>
      </c>
      <c r="AA171" s="23">
        <f>EXP(-LN(2)/25)*AA170+(1-EXP(-LN(2)/25))/(LN(2)/25)*Calculateur!V171*Calculateur!X171*VLOOKUP('Données projet'!$B$9,Paramètres!$A$1:$I$89,3,0)*0.475*44/12</f>
        <v>0.43830813209005576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5.6494758691018871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96.226303286816062</v>
      </c>
      <c r="AO171" s="62">
        <f t="shared" si="144"/>
        <v>466.06545378903826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5.5339834375346895</v>
      </c>
      <c r="AV171" s="23">
        <f>EXP(-LN(2)/25)*AV170+(1-EXP(-LN(2)/25))/(LN(2)/25)*Calculateur!AQ171*Calculateur!AS171*VLOOKUP('Données projet'!$B$10,Paramètres!$A$1:$I$89,3,0)*0.475*44/12</f>
        <v>0.46545996328147393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5.9994434008161637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98.045647909910258</v>
      </c>
      <c r="BJ171" s="62">
        <f t="shared" si="146"/>
        <v>475.64984175055775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5.656960847257678</v>
      </c>
      <c r="BQ171" s="23">
        <f>EXP(-LN(2)/25)*BQ170+(1-EXP(-LN(2)/25))/(LN(2)/25)*Calculateur!BL171*Calculateur!BN171*VLOOKUP('Données projet'!$B$11,Paramètres!$A$1:$I$89,3,0)*0.475*44/12</f>
        <v>0.47580351802106274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6.1327643652787405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91.446075686521226</v>
      </c>
      <c r="T172" s="62">
        <f t="shared" si="142"/>
        <v>440.88491337513091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5.1089799161874989</v>
      </c>
      <c r="AA172" s="23">
        <f>EXP(-LN(2)/25)*AA171+(1-EXP(-LN(2)/25))/(LN(2)/25)*Calculateur!V172*Calculateur!X172*VLOOKUP('Données projet'!$B$9,Paramètres!$A$1:$I$89,3,0)*0.475*44/12</f>
        <v>0.42632257316843031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5.5353024893559288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96.226303286816062</v>
      </c>
      <c r="AO172" s="62">
        <f t="shared" si="144"/>
        <v>466.06545378903826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5.4254653977212381</v>
      </c>
      <c r="AV172" s="23">
        <f>EXP(-LN(2)/25)*AV171+(1-EXP(-LN(2)/25))/(LN(2)/25)*Calculateur!AQ172*Calculateur!AS172*VLOOKUP('Données projet'!$B$10,Paramètres!$A$1:$I$89,3,0)*0.475*44/12</f>
        <v>0.45273193610806639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5.8781973338293048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98.045647909910258</v>
      </c>
      <c r="BJ172" s="62">
        <f t="shared" si="146"/>
        <v>475.64984175055775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5.5460312954483726</v>
      </c>
      <c r="BQ172" s="23">
        <f>EXP(-LN(2)/25)*BQ171+(1-EXP(-LN(2)/25))/(LN(2)/25)*Calculateur!BL172*Calculateur!BN172*VLOOKUP('Données projet'!$B$11,Paramètres!$A$1:$I$89,3,0)*0.475*44/12</f>
        <v>0.46279264579935725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6.00882394124773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91.446075686521226</v>
      </c>
      <c r="T173" s="62">
        <f t="shared" si="142"/>
        <v>440.88491337513091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5.008795936201115</v>
      </c>
      <c r="AA173" s="23">
        <f>EXP(-LN(2)/25)*AA172+(1-EXP(-LN(2)/25))/(LN(2)/25)*Calculateur!V173*Calculateur!X173*VLOOKUP('Données projet'!$B$9,Paramètres!$A$1:$I$89,3,0)*0.475*44/12</f>
        <v>0.41466475998580982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5.4234606961869245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96.226303286816062</v>
      </c>
      <c r="AO173" s="62">
        <f t="shared" si="144"/>
        <v>466.06545378903826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5.3190753304790599</v>
      </c>
      <c r="AV173" s="23">
        <f>EXP(-LN(2)/25)*AV172+(1-EXP(-LN(2)/25))/(LN(2)/25)*Calculateur!AQ173*Calculateur!AS173*VLOOKUP('Données projet'!$B$10,Paramètres!$A$1:$I$89,3,0)*0.475*44/12</f>
        <v>0.44035195750705353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5.7594272879861137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98.045647909910258</v>
      </c>
      <c r="BJ173" s="62">
        <f t="shared" si="146"/>
        <v>475.64984175055775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5.4372770044897019</v>
      </c>
      <c r="BQ173" s="23">
        <f>EXP(-LN(2)/25)*BQ172+(1-EXP(-LN(2)/25))/(LN(2)/25)*Calculateur!BL173*Calculateur!BN173*VLOOKUP('Données projet'!$B$11,Paramètres!$A$1:$I$89,3,0)*0.475*44/12</f>
        <v>0.45013755656276633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5.8874145610524682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91.446075686521226</v>
      </c>
      <c r="T174" s="62">
        <f t="shared" si="142"/>
        <v>440.88491337513091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4.9105765029560695</v>
      </c>
      <c r="AA174" s="23">
        <f>EXP(-LN(2)/25)*AA173+(1-EXP(-LN(2)/25))/(LN(2)/25)*Calculateur!V174*Calculateur!X174*VLOOKUP('Données projet'!$B$9,Paramètres!$A$1:$I$89,3,0)*0.475*44/12</f>
        <v>0.40332573031772584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5.3139022332737955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96.226303286816062</v>
      </c>
      <c r="AO174" s="62">
        <f t="shared" si="144"/>
        <v>466.06545378903826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5.2147715075639676</v>
      </c>
      <c r="AV174" s="23">
        <f>EXP(-LN(2)/25)*AV173+(1-EXP(-LN(2)/25))/(LN(2)/25)*Calculateur!AQ174*Calculateur!AS174*VLOOKUP('Données projet'!$B$10,Paramètres!$A$1:$I$89,3,0)*0.475*44/12</f>
        <v>0.42831051007192011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5.643082017635888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98.045647909910258</v>
      </c>
      <c r="BJ174" s="62">
        <f t="shared" si="146"/>
        <v>475.64984175055775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5.3306553188431627</v>
      </c>
      <c r="BQ174" s="23">
        <f>EXP(-LN(2)/25)*BQ173+(1-EXP(-LN(2)/25))/(LN(2)/25)*Calculateur!BL174*Calculateur!BN174*VLOOKUP('Données projet'!$B$11,Paramètres!$A$1:$I$89,3,0)*0.475*44/12</f>
        <v>0.43782852140685219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5.7684838402500151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91.446075686521226</v>
      </c>
      <c r="T175" s="62">
        <f t="shared" si="142"/>
        <v>440.88491337513091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4.8142830928890206</v>
      </c>
      <c r="AA175" s="23">
        <f>EXP(-LN(2)/25)*AA174+(1-EXP(-LN(2)/25))/(LN(2)/25)*Calculateur!V175*Calculateur!X175*VLOOKUP('Données projet'!$B$9,Paramètres!$A$1:$I$89,3,0)*0.475*44/12</f>
        <v>0.39229676701220928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5.2065798599012298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96.226303286816062</v>
      </c>
      <c r="AO175" s="62">
        <f t="shared" si="144"/>
        <v>466.06545378903826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5.1125130189971904</v>
      </c>
      <c r="AV175" s="23">
        <f>EXP(-LN(2)/25)*AV174+(1-EXP(-LN(2)/25))/(LN(2)/25)*Calculateur!AQ175*Calculateur!AS175*VLOOKUP('Données projet'!$B$10,Paramètres!$A$1:$I$89,3,0)*0.475*44/12</f>
        <v>0.41659833665013263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5.5291113556473226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98.045647909910258</v>
      </c>
      <c r="BJ175" s="62">
        <f t="shared" si="146"/>
        <v>475.64984175055775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5.2261244194193459</v>
      </c>
      <c r="BQ175" s="23">
        <f>EXP(-LN(2)/25)*BQ174+(1-EXP(-LN(2)/25))/(LN(2)/25)*Calculateur!BL175*Calculateur!BN175*VLOOKUP('Données projet'!$B$11,Paramètres!$A$1:$I$89,3,0)*0.475*44/12</f>
        <v>0.42585607746458054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5.651980496883926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91.446075686521226</v>
      </c>
      <c r="T176" s="62">
        <f t="shared" si="142"/>
        <v>440.88491337513091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4.7198779378602058</v>
      </c>
      <c r="AA176" s="23">
        <f>EXP(-LN(2)/25)*AA175+(1-EXP(-LN(2)/25))/(LN(2)/25)*Calculateur!V176*Calculateur!X176*VLOOKUP('Données projet'!$B$9,Paramètres!$A$1:$I$89,3,0)*0.475*44/12</f>
        <v>0.38156939128827005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5.1014473291484759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96.226303286816062</v>
      </c>
      <c r="AO176" s="62">
        <f t="shared" si="144"/>
        <v>466.06545378903826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5.0122597570196881</v>
      </c>
      <c r="AV176" s="23">
        <f>EXP(-LN(2)/25)*AV175+(1-EXP(-LN(2)/25))/(LN(2)/25)*Calculateur!AQ176*Calculateur!AS176*VLOOKUP('Données projet'!$B$10,Paramètres!$A$1:$I$89,3,0)*0.475*44/12</f>
        <v>0.40520643322648037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5.4174661902461683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98.045647909910258</v>
      </c>
      <c r="BJ176" s="62">
        <f t="shared" si="146"/>
        <v>475.64984175055775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5.1236433071756773</v>
      </c>
      <c r="BQ176" s="23">
        <f>EXP(-LN(2)/25)*BQ175+(1-EXP(-LN(2)/25))/(LN(2)/25)*Calculateur!BL176*Calculateur!BN176*VLOOKUP('Données projet'!$B$11,Paramètres!$A$1:$I$89,3,0)*0.475*44/12</f>
        <v>0.41421102063151377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5.5378543278071914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91.446075686521226</v>
      </c>
      <c r="T177" s="62">
        <f t="shared" si="142"/>
        <v>440.88491337513091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4.6273240103400477</v>
      </c>
      <c r="AA177" s="23">
        <f>EXP(-LN(2)/25)*AA176+(1-EXP(-LN(2)/25))/(LN(2)/25)*Calculateur!V177*Calculateur!X177*VLOOKUP('Données projet'!$B$9,Paramètres!$A$1:$I$89,3,0)*0.475*44/12</f>
        <v>0.37113535621763011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4.998459366557678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96.226303286816062</v>
      </c>
      <c r="AO177" s="62">
        <f t="shared" si="144"/>
        <v>466.06545378903826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4.9139724003611125</v>
      </c>
      <c r="AV177" s="23">
        <f>EXP(-LN(2)/25)*AV176+(1-EXP(-LN(2)/25))/(LN(2)/25)*Calculateur!AQ177*Calculateur!AS177*VLOOKUP('Données projet'!$B$10,Paramètres!$A$1:$I$89,3,0)*0.475*44/12</f>
        <v>0.39412604200102203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5.3080984423621347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98.045647909910258</v>
      </c>
      <c r="BJ177" s="62">
        <f t="shared" si="146"/>
        <v>475.64984175055775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5.0231717870358006</v>
      </c>
      <c r="BQ177" s="23">
        <f>EXP(-LN(2)/25)*BQ176+(1-EXP(-LN(2)/25))/(LN(2)/25)*Calculateur!BL177*Calculateur!BN177*VLOOKUP('Données projet'!$B$11,Paramètres!$A$1:$I$89,3,0)*0.475*44/12</f>
        <v>0.40288439848993413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5.4260561855257343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91.446075686521226</v>
      </c>
      <c r="T178" s="62">
        <f t="shared" si="142"/>
        <v>440.88491337513091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4.5365850088862381</v>
      </c>
      <c r="AA178" s="23">
        <f>EXP(-LN(2)/25)*AA177+(1-EXP(-LN(2)/25))/(LN(2)/25)*Calculateur!V178*Calculateur!X178*VLOOKUP('Données projet'!$B$9,Paramètres!$A$1:$I$89,3,0)*0.475*44/12</f>
        <v>0.36098664038469885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4.8975716492709367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96.226303286816062</v>
      </c>
      <c r="AO178" s="62">
        <f t="shared" si="144"/>
        <v>466.06545378903826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4.8176123988172437</v>
      </c>
      <c r="AV178" s="23">
        <f>EXP(-LN(2)/25)*AV177+(1-EXP(-LN(2)/25))/(LN(2)/25)*Calculateur!AQ178*Calculateur!AS178*VLOOKUP('Données projet'!$B$10,Paramètres!$A$1:$I$89,3,0)*0.475*44/12</f>
        <v>0.3833486446563163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5.2009610434735603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98.045647909910258</v>
      </c>
      <c r="BJ178" s="62">
        <f t="shared" si="146"/>
        <v>475.64984175055775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4.9246704521242899</v>
      </c>
      <c r="BQ178" s="23">
        <f>EXP(-LN(2)/25)*BQ177+(1-EXP(-LN(2)/25))/(LN(2)/25)*Calculateur!BL178*Calculateur!BN178*VLOOKUP('Données projet'!$B$11,Paramètres!$A$1:$I$89,3,0)*0.475*44/12</f>
        <v>0.39186750342645715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5.3165379555507473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91.446075686521226</v>
      </c>
      <c r="T179" s="62">
        <f t="shared" si="142"/>
        <v>440.88491337513091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4.4476253439056119</v>
      </c>
      <c r="AA179" s="23">
        <f>EXP(-LN(2)/25)*AA178+(1-EXP(-LN(2)/25))/(LN(2)/25)*Calculateur!V179*Calculateur!X179*VLOOKUP('Données projet'!$B$9,Paramètres!$A$1:$I$89,3,0)*0.475*44/12</f>
        <v>0.35111544171991688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4.7987407856255286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96.226303286816062</v>
      </c>
      <c r="AO179" s="62">
        <f t="shared" si="144"/>
        <v>466.06545378903826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4.7231419581298528</v>
      </c>
      <c r="AV179" s="23">
        <f>EXP(-LN(2)/25)*AV178+(1-EXP(-LN(2)/25))/(LN(2)/25)*Calculateur!AQ179*Calculateur!AS179*VLOOKUP('Données projet'!$B$10,Paramètres!$A$1:$I$89,3,0)*0.475*44/12</f>
        <v>0.37286595580876025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5.096007913938613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98.045647909910258</v>
      </c>
      <c r="BJ179" s="62">
        <f t="shared" si="146"/>
        <v>475.64984175055775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4.8281006683105128</v>
      </c>
      <c r="BQ179" s="23">
        <f>EXP(-LN(2)/25)*BQ178+(1-EXP(-LN(2)/25))/(LN(2)/25)*Calculateur!BL179*Calculateur!BN179*VLOOKUP('Données projet'!$B$11,Paramètres!$A$1:$I$89,3,0)*0.475*44/12</f>
        <v>0.38115186593784428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5.2092525342483569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91.446075686521226</v>
      </c>
      <c r="T180" s="62">
        <f t="shared" si="142"/>
        <v>440.88491337513091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4.3604101236952175</v>
      </c>
      <c r="AA180" s="23">
        <f>EXP(-LN(2)/25)*AA179+(1-EXP(-LN(2)/25))/(LN(2)/25)*Calculateur!V180*Calculateur!X180*VLOOKUP('Données projet'!$B$9,Paramètres!$A$1:$I$89,3,0)*0.475*44/12</f>
        <v>0.34151417150172714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4.7019242951969442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96.226303286816062</v>
      </c>
      <c r="AO180" s="62">
        <f t="shared" si="144"/>
        <v>466.06545378903826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4.6305240251630622</v>
      </c>
      <c r="AV180" s="23">
        <f>EXP(-LN(2)/25)*AV179+(1-EXP(-LN(2)/25))/(LN(2)/25)*Calculateur!AQ180*Calculateur!AS180*VLOOKUP('Données projet'!$B$10,Paramètres!$A$1:$I$89,3,0)*0.475*44/12</f>
        <v>0.36266991663900128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4.9931939418020637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98.045647909910258</v>
      </c>
      <c r="BJ180" s="62">
        <f t="shared" si="146"/>
        <v>475.64984175055775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4.733424559055571</v>
      </c>
      <c r="BQ180" s="23">
        <f>EXP(-LN(2)/25)*BQ179+(1-EXP(-LN(2)/25))/(LN(2)/25)*Calculateur!BL180*Calculateur!BN180*VLOOKUP('Données projet'!$B$11,Paramètres!$A$1:$I$89,3,0)*0.475*44/12</f>
        <v>0.37072924811986846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5.1041538071754395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91.446075686521226</v>
      </c>
      <c r="T181" s="62">
        <f t="shared" si="142"/>
        <v>440.88491337513091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4.2749051407571175</v>
      </c>
      <c r="AA181" s="23">
        <f>EXP(-LN(2)/25)*AA180+(1-EXP(-LN(2)/25))/(LN(2)/25)*Calculateur!V181*Calculateur!X181*VLOOKUP('Données projet'!$B$9,Paramètres!$A$1:$I$89,3,0)*0.475*44/12</f>
        <v>0.33217544852256264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4.60708058927968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96.226303286816062</v>
      </c>
      <c r="AO181" s="62">
        <f t="shared" si="144"/>
        <v>466.06545378903826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4.5397222733703897</v>
      </c>
      <c r="AV181" s="23">
        <f>EXP(-LN(2)/25)*AV180+(1-EXP(-LN(2)/25))/(LN(2)/25)*Calculateur!AQ181*Calculateur!AS181*VLOOKUP('Données projet'!$B$10,Paramètres!$A$1:$I$89,3,0)*0.475*44/12</f>
        <v>0.35275268869652576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4.892474962066915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98.045647909910258</v>
      </c>
      <c r="BJ181" s="62">
        <f t="shared" si="146"/>
        <v>475.64984175055775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4.6406049905563949</v>
      </c>
      <c r="BQ181" s="23">
        <f>EXP(-LN(2)/25)*BQ180+(1-EXP(-LN(2)/25))/(LN(2)/25)*Calculateur!BL181*Calculateur!BN181*VLOOKUP('Données projet'!$B$11,Paramètres!$A$1:$I$89,3,0)*0.475*44/12</f>
        <v>0.36059163733422683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5.0011966278906215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91.446075686521226</v>
      </c>
      <c r="T182" s="62">
        <f t="shared" si="142"/>
        <v>440.88491337513091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4.1910768583815434</v>
      </c>
      <c r="AA182" s="23">
        <f>EXP(-LN(2)/25)*AA181+(1-EXP(-LN(2)/25))/(LN(2)/25)*Calculateur!V182*Calculateur!X182*VLOOKUP('Données projet'!$B$9,Paramètres!$A$1:$I$89,3,0)*0.475*44/12</f>
        <v>0.32309209341436551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4.5141689517959094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96.226303286816062</v>
      </c>
      <c r="AO182" s="62">
        <f t="shared" si="144"/>
        <v>466.06545378903826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4.4507010885467713</v>
      </c>
      <c r="AV182" s="23">
        <f>EXP(-LN(2)/25)*AV181+(1-EXP(-LN(2)/25))/(LN(2)/25)*Calculateur!AQ182*Calculateur!AS182*VLOOKUP('Données projet'!$B$10,Paramètres!$A$1:$I$89,3,0)*0.475*44/12</f>
        <v>0.34310664787366157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4.7938077364204332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98.045647909910258</v>
      </c>
      <c r="BJ182" s="62">
        <f t="shared" si="146"/>
        <v>475.64984175055775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4.5496055571811409</v>
      </c>
      <c r="BQ182" s="23">
        <f>EXP(-LN(2)/25)*BQ181+(1-EXP(-LN(2)/25))/(LN(2)/25)*Calculateur!BL182*Calculateur!BN182*VLOOKUP('Données projet'!$B$11,Paramètres!$A$1:$I$89,3,0)*0.475*44/12</f>
        <v>0.35073124004863232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4.9003367972297731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91.446075686521226</v>
      </c>
      <c r="T183" s="62">
        <f t="shared" si="142"/>
        <v>440.88491337513091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4.1088923974931513</v>
      </c>
      <c r="AA183" s="23">
        <f>EXP(-LN(2)/25)*AA182+(1-EXP(-LN(2)/25))/(LN(2)/25)*Calculateur!V183*Calculateur!X183*VLOOKUP('Données projet'!$B$9,Paramètres!$A$1:$I$89,3,0)*0.475*44/12</f>
        <v>0.31425712312927495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4.4231495206224265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96.226303286816062</v>
      </c>
      <c r="AO183" s="62">
        <f t="shared" si="144"/>
        <v>466.06545378903826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4.3634255548599823</v>
      </c>
      <c r="AV183" s="23">
        <f>EXP(-LN(2)/25)*AV182+(1-EXP(-LN(2)/25))/(LN(2)/25)*Calculateur!AQ183*Calculateur!AS183*VLOOKUP('Données projet'!$B$10,Paramètres!$A$1:$I$89,3,0)*0.475*44/12</f>
        <v>0.33372437854436188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4.6971499334043445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98.045647909910258</v>
      </c>
      <c r="BJ183" s="62">
        <f t="shared" si="146"/>
        <v>475.64984175055775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4.4603905671902018</v>
      </c>
      <c r="BQ183" s="23">
        <f>EXP(-LN(2)/25)*BQ182+(1-EXP(-LN(2)/25))/(LN(2)/25)*Calculateur!BL183*Calculateur!BN183*VLOOKUP('Données projet'!$B$11,Paramètres!$A$1:$I$89,3,0)*0.475*44/12</f>
        <v>0.34114047584534818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4.80153104303555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91.446075686521226</v>
      </c>
      <c r="T184" s="62">
        <f t="shared" si="142"/>
        <v>440.88491337513091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4.0283195237552087</v>
      </c>
      <c r="AA184" s="23">
        <f>EXP(-LN(2)/25)*AA183+(1-EXP(-LN(2)/25))/(LN(2)/25)*Calculateur!V184*Calculateur!X184*VLOOKUP('Données projet'!$B$9,Paramètres!$A$1:$I$89,3,0)*0.475*44/12</f>
        <v>0.30566374557124104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4.3339832693264499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96.226303286816062</v>
      </c>
      <c r="AO184" s="62">
        <f t="shared" si="144"/>
        <v>466.06545378903826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4.2778614411559728</v>
      </c>
      <c r="AV184" s="23">
        <f>EXP(-LN(2)/25)*AV183+(1-EXP(-LN(2)/25))/(LN(2)/25)*Calculateur!AQ184*Calculateur!AS184*VLOOKUP('Données projet'!$B$10,Paramètres!$A$1:$I$89,3,0)*0.475*44/12</f>
        <v>0.32459866786326397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4.602460109019237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98.045647909910258</v>
      </c>
      <c r="BJ184" s="62">
        <f t="shared" si="146"/>
        <v>475.64984175055775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4.3729250287372139</v>
      </c>
      <c r="BQ184" s="23">
        <f>EXP(-LN(2)/25)*BQ183+(1-EXP(-LN(2)/25))/(LN(2)/25)*Calculateur!BL184*Calculateur!BN184*VLOOKUP('Données projet'!$B$11,Paramètres!$A$1:$I$89,3,0)*0.475*44/12</f>
        <v>0.33181197159355919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4.7047370003307734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91.446075686521226</v>
      </c>
      <c r="T185" s="62">
        <f t="shared" si="142"/>
        <v>440.88491337513091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3.9493266349266669</v>
      </c>
      <c r="AA185" s="23">
        <f>EXP(-LN(2)/25)*AA184+(1-EXP(-LN(2)/25))/(LN(2)/25)*Calculateur!V185*Calculateur!X185*VLOOKUP('Données projet'!$B$9,Paramètres!$A$1:$I$89,3,0)*0.475*44/12</f>
        <v>0.29730535437443767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4.2466319893011049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96.226303286816062</v>
      </c>
      <c r="AO185" s="62">
        <f t="shared" si="144"/>
        <v>466.06545378903826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4.1939751875327422</v>
      </c>
      <c r="AV185" s="23">
        <f>EXP(-LN(2)/25)*AV184+(1-EXP(-LN(2)/25))/(LN(2)/25)*Calculateur!AQ185*Calculateur!AS185*VLOOKUP('Données projet'!$B$10,Paramètres!$A$1:$I$89,3,0)*0.475*44/12</f>
        <v>0.31572250022064097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4.5096976877533832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98.045647909910258</v>
      </c>
      <c r="BJ185" s="62">
        <f t="shared" si="146"/>
        <v>475.64984175055775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4.2871746361445782</v>
      </c>
      <c r="BQ185" s="23">
        <f>EXP(-LN(2)/25)*BQ184+(1-EXP(-LN(2)/25))/(LN(2)/25)*Calculateur!BL185*Calculateur!BN185*VLOOKUP('Données projet'!$B$11,Paramètres!$A$1:$I$89,3,0)*0.475*44/12</f>
        <v>0.32273855578110011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4.6099131919256786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91.446075686521226</v>
      </c>
      <c r="T186" s="62">
        <f t="shared" si="142"/>
        <v>440.88491337513091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3.8718827484671481</v>
      </c>
      <c r="AA186" s="23">
        <f>EXP(-LN(2)/25)*AA185+(1-EXP(-LN(2)/25))/(LN(2)/25)*Calculateur!V186*Calculateur!X186*VLOOKUP('Données projet'!$B$9,Paramètres!$A$1:$I$89,3,0)*0.475*44/12</f>
        <v>0.2891755238244596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4.1610582722916076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96.226303286816062</v>
      </c>
      <c r="AO186" s="62">
        <f t="shared" si="144"/>
        <v>466.06545378903826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4.1117338921775008</v>
      </c>
      <c r="AV186" s="23">
        <f>EXP(-LN(2)/25)*AV185+(1-EXP(-LN(2)/25))/(LN(2)/25)*Calculateur!AQ186*Calculateur!AS186*VLOOKUP('Données projet'!$B$10,Paramètres!$A$1:$I$89,3,0)*0.475*44/12</f>
        <v>0.30708905184898283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4.4188229440264841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98.045647909910258</v>
      </c>
      <c r="BJ186" s="62">
        <f t="shared" si="146"/>
        <v>475.64984175055775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4.2031057564481094</v>
      </c>
      <c r="BQ186" s="23">
        <f>EXP(-LN(2)/25)*BQ185+(1-EXP(-LN(2)/25))/(LN(2)/25)*Calculateur!BL186*Calculateur!BN186*VLOOKUP('Données projet'!$B$11,Paramètres!$A$1:$I$89,3,0)*0.475*44/12</f>
        <v>0.31391325300118289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4.5170190094492924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91.446075686521226</v>
      </c>
      <c r="T187" s="62">
        <f t="shared" si="142"/>
        <v>440.88491337513091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3.7959574893849939</v>
      </c>
      <c r="AA187" s="23">
        <f>EXP(-LN(2)/25)*AA186+(1-EXP(-LN(2)/25))/(LN(2)/25)*Calculateur!V187*Calculateur!X187*VLOOKUP('Données projet'!$B$9,Paramètres!$A$1:$I$89,3,0)*0.475*44/12</f>
        <v>0.2812680039183999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4.077225493303394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96.226303286816062</v>
      </c>
      <c r="AO187" s="62">
        <f t="shared" si="144"/>
        <v>466.06545378903826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4.0311052984619389</v>
      </c>
      <c r="AV187" s="23">
        <f>EXP(-LN(2)/25)*AV186+(1-EXP(-LN(2)/25))/(LN(2)/25)*Calculateur!AQ187*Calculateur!AS187*VLOOKUP('Données projet'!$B$10,Paramètres!$A$1:$I$89,3,0)*0.475*44/12</f>
        <v>0.29869168557706099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4.3297969840389996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98.045647909910258</v>
      </c>
      <c r="BJ187" s="62">
        <f t="shared" si="146"/>
        <v>475.64984175055775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4.1206854162055349</v>
      </c>
      <c r="BQ187" s="23">
        <f>EXP(-LN(2)/25)*BQ186+(1-EXP(-LN(2)/25))/(LN(2)/25)*Calculateur!BL187*Calculateur!BN187*VLOOKUP('Données projet'!$B$11,Paramètres!$A$1:$I$89,3,0)*0.475*44/12</f>
        <v>0.30532927858988501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4.4260146947954198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91.446075686521226</v>
      </c>
      <c r="T188" s="62">
        <f t="shared" si="142"/>
        <v>440.88491337513091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3.7215210783236055</v>
      </c>
      <c r="AA188" s="23">
        <f>EXP(-LN(2)/25)*AA187+(1-EXP(-LN(2)/25))/(LN(2)/25)*Calculateur!V188*Calculateur!X188*VLOOKUP('Données projet'!$B$9,Paramètres!$A$1:$I$89,3,0)*0.475*44/12</f>
        <v>0.27357671556000979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3.9950977938836152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96.226303286816062</v>
      </c>
      <c r="AO188" s="62">
        <f t="shared" si="144"/>
        <v>466.06545378903826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3.9520577822905527</v>
      </c>
      <c r="AV188" s="23">
        <f>EXP(-LN(2)/25)*AV187+(1-EXP(-LN(2)/25))/(LN(2)/25)*Calculateur!AQ188*Calculateur!AS188*VLOOKUP('Données projet'!$B$10,Paramètres!$A$1:$I$89,3,0)*0.475*44/12</f>
        <v>0.29052394572744317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4.2425817280179956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98.045647909910258</v>
      </c>
      <c r="BJ188" s="62">
        <f t="shared" si="146"/>
        <v>475.64984175055775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4.0398812885636737</v>
      </c>
      <c r="BQ188" s="23">
        <f>EXP(-LN(2)/25)*BQ187+(1-EXP(-LN(2)/25))/(LN(2)/25)*Calculateur!BL188*Calculateur!BN188*VLOOKUP('Données projet'!$B$11,Paramètres!$A$1:$I$89,3,0)*0.475*44/12</f>
        <v>0.29698003341027568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4.3368613219739496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91.446075686521226</v>
      </c>
      <c r="T189" s="62">
        <f t="shared" si="142"/>
        <v>440.88491337513091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3.6485443198814029</v>
      </c>
      <c r="AA189" s="23">
        <f>EXP(-LN(2)/25)*AA188+(1-EXP(-LN(2)/25))/(LN(2)/25)*Calculateur!V189*Calculateur!X189*VLOOKUP('Données projet'!$B$9,Paramètres!$A$1:$I$89,3,0)*0.475*44/12</f>
        <v>0.26609574588624713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3.9146400657676499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96.226303286816062</v>
      </c>
      <c r="AO189" s="62">
        <f t="shared" si="144"/>
        <v>466.06545378903826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3.8745603396970631</v>
      </c>
      <c r="AV189" s="23">
        <f>EXP(-LN(2)/25)*AV188+(1-EXP(-LN(2)/25))/(LN(2)/25)*Calculateur!AQ189*Calculateur!AS189*VLOOKUP('Données projet'!$B$10,Paramètres!$A$1:$I$89,3,0)*0.475*44/12</f>
        <v>0.28257955315353595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4.1571398928505987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98.045647909910258</v>
      </c>
      <c r="BJ189" s="62">
        <f t="shared" si="146"/>
        <v>475.64984175055775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3.9606616805792179</v>
      </c>
      <c r="BQ189" s="23">
        <f>EXP(-LN(2)/25)*BQ188+(1-EXP(-LN(2)/25))/(LN(2)/25)*Calculateur!BL189*Calculateur!BN189*VLOOKUP('Données projet'!$B$11,Paramètres!$A$1:$I$89,3,0)*0.475*44/12</f>
        <v>0.28885909877917049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4.249520779358388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91.446075686521226</v>
      </c>
      <c r="T190" s="62">
        <f t="shared" si="142"/>
        <v>440.88491337513091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3.5769985911608244</v>
      </c>
      <c r="AA190" s="23">
        <f>EXP(-LN(2)/25)*AA189+(1-EXP(-LN(2)/25))/(LN(2)/25)*Calculateur!V190*Calculateur!X190*VLOOKUP('Données projet'!$B$9,Paramètres!$A$1:$I$89,3,0)*0.475*44/12</f>
        <v>0.25881934372162058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3.8358179348824448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96.226303286816062</v>
      </c>
      <c r="AO190" s="62">
        <f t="shared" si="144"/>
        <v>466.06545378903826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3.7985825746840596</v>
      </c>
      <c r="AV190" s="23">
        <f>EXP(-LN(2)/25)*AV189+(1-EXP(-LN(2)/25))/(LN(2)/25)*Calculateur!AQ190*Calculateur!AS190*VLOOKUP('Données projet'!$B$10,Paramètres!$A$1:$I$89,3,0)*0.475*44/12</f>
        <v>0.27485240041233966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4.073434975096399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98.045647909910258</v>
      </c>
      <c r="BJ190" s="62">
        <f t="shared" si="146"/>
        <v>475.64984175055775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3.8829955207881475</v>
      </c>
      <c r="BQ190" s="23">
        <f>EXP(-LN(2)/25)*BQ189+(1-EXP(-LN(2)/25))/(LN(2)/25)*Calculateur!BL190*Calculateur!BN190*VLOOKUP('Données projet'!$B$11,Paramètres!$A$1:$I$89,3,0)*0.475*44/12</f>
        <v>0.28096023153261424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4.1639557523207618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91.446075686521226</v>
      </c>
      <c r="T191" s="62">
        <f t="shared" si="142"/>
        <v>440.88491337513091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3.5068558305418711</v>
      </c>
      <c r="AA191" s="23">
        <f>EXP(-LN(2)/25)*AA190+(1-EXP(-LN(2)/25))/(LN(2)/25)*Calculateur!V191*Calculateur!X191*VLOOKUP('Données projet'!$B$9,Paramètres!$A$1:$I$89,3,0)*0.475*44/12</f>
        <v>0.25174191515683514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3.7585977456987063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96.226303286816062</v>
      </c>
      <c r="AO191" s="62">
        <f t="shared" si="144"/>
        <v>466.06545378903826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3.7240946873011</v>
      </c>
      <c r="AV191" s="23">
        <f>EXP(-LN(2)/25)*AV190+(1-EXP(-LN(2)/25))/(LN(2)/25)*Calculateur!AQ191*Calculateur!AS191*VLOOKUP('Données projet'!$B$10,Paramètres!$A$1:$I$89,3,0)*0.475*44/12</f>
        <v>0.26733654706920468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3.9914312343703049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98.045647909910258</v>
      </c>
      <c r="BJ191" s="62">
        <f t="shared" si="146"/>
        <v>475.64984175055775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3.8068523470189</v>
      </c>
      <c r="BQ191" s="23">
        <f>EXP(-LN(2)/25)*BQ190+(1-EXP(-LN(2)/25))/(LN(2)/25)*Calculateur!BL191*Calculateur!BN191*VLOOKUP('Données projet'!$B$11,Paramètres!$A$1:$I$89,3,0)*0.475*44/12</f>
        <v>0.27327735922629848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4.0801297062451987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91.446075686521226</v>
      </c>
      <c r="T192" s="62">
        <f t="shared" si="142"/>
        <v>440.88491337513091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3.4380885266757959</v>
      </c>
      <c r="AA192" s="23">
        <f>EXP(-LN(2)/25)*AA191+(1-EXP(-LN(2)/25))/(LN(2)/25)*Calculateur!V192*Calculateur!X192*VLOOKUP('Données projet'!$B$9,Paramètres!$A$1:$I$89,3,0)*0.475*44/12</f>
        <v>0.24485801924833953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3.6829465459241355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96.226303286816062</v>
      </c>
      <c r="AO192" s="62">
        <f t="shared" si="144"/>
        <v>466.06545378903826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3.6510674619565955</v>
      </c>
      <c r="AV192" s="23">
        <f>EXP(-LN(2)/25)*AV191+(1-EXP(-LN(2)/25))/(LN(2)/25)*Calculateur!AQ192*Calculateur!AS192*VLOOKUP('Données projet'!$B$10,Paramètres!$A$1:$I$89,3,0)*0.475*44/12</f>
        <v>0.26002621513097929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3.9110936770875746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98.045647909910258</v>
      </c>
      <c r="BJ192" s="62">
        <f t="shared" si="146"/>
        <v>475.64984175055775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3.7322022944445172</v>
      </c>
      <c r="BQ192" s="23">
        <f>EXP(-LN(2)/25)*BQ191+(1-EXP(-LN(2)/25))/(LN(2)/25)*Calculateur!BL192*Calculateur!BN192*VLOOKUP('Données projet'!$B$11,Paramètres!$A$1:$I$89,3,0)*0.475*44/12</f>
        <v>0.26580457546722358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3.998006869911741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91.446075686521226</v>
      </c>
      <c r="T193" s="62">
        <f t="shared" si="142"/>
        <v>440.88491337513091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3.3706697076946206</v>
      </c>
      <c r="AA193" s="23">
        <f>EXP(-LN(2)/25)*AA192+(1-EXP(-LN(2)/25))/(LN(2)/25)*Calculateur!V193*Calculateur!X193*VLOOKUP('Données projet'!$B$9,Paramètres!$A$1:$I$89,3,0)*0.475*44/12</f>
        <v>0.23816236383547007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3.6088320715300908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96.226303286816062</v>
      </c>
      <c r="AO193" s="62">
        <f t="shared" si="144"/>
        <v>466.06545378903826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3.5794722559588874</v>
      </c>
      <c r="AV193" s="23">
        <f>EXP(-LN(2)/25)*AV192+(1-EXP(-LN(2)/25))/(LN(2)/25)*Calculateur!AQ193*Calculateur!AS193*VLOOKUP('Données projet'!$B$10,Paramètres!$A$1:$I$89,3,0)*0.475*44/12</f>
        <v>0.2529157846040383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3.8323880405629258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98.045647909910258</v>
      </c>
      <c r="BJ193" s="62">
        <f t="shared" si="146"/>
        <v>475.64984175055775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3.6590160838690822</v>
      </c>
      <c r="BQ193" s="23">
        <f>EXP(-LN(2)/25)*BQ192+(1-EXP(-LN(2)/25))/(LN(2)/25)*Calculateur!BL193*Calculateur!BN193*VLOOKUP('Données projet'!$B$11,Paramètres!$A$1:$I$89,3,0)*0.475*44/12</f>
        <v>0.25853613537301723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3.9175522192420993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91.446075686521226</v>
      </c>
      <c r="T194" s="62">
        <f t="shared" si="142"/>
        <v>440.88491337513091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3.3045729306322471</v>
      </c>
      <c r="AA194" s="23">
        <f>EXP(-LN(2)/25)*AA193+(1-EXP(-LN(2)/25))/(LN(2)/25)*Calculateur!V194*Calculateur!X194*VLOOKUP('Données projet'!$B$9,Paramètres!$A$1:$I$89,3,0)*0.475*44/12</f>
        <v>0.23164980147197475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3.5362227321042217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96.226303286816062</v>
      </c>
      <c r="AO194" s="62">
        <f t="shared" si="144"/>
        <v>466.06545378903826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3.5092809882820304</v>
      </c>
      <c r="AV194" s="23">
        <f>EXP(-LN(2)/25)*AV193+(1-EXP(-LN(2)/25))/(LN(2)/25)*Calculateur!AQ194*Calculateur!AS194*VLOOKUP('Données projet'!$B$10,Paramètres!$A$1:$I$89,3,0)*0.475*44/12</f>
        <v>0.24599978917377779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3.7552807774558081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98.045647909910258</v>
      </c>
      <c r="BJ194" s="62">
        <f t="shared" si="146"/>
        <v>475.64984175055775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3.5872650102438506</v>
      </c>
      <c r="BQ194" s="23">
        <f>EXP(-LN(2)/25)*BQ193+(1-EXP(-LN(2)/25))/(LN(2)/25)*Calculateur!BL194*Calculateur!BN194*VLOOKUP('Données projet'!$B$11,Paramètres!$A$1:$I$89,3,0)*0.475*44/12</f>
        <v>0.2514664511554176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3.8387314613992682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91.446075686521226</v>
      </c>
      <c r="T195" s="62">
        <f t="shared" si="142"/>
        <v>440.88491337513091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3.2397722710530132</v>
      </c>
      <c r="AA195" s="23">
        <f>EXP(-LN(2)/25)*AA194+(1-EXP(-LN(2)/25))/(LN(2)/25)*Calculateur!V195*Calculateur!X195*VLOOKUP('Données projet'!$B$9,Paramètres!$A$1:$I$89,3,0)*0.475*44/12</f>
        <v>0.22531532546878999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3.4650875965218031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96.226303286816062</v>
      </c>
      <c r="AO195" s="62">
        <f t="shared" si="144"/>
        <v>466.06545378903826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3.4404661285518707</v>
      </c>
      <c r="AV195" s="23">
        <f>EXP(-LN(2)/25)*AV194+(1-EXP(-LN(2)/25))/(LN(2)/25)*Calculateur!AQ195*Calculateur!AS195*VLOOKUP('Données projet'!$B$10,Paramètres!$A$1:$I$89,3,0)*0.475*44/12</f>
        <v>0.23927291200225417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3.679739040554125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98.045647909910258</v>
      </c>
      <c r="BJ195" s="62">
        <f t="shared" si="146"/>
        <v>475.64984175055775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3.5169209314085763</v>
      </c>
      <c r="BQ195" s="23">
        <f>EXP(-LN(2)/25)*BQ194+(1-EXP(-LN(2)/25))/(LN(2)/25)*Calculateur!BL195*Calculateur!BN195*VLOOKUP('Données projet'!$B$11,Paramètres!$A$1:$I$89,3,0)*0.475*44/12</f>
        <v>0.24459008782452676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3.7615110192331032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91.446075686521226</v>
      </c>
      <c r="T196" s="62">
        <f t="shared" si="142"/>
        <v>440.88491337513091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3.1762423128836286</v>
      </c>
      <c r="AA196" s="23">
        <f>EXP(-LN(2)/25)*AA195+(1-EXP(-LN(2)/25))/(LN(2)/25)*Calculateur!V196*Calculateur!X196*VLOOKUP('Données projet'!$B$9,Paramètres!$A$1:$I$89,3,0)*0.475*44/12</f>
        <v>0.21915406604502793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3.3953963789286563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96.226303286816062</v>
      </c>
      <c r="AO196" s="62">
        <f t="shared" si="144"/>
        <v>466.06545378903826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3.3730006862480995</v>
      </c>
      <c r="AV196" s="23">
        <f>EXP(-LN(2)/25)*AV195+(1-EXP(-LN(2)/25))/(LN(2)/25)*Calculateur!AQ196*Calculateur!AS196*VLOOKUP('Données projet'!$B$10,Paramètres!$A$1:$I$89,3,0)*0.475*44/12</f>
        <v>0.23272998164073697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3.6057306678888366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98.045647909910258</v>
      </c>
      <c r="BJ196" s="62">
        <f t="shared" si="146"/>
        <v>475.64984175055775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3.4479562570536104</v>
      </c>
      <c r="BQ196" s="23">
        <f>EXP(-LN(2)/25)*BQ195+(1-EXP(-LN(2)/25))/(LN(2)/25)*Calculateur!BL196*Calculateur!BN196*VLOOKUP('Données projet'!$B$11,Paramètres!$A$1:$I$89,3,0)*0.475*44/12</f>
        <v>0.23790175901053137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3.6858580160641417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91.446075686521226</v>
      </c>
      <c r="T197" s="62">
        <f t="shared" ref="T197:T203" si="204">$T$3</f>
        <v>440.88491337513091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3.1139581384444974</v>
      </c>
      <c r="AA197" s="23">
        <f>EXP(-LN(2)/25)*AA196+(1-EXP(-LN(2)/25))/(LN(2)/25)*Calculateur!V197*Calculateur!X197*VLOOKUP('Données projet'!$B$9,Paramètres!$A$1:$I$89,3,0)*0.475*44/12</f>
        <v>0.21316128658421521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3.3271194250287128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96.226303286816062</v>
      </c>
      <c r="AO197" s="62">
        <f t="shared" ref="AO197:AO203" si="205">$AO$3</f>
        <v>466.06545378903826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3.3068582001180484</v>
      </c>
      <c r="AV197" s="23">
        <f>EXP(-LN(2)/25)*AV196+(1-EXP(-LN(2)/25))/(LN(2)/25)*Calculateur!AQ197*Calculateur!AS197*VLOOKUP('Données projet'!$B$10,Paramètres!$A$1:$I$89,3,0)*0.475*44/12</f>
        <v>0.2263659680540332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3.5332241681720817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98.045647909910258</v>
      </c>
      <c r="BJ197" s="62">
        <f t="shared" ref="BJ197:BJ203" si="206">$BJ$3</f>
        <v>475.64984175055775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3.3803439378984472</v>
      </c>
      <c r="BQ197" s="23">
        <f>EXP(-LN(2)/25)*BQ196+(1-EXP(-LN(2)/25))/(LN(2)/25)*Calculateur!BL197*Calculateur!BN197*VLOOKUP('Données projet'!$B$11,Paramètres!$A$1:$I$89,3,0)*0.475*44/12</f>
        <v>0.23139632289967862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3.6117402607981259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91.446075686521226</v>
      </c>
      <c r="T198" s="62">
        <f t="shared" si="204"/>
        <v>440.88491337513091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3.0528953186765224</v>
      </c>
      <c r="AA198" s="23">
        <f>EXP(-LN(2)/25)*AA197+(1-EXP(-LN(2)/25))/(LN(2)/25)*Calculateur!V198*Calculateur!X198*VLOOKUP('Données projet'!$B$9,Paramètres!$A$1:$I$89,3,0)*0.475*44/12</f>
        <v>0.20733237999290496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3.2602276986694272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96.226303286816062</v>
      </c>
      <c r="AO198" s="62">
        <f t="shared" si="205"/>
        <v>466.06545378903826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3.242012727798075</v>
      </c>
      <c r="AV198" s="23">
        <f>EXP(-LN(2)/25)*AV197+(1-EXP(-LN(2)/25))/(LN(2)/25)*Calculateur!AQ198*Calculateur!AS198*VLOOKUP('Données projet'!$B$10,Paramètres!$A$1:$I$89,3,0)*0.475*44/12</f>
        <v>0.22017597875352676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3.4621887065516019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98.045647909910258</v>
      </c>
      <c r="BJ198" s="62">
        <f t="shared" si="206"/>
        <v>475.64984175055775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3.3140574550824744</v>
      </c>
      <c r="BQ198" s="23">
        <f>EXP(-LN(2)/25)*BQ197+(1-EXP(-LN(2)/25))/(LN(2)/25)*Calculateur!BL198*Calculateur!BN198*VLOOKUP('Données projet'!$B$11,Paramètres!$A$1:$I$89,3,0)*0.475*44/12</f>
        <v>0.22506877828138316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3.5391262333638576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91.446075686521226</v>
      </c>
      <c r="T199" s="62">
        <f t="shared" si="204"/>
        <v>440.88491337513091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2.9930299035595547</v>
      </c>
      <c r="AA199" s="23">
        <f>EXP(-LN(2)/25)*AA198+(1-EXP(-LN(2)/25))/(LN(2)/25)*Calculateur!V199*Calculateur!X199*VLOOKUP('Données projet'!$B$9,Paramètres!$A$1:$I$89,3,0)*0.475*44/12</f>
        <v>0.20166286515886298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3.1946927687184177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96.226303286816062</v>
      </c>
      <c r="AO199" s="62">
        <f t="shared" si="205"/>
        <v>466.06545378903826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3.1784388356384636</v>
      </c>
      <c r="AV199" s="23">
        <f>EXP(-LN(2)/25)*AV198+(1-EXP(-LN(2)/25))/(LN(2)/25)*Calculateur!AQ199*Calculateur!AS199*VLOOKUP('Données projet'!$B$10,Paramètres!$A$1:$I$89,3,0)*0.475*44/12</f>
        <v>0.21415525503596006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3.3925940906744239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98.045647909910258</v>
      </c>
      <c r="BJ199" s="62">
        <f t="shared" si="206"/>
        <v>475.64984175055775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3.2490708097637606</v>
      </c>
      <c r="BQ199" s="23">
        <f>EXP(-LN(2)/25)*BQ198+(1-EXP(-LN(2)/25))/(LN(2)/25)*Calculateur!BL199*Calculateur!BN199*VLOOKUP('Données projet'!$B$11,Paramètres!$A$1:$I$89,3,0)*0.475*44/12</f>
        <v>0.21891426070342609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3.4679850704671868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91.446075686521226</v>
      </c>
      <c r="T200" s="62">
        <f t="shared" si="204"/>
        <v>440.88491337513091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2.9343384127187333</v>
      </c>
      <c r="AA200" s="23">
        <f>EXP(-LN(2)/25)*AA199+(1-EXP(-LN(2)/25))/(LN(2)/25)*Calculateur!V200*Calculateur!X200*VLOOKUP('Données projet'!$B$9,Paramètres!$A$1:$I$89,3,0)*0.475*44/12</f>
        <v>0.1961483835061047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3.1304867962248379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96.226303286816062</v>
      </c>
      <c r="AO200" s="62">
        <f t="shared" si="205"/>
        <v>466.06545378903826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3.1161115887278568</v>
      </c>
      <c r="AV200" s="23">
        <f>EXP(-LN(2)/25)*AV199+(1-EXP(-LN(2)/25))/(LN(2)/25)*Calculateur!AQ200*Calculateur!AS200*VLOOKUP('Données projet'!$B$10,Paramètres!$A$1:$I$89,3,0)*0.475*44/12</f>
        <v>0.20829916832506631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3.3244107570529229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98.045647909910258</v>
      </c>
      <c r="BJ200" s="62">
        <f t="shared" si="206"/>
        <v>475.64984175055775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3.1853585129218067</v>
      </c>
      <c r="BQ200" s="23">
        <f>EXP(-LN(2)/25)*BQ199+(1-EXP(-LN(2)/25))/(LN(2)/25)*Calculateur!BL200*Calculateur!BN200*VLOOKUP('Données projet'!$B$11,Paramètres!$A$1:$I$89,3,0)*0.475*44/12</f>
        <v>0.21292803873229027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3.3982865516540972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91.446075686521226</v>
      </c>
      <c r="T201" s="62">
        <f t="shared" si="204"/>
        <v>440.88491337513091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2.8767978262150256</v>
      </c>
      <c r="AA201" s="23">
        <f>EXP(-LN(2)/25)*AA200+(1-EXP(-LN(2)/25))/(LN(2)/25)*Calculateur!V201*Calculateur!X201*VLOOKUP('Données projet'!$B$9,Paramètres!$A$1:$I$89,3,0)*0.475*44/12</f>
        <v>0.19078469564413508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3.0675825218591606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96.226303286816062</v>
      </c>
      <c r="AO201" s="62">
        <f t="shared" si="205"/>
        <v>466.06545378903826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3.0550065411133001</v>
      </c>
      <c r="AV201" s="23">
        <f>EXP(-LN(2)/25)*AV200+(1-EXP(-LN(2)/25))/(LN(2)/25)*Calculateur!AQ201*Calculateur!AS201*VLOOKUP('Données projet'!$B$10,Paramètres!$A$1:$I$89,3,0)*0.475*44/12</f>
        <v>0.20260321661324018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3.2576097577265402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98.045647909910258</v>
      </c>
      <c r="BJ201" s="62">
        <f t="shared" si="206"/>
        <v>475.64984175055775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3.1228955753602596</v>
      </c>
      <c r="BQ201" s="23">
        <f>EXP(-LN(2)/25)*BQ200+(1-EXP(-LN(2)/25))/(LN(2)/25)*Calculateur!BL201*Calculateur!BN201*VLOOKUP('Données projet'!$B$11,Paramètres!$A$1:$I$89,3,0)*0.475*44/12</f>
        <v>0.20710551031575689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3.3300010856760167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91.446075686521226</v>
      </c>
      <c r="T202" s="62">
        <f t="shared" si="204"/>
        <v>440.88491337513091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2.8203855755163634</v>
      </c>
      <c r="AA202" s="23">
        <f>EXP(-LN(2)/25)*AA201+(1-EXP(-LN(2)/25))/(LN(2)/25)*Calculateur!V202*Calculateur!X202*VLOOKUP('Données projet'!$B$9,Paramètres!$A$1:$I$89,3,0)*0.475*44/12</f>
        <v>0.18556767810881511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3.0059532536251785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96.226303286816062</v>
      </c>
      <c r="AO202" s="62">
        <f t="shared" si="205"/>
        <v>466.06545378903826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2.9950997262120658</v>
      </c>
      <c r="AV202" s="23">
        <f>EXP(-LN(2)/25)*AV201+(1-EXP(-LN(2)/25))/(LN(2)/25)*Calculateur!AQ202*Calculateur!AS202*VLOOKUP('Données projet'!$B$10,Paramètres!$A$1:$I$89,3,0)*0.475*44/12</f>
        <v>0.19706302100051101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3.1921627472125769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98.045647909910258</v>
      </c>
      <c r="BJ202" s="62">
        <f t="shared" si="206"/>
        <v>475.64984175055775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3.0616574979056645</v>
      </c>
      <c r="BQ202" s="23">
        <f>EXP(-LN(2)/25)*BQ201+(1-EXP(-LN(2)/25))/(LN(2)/25)*Calculateur!BL202*Calculateur!BN202*VLOOKUP('Données projet'!$B$11,Paramètres!$A$1:$I$89,3,0)*0.475*44/12</f>
        <v>0.20144219924496706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3.2630996971506314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91.446075686521226</v>
      </c>
      <c r="T203" s="62">
        <f t="shared" si="204"/>
        <v>440.88491337513091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2.7650795346458263</v>
      </c>
      <c r="AA203" s="23">
        <f>EXP(-LN(2)/25)*AA202+(1-EXP(-LN(2)/25))/(LN(2)/25)*Calculateur!V203*Calculateur!X203*VLOOKUP('Données projet'!$B$9,Paramètres!$A$1:$I$89,3,0)*0.475*44/12</f>
        <v>0.18049332019234948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2.9455728548381757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96.226303286816062</v>
      </c>
      <c r="AO203" s="62">
        <f t="shared" si="205"/>
        <v>466.06545378903826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2.9363676474114957</v>
      </c>
      <c r="AV203" s="23">
        <f>EXP(-LN(2)/25)*AV202+(1-EXP(-LN(2)/25))/(LN(2)/25)*Calculateur!AQ203*Calculateur!AS203*VLOOKUP('Données projet'!$B$10,Paramètres!$A$1:$I$89,3,0)*0.475*44/12</f>
        <v>0.19167432232815815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3.128041969739654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98.045647909910258</v>
      </c>
      <c r="BJ203" s="62">
        <f t="shared" si="206"/>
        <v>475.64984175055775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3.0016202617984149</v>
      </c>
      <c r="BQ203" s="23">
        <f>EXP(-LN(2)/25)*BQ202+(1-EXP(-LN(2)/25))/(LN(2)/25)*Calculateur!BL203*Calculateur!BN203*VLOOKUP('Données projet'!$B$11,Paramètres!$A$1:$I$89,3,0)*0.475*44/12</f>
        <v>0.19593375171322858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3.1975540135116436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1.3425096788517643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1.3425096788517643</v>
      </c>
      <c r="BA205" s="88">
        <f>EXP(LN('Données projet'!B88)/'Données projet'!A88)</f>
        <v>1.3425096788517643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4" workbookViewId="0">
      <selection activeCell="L16" sqref="L1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Brenta</v>
      </c>
      <c r="B6" s="155">
        <f>'Données projet'!D9</f>
        <v>0.86020000000000008</v>
      </c>
      <c r="C6" s="156">
        <f ca="1">IF(OR('Données projet'!B9="",'Données projet'!C9="",'Données projet'!C9=0%),0,Calculateur!S3)</f>
        <v>91.446075686521226</v>
      </c>
      <c r="D6" s="156">
        <f>IF(OR('Données projet'!B9="",'Données projet'!C9="",'Données projet'!C9=0%),0,Calculateur!T3)</f>
        <v>440.88491337513091</v>
      </c>
      <c r="E6" s="156">
        <f ca="1">MIN(C6,D6)</f>
        <v>91.446075686521226</v>
      </c>
      <c r="F6" s="156">
        <f ca="1">E6*B6</f>
        <v>78.661914305545565</v>
      </c>
      <c r="G6" s="156">
        <f ca="1">F6*(100%-'Données projet'!$C$24)*(100%-'Données projet'!$C$25)*(100%-'Données projet'!$C$26)*(100%-'Données projet'!$C$27)</f>
        <v>53.804749384993173</v>
      </c>
      <c r="H6" s="157">
        <f>IF(OR('Données projet'!B9="",'Données projet'!C9="",'Données projet'!C9=0%),0,AVERAGE(Calculateur!$AC$3:$AC$33)*B6)</f>
        <v>34.139681500213079</v>
      </c>
      <c r="I6" s="158">
        <f>H6*(100%-'Données projet'!$C$24)*(100%-'Données projet'!$C$25)*(100%-'Données projet'!$C$26)*(100%-'Données projet'!$C$27)</f>
        <v>23.351542146145746</v>
      </c>
      <c r="J6" s="159">
        <f>IF(OR('Données projet'!B9="",'Données projet'!C9="",'Données projet'!C9=0%),0,SUM(Calculateur!$V$3:$V$33)*VLOOKUP('Données projet'!$B$9,Paramètres!$A$1:$I$89,9,0)*B6)</f>
        <v>320.46837020000004</v>
      </c>
      <c r="K6" s="160">
        <f>J6*(100%-'Données projet'!$C$24)*(100%-'Données projet'!$C$25)*(100%-'Données projet'!$C$26)*(100%-'Données projet'!$C$27)</f>
        <v>219.20036521680004</v>
      </c>
      <c r="L6" s="161">
        <f ca="1">G6+I6+K6</f>
        <v>296.35665674793893</v>
      </c>
      <c r="M6" s="25">
        <f ca="1">L6/B6</f>
        <v>344.52064258072414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Soligo</v>
      </c>
      <c r="B7" s="163">
        <f>'Données projet'!D10</f>
        <v>0.84040000000000004</v>
      </c>
      <c r="C7" s="156">
        <f ca="1">IF(OR('Données projet'!B10="",'Données projet'!C10="",'Données projet'!C10=0%),0,Calculateur!AN3)</f>
        <v>96.226303286816062</v>
      </c>
      <c r="D7" s="156">
        <f>IF(OR('Données projet'!B10="",'Données projet'!C10="",'Données projet'!C10=0%),0,Calculateur!AO3)</f>
        <v>466.06545378903826</v>
      </c>
      <c r="E7" s="156">
        <f t="shared" ref="E7:E15" ca="1" si="0">MIN(C7,D7)</f>
        <v>96.226303286816062</v>
      </c>
      <c r="F7" s="156">
        <f t="shared" ref="F7:F15" ca="1" si="1">E7*B7</f>
        <v>80.868585282240218</v>
      </c>
      <c r="G7" s="156">
        <f ca="1">F7*(100%-'Données projet'!$C$24)*(100%-'Données projet'!$C$25)*(100%-'Données projet'!$C$26)*(100%-'Données projet'!$C$27)</f>
        <v>55.314112333052314</v>
      </c>
      <c r="H7" s="164">
        <f>IF(OR('Données projet'!B10="",'Données projet'!C10="",'Données projet'!C10=0%),0,AVERAGE(Calculateur!$AX$3:$AX$33)*B7)</f>
        <v>35.420025801094695</v>
      </c>
      <c r="I7" s="158">
        <f>H7*(100%-'Données projet'!$C$24)*(100%-'Données projet'!$C$25)*(100%-'Données projet'!$C$26)*(100%-'Données projet'!$C$27)</f>
        <v>24.227297647948774</v>
      </c>
      <c r="J7" s="159">
        <f>IF(OR('Données projet'!B10="",'Données projet'!C10="",'Données projet'!C10=0%),0,SUM(Calculateur!$AQ$3:$AQ$33)*VLOOKUP('Données projet'!$B$10,Paramètres!$A$1:$I$89,9,0)*B7)</f>
        <v>313.09186040000003</v>
      </c>
      <c r="K7" s="160">
        <f>J7*(100%-'Données projet'!$C$24)*(100%-'Données projet'!$C$25)*(100%-'Données projet'!$C$26)*(100%-'Données projet'!$C$27)</f>
        <v>214.15483251360001</v>
      </c>
      <c r="L7" s="161">
        <f t="shared" ref="L7:L15" ca="1" si="2">G7+I7+K7</f>
        <v>293.69624249460111</v>
      </c>
      <c r="M7" s="25">
        <f ca="1">L7/B7</f>
        <v>349.47196869895419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Peuplier Taro</v>
      </c>
      <c r="B8" s="163">
        <f>'Données projet'!D11</f>
        <v>0.49940000000000007</v>
      </c>
      <c r="C8" s="156">
        <f ca="1">IF(OR('Données projet'!B11="",'Données projet'!C11="",'Données projet'!C11=0%),0,Calculateur!BI3)</f>
        <v>98.045647909910258</v>
      </c>
      <c r="D8" s="156">
        <f>IF(OR('Données projet'!B11="",'Données projet'!C11="",'Données projet'!C11=0%),0,Calculateur!BJ3)</f>
        <v>475.64984175055775</v>
      </c>
      <c r="E8" s="156">
        <f t="shared" ca="1" si="0"/>
        <v>98.045647909910258</v>
      </c>
      <c r="F8" s="156">
        <f t="shared" ca="1" si="1"/>
        <v>48.96399656620919</v>
      </c>
      <c r="G8" s="156">
        <f ca="1">F8*(100%-'Données projet'!$C$24)*(100%-'Données projet'!$C$25)*(100%-'Données projet'!$C$26)*(100%-'Données projet'!$C$27)</f>
        <v>33.491373651287084</v>
      </c>
      <c r="H8" s="164">
        <f>IF(OR('Données projet'!B11="",'Données projet'!C11="",'Données projet'!C11=0%),0,AVERAGE(Calculateur!$BS$3:$BS$33)*B8)</f>
        <v>21.515759710007611</v>
      </c>
      <c r="I8" s="158">
        <f>H8*(100%-'Données projet'!$C$24)*(100%-'Données projet'!$C$25)*(100%-'Données projet'!$C$26)*(100%-'Données projet'!$C$27)</f>
        <v>14.716779641645207</v>
      </c>
      <c r="J8" s="159">
        <f>IF(OR('Données projet'!B11="",'Données projet'!C11="",'Données projet'!C11=0%),0,SUM(Calculateur!$BL$3:$BL$33)*VLOOKUP('Données projet'!$B$11,Paramètres!$A$1:$I$89,9,0)*B8)</f>
        <v>186.05196940000002</v>
      </c>
      <c r="K8" s="160">
        <f>J8*(100%-'Données projet'!$C$24)*(100%-'Données projet'!$C$25)*(100%-'Données projet'!$C$26)*(100%-'Données projet'!$C$27)</f>
        <v>127.2595470696</v>
      </c>
      <c r="L8" s="161">
        <f t="shared" ca="1" si="2"/>
        <v>175.4677003625323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208.49449615399499</v>
      </c>
      <c r="G16" s="175">
        <f t="shared" ca="1" si="3"/>
        <v>142.61023536933257</v>
      </c>
      <c r="H16" s="176">
        <f t="shared" si="3"/>
        <v>91.075467011315396</v>
      </c>
      <c r="I16" s="176">
        <f t="shared" si="3"/>
        <v>62.295619435739724</v>
      </c>
      <c r="J16" s="177">
        <f t="shared" si="3"/>
        <v>819.61220000000003</v>
      </c>
      <c r="K16" s="177">
        <f t="shared" si="3"/>
        <v>560.61474480000004</v>
      </c>
      <c r="L16" s="178">
        <f t="shared" ca="1" si="3"/>
        <v>765.52059960507222</v>
      </c>
      <c r="M16" s="25">
        <f ca="1">L16/6.42</f>
        <v>119.23996878583679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Brenta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Soligo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Peuplier Taro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J34" zoomScale="90" zoomScaleNormal="90" workbookViewId="0">
      <selection activeCell="P85" sqref="P8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Brenta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0.86020000000000008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Soligo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0.84040000000000004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Peuplier Taro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0.49940000000000007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Brenta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361.7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Soligo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361.7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Peuplier Taro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ht="30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361.7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2025-02-14T10:01:33Z</dcterms:modified>
</cp:coreProperties>
</file>