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Andon\"/>
    </mc:Choice>
  </mc:AlternateContent>
  <bookViews>
    <workbookView xWindow="0" yWindow="0" windowWidth="20490" windowHeight="7755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43" i="1"/>
  <c r="B42" i="1"/>
  <c r="B41" i="1"/>
  <c r="B40" i="1"/>
  <c r="B39" i="1"/>
  <c r="D44" i="1"/>
  <c r="B38" i="1"/>
  <c r="B37" i="1"/>
  <c r="D150" i="1" l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B141" i="1"/>
  <c r="B140" i="1"/>
  <c r="D173" i="1"/>
  <c r="B127" i="1"/>
  <c r="D127" i="1" s="1"/>
  <c r="D120" i="1"/>
  <c r="B120" i="1"/>
  <c r="B119" i="1"/>
  <c r="D118" i="1"/>
  <c r="B118" i="1"/>
  <c r="B117" i="1"/>
  <c r="D116" i="1"/>
  <c r="B116" i="1"/>
  <c r="B115" i="1"/>
  <c r="D205" i="1"/>
  <c r="B205" i="1"/>
  <c r="D193" i="1"/>
  <c r="B193" i="1"/>
  <c r="D101" i="1"/>
  <c r="B101" i="1"/>
  <c r="D89" i="1"/>
  <c r="B89" i="1"/>
  <c r="D231" i="1"/>
  <c r="B231" i="1"/>
  <c r="D219" i="1"/>
  <c r="B219" i="1"/>
  <c r="B71" i="1"/>
  <c r="D71" i="1" s="1"/>
  <c r="D70" i="1"/>
  <c r="B70" i="1"/>
  <c r="D69" i="1"/>
  <c r="B69" i="1"/>
  <c r="D68" i="1"/>
  <c r="B68" i="1"/>
  <c r="B67" i="1"/>
  <c r="D66" i="1"/>
  <c r="B66" i="1"/>
  <c r="B65" i="1"/>
  <c r="D64" i="1"/>
  <c r="B64" i="1"/>
  <c r="B63" i="1"/>
  <c r="D62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EA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HI7" i="2"/>
  <c r="EB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V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HG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G28" i="2"/>
  <c r="EV28" i="2"/>
  <c r="HI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HG33" i="2"/>
  <c r="HH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FS38" i="2"/>
  <c r="EX38" i="2"/>
  <c r="EW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HI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EW44" i="2"/>
  <c r="HH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G57" i="2"/>
  <c r="FS57" i="2"/>
  <c r="HH57" i="2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HH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HG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FS113" i="2"/>
  <c r="EX113" i="2"/>
  <c r="EW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FQ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W124" i="2"/>
  <c r="EX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EW130" i="2"/>
  <c r="EX130" i="2"/>
  <c r="HG130" i="2"/>
  <c r="HI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S140" i="2"/>
  <c r="FR140" i="2"/>
  <c r="EX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H145" i="2"/>
  <c r="HG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FS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I150" i="2"/>
  <c r="HG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HJ154" i="2"/>
  <c r="HH155" i="2"/>
  <c r="EW155" i="2"/>
  <c r="EX155" i="2"/>
  <c r="HG155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FS156" i="2"/>
  <c r="ED155" i="2"/>
  <c r="HH156" i="2"/>
  <c r="EX156" i="2"/>
  <c r="HG156" i="2"/>
  <c r="HI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HG157" i="2"/>
  <c r="EC157" i="2"/>
  <c r="EX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H160" i="2"/>
  <c r="HI160" i="2"/>
  <c r="DG160" i="2"/>
  <c r="FS160" i="2"/>
  <c r="EY159" i="2"/>
  <c r="H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H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HH162" i="2"/>
  <c r="HG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HG163" i="2"/>
  <c r="HH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HH164" i="2"/>
  <c r="EA164" i="2"/>
  <c r="FR164" i="2"/>
  <c r="FS164" i="2"/>
  <c r="EV164" i="2"/>
  <c r="EX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J166" i="2"/>
  <c r="FR167" i="2"/>
  <c r="EX167" i="2"/>
  <c r="HH167" i="2"/>
  <c r="EC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HH168" i="2"/>
  <c r="HI168" i="2"/>
  <c r="DG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Y171" i="2"/>
  <c r="EA172" i="2"/>
  <c r="HI172" i="2"/>
  <c r="EW172" i="2"/>
  <c r="EV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HG178" i="2"/>
  <c r="ED177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HG179" i="2"/>
  <c r="EA179" i="2"/>
  <c r="EV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HG185" i="2"/>
  <c r="EW185" i="2"/>
  <c r="EV185" i="2"/>
  <c r="HH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G186" i="2"/>
  <c r="ED185" i="2"/>
  <c r="FR186" i="2"/>
  <c r="FS186" i="2"/>
  <c r="HH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V190" i="2"/>
  <c r="EY189" i="2"/>
  <c r="EB190" i="2"/>
  <c r="HH190" i="2"/>
  <c r="HJ189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H192" i="2"/>
  <c r="EW192" i="2"/>
  <c r="EV192" i="2"/>
  <c r="HG192" i="2"/>
  <c r="HI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EX193" i="2"/>
  <c r="HI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HG194" i="2"/>
  <c r="HI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FQ195" i="2"/>
  <c r="EX195" i="2"/>
  <c r="HG195" i="2"/>
  <c r="ED194" i="2"/>
  <c r="EY194" i="2"/>
  <c r="HI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HG197" i="2"/>
  <c r="FS197" i="2"/>
  <c r="EW197" i="2"/>
  <c r="HH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W199" i="2"/>
  <c r="EV199" i="2"/>
  <c r="HG199" i="2"/>
  <c r="HH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FS201" i="2"/>
  <c r="HG201" i="2"/>
  <c r="HH201" i="2"/>
  <c r="ED200" i="2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X202" i="2"/>
  <c r="HH202" i="2"/>
  <c r="HG202" i="2"/>
  <c r="FR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5" i="2" a="1"/>
  <c r="FY3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DN155" i="2" a="1"/>
  <c r="DN155" i="2" s="1"/>
  <c r="CS66" i="2" a="1"/>
  <c r="CS66" i="2" s="1"/>
  <c r="CS52" i="2" a="1"/>
  <c r="CS52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05" i="2" a="1"/>
  <c r="CS105" i="2" s="1"/>
  <c r="CS38" i="2" a="1"/>
  <c r="CS38" i="2" s="1"/>
  <c r="FD14" i="2" a="1"/>
  <c r="FD14" i="2" s="1"/>
  <c r="BC164" i="2" a="1"/>
  <c r="BC164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EI142" i="2" l="1" a="1"/>
  <c r="EI142" i="2" s="1"/>
  <c r="EI166" i="2" a="1"/>
  <c r="EI166" i="2" s="1"/>
  <c r="EI178" i="2" a="1"/>
  <c r="EI178" i="2" s="1"/>
  <c r="EI198" i="2" a="1"/>
  <c r="EI198" i="2" s="1"/>
  <c r="EI57" i="2" a="1"/>
  <c r="EI57" i="2" s="1"/>
  <c r="EI145" i="2" a="1"/>
  <c r="EI145" i="2" s="1"/>
  <c r="EI36" i="2" a="1"/>
  <c r="EI36" i="2" s="1"/>
  <c r="EI162" i="2" a="1"/>
  <c r="EI162" i="2" s="1"/>
  <c r="EI87" i="2" a="1"/>
  <c r="EI87" i="2" s="1"/>
  <c r="EI150" i="2" a="1"/>
  <c r="EI150" i="2" s="1"/>
  <c r="EI109" i="2" a="1"/>
  <c r="EI109" i="2" s="1"/>
  <c r="EI29" i="2" a="1"/>
  <c r="EI29" i="2" s="1"/>
  <c r="EI38" i="2" a="1"/>
  <c r="EI38" i="2" s="1"/>
  <c r="EI106" i="2" a="1"/>
  <c r="EI106" i="2" s="1"/>
  <c r="FD187" i="2" a="1"/>
  <c r="FD187" i="2" s="1"/>
  <c r="FD107" i="2" a="1"/>
  <c r="FD107" i="2" s="1"/>
  <c r="FD194" i="2" a="1"/>
  <c r="FD194" i="2" s="1"/>
  <c r="FD48" i="2" a="1"/>
  <c r="FD48" i="2" s="1"/>
  <c r="FD19" i="2" a="1"/>
  <c r="FD19" i="2" s="1"/>
  <c r="FD137" i="2" a="1"/>
  <c r="FD137" i="2" s="1"/>
  <c r="FD160" i="2" a="1"/>
  <c r="FD160" i="2" s="1"/>
  <c r="FD159" i="2" a="1"/>
  <c r="FD159" i="2" s="1"/>
  <c r="FD64" i="2" a="1"/>
  <c r="FD64" i="2" s="1"/>
  <c r="FD60" i="2" a="1"/>
  <c r="FD60" i="2" s="1"/>
  <c r="FD131" i="2" a="1"/>
  <c r="FD131" i="2" s="1"/>
  <c r="FD59" i="2" a="1"/>
  <c r="FD59" i="2" s="1"/>
  <c r="FD43" i="2" a="1"/>
  <c r="FD43" i="2" s="1"/>
  <c r="FD167" i="2" a="1"/>
  <c r="FD167" i="2" s="1"/>
  <c r="FD189" i="2" a="1"/>
  <c r="FD189" i="2" s="1"/>
  <c r="FD21" i="2" a="1"/>
  <c r="FD21" i="2" s="1"/>
  <c r="FD44" i="2" a="1"/>
  <c r="FD44" i="2" s="1"/>
  <c r="FD188" i="2" a="1"/>
  <c r="FD188" i="2" s="1"/>
  <c r="FD144" i="2" a="1"/>
  <c r="FD144" i="2" s="1"/>
  <c r="FR203" i="2"/>
  <c r="FS203" i="2"/>
  <c r="CS161" i="2" a="1"/>
  <c r="CS161" i="2" s="1"/>
  <c r="FY42" i="2" a="1"/>
  <c r="FY42" i="2" s="1"/>
  <c r="FY121" i="2" a="1"/>
  <c r="FY121" i="2" s="1"/>
  <c r="FY30" i="2" a="1"/>
  <c r="FY30" i="2" s="1"/>
  <c r="FY167" i="2" a="1"/>
  <c r="FY167" i="2" s="1"/>
  <c r="FY82" i="2" a="1"/>
  <c r="FY82" i="2" s="1"/>
  <c r="FY182" i="2" a="1"/>
  <c r="FY182" i="2" s="1"/>
  <c r="FY104" i="2" a="1"/>
  <c r="FY104" i="2" s="1"/>
  <c r="FY115" i="2" a="1"/>
  <c r="FY115" i="2" s="1"/>
  <c r="FY86" i="2" a="1"/>
  <c r="FY86" i="2" s="1"/>
  <c r="FY58" i="2" a="1"/>
  <c r="FY58" i="2" s="1"/>
  <c r="FY142" i="2" a="1"/>
  <c r="FY142" i="2" s="1"/>
  <c r="FY24" i="2" a="1"/>
  <c r="FY24" i="2" s="1"/>
  <c r="FY80" i="2" a="1"/>
  <c r="FY80" i="2" s="1"/>
  <c r="FY164" i="2" a="1"/>
  <c r="FY164" i="2" s="1"/>
  <c r="FY196" i="2" a="1"/>
  <c r="FY196" i="2" s="1"/>
  <c r="FY172" i="2" a="1"/>
  <c r="FY172" i="2" s="1"/>
  <c r="FY190" i="2" a="1"/>
  <c r="FY190" i="2" s="1"/>
  <c r="FY99" i="2" a="1"/>
  <c r="FY99" i="2" s="1"/>
  <c r="FY34" i="2" a="1"/>
  <c r="FY34" i="2" s="1"/>
  <c r="FY149" i="2" a="1"/>
  <c r="FY149" i="2" s="1"/>
  <c r="FY152" i="2" a="1"/>
  <c r="FY152" i="2" s="1"/>
  <c r="FY124" i="2" a="1"/>
  <c r="FY124" i="2" s="1"/>
  <c r="FY169" i="2" a="1"/>
  <c r="FY169" i="2" s="1"/>
  <c r="FY62" i="2" a="1"/>
  <c r="FY62" i="2" s="1"/>
  <c r="FY191" i="2" a="1"/>
  <c r="FY191" i="2" s="1"/>
  <c r="FY72" i="2" a="1"/>
  <c r="FY72" i="2" s="1"/>
  <c r="FY178" i="2" a="1"/>
  <c r="FY178" i="2" s="1"/>
  <c r="FY55" i="2" a="1"/>
  <c r="FY55" i="2" s="1"/>
  <c r="FY126" i="2" a="1"/>
  <c r="FY126" i="2" s="1"/>
  <c r="FY188" i="2" a="1"/>
  <c r="FY188" i="2" s="1"/>
  <c r="FY28" i="2" a="1"/>
  <c r="FY28" i="2" s="1"/>
  <c r="FY78" i="2" a="1"/>
  <c r="FY78" i="2" s="1"/>
  <c r="FY174" i="2" a="1"/>
  <c r="FY174" i="2" s="1"/>
  <c r="FY66" i="2" a="1"/>
  <c r="FY66" i="2" s="1"/>
  <c r="FY116" i="2" a="1"/>
  <c r="FY116" i="2" s="1"/>
  <c r="FY92" i="2" a="1"/>
  <c r="FY92" i="2" s="1"/>
  <c r="FY111" i="2" a="1"/>
  <c r="FY111" i="2" s="1"/>
  <c r="FY73" i="2" a="1"/>
  <c r="FY73" i="2" s="1"/>
  <c r="FY120" i="2" a="1"/>
  <c r="FY120" i="2" s="1"/>
  <c r="FY186" i="2" a="1"/>
  <c r="FY186" i="2" s="1"/>
  <c r="FY173" i="2" a="1"/>
  <c r="FY173" i="2" s="1"/>
  <c r="FY159" i="2" a="1"/>
  <c r="FY159" i="2" s="1"/>
  <c r="FY143" i="2" a="1"/>
  <c r="FY143" i="2" s="1"/>
  <c r="FY71" i="2" a="1"/>
  <c r="FY71" i="2" s="1"/>
  <c r="FY110" i="2" a="1"/>
  <c r="FY110" i="2" s="1"/>
  <c r="FY153" i="2" a="1"/>
  <c r="FY153" i="2" s="1"/>
  <c r="FY102" i="2" a="1"/>
  <c r="FY102" i="2" s="1"/>
  <c r="FY69" i="2" a="1"/>
  <c r="FY69" i="2" s="1"/>
  <c r="FY22" i="2" a="1"/>
  <c r="FY22" i="2" s="1"/>
  <c r="FY50" i="2" a="1"/>
  <c r="FY50" i="2" s="1"/>
  <c r="FY47" i="2" a="1"/>
  <c r="FY47" i="2" s="1"/>
  <c r="FY18" i="2" a="1"/>
  <c r="FY18" i="2" s="1"/>
  <c r="FY133" i="2" a="1"/>
  <c r="FY133" i="2" s="1"/>
  <c r="FY140" i="2" a="1"/>
  <c r="FY140" i="2" s="1"/>
  <c r="FY29" i="2" a="1"/>
  <c r="FY29" i="2" s="1"/>
  <c r="FY109" i="2" a="1"/>
  <c r="FY109" i="2" s="1"/>
  <c r="FY165" i="2" a="1"/>
  <c r="FY165" i="2" s="1"/>
  <c r="FY146" i="2" a="1"/>
  <c r="FY146" i="2" s="1"/>
  <c r="FY32" i="2" a="1"/>
  <c r="FY32" i="2" s="1"/>
  <c r="FY79" i="2" a="1"/>
  <c r="FY79" i="2" s="1"/>
  <c r="FY90" i="2" a="1"/>
  <c r="FY90" i="2" s="1"/>
  <c r="FY57" i="2" a="1"/>
  <c r="FY57" i="2" s="1"/>
  <c r="FY54" i="2" a="1"/>
  <c r="FY54" i="2" s="1"/>
  <c r="HH203" i="2"/>
  <c r="HG203" i="2"/>
  <c r="DN186" i="2" a="1"/>
  <c r="DN186" i="2" s="1"/>
  <c r="DN184" i="2" a="1"/>
  <c r="DN184" i="2" s="1"/>
  <c r="DN124" i="2" a="1"/>
  <c r="DN124" i="2" s="1"/>
  <c r="AH151" i="2" a="1"/>
  <c r="AH151" i="2" s="1"/>
  <c r="AH199" i="2" a="1"/>
  <c r="AH199" i="2" s="1"/>
  <c r="AH166" i="2" a="1"/>
  <c r="AH166" i="2" s="1"/>
  <c r="AH163" i="2" a="1"/>
  <c r="AH163" i="2" s="1"/>
  <c r="AH19" i="2" a="1"/>
  <c r="AH19" i="2" s="1"/>
  <c r="AH62" i="2" a="1"/>
  <c r="AH62" i="2" s="1"/>
  <c r="AH92" i="2" a="1"/>
  <c r="AH92" i="2" s="1"/>
  <c r="AH90" i="2" a="1"/>
  <c r="AH90" i="2" s="1"/>
  <c r="BX107" i="2" a="1"/>
  <c r="BX107" i="2" s="1"/>
  <c r="BC83" i="2" a="1"/>
  <c r="BC83" i="2" s="1"/>
  <c r="BC82" i="2" a="1"/>
  <c r="BC82" i="2" s="1"/>
  <c r="BC65" i="2" a="1"/>
  <c r="BC65" i="2" s="1"/>
  <c r="BC18" i="2" a="1"/>
  <c r="BC18" i="2" s="1"/>
  <c r="BC84" i="2" a="1"/>
  <c r="BC84" i="2" s="1"/>
  <c r="BC114" i="2" a="1"/>
  <c r="BC114" i="2" s="1"/>
  <c r="BC151" i="2" a="1"/>
  <c r="BC151" i="2" s="1"/>
  <c r="BC31" i="2" a="1"/>
  <c r="BC31" i="2" s="1"/>
  <c r="BC38" i="2" a="1"/>
  <c r="BC38" i="2" s="1"/>
  <c r="BC32" i="2" a="1"/>
  <c r="BC32" i="2" s="1"/>
  <c r="BC126" i="2" a="1"/>
  <c r="BC126" i="2" s="1"/>
  <c r="BC192" i="2" a="1"/>
  <c r="BC192" i="2" s="1"/>
  <c r="BC7" i="2" a="1"/>
  <c r="BC7" i="2" s="1"/>
  <c r="BC68" i="2" a="1"/>
  <c r="BC68" i="2" s="1"/>
  <c r="BC47" i="2" a="1"/>
  <c r="BC47" i="2" s="1"/>
  <c r="BC185" i="2" a="1"/>
  <c r="BC185" i="2" s="1"/>
  <c r="BC130" i="2" a="1"/>
  <c r="BC130" i="2" s="1"/>
  <c r="BC117" i="2" a="1"/>
  <c r="BC117" i="2" s="1"/>
  <c r="BC58" i="2" a="1"/>
  <c r="BC58" i="2" s="1"/>
  <c r="BC55" i="2" a="1"/>
  <c r="BC55" i="2" s="1"/>
  <c r="BC143" i="2" a="1"/>
  <c r="BC143" i="2" s="1"/>
  <c r="BC181" i="2" a="1"/>
  <c r="BC181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67" i="2"/>
  <c r="CY78" i="2"/>
  <c r="CY7" i="2"/>
  <c r="CY93" i="2"/>
  <c r="CY61" i="2"/>
  <c r="CY145" i="2"/>
  <c r="CY43" i="2"/>
  <c r="CY13" i="2"/>
  <c r="CY108" i="2"/>
  <c r="CY159" i="2"/>
  <c r="CY194" i="2"/>
  <c r="CY5" i="2"/>
  <c r="CY103" i="2"/>
  <c r="CY16" i="2"/>
  <c r="CY179" i="2"/>
  <c r="CY168" i="2"/>
  <c r="CY176" i="2"/>
  <c r="CY74" i="2"/>
  <c r="CY11" i="2"/>
  <c r="CY121" i="2"/>
  <c r="CY193" i="2"/>
  <c r="CY12" i="2"/>
  <c r="CY94" i="2"/>
  <c r="CY37" i="2"/>
  <c r="CY72" i="2"/>
  <c r="CY142" i="2"/>
  <c r="CY177" i="2"/>
  <c r="CY118" i="2"/>
  <c r="CY83" i="2"/>
  <c r="CY182" i="2"/>
  <c r="CY58" i="2"/>
  <c r="CY197" i="2"/>
  <c r="CY55" i="2"/>
  <c r="CY88" i="2"/>
  <c r="CY60" i="2"/>
  <c r="CY122" i="2"/>
  <c r="CY31" i="2"/>
  <c r="CY62" i="2"/>
  <c r="CY9" i="2"/>
  <c r="CY133" i="2"/>
  <c r="CY135" i="2"/>
  <c r="CY100" i="2"/>
  <c r="CY115" i="2"/>
  <c r="CY81" i="2"/>
  <c r="CY148" i="2"/>
  <c r="CY180" i="2"/>
  <c r="CY157" i="2"/>
  <c r="CY47" i="2"/>
  <c r="CY173" i="2"/>
  <c r="CY126" i="2"/>
  <c r="CY19" i="2"/>
  <c r="CY18" i="2"/>
  <c r="CY38" i="2"/>
  <c r="CY101" i="2"/>
  <c r="CY165" i="2"/>
  <c r="CY191" i="2"/>
  <c r="CY134" i="2"/>
  <c r="CY160" i="2"/>
  <c r="CY29" i="2"/>
  <c r="CY158" i="2"/>
  <c r="CY8" i="2"/>
  <c r="CY183" i="2"/>
  <c r="CY132" i="2"/>
  <c r="CY10" i="2"/>
  <c r="CY107" i="2"/>
  <c r="CY64" i="2"/>
  <c r="CY154" i="2"/>
  <c r="CY89" i="2"/>
  <c r="CY143" i="2"/>
  <c r="CY129" i="2"/>
  <c r="CY170" i="2"/>
  <c r="CY26" i="2"/>
  <c r="CY139" i="2"/>
  <c r="CY33" i="2"/>
  <c r="CY188" i="2"/>
  <c r="CY109" i="2"/>
  <c r="CY155" i="2"/>
  <c r="CY87" i="2"/>
  <c r="CY102" i="2"/>
  <c r="CY28" i="2"/>
  <c r="CY65" i="2"/>
  <c r="CY200" i="2"/>
  <c r="CY67" i="2"/>
  <c r="CY34" i="2"/>
  <c r="CY32" i="2"/>
  <c r="CY48" i="2"/>
  <c r="CY92" i="2"/>
  <c r="CY95" i="2"/>
  <c r="CY187" i="2"/>
  <c r="CY73" i="2"/>
  <c r="CY45" i="2"/>
  <c r="CY15" i="2"/>
  <c r="CY52" i="2"/>
  <c r="CY41" i="2"/>
  <c r="CY79" i="2"/>
  <c r="CY63" i="2"/>
  <c r="CY171" i="2"/>
  <c r="CY6" i="2"/>
  <c r="CY27" i="2"/>
  <c r="CY17" i="2"/>
  <c r="CY174" i="2"/>
  <c r="CY124" i="2"/>
  <c r="CY69" i="2"/>
  <c r="CY80" i="2"/>
  <c r="CY30" i="2"/>
  <c r="CY4" i="2"/>
  <c r="CY186" i="2"/>
  <c r="CY54" i="2"/>
  <c r="CY184" i="2"/>
  <c r="CY106" i="2"/>
  <c r="CY141" i="2"/>
  <c r="CY166" i="2"/>
  <c r="CY85" i="2"/>
  <c r="CY178" i="2"/>
  <c r="CY22" i="2"/>
  <c r="CY185" i="2"/>
  <c r="CY201" i="2"/>
  <c r="CY57" i="2"/>
  <c r="CY99" i="2"/>
  <c r="CY140" i="2"/>
  <c r="CY175" i="2"/>
  <c r="CY111" i="2"/>
  <c r="CY82" i="2"/>
  <c r="CY137" i="2"/>
  <c r="CY150" i="2"/>
  <c r="CY71" i="2"/>
  <c r="CY190" i="2"/>
  <c r="CY138" i="2"/>
  <c r="CY97" i="2"/>
  <c r="CY96" i="2"/>
  <c r="CY136" i="2"/>
  <c r="CY112" i="2"/>
  <c r="CY105" i="2"/>
  <c r="CY36" i="2"/>
  <c r="CY151" i="2"/>
  <c r="CY202" i="2"/>
  <c r="CY120" i="2"/>
  <c r="CY110" i="2"/>
  <c r="CY147" i="2"/>
  <c r="CY68" i="2"/>
  <c r="CY128" i="2"/>
  <c r="CY127" i="2"/>
  <c r="CY156" i="2"/>
  <c r="CY119" i="2"/>
  <c r="CY98" i="2"/>
  <c r="CY77" i="2"/>
  <c r="CY14" i="2"/>
  <c r="CY144" i="2"/>
  <c r="CY152" i="2"/>
  <c r="CY59" i="2"/>
  <c r="CY131" i="2"/>
  <c r="CY172" i="2"/>
  <c r="CY51" i="2"/>
  <c r="CY163" i="2"/>
  <c r="CY117" i="2"/>
  <c r="CY53" i="2"/>
  <c r="CY153" i="2"/>
  <c r="CY84" i="2"/>
  <c r="CY76" i="2"/>
  <c r="CY42" i="2"/>
  <c r="CY199" i="2"/>
  <c r="CY125" i="2"/>
  <c r="CY189" i="2"/>
  <c r="CY75" i="2"/>
  <c r="CY181" i="2"/>
  <c r="CY196" i="2"/>
  <c r="CY20" i="2"/>
  <c r="CY35" i="2"/>
  <c r="CY39" i="2"/>
  <c r="CY149" i="2"/>
  <c r="CY49" i="2"/>
  <c r="CY21" i="2"/>
  <c r="CY86" i="2"/>
  <c r="CY114" i="2"/>
  <c r="CY161" i="2"/>
  <c r="CY164" i="2"/>
  <c r="CY203" i="2"/>
  <c r="CY195" i="2"/>
  <c r="CY91" i="2"/>
  <c r="CY146" i="2"/>
  <c r="CY90" i="2"/>
  <c r="CY116" i="2"/>
  <c r="CY56" i="2"/>
  <c r="CY123" i="2"/>
  <c r="CY130" i="2"/>
  <c r="CY23" i="2"/>
  <c r="CY44" i="2"/>
  <c r="CY3" i="2"/>
  <c r="C10" i="4" s="1"/>
  <c r="E10" i="4" s="1"/>
  <c r="F10" i="4" s="1"/>
  <c r="G10" i="4" s="1"/>
  <c r="L10" i="4" s="1"/>
  <c r="CY46" i="2"/>
  <c r="CY50" i="2"/>
  <c r="CY113" i="2"/>
  <c r="CY198" i="2"/>
  <c r="CY25" i="2"/>
  <c r="CY162" i="2"/>
  <c r="CY104" i="2"/>
  <c r="CY169" i="2"/>
  <c r="CY192" i="2"/>
  <c r="CY40" i="2"/>
  <c r="CY70" i="2"/>
  <c r="CY66" i="2"/>
  <c r="CD60" i="2"/>
  <c r="CD195" i="2"/>
  <c r="CD179" i="2"/>
  <c r="CD158" i="2"/>
  <c r="CD34" i="2"/>
  <c r="CD74" i="2"/>
  <c r="CD170" i="2"/>
  <c r="CD27" i="2"/>
  <c r="CD189" i="2"/>
  <c r="CD9" i="2"/>
  <c r="CD62" i="2"/>
  <c r="CD88" i="2"/>
  <c r="CD5" i="2"/>
  <c r="CD55" i="2"/>
  <c r="CD155" i="2"/>
  <c r="CD109" i="2"/>
  <c r="CD43" i="2"/>
  <c r="CD116" i="2"/>
  <c r="CD59" i="2"/>
  <c r="CD127" i="2"/>
  <c r="CD144" i="2"/>
  <c r="CD139" i="2"/>
  <c r="CD3" i="2"/>
  <c r="C9" i="4" s="1"/>
  <c r="E9" i="4" s="1"/>
  <c r="F9" i="4" s="1"/>
  <c r="G9" i="4" s="1"/>
  <c r="L9" i="4" s="1"/>
  <c r="CD45" i="2"/>
  <c r="CD77" i="2"/>
  <c r="CD119" i="2"/>
  <c r="CD151" i="2"/>
  <c r="CD14" i="2"/>
  <c r="CD188" i="2"/>
  <c r="CD152" i="2"/>
  <c r="CD68" i="2"/>
  <c r="CD148" i="2"/>
  <c r="CD150" i="2"/>
  <c r="CD167" i="2"/>
  <c r="CD48" i="2"/>
  <c r="CD137" i="2"/>
  <c r="CD171" i="2"/>
  <c r="CD104" i="2"/>
  <c r="CD19" i="2"/>
  <c r="CD25" i="2"/>
  <c r="CD156" i="2"/>
  <c r="CD10" i="2"/>
  <c r="CD29" i="2"/>
  <c r="CD38" i="2"/>
  <c r="CD183" i="2"/>
  <c r="CD26" i="2"/>
  <c r="CD149" i="2"/>
  <c r="CD51" i="2"/>
  <c r="CD100" i="2"/>
  <c r="CD165" i="2"/>
  <c r="CD31" i="2"/>
  <c r="CD132" i="2"/>
  <c r="CD147" i="2"/>
  <c r="CD76" i="2"/>
  <c r="CD103" i="2"/>
  <c r="CD196" i="2"/>
  <c r="CD8" i="2"/>
  <c r="CD134" i="2"/>
  <c r="CD181" i="2"/>
  <c r="CD118" i="2"/>
  <c r="CD136" i="2"/>
  <c r="CD169" i="2"/>
  <c r="CD96" i="2"/>
  <c r="CD92" i="2"/>
  <c r="CD11" i="2"/>
  <c r="CD146" i="2"/>
  <c r="CD54" i="2"/>
  <c r="CD21" i="2"/>
  <c r="CD12" i="2"/>
  <c r="CD93" i="2"/>
  <c r="CD185" i="2"/>
  <c r="CD172" i="2"/>
  <c r="CD202" i="2"/>
  <c r="CD101" i="2"/>
  <c r="CD46" i="2"/>
  <c r="CD28" i="2"/>
  <c r="CD142" i="2"/>
  <c r="CD58" i="2"/>
  <c r="CD129" i="2"/>
  <c r="CD121" i="2"/>
  <c r="CD191" i="2"/>
  <c r="CD135" i="2"/>
  <c r="CD47" i="2"/>
  <c r="CD32" i="2"/>
  <c r="CD140" i="2"/>
  <c r="CD105" i="2"/>
  <c r="CD15" i="2"/>
  <c r="CD49" i="2"/>
  <c r="CD41" i="2"/>
  <c r="CD164" i="2"/>
  <c r="CD111" i="2"/>
  <c r="CD87" i="2"/>
  <c r="CD91" i="2"/>
  <c r="CD94" i="2"/>
  <c r="CD124" i="2"/>
  <c r="CD79" i="2"/>
  <c r="CD194" i="2"/>
  <c r="CD71" i="2"/>
  <c r="CD186" i="2"/>
  <c r="CD184" i="2"/>
  <c r="CD102" i="2"/>
  <c r="CD157" i="2"/>
  <c r="CD174" i="2"/>
  <c r="CD106" i="2"/>
  <c r="CD177" i="2"/>
  <c r="CD35" i="2"/>
  <c r="CD36" i="2"/>
  <c r="CD107" i="2"/>
  <c r="CD89" i="2"/>
  <c r="CD86" i="2"/>
  <c r="CD50" i="2"/>
  <c r="CD175" i="2"/>
  <c r="CD97" i="2"/>
  <c r="CD182" i="2"/>
  <c r="CD42" i="2"/>
  <c r="CD52" i="2"/>
  <c r="CD199" i="2"/>
  <c r="CD168" i="2"/>
  <c r="CD117" i="2"/>
  <c r="CD125" i="2"/>
  <c r="CD128" i="2"/>
  <c r="CD126" i="2"/>
  <c r="CD63" i="2"/>
  <c r="CD115" i="2"/>
  <c r="CD201" i="2"/>
  <c r="CD122" i="2"/>
  <c r="CD161" i="2"/>
  <c r="CD130" i="2"/>
  <c r="CD133" i="2"/>
  <c r="CD37" i="2"/>
  <c r="CD138" i="2"/>
  <c r="CD173" i="2"/>
  <c r="CD163" i="2"/>
  <c r="CD85" i="2"/>
  <c r="CD203" i="2"/>
  <c r="CD24" i="2"/>
  <c r="CD166" i="2"/>
  <c r="CD154" i="2"/>
  <c r="CD187" i="2"/>
  <c r="CD114" i="2"/>
  <c r="CD180" i="2"/>
  <c r="CD33" i="2"/>
  <c r="CD4" i="2"/>
  <c r="CD98" i="2"/>
  <c r="CD56" i="2"/>
  <c r="CD176" i="2"/>
  <c r="CD7" i="2"/>
  <c r="CD162" i="2"/>
  <c r="CD90" i="2"/>
  <c r="CD17" i="2"/>
  <c r="CD70" i="2"/>
  <c r="CD57" i="2"/>
  <c r="CD39" i="2"/>
  <c r="CD72" i="2"/>
  <c r="CD112" i="2"/>
  <c r="CD64" i="2"/>
  <c r="CD131" i="2"/>
  <c r="CD95" i="2"/>
  <c r="CD81" i="2"/>
  <c r="CD160" i="2"/>
  <c r="CD123" i="2"/>
  <c r="CD30" i="2"/>
  <c r="CD141" i="2"/>
  <c r="CD53" i="2"/>
  <c r="CD6" i="2"/>
  <c r="CD192" i="2"/>
  <c r="CD20" i="2"/>
  <c r="CD18" i="2"/>
  <c r="CD193" i="2"/>
  <c r="CD83" i="2"/>
  <c r="CD40" i="2"/>
  <c r="CD153" i="2"/>
  <c r="CD159" i="2"/>
  <c r="CD108" i="2"/>
  <c r="CD143" i="2"/>
  <c r="CD66" i="2"/>
  <c r="CD120" i="2"/>
  <c r="CD13" i="2"/>
  <c r="CD178" i="2"/>
  <c r="CD190" i="2"/>
  <c r="CD110" i="2"/>
  <c r="CD84" i="2"/>
  <c r="CD78" i="2"/>
  <c r="CD44" i="2"/>
  <c r="CD145" i="2"/>
  <c r="CD73" i="2"/>
  <c r="CD75" i="2"/>
  <c r="CD23" i="2"/>
  <c r="CD16" i="2"/>
  <c r="CD69" i="2"/>
  <c r="CD200" i="2"/>
  <c r="CD61" i="2"/>
  <c r="CD67" i="2"/>
  <c r="CD80" i="2"/>
  <c r="CD113" i="2"/>
  <c r="CD99" i="2"/>
  <c r="CD197" i="2"/>
  <c r="CD82" i="2"/>
  <c r="CD22" i="2"/>
  <c r="CD65" i="2"/>
  <c r="CD198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GE11" i="2" l="1"/>
  <c r="GE168" i="2"/>
  <c r="GE10" i="2"/>
  <c r="GE153" i="2"/>
  <c r="GE69" i="2"/>
  <c r="GE44" i="2"/>
  <c r="GE92" i="2"/>
  <c r="GE167" i="2"/>
  <c r="GE6" i="2"/>
  <c r="GE127" i="2"/>
  <c r="GE42" i="2"/>
  <c r="GE71" i="2"/>
  <c r="GE75" i="2"/>
  <c r="GE68" i="2"/>
  <c r="GE139" i="2"/>
  <c r="GE152" i="2"/>
  <c r="GE26" i="2"/>
  <c r="GE160" i="2"/>
  <c r="GE110" i="2"/>
  <c r="GE40" i="2"/>
  <c r="GE77" i="2"/>
  <c r="GE180" i="2"/>
  <c r="GE200" i="2"/>
  <c r="GE117" i="2"/>
  <c r="GE186" i="2"/>
  <c r="GE30" i="2"/>
  <c r="GE116" i="2"/>
  <c r="GE82" i="2"/>
  <c r="GE98" i="2"/>
  <c r="GE56" i="2"/>
  <c r="GE165" i="2"/>
  <c r="GE120" i="2"/>
  <c r="GE50" i="2"/>
  <c r="GE175" i="2"/>
  <c r="GE135" i="2"/>
  <c r="GE154" i="2"/>
  <c r="GE147" i="2"/>
  <c r="GE122" i="2"/>
  <c r="GE176" i="2"/>
  <c r="GE27" i="2"/>
  <c r="GE129" i="2"/>
  <c r="GE66" i="2"/>
  <c r="GE125" i="2"/>
  <c r="GE49" i="2"/>
  <c r="GE170" i="2"/>
  <c r="GE169" i="2"/>
  <c r="GE35" i="2"/>
  <c r="GE172" i="2"/>
  <c r="GE121" i="2"/>
  <c r="GE112" i="2"/>
  <c r="GE196" i="2"/>
  <c r="GE185" i="2"/>
  <c r="GE183" i="2"/>
  <c r="GE20" i="2"/>
  <c r="GE197" i="2"/>
  <c r="GE105" i="2"/>
  <c r="GE54" i="2"/>
  <c r="GE3" i="2"/>
  <c r="C14" i="4" s="1"/>
  <c r="E14" i="4" s="1"/>
  <c r="F14" i="4" s="1"/>
  <c r="G14" i="4" s="1"/>
  <c r="L14" i="4" s="1"/>
  <c r="GE145" i="2"/>
  <c r="GE144" i="2"/>
  <c r="GE148" i="2"/>
  <c r="GE80" i="2"/>
  <c r="GE73" i="2"/>
  <c r="GE70" i="2"/>
  <c r="GE142" i="2"/>
  <c r="GE46" i="2"/>
  <c r="GE143" i="2"/>
  <c r="GE188" i="2"/>
  <c r="GE113" i="2"/>
  <c r="GE61" i="2"/>
  <c r="GE7" i="2"/>
  <c r="GE83" i="2"/>
  <c r="GE4" i="2"/>
  <c r="GE192" i="2"/>
  <c r="GE109" i="2"/>
  <c r="GE29" i="2"/>
  <c r="GE195" i="2"/>
  <c r="GE52" i="2"/>
  <c r="GE15" i="2"/>
  <c r="GE88" i="2"/>
  <c r="GE5" i="2"/>
  <c r="GE187" i="2"/>
  <c r="GE101" i="2"/>
  <c r="GE53" i="2"/>
  <c r="GE171" i="2"/>
  <c r="GE124" i="2"/>
  <c r="GE99" i="2"/>
  <c r="GE87" i="2"/>
  <c r="GE136" i="2"/>
  <c r="GE179" i="2"/>
  <c r="GE151" i="2"/>
  <c r="GE159" i="2"/>
  <c r="GE158" i="2"/>
  <c r="GE51" i="2"/>
  <c r="GE43" i="2"/>
  <c r="GE57" i="2"/>
  <c r="GE23" i="2"/>
  <c r="GE96" i="2"/>
  <c r="GE58" i="2"/>
  <c r="GE193" i="2"/>
  <c r="GE90" i="2"/>
  <c r="GE16" i="2"/>
  <c r="GE13" i="2"/>
  <c r="GE177" i="2"/>
  <c r="GE48" i="2"/>
  <c r="GE184" i="2"/>
  <c r="GE132" i="2"/>
  <c r="GE37" i="2"/>
  <c r="GE85" i="2"/>
  <c r="GE62" i="2"/>
  <c r="GE41" i="2"/>
  <c r="GE36" i="2"/>
  <c r="GE55" i="2"/>
  <c r="GE189" i="2"/>
  <c r="GE138" i="2"/>
  <c r="GE114" i="2"/>
  <c r="GE156" i="2"/>
  <c r="GE115" i="2"/>
  <c r="GE131" i="2"/>
  <c r="GE97" i="2"/>
  <c r="GE18" i="2"/>
  <c r="GE81" i="2"/>
  <c r="GE9" i="2"/>
  <c r="GE155" i="2"/>
  <c r="GE149" i="2"/>
  <c r="GE33" i="2"/>
  <c r="GE102" i="2"/>
  <c r="GE72" i="2"/>
  <c r="GE108" i="2"/>
  <c r="GE28" i="2"/>
  <c r="GE133" i="2"/>
  <c r="GE93" i="2"/>
  <c r="GE67" i="2"/>
  <c r="GE47" i="2"/>
  <c r="GE79" i="2"/>
  <c r="GE78" i="2"/>
  <c r="GE182" i="2"/>
  <c r="GE137" i="2"/>
  <c r="GE130" i="2"/>
  <c r="GE100" i="2"/>
  <c r="GE119" i="2"/>
  <c r="GE31" i="2"/>
  <c r="GE157" i="2"/>
  <c r="GE95" i="2"/>
  <c r="GE166" i="2"/>
  <c r="GE201" i="2"/>
  <c r="GE123" i="2"/>
  <c r="GE17" i="2"/>
  <c r="GE191" i="2"/>
  <c r="GE25" i="2"/>
  <c r="GE134" i="2"/>
  <c r="GE12" i="2"/>
  <c r="GE128" i="2"/>
  <c r="GE178" i="2"/>
  <c r="GE8" i="2"/>
  <c r="GE104" i="2"/>
  <c r="GE141" i="2"/>
  <c r="GE107" i="2"/>
  <c r="GE202" i="2"/>
  <c r="GE199" i="2"/>
  <c r="GE198" i="2"/>
  <c r="GE74" i="2"/>
  <c r="GE203" i="2"/>
  <c r="GE22" i="2"/>
  <c r="GE190" i="2"/>
  <c r="GE14" i="2"/>
  <c r="GE39" i="2"/>
  <c r="GE111" i="2"/>
  <c r="GE173" i="2"/>
  <c r="GE140" i="2"/>
  <c r="GE181" i="2"/>
  <c r="GE34" i="2"/>
  <c r="GE161" i="2"/>
  <c r="GE19" i="2"/>
  <c r="GE162" i="2"/>
  <c r="GE76" i="2"/>
  <c r="GE89" i="2"/>
  <c r="GE84" i="2"/>
  <c r="GE65" i="2"/>
  <c r="GE150" i="2"/>
  <c r="GE146" i="2"/>
  <c r="GE103" i="2"/>
  <c r="GE21" i="2"/>
  <c r="GE60" i="2"/>
  <c r="GE63" i="2"/>
  <c r="GE174" i="2"/>
  <c r="GE32" i="2"/>
  <c r="GE163" i="2"/>
  <c r="GE59" i="2"/>
  <c r="GE118" i="2"/>
  <c r="GE45" i="2"/>
  <c r="GE164" i="2"/>
  <c r="GE86" i="2"/>
  <c r="GE24" i="2"/>
  <c r="GE64" i="2"/>
  <c r="GE38" i="2"/>
  <c r="GE91" i="2"/>
  <c r="GE194" i="2"/>
  <c r="GE126" i="2"/>
  <c r="GE106" i="2"/>
  <c r="GE94" i="2"/>
  <c r="FJ38" i="2"/>
  <c r="FJ147" i="2"/>
  <c r="FJ134" i="2"/>
  <c r="FJ110" i="2"/>
  <c r="FJ184" i="2"/>
  <c r="FJ68" i="2"/>
  <c r="FJ196" i="2"/>
  <c r="FJ74" i="2"/>
  <c r="FJ91" i="2"/>
  <c r="FJ203" i="2"/>
  <c r="FJ193" i="2"/>
  <c r="FJ111" i="2"/>
  <c r="FJ127" i="2"/>
  <c r="FJ133" i="2"/>
  <c r="FJ167" i="2"/>
  <c r="FJ191" i="2"/>
  <c r="FJ55" i="2"/>
  <c r="FJ113" i="2"/>
  <c r="FJ171" i="2"/>
  <c r="FJ18" i="2"/>
  <c r="FJ155" i="2"/>
  <c r="FJ60" i="2"/>
  <c r="FJ156" i="2"/>
  <c r="FJ70" i="2"/>
  <c r="FJ40" i="2"/>
  <c r="FJ9" i="2"/>
  <c r="FJ16" i="2"/>
  <c r="FJ194" i="2"/>
  <c r="FJ95" i="2"/>
  <c r="FJ63" i="2"/>
  <c r="FJ33" i="2"/>
  <c r="FJ154" i="2"/>
  <c r="FJ197" i="2"/>
  <c r="FJ126" i="2"/>
  <c r="FJ128" i="2"/>
  <c r="FJ132" i="2"/>
  <c r="FJ94" i="2"/>
  <c r="FJ67" i="2"/>
  <c r="FJ53" i="2"/>
  <c r="FJ10" i="2"/>
  <c r="FJ116" i="2"/>
  <c r="FJ46" i="2"/>
  <c r="FJ183" i="2"/>
  <c r="FJ58" i="2"/>
  <c r="FJ30" i="2"/>
  <c r="FJ45" i="2"/>
  <c r="FJ97" i="2"/>
  <c r="FJ80" i="2"/>
  <c r="FJ26" i="2"/>
  <c r="FJ92" i="2"/>
  <c r="FJ117" i="2"/>
  <c r="FJ32" i="2"/>
  <c r="FJ75" i="2"/>
  <c r="FJ146" i="2"/>
  <c r="FJ64" i="2"/>
  <c r="FJ189" i="2"/>
  <c r="FJ88" i="2"/>
  <c r="FJ76" i="2"/>
  <c r="FJ82" i="2"/>
  <c r="FJ23" i="2"/>
  <c r="FJ44" i="2"/>
  <c r="FJ178" i="2"/>
  <c r="FJ59" i="2"/>
  <c r="FJ125" i="2"/>
  <c r="FJ11" i="2"/>
  <c r="FJ180" i="2"/>
  <c r="FJ120" i="2"/>
  <c r="FJ66" i="2"/>
  <c r="FJ202" i="2"/>
  <c r="FJ187" i="2"/>
  <c r="FJ138" i="2"/>
  <c r="FJ6" i="2"/>
  <c r="FJ162" i="2"/>
  <c r="FJ36" i="2"/>
  <c r="FJ24" i="2"/>
  <c r="FJ139" i="2"/>
  <c r="FJ98" i="2"/>
  <c r="FJ25" i="2"/>
  <c r="FJ140" i="2"/>
  <c r="FJ47" i="2"/>
  <c r="FJ137" i="2"/>
  <c r="FJ42" i="2"/>
  <c r="FJ112" i="2"/>
  <c r="FJ159" i="2"/>
  <c r="FJ87" i="2"/>
  <c r="FJ179" i="2"/>
  <c r="FJ192" i="2"/>
  <c r="FJ166" i="2"/>
  <c r="FJ20" i="2"/>
  <c r="FJ174" i="2"/>
  <c r="FJ71" i="2"/>
  <c r="FJ83" i="2"/>
  <c r="FJ176" i="2"/>
  <c r="FJ54" i="2"/>
  <c r="FJ158" i="2"/>
  <c r="FJ62" i="2"/>
  <c r="FJ168" i="2"/>
  <c r="FJ31" i="2"/>
  <c r="FJ198" i="2"/>
  <c r="FJ188" i="2"/>
  <c r="FJ129" i="2"/>
  <c r="FJ65" i="2"/>
  <c r="FJ160" i="2"/>
  <c r="FJ72" i="2"/>
  <c r="FJ164" i="2"/>
  <c r="FJ109" i="2"/>
  <c r="FJ108" i="2"/>
  <c r="FJ201" i="2"/>
  <c r="FJ186" i="2"/>
  <c r="FJ8" i="2"/>
  <c r="FJ51" i="2"/>
  <c r="FJ157" i="2"/>
  <c r="FJ104" i="2"/>
  <c r="FJ170" i="2"/>
  <c r="FJ93" i="2"/>
  <c r="FJ86" i="2"/>
  <c r="FJ50" i="2"/>
  <c r="FJ136" i="2"/>
  <c r="FJ4" i="2"/>
  <c r="FJ149" i="2"/>
  <c r="FJ15" i="2"/>
  <c r="FJ41" i="2"/>
  <c r="FJ143" i="2"/>
  <c r="FJ22" i="2"/>
  <c r="FJ169" i="2"/>
  <c r="FJ182" i="2"/>
  <c r="FJ29" i="2"/>
  <c r="FJ102" i="2"/>
  <c r="FJ49" i="2"/>
  <c r="FJ61" i="2"/>
  <c r="FJ185" i="2"/>
  <c r="FJ100" i="2"/>
  <c r="FJ78" i="2"/>
  <c r="FJ101" i="2"/>
  <c r="FJ165" i="2"/>
  <c r="FJ79" i="2"/>
  <c r="FJ135" i="2"/>
  <c r="FJ69" i="2"/>
  <c r="FJ52" i="2"/>
  <c r="FJ81" i="2"/>
  <c r="FJ73" i="2"/>
  <c r="FJ89" i="2"/>
  <c r="FJ21" i="2"/>
  <c r="FJ43" i="2"/>
  <c r="FJ195" i="2"/>
  <c r="FJ96" i="2"/>
  <c r="FJ145" i="2"/>
  <c r="FJ27" i="2"/>
  <c r="FJ199" i="2"/>
  <c r="FJ118" i="2"/>
  <c r="FJ105" i="2"/>
  <c r="FJ106" i="2"/>
  <c r="FJ3" i="2"/>
  <c r="C13" i="4" s="1"/>
  <c r="E13" i="4" s="1"/>
  <c r="F13" i="4" s="1"/>
  <c r="G13" i="4" s="1"/>
  <c r="L13" i="4" s="1"/>
  <c r="FJ181" i="2"/>
  <c r="FJ85" i="2"/>
  <c r="FJ144" i="2"/>
  <c r="FJ172" i="2"/>
  <c r="FJ5" i="2"/>
  <c r="FJ150" i="2"/>
  <c r="FJ163" i="2"/>
  <c r="FJ130" i="2"/>
  <c r="FJ142" i="2"/>
  <c r="FJ37" i="2"/>
  <c r="FJ121" i="2"/>
  <c r="FJ7" i="2"/>
  <c r="FJ90" i="2"/>
  <c r="FJ13" i="2"/>
  <c r="FJ200" i="2"/>
  <c r="FJ177" i="2"/>
  <c r="FJ114" i="2"/>
  <c r="FJ119" i="2"/>
  <c r="FJ34" i="2"/>
  <c r="FJ107" i="2"/>
  <c r="FJ152" i="2"/>
  <c r="FJ103" i="2"/>
  <c r="FJ141" i="2"/>
  <c r="FJ124" i="2"/>
  <c r="FJ153" i="2"/>
  <c r="FJ151" i="2"/>
  <c r="FJ175" i="2"/>
  <c r="FJ190" i="2"/>
  <c r="FJ28" i="2"/>
  <c r="FJ173" i="2"/>
  <c r="FJ19" i="2"/>
  <c r="FJ48" i="2"/>
  <c r="FJ56" i="2"/>
  <c r="FJ148" i="2"/>
  <c r="FJ14" i="2"/>
  <c r="FJ99" i="2"/>
  <c r="FJ161" i="2"/>
  <c r="FJ77" i="2"/>
  <c r="FJ123" i="2"/>
  <c r="FJ122" i="2"/>
  <c r="FJ17" i="2"/>
  <c r="FJ39" i="2"/>
  <c r="FJ131" i="2"/>
  <c r="FJ35" i="2"/>
  <c r="FJ57" i="2"/>
  <c r="FJ84" i="2"/>
  <c r="FJ12" i="2"/>
  <c r="FJ115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80" i="2"/>
  <c r="DT45" i="2"/>
  <c r="DT184" i="2"/>
  <c r="DT185" i="2"/>
  <c r="DT150" i="2"/>
  <c r="DT11" i="2"/>
  <c r="DT129" i="2"/>
  <c r="DT31" i="2"/>
  <c r="DT192" i="2"/>
  <c r="DT140" i="2"/>
  <c r="DT72" i="2"/>
  <c r="DT175" i="2"/>
  <c r="DT99" i="2"/>
  <c r="DT169" i="2"/>
  <c r="DT38" i="2"/>
  <c r="DT139" i="2"/>
  <c r="DT90" i="2"/>
  <c r="DT136" i="2"/>
  <c r="DT42" i="2"/>
  <c r="DT125" i="2"/>
  <c r="DT17" i="2"/>
  <c r="DT62" i="2"/>
  <c r="DT58" i="2"/>
  <c r="DT44" i="2"/>
  <c r="DT94" i="2"/>
  <c r="DT91" i="2"/>
  <c r="DT122" i="2"/>
  <c r="DT101" i="2"/>
  <c r="DT61" i="2"/>
  <c r="DT168" i="2"/>
  <c r="DT7" i="2"/>
  <c r="DT133" i="2"/>
  <c r="DT128" i="2"/>
  <c r="DT70" i="2"/>
  <c r="DT10" i="2"/>
  <c r="DT120" i="2"/>
  <c r="DT114" i="2"/>
  <c r="DT102" i="2"/>
  <c r="DT40" i="2"/>
  <c r="DT196" i="2"/>
  <c r="DT180" i="2"/>
  <c r="DT54" i="2"/>
  <c r="DT199" i="2"/>
  <c r="DT197" i="2"/>
  <c r="DT67" i="2"/>
  <c r="DT29" i="2"/>
  <c r="DT179" i="2"/>
  <c r="DT127" i="2"/>
  <c r="DT165" i="2"/>
  <c r="DT176" i="2"/>
  <c r="DT111" i="2"/>
  <c r="DT202" i="2"/>
  <c r="DT103" i="2"/>
  <c r="DT74" i="2"/>
  <c r="DT4" i="2"/>
  <c r="DT57" i="2"/>
  <c r="DT21" i="2"/>
  <c r="DT138" i="2"/>
  <c r="DT5" i="2"/>
  <c r="DT88" i="2"/>
  <c r="DT153" i="2"/>
  <c r="DT146" i="2"/>
  <c r="DT161" i="2"/>
  <c r="DT8" i="2"/>
  <c r="DT188" i="2"/>
  <c r="DT152" i="2"/>
  <c r="DT104" i="2"/>
  <c r="DT117" i="2"/>
  <c r="DT171" i="2"/>
  <c r="DT15" i="2"/>
  <c r="DT173" i="2"/>
  <c r="DT95" i="2"/>
  <c r="DT178" i="2"/>
  <c r="DT82" i="2"/>
  <c r="DT64" i="2"/>
  <c r="DT92" i="2"/>
  <c r="DT164" i="2"/>
  <c r="DT53" i="2"/>
  <c r="DT132" i="2"/>
  <c r="DT36" i="2"/>
  <c r="DT35" i="2"/>
  <c r="DT190" i="2"/>
  <c r="DT12" i="2"/>
  <c r="DT113" i="2"/>
  <c r="DT55" i="2"/>
  <c r="DT48" i="2"/>
  <c r="DT193" i="2"/>
  <c r="DT41" i="2"/>
  <c r="DT198" i="2"/>
  <c r="DT85" i="2"/>
  <c r="DT130" i="2"/>
  <c r="DT163" i="2"/>
  <c r="DT118" i="2"/>
  <c r="DT43" i="2"/>
  <c r="DT115" i="2"/>
  <c r="DT148" i="2"/>
  <c r="DT16" i="2"/>
  <c r="DT124" i="2"/>
  <c r="DT59" i="2"/>
  <c r="DT23" i="2"/>
  <c r="DT147" i="2"/>
  <c r="DT126" i="2"/>
  <c r="DT142" i="2"/>
  <c r="DT27" i="2"/>
  <c r="DT56" i="2"/>
  <c r="DT183" i="2"/>
  <c r="DT14" i="2"/>
  <c r="DT76" i="2"/>
  <c r="DT68" i="2"/>
  <c r="DT46" i="2"/>
  <c r="DT186" i="2"/>
  <c r="DT75" i="2"/>
  <c r="DT112" i="2"/>
  <c r="DT135" i="2"/>
  <c r="DT194" i="2"/>
  <c r="DT187" i="2"/>
  <c r="DT108" i="2"/>
  <c r="DT167" i="2"/>
  <c r="DT52" i="2"/>
  <c r="DT22" i="2"/>
  <c r="DT119" i="2"/>
  <c r="DT93" i="2"/>
  <c r="DT39" i="2"/>
  <c r="DT26" i="2"/>
  <c r="DT60" i="2"/>
  <c r="DT154" i="2"/>
  <c r="DT191" i="2"/>
  <c r="DT105" i="2"/>
  <c r="DT172" i="2"/>
  <c r="DT20" i="2"/>
  <c r="DT87" i="2"/>
  <c r="DT83" i="2"/>
  <c r="DT25" i="2"/>
  <c r="DT24" i="2"/>
  <c r="DT33" i="2"/>
  <c r="DT34" i="2"/>
  <c r="DT131" i="2"/>
  <c r="DT195" i="2"/>
  <c r="DT47" i="2"/>
  <c r="DT71" i="2"/>
  <c r="DT123" i="2"/>
  <c r="DT141" i="2"/>
  <c r="DT37" i="2"/>
  <c r="DT19" i="2"/>
  <c r="DT203" i="2"/>
  <c r="DT30" i="2"/>
  <c r="DT79" i="2"/>
  <c r="DT78" i="2"/>
  <c r="DT159" i="2"/>
  <c r="DT96" i="2"/>
  <c r="DT109" i="2"/>
  <c r="DT66" i="2"/>
  <c r="DT89" i="2"/>
  <c r="DT177" i="2"/>
  <c r="DT107" i="2"/>
  <c r="DT3" i="2"/>
  <c r="C11" i="4" s="1"/>
  <c r="E11" i="4" s="1"/>
  <c r="F11" i="4" s="1"/>
  <c r="G11" i="4" s="1"/>
  <c r="L11" i="4" s="1"/>
  <c r="DT182" i="2"/>
  <c r="DT156" i="2"/>
  <c r="DT201" i="2"/>
  <c r="DT116" i="2"/>
  <c r="DT155" i="2"/>
  <c r="DT162" i="2"/>
  <c r="DT73" i="2"/>
  <c r="DT166" i="2"/>
  <c r="DT149" i="2"/>
  <c r="DT158" i="2"/>
  <c r="DT145" i="2"/>
  <c r="DT100" i="2"/>
  <c r="DT18" i="2"/>
  <c r="DT137" i="2"/>
  <c r="DT51" i="2"/>
  <c r="DT106" i="2"/>
  <c r="DT49" i="2"/>
  <c r="DT32" i="2"/>
  <c r="DT174" i="2"/>
  <c r="DT170" i="2"/>
  <c r="DT157" i="2"/>
  <c r="DT13" i="2"/>
  <c r="DT6" i="2"/>
  <c r="DT144" i="2"/>
  <c r="DT189" i="2"/>
  <c r="DT143" i="2"/>
  <c r="DT121" i="2"/>
  <c r="DT9" i="2"/>
  <c r="DT151" i="2"/>
  <c r="DT160" i="2"/>
  <c r="DT81" i="2"/>
  <c r="DT181" i="2"/>
  <c r="DT97" i="2"/>
  <c r="DT63" i="2"/>
  <c r="DT50" i="2"/>
  <c r="DT84" i="2"/>
  <c r="DT69" i="2"/>
  <c r="DT65" i="2"/>
  <c r="DT98" i="2"/>
  <c r="DT28" i="2"/>
  <c r="DT110" i="2"/>
  <c r="DT77" i="2"/>
  <c r="DT134" i="2"/>
  <c r="DT2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47" i="2" l="1"/>
  <c r="BI23" i="2"/>
  <c r="BI96" i="2"/>
  <c r="BI154" i="2"/>
  <c r="BI72" i="2"/>
  <c r="BI59" i="2"/>
  <c r="BI77" i="2"/>
  <c r="BI199" i="2"/>
  <c r="BI94" i="2"/>
  <c r="BI89" i="2"/>
  <c r="BI117" i="2"/>
  <c r="BI177" i="2"/>
  <c r="BI57" i="2"/>
  <c r="BI29" i="2"/>
  <c r="BI74" i="2"/>
  <c r="BI115" i="2"/>
  <c r="BI168" i="2"/>
  <c r="BI93" i="2"/>
  <c r="BI173" i="2"/>
  <c r="BI106" i="2"/>
  <c r="BI79" i="2"/>
  <c r="BI42" i="2"/>
  <c r="BI19" i="2"/>
  <c r="BI164" i="2"/>
  <c r="BI113" i="2"/>
  <c r="BI13" i="2"/>
  <c r="BI116" i="2"/>
  <c r="BI6" i="2"/>
  <c r="BI174" i="2"/>
  <c r="BI92" i="2"/>
  <c r="BI194" i="2"/>
  <c r="BI66" i="2"/>
  <c r="BI114" i="2"/>
  <c r="BI5" i="2"/>
  <c r="BI85" i="2"/>
  <c r="BI170" i="2"/>
  <c r="BI189" i="2"/>
  <c r="BI133" i="2"/>
  <c r="BI165" i="2"/>
  <c r="BI44" i="2"/>
  <c r="BI86" i="2"/>
  <c r="BI143" i="2"/>
  <c r="BI35" i="2"/>
  <c r="BI46" i="2"/>
  <c r="BI10" i="2"/>
  <c r="BI11" i="2"/>
  <c r="BI138" i="2"/>
  <c r="BI112" i="2"/>
  <c r="BI53" i="2"/>
  <c r="BI51" i="2"/>
  <c r="BI109" i="2"/>
  <c r="BI39" i="2"/>
  <c r="BI134" i="2"/>
  <c r="BI127" i="2"/>
  <c r="BI178" i="2"/>
  <c r="BI65" i="2"/>
  <c r="BI24" i="2"/>
  <c r="BI97" i="2"/>
  <c r="BI122" i="2"/>
  <c r="BI82" i="2"/>
  <c r="BI197" i="2"/>
  <c r="BI95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28" i="2"/>
  <c r="BI131" i="2"/>
  <c r="BI21" i="2"/>
  <c r="BI172" i="2"/>
  <c r="BI101" i="2"/>
  <c r="BI7" i="2"/>
  <c r="BI195" i="2"/>
  <c r="BI156" i="2"/>
  <c r="BI34" i="2"/>
  <c r="BI90" i="2"/>
  <c r="BI60" i="2"/>
  <c r="BI107" i="2"/>
  <c r="BI16" i="2"/>
  <c r="BI26" i="2"/>
  <c r="BI142" i="2"/>
  <c r="BI27" i="2"/>
  <c r="BI151" i="2"/>
  <c r="BI20" i="2"/>
  <c r="BI139" i="2"/>
  <c r="BI126" i="2"/>
  <c r="BI36" i="2"/>
  <c r="BI70" i="2"/>
  <c r="BI180" i="2"/>
  <c r="BI145" i="2"/>
  <c r="BI184" i="2"/>
  <c r="BI98" i="2"/>
  <c r="BI84" i="2"/>
  <c r="BI118" i="2"/>
  <c r="BI159" i="2"/>
  <c r="BI37" i="2"/>
  <c r="BI160" i="2"/>
  <c r="BI192" i="2"/>
  <c r="BI146" i="2"/>
  <c r="BI186" i="2"/>
  <c r="BI78" i="2"/>
  <c r="BI124" i="2"/>
  <c r="BI50" i="2"/>
  <c r="BI166" i="2"/>
  <c r="BI155" i="2"/>
  <c r="BI130" i="2"/>
  <c r="BI162" i="2"/>
  <c r="BI179" i="2"/>
  <c r="BI161" i="2"/>
  <c r="BI62" i="2"/>
  <c r="BI103" i="2"/>
  <c r="BI171" i="2"/>
  <c r="BI193" i="2"/>
  <c r="BI163" i="2"/>
  <c r="BI41" i="2"/>
  <c r="BI123" i="2"/>
  <c r="BI63" i="2"/>
  <c r="BI38" i="2"/>
  <c r="BI202" i="2"/>
  <c r="BI125" i="2"/>
  <c r="BI67" i="2"/>
  <c r="BI140" i="2"/>
  <c r="BI137" i="2"/>
  <c r="BI157" i="2"/>
  <c r="BI4" i="2"/>
  <c r="BI88" i="2"/>
  <c r="BI148" i="2"/>
  <c r="BI150" i="2"/>
  <c r="BI201" i="2"/>
  <c r="BI25" i="2"/>
  <c r="BI187" i="2"/>
  <c r="BI64" i="2"/>
  <c r="BI30" i="2"/>
  <c r="BI119" i="2"/>
  <c r="BI61" i="2"/>
  <c r="BI141" i="2"/>
  <c r="BI55" i="2"/>
  <c r="BI167" i="2"/>
  <c r="BI176" i="2"/>
  <c r="BI80" i="2"/>
  <c r="BI152" i="2"/>
  <c r="BI52" i="2"/>
  <c r="BI104" i="2"/>
  <c r="BI31" i="2"/>
  <c r="BI190" i="2"/>
  <c r="BI169" i="2"/>
  <c r="BI69" i="2"/>
  <c r="BI8" i="2"/>
  <c r="BI147" i="2"/>
  <c r="BI87" i="2"/>
  <c r="BI14" i="2"/>
  <c r="BI33" i="2"/>
  <c r="BI91" i="2"/>
  <c r="BI100" i="2"/>
  <c r="BI153" i="2"/>
  <c r="BI158" i="2"/>
  <c r="BI12" i="2"/>
  <c r="BI48" i="2"/>
  <c r="BI182" i="2"/>
  <c r="BI175" i="2"/>
  <c r="BI17" i="2"/>
  <c r="BI15" i="2"/>
  <c r="BI136" i="2"/>
  <c r="BI22" i="2"/>
  <c r="BI9" i="2"/>
  <c r="BI183" i="2"/>
  <c r="BI102" i="2"/>
  <c r="BI132" i="2"/>
  <c r="BI129" i="2"/>
  <c r="BI83" i="2"/>
  <c r="BI198" i="2"/>
  <c r="BI105" i="2"/>
  <c r="BI135" i="2"/>
  <c r="BI68" i="2"/>
  <c r="BI188" i="2"/>
  <c r="BI144" i="2"/>
  <c r="BI81" i="2"/>
  <c r="BI108" i="2"/>
  <c r="BI191" i="2"/>
  <c r="BI18" i="2"/>
  <c r="BI73" i="2"/>
  <c r="BI121" i="2"/>
  <c r="BI49" i="2"/>
  <c r="BI58" i="2"/>
  <c r="BI196" i="2"/>
  <c r="BI110" i="2"/>
  <c r="BI75" i="2"/>
  <c r="BI149" i="2"/>
  <c r="BI32" i="2"/>
  <c r="BI40" i="2"/>
  <c r="BI76" i="2"/>
  <c r="BI71" i="2"/>
  <c r="BI45" i="2"/>
  <c r="BI203" i="2"/>
  <c r="BI111" i="2"/>
  <c r="BI200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<sst xmlns="http://schemas.openxmlformats.org/spreadsheetml/2006/main" count="1177" uniqueCount="324">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</sst>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130.9996843870928</c:v>
                </c:pt>
                <c:pt idx="42">
                  <c:v>143.06396434462246</c:v>
                </c:pt>
                <c:pt idx="43">
                  <c:v>155.10387529798155</c:v>
                </c:pt>
                <c:pt idx="44">
                  <c:v>167.12157714245117</c:v>
                </c:pt>
                <c:pt idx="45">
                  <c:v>179.11889326533353</c:v>
                </c:pt>
                <c:pt idx="46">
                  <c:v>191.09738250494559</c:v>
                </c:pt>
                <c:pt idx="47">
                  <c:v>203.0583920770645</c:v>
                </c:pt>
                <c:pt idx="48">
                  <c:v>215.00309735126984</c:v>
                </c:pt>
                <c:pt idx="49">
                  <c:v>226.93253230895496</c:v>
                </c:pt>
                <c:pt idx="50">
                  <c:v>238.8476132513712</c:v>
                </c:pt>
                <c:pt idx="51">
                  <c:v>188.39077675130127</c:v>
                </c:pt>
                <c:pt idx="52">
                  <c:v>198.17201274884749</c:v>
                </c:pt>
                <c:pt idx="53">
                  <c:v>207.94204969306145</c:v>
                </c:pt>
                <c:pt idx="54">
                  <c:v>217.70148844792857</c:v>
                </c:pt>
                <c:pt idx="55">
                  <c:v>227.45087154547321</c:v>
                </c:pt>
                <c:pt idx="56">
                  <c:v>237.19069116103324</c:v>
                </c:pt>
                <c:pt idx="57">
                  <c:v>246.92139570839663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276.06275617767659</c:v>
                </c:pt>
                <c:pt idx="61">
                  <c:v>227.13987125384517</c:v>
                </c:pt>
                <c:pt idx="62">
                  <c:v>238.22629827083418</c:v>
                </c:pt>
                <c:pt idx="63">
                  <c:v>249.30097227010035</c:v>
                </c:pt>
                <c:pt idx="64">
                  <c:v>260.36448926638059</c:v>
                </c:pt>
                <c:pt idx="65">
                  <c:v>271.41739044940789</c:v>
                </c:pt>
                <c:pt idx="66">
                  <c:v>282.46016930254592</c:v>
                </c:pt>
                <c:pt idx="67">
                  <c:v>293.49327754906761</c:v>
                </c:pt>
                <c:pt idx="68">
                  <c:v>304.51713015687432</c:v>
                </c:pt>
                <c:pt idx="69">
                  <c:v>315.53210958013779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285.96704456474032</c:v>
                </c:pt>
                <c:pt idx="73">
                  <c:v>297.61540606446539</c:v>
                </c:pt>
                <c:pt idx="74">
                  <c:v>309.25360794571606</c:v>
                </c:pt>
                <c:pt idx="75">
                  <c:v>320.88208658053622</c:v>
                </c:pt>
                <c:pt idx="76">
                  <c:v>332.50124411840176</c:v>
                </c:pt>
                <c:pt idx="77">
                  <c:v>344.11145229783091</c:v>
                </c:pt>
                <c:pt idx="78">
                  <c:v>355.7130557164939</c:v>
                </c:pt>
                <c:pt idx="79">
                  <c:v>367.30637465226459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367.81916674611398</c:v>
                </c:pt>
                <c:pt idx="85">
                  <c:v>379.91658305220102</c:v>
                </c:pt>
                <c:pt idx="86">
                  <c:v>392.00562055799736</c:v>
                </c:pt>
                <c:pt idx="87">
                  <c:v>404.08657410806745</c:v>
                </c:pt>
                <c:pt idx="88">
                  <c:v>416.15971947620778</c:v>
                </c:pt>
                <c:pt idx="89">
                  <c:v>428.22531512817221</c:v>
                </c:pt>
                <c:pt idx="90">
                  <c:v>440.28360377535745</c:v>
                </c:pt>
                <c:pt idx="91">
                  <c:v>402.1418702223703</c:v>
                </c:pt>
                <c:pt idx="92">
                  <c:v>415.13686787099647</c:v>
                </c:pt>
                <c:pt idx="93">
                  <c:v>428.12309534936958</c:v>
                </c:pt>
                <c:pt idx="94">
                  <c:v>441.10085615785647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492.93266217694423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487.22484042893842</c:v>
                </c:pt>
                <c:pt idx="102">
                  <c:v>501.49177357540179</c:v>
                </c:pt>
                <c:pt idx="103">
                  <c:v>515.75011953425008</c:v>
                </c:pt>
                <c:pt idx="104">
                  <c:v>530.00014907281741</c:v>
                </c:pt>
                <c:pt idx="105">
                  <c:v>544.24211721589973</c:v>
                </c:pt>
                <c:pt idx="106">
                  <c:v>558.4762645576136</c:v>
                </c:pt>
                <c:pt idx="107">
                  <c:v>572.70281843260398</c:v>
                </c:pt>
                <c:pt idx="108">
                  <c:v>586.92199396486899</c:v>
                </c:pt>
                <c:pt idx="109">
                  <c:v>601.13399500970036</c:v>
                </c:pt>
                <c:pt idx="110">
                  <c:v>615.33901500195918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77312"/>
        <c:axId val="278082208"/>
      </c:scatterChart>
      <c:valAx>
        <c:axId val="278077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82208"/>
        <c:crosses val="autoZero"/>
        <c:crossBetween val="midCat"/>
      </c:valAx>
      <c:valAx>
        <c:axId val="27808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77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943408"/>
        <c:axId val="2138935616"/>
      </c:scatterChart>
      <c:valAx>
        <c:axId val="22394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8935616"/>
        <c:crosses val="autoZero"/>
        <c:crossBetween val="midCat"/>
      </c:valAx>
      <c:valAx>
        <c:axId val="213893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394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1.8657311255390123</c:v>
                </c:pt>
                <c:pt idx="2">
                  <c:v>2.2444369493147502</c:v>
                </c:pt>
                <c:pt idx="3">
                  <c:v>2.7003052100180258</c:v>
                </c:pt>
                <c:pt idx="4">
                  <c:v>3.2491144211917753</c:v>
                </c:pt>
                <c:pt idx="5">
                  <c:v>3.909880393761179</c:v>
                </c:pt>
                <c:pt idx="6">
                  <c:v>4.7055225101143057</c:v>
                </c:pt>
                <c:pt idx="7">
                  <c:v>5.6636675207308</c:v>
                </c:pt>
                <c:pt idx="8">
                  <c:v>6.8176193239321679</c:v>
                </c:pt>
                <c:pt idx="9">
                  <c:v>8.2075290935528908</c:v>
                </c:pt>
                <c:pt idx="10">
                  <c:v>9.8818072510996942</c:v>
                </c:pt>
                <c:pt idx="11">
                  <c:v>11.89882739400254</c:v>
                </c:pt>
                <c:pt idx="12">
                  <c:v>14.328982698959813</c:v>
                </c:pt>
                <c:pt idx="13">
                  <c:v>17.257167892761622</c:v>
                </c:pt>
                <c:pt idx="14">
                  <c:v>20.78577507397539</c:v>
                </c:pt>
                <c:pt idx="15">
                  <c:v>25.038310023465428</c:v>
                </c:pt>
                <c:pt idx="16">
                  <c:v>30.163757819928311</c:v>
                </c:pt>
                <c:pt idx="17">
                  <c:v>36.341853376424055</c:v>
                </c:pt>
                <c:pt idx="18">
                  <c:v>43.789444900038347</c:v>
                </c:pt>
                <c:pt idx="19">
                  <c:v>52.7681774158035</c:v>
                </c:pt>
                <c:pt idx="20">
                  <c:v>63.593770798274043</c:v>
                </c:pt>
                <c:pt idx="21">
                  <c:v>76.647223925169385</c:v>
                </c:pt>
                <c:pt idx="22">
                  <c:v>92.388345669585405</c:v>
                </c:pt>
                <c:pt idx="23">
                  <c:v>111.37209697436424</c:v>
                </c:pt>
                <c:pt idx="24">
                  <c:v>134.26832922028481</c:v>
                </c:pt>
                <c:pt idx="25">
                  <c:v>161.88562615625563</c:v>
                </c:pt>
                <c:pt idx="26">
                  <c:v>108.67947549487685</c:v>
                </c:pt>
                <c:pt idx="27">
                  <c:v>122.65426511689581</c:v>
                </c:pt>
                <c:pt idx="28">
                  <c:v>136.59032071725215</c:v>
                </c:pt>
                <c:pt idx="29">
                  <c:v>150.49215555311253</c:v>
                </c:pt>
                <c:pt idx="30">
                  <c:v>164.36337889956897</c:v>
                </c:pt>
                <c:pt idx="31">
                  <c:v>178.20494587049106</c:v>
                </c:pt>
                <c:pt idx="32">
                  <c:v>192.02131026541755</c:v>
                </c:pt>
                <c:pt idx="33">
                  <c:v>149.72333414940726</c:v>
                </c:pt>
                <c:pt idx="34">
                  <c:v>163.99091638495256</c:v>
                </c:pt>
                <c:pt idx="35">
                  <c:v>178.2291590428481</c:v>
                </c:pt>
                <c:pt idx="36">
                  <c:v>192.44073741799198</c:v>
                </c:pt>
                <c:pt idx="37">
                  <c:v>206.6278988890775</c:v>
                </c:pt>
                <c:pt idx="38">
                  <c:v>220.79255669549369</c:v>
                </c:pt>
                <c:pt idx="39">
                  <c:v>234.9363583350997</c:v>
                </c:pt>
                <c:pt idx="40">
                  <c:v>249.06073659797309</c:v>
                </c:pt>
                <c:pt idx="41">
                  <c:v>198.54777024138548</c:v>
                </c:pt>
                <c:pt idx="42">
                  <c:v>210.36442078522907</c:v>
                </c:pt>
                <c:pt idx="43">
                  <c:v>223.70560827473855</c:v>
                </c:pt>
                <c:pt idx="44">
                  <c:v>237.02855872976511</c:v>
                </c:pt>
                <c:pt idx="45">
                  <c:v>250.33444199241418</c:v>
                </c:pt>
                <c:pt idx="46">
                  <c:v>263.62429331372527</c:v>
                </c:pt>
                <c:pt idx="47">
                  <c:v>276.8990349884383</c:v>
                </c:pt>
                <c:pt idx="48">
                  <c:v>290.15949361983763</c:v>
                </c:pt>
                <c:pt idx="49">
                  <c:v>303.40641406080334</c:v>
                </c:pt>
                <c:pt idx="50">
                  <c:v>316.64047079111396</c:v>
                </c:pt>
                <c:pt idx="51">
                  <c:v>256.7146224069283</c:v>
                </c:pt>
                <c:pt idx="52">
                  <c:v>268.19619912778228</c:v>
                </c:pt>
                <c:pt idx="53">
                  <c:v>279.6667089960107</c:v>
                </c:pt>
                <c:pt idx="54">
                  <c:v>291.12667010921308</c:v>
                </c:pt>
                <c:pt idx="55">
                  <c:v>302.57655642348499</c:v>
                </c:pt>
                <c:pt idx="56">
                  <c:v>314.01680307817338</c:v>
                </c:pt>
                <c:pt idx="57">
                  <c:v>325.44781090364035</c:v>
                </c:pt>
                <c:pt idx="58">
                  <c:v>336.86995026227117</c:v>
                </c:pt>
                <c:pt idx="59">
                  <c:v>348.28356434107974</c:v>
                </c:pt>
                <c:pt idx="60">
                  <c:v>359.68897198998167</c:v>
                </c:pt>
                <c:pt idx="61">
                  <c:v>305.5480509722442</c:v>
                </c:pt>
                <c:pt idx="62">
                  <c:v>315.41431572975131</c:v>
                </c:pt>
                <c:pt idx="63">
                  <c:v>325.27374213915135</c:v>
                </c:pt>
                <c:pt idx="64">
                  <c:v>335.12656682526244</c:v>
                </c:pt>
                <c:pt idx="65">
                  <c:v>344.97301135541812</c:v>
                </c:pt>
                <c:pt idx="66">
                  <c:v>354.8132836093784</c:v>
                </c:pt>
                <c:pt idx="67">
                  <c:v>364.64757898926518</c:v>
                </c:pt>
                <c:pt idx="68">
                  <c:v>374.4760814921047</c:v>
                </c:pt>
                <c:pt idx="69">
                  <c:v>384.29896466384781</c:v>
                </c:pt>
                <c:pt idx="70">
                  <c:v>394.11639245072729</c:v>
                </c:pt>
                <c:pt idx="71">
                  <c:v>332.88562249920523</c:v>
                </c:pt>
                <c:pt idx="72">
                  <c:v>340.81394308562659</c:v>
                </c:pt>
                <c:pt idx="73">
                  <c:v>348.73820795545868</c:v>
                </c:pt>
                <c:pt idx="74">
                  <c:v>356.65852233773853</c:v>
                </c:pt>
                <c:pt idx="75">
                  <c:v>364.57498640280323</c:v>
                </c:pt>
                <c:pt idx="76">
                  <c:v>372.48769561245859</c:v>
                </c:pt>
                <c:pt idx="77">
                  <c:v>380.39674103882379</c:v>
                </c:pt>
                <c:pt idx="78">
                  <c:v>388.30220965526092</c:v>
                </c:pt>
                <c:pt idx="79">
                  <c:v>396.2041846023663</c:v>
                </c:pt>
                <c:pt idx="80">
                  <c:v>404.10274543162222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78944"/>
        <c:axId val="278083296"/>
      </c:scatterChart>
      <c:valAx>
        <c:axId val="278078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83296"/>
        <c:crosses val="autoZero"/>
        <c:crossBetween val="midCat"/>
      </c:valAx>
      <c:valAx>
        <c:axId val="27808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78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3.2260498818756318</c:v>
                </c:pt>
                <c:pt idx="2">
                  <c:v>3.9203929124247168</c:v>
                </c:pt>
                <c:pt idx="3">
                  <c:v>4.764737926368241</c:v>
                </c:pt>
                <c:pt idx="4">
                  <c:v>5.7916041991727143</c:v>
                </c:pt>
                <c:pt idx="5">
                  <c:v>7.0405839917738939</c:v>
                </c:pt>
                <c:pt idx="6">
                  <c:v>8.5598855941183238</c:v>
                </c:pt>
                <c:pt idx="7">
                  <c:v>10.408213938002147</c:v>
                </c:pt>
                <c:pt idx="8">
                  <c:v>12.65706281725315</c:v>
                </c:pt>
                <c:pt idx="9">
                  <c:v>15.393509029597984</c:v>
                </c:pt>
                <c:pt idx="10">
                  <c:v>18.723618616525318</c:v>
                </c:pt>
                <c:pt idx="11">
                  <c:v>22.776599616526198</c:v>
                </c:pt>
                <c:pt idx="12">
                  <c:v>27.709865329675662</c:v>
                </c:pt>
                <c:pt idx="13">
                  <c:v>33.715208197755409</c:v>
                </c:pt>
                <c:pt idx="14">
                  <c:v>41.026328475217795</c:v>
                </c:pt>
                <c:pt idx="15">
                  <c:v>49.928015662374008</c:v>
                </c:pt>
                <c:pt idx="16">
                  <c:v>60.767346342953552</c:v>
                </c:pt>
                <c:pt idx="17">
                  <c:v>73.967342239250044</c:v>
                </c:pt>
                <c:pt idx="18">
                  <c:v>90.043630176511144</c:v>
                </c:pt>
                <c:pt idx="19">
                  <c:v>109.62476515148852</c:v>
                </c:pt>
                <c:pt idx="20">
                  <c:v>133.47702361352444</c:v>
                </c:pt>
                <c:pt idx="21">
                  <c:v>150.33199216939715</c:v>
                </c:pt>
                <c:pt idx="22">
                  <c:v>167.14189486887159</c:v>
                </c:pt>
                <c:pt idx="23">
                  <c:v>183.91190536734669</c:v>
                </c:pt>
                <c:pt idx="24">
                  <c:v>200.6461749487828</c:v>
                </c:pt>
                <c:pt idx="25">
                  <c:v>217.34810492356112</c:v>
                </c:pt>
                <c:pt idx="26">
                  <c:v>198.83867908985766</c:v>
                </c:pt>
                <c:pt idx="27">
                  <c:v>216.44607557160029</c:v>
                </c:pt>
                <c:pt idx="28">
                  <c:v>234.02053062563994</c:v>
                </c:pt>
                <c:pt idx="29">
                  <c:v>251.56486631652947</c:v>
                </c:pt>
                <c:pt idx="30">
                  <c:v>269.08147871224452</c:v>
                </c:pt>
                <c:pt idx="31">
                  <c:v>287.02059107494568</c:v>
                </c:pt>
                <c:pt idx="32">
                  <c:v>304.93462902643472</c:v>
                </c:pt>
                <c:pt idx="33">
                  <c:v>322.82527256570938</c:v>
                </c:pt>
                <c:pt idx="34">
                  <c:v>340.6940002860228</c:v>
                </c:pt>
                <c:pt idx="35">
                  <c:v>358.54212303817758</c:v>
                </c:pt>
                <c:pt idx="36">
                  <c:v>322.82527256570938</c:v>
                </c:pt>
                <c:pt idx="37">
                  <c:v>340.6940002860228</c:v>
                </c:pt>
                <c:pt idx="38">
                  <c:v>358.54212303817758</c:v>
                </c:pt>
                <c:pt idx="39">
                  <c:v>376.37081053726507</c:v>
                </c:pt>
                <c:pt idx="40">
                  <c:v>394.18111266295523</c:v>
                </c:pt>
                <c:pt idx="41">
                  <c:v>411.0847340735815</c:v>
                </c:pt>
                <c:pt idx="42">
                  <c:v>427.97335623935788</c:v>
                </c:pt>
                <c:pt idx="43">
                  <c:v>444.84765415992871</c:v>
                </c:pt>
                <c:pt idx="44">
                  <c:v>461.70824746740806</c:v>
                </c:pt>
                <c:pt idx="45">
                  <c:v>478.5557068657443</c:v>
                </c:pt>
                <c:pt idx="46">
                  <c:v>432.41532351185759</c:v>
                </c:pt>
                <c:pt idx="47">
                  <c:v>448.3983718063767</c:v>
                </c:pt>
                <c:pt idx="48">
                  <c:v>464.3692317870125</c:v>
                </c:pt>
                <c:pt idx="49">
                  <c:v>480.3283815148838</c:v>
                </c:pt>
                <c:pt idx="50">
                  <c:v>496.2762647045397</c:v>
                </c:pt>
                <c:pt idx="51">
                  <c:v>511.77074205369485</c:v>
                </c:pt>
                <c:pt idx="52">
                  <c:v>527.25531469060411</c:v>
                </c:pt>
                <c:pt idx="53">
                  <c:v>542.7303143394812</c:v>
                </c:pt>
                <c:pt idx="54">
                  <c:v>558.19605227369823</c:v>
                </c:pt>
                <c:pt idx="55">
                  <c:v>573.65282111998738</c:v>
                </c:pt>
                <c:pt idx="56">
                  <c:v>521.9474130656539</c:v>
                </c:pt>
                <c:pt idx="57">
                  <c:v>536.54144288093744</c:v>
                </c:pt>
                <c:pt idx="58">
                  <c:v>551.12713076815669</c:v>
                </c:pt>
                <c:pt idx="59">
                  <c:v>565.70472850651879</c:v>
                </c:pt>
                <c:pt idx="60">
                  <c:v>580.27447384667278</c:v>
                </c:pt>
                <c:pt idx="61">
                  <c:v>593.95425219477568</c:v>
                </c:pt>
                <c:pt idx="62">
                  <c:v>607.62747642786121</c:v>
                </c:pt>
                <c:pt idx="63">
                  <c:v>621.29431474512023</c:v>
                </c:pt>
                <c:pt idx="64">
                  <c:v>634.95492734600441</c:v>
                </c:pt>
                <c:pt idx="65">
                  <c:v>648.6094669782068</c:v>
                </c:pt>
                <c:pt idx="66">
                  <c:v>595.71890383853497</c:v>
                </c:pt>
                <c:pt idx="67">
                  <c:v>608.95035015881115</c:v>
                </c:pt>
                <c:pt idx="68">
                  <c:v>622.17583079004851</c:v>
                </c:pt>
                <c:pt idx="69">
                  <c:v>635.39549035690527</c:v>
                </c:pt>
                <c:pt idx="70">
                  <c:v>648.6094669782068</c:v>
                </c:pt>
                <c:pt idx="71">
                  <c:v>660.49729626522878</c:v>
                </c:pt>
                <c:pt idx="72">
                  <c:v>672.38072168310839</c:v>
                </c:pt>
                <c:pt idx="73">
                  <c:v>684.25983200023813</c:v>
                </c:pt>
                <c:pt idx="74">
                  <c:v>696.13471265297073</c:v>
                </c:pt>
                <c:pt idx="75">
                  <c:v>708.00544592658582</c:v>
                </c:pt>
                <c:pt idx="76">
                  <c:v>657.85594019789096</c:v>
                </c:pt>
                <c:pt idx="77">
                  <c:v>669.30025147410311</c:v>
                </c:pt>
                <c:pt idx="78">
                  <c:v>680.74054034932317</c:v>
                </c:pt>
                <c:pt idx="79">
                  <c:v>692.17688392249318</c:v>
                </c:pt>
                <c:pt idx="80">
                  <c:v>703.60935653822582</c:v>
                </c:pt>
                <c:pt idx="81">
                  <c:v>714.59853497518952</c:v>
                </c:pt>
                <c:pt idx="82">
                  <c:v>725.58426243648739</c:v>
                </c:pt>
                <c:pt idx="83">
                  <c:v>736.56659851205688</c:v>
                </c:pt>
                <c:pt idx="84">
                  <c:v>747.5456008708162</c:v>
                </c:pt>
                <c:pt idx="85">
                  <c:v>758.52132535048815</c:v>
                </c:pt>
                <c:pt idx="86">
                  <c:v>709.32416375187483</c:v>
                </c:pt>
                <c:pt idx="87">
                  <c:v>719.43267664904681</c:v>
                </c:pt>
                <c:pt idx="88">
                  <c:v>729.53829105942748</c:v>
                </c:pt>
                <c:pt idx="89">
                  <c:v>739.64105277656199</c:v>
                </c:pt>
                <c:pt idx="90">
                  <c:v>749.74100624153186</c:v>
                </c:pt>
                <c:pt idx="91">
                  <c:v>759.83819460096572</c:v>
                </c:pt>
                <c:pt idx="92">
                  <c:v>769.93265976180419</c:v>
                </c:pt>
                <c:pt idx="93">
                  <c:v>780.02444244304934</c:v>
                </c:pt>
                <c:pt idx="94">
                  <c:v>790.11358222469551</c:v>
                </c:pt>
                <c:pt idx="95">
                  <c:v>800.20011759403326</c:v>
                </c:pt>
                <c:pt idx="96">
                  <c:v>752.37532023848587</c:v>
                </c:pt>
                <c:pt idx="97">
                  <c:v>761.59394821713602</c:v>
                </c:pt>
                <c:pt idx="98">
                  <c:v>770.81031199277584</c:v>
                </c:pt>
                <c:pt idx="99">
                  <c:v>780.02444244304934</c:v>
                </c:pt>
                <c:pt idx="100">
                  <c:v>789.23636965694334</c:v>
                </c:pt>
                <c:pt idx="101">
                  <c:v>797.78835492222549</c:v>
                </c:pt>
                <c:pt idx="102">
                  <c:v>806.33848867222935</c:v>
                </c:pt>
                <c:pt idx="103">
                  <c:v>814.88679329899833</c:v>
                </c:pt>
                <c:pt idx="104">
                  <c:v>823.43329068668925</c:v>
                </c:pt>
                <c:pt idx="105">
                  <c:v>831.97800222835531</c:v>
                </c:pt>
                <c:pt idx="106">
                  <c:v>840.5209488420054</c:v>
                </c:pt>
                <c:pt idx="107">
                  <c:v>849.06215098597534</c:v>
                </c:pt>
                <c:pt idx="108">
                  <c:v>857.60162867364886</c:v>
                </c:pt>
                <c:pt idx="109">
                  <c:v>866.1394014875633</c:v>
                </c:pt>
                <c:pt idx="110">
                  <c:v>874.67548859293163</c:v>
                </c:pt>
                <c:pt idx="111">
                  <c:v>808.09213545300292</c:v>
                </c:pt>
                <c:pt idx="112">
                  <c:v>815.98259863419435</c:v>
                </c:pt>
                <c:pt idx="113">
                  <c:v>823.87152428456784</c:v>
                </c:pt>
                <c:pt idx="114">
                  <c:v>831.75892919606849</c:v>
                </c:pt>
                <c:pt idx="115">
                  <c:v>839.64482981634194</c:v>
                </c:pt>
                <c:pt idx="116">
                  <c:v>847.529242259032</c:v>
                </c:pt>
                <c:pt idx="117">
                  <c:v>855.41218231367247</c:v>
                </c:pt>
                <c:pt idx="118">
                  <c:v>863.29366545519645</c:v>
                </c:pt>
                <c:pt idx="119">
                  <c:v>871.17370685307969</c:v>
                </c:pt>
                <c:pt idx="120">
                  <c:v>879.05232138013741</c:v>
                </c:pt>
                <c:pt idx="121">
                  <c:v>886.05434822294262</c:v>
                </c:pt>
                <c:pt idx="122">
                  <c:v>893.05526924635308</c:v>
                </c:pt>
                <c:pt idx="123">
                  <c:v>900.05509433710165</c:v>
                </c:pt>
                <c:pt idx="124">
                  <c:v>907.05383321567933</c:v>
                </c:pt>
                <c:pt idx="125">
                  <c:v>914.05149544041899</c:v>
                </c:pt>
                <c:pt idx="126">
                  <c:v>921.04809041144836</c:v>
                </c:pt>
                <c:pt idx="127">
                  <c:v>928.04362737451481</c:v>
                </c:pt>
                <c:pt idx="128">
                  <c:v>935.03811542469111</c:v>
                </c:pt>
                <c:pt idx="129">
                  <c:v>942.03156350996278</c:v>
                </c:pt>
                <c:pt idx="130">
                  <c:v>949.02398043470532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69152"/>
        <c:axId val="278077856"/>
      </c:scatterChart>
      <c:valAx>
        <c:axId val="27806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77856"/>
        <c:crosses val="autoZero"/>
        <c:crossBetween val="midCat"/>
      </c:valAx>
      <c:valAx>
        <c:axId val="27807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6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2.3489971199630455</c:v>
                </c:pt>
                <c:pt idx="2">
                  <c:v>2.7030195086302471</c:v>
                </c:pt>
                <c:pt idx="3">
                  <c:v>3.1105901397954212</c:v>
                </c:pt>
                <c:pt idx="4">
                  <c:v>3.5798361204955143</c:v>
                </c:pt>
                <c:pt idx="5">
                  <c:v>4.1201219539347553</c:v>
                </c:pt>
                <c:pt idx="6">
                  <c:v>4.7422384982995958</c:v>
                </c:pt>
                <c:pt idx="7">
                  <c:v>5.4586208599678123</c:v>
                </c:pt>
                <c:pt idx="8">
                  <c:v>6.283599662870814</c:v>
                </c:pt>
                <c:pt idx="9">
                  <c:v>7.2336908192014988</c:v>
                </c:pt>
                <c:pt idx="10">
                  <c:v>8.327929715470864</c:v>
                </c:pt>
                <c:pt idx="11">
                  <c:v>9.5882566383841734</c:v>
                </c:pt>
                <c:pt idx="12">
                  <c:v>11.039961315929778</c:v>
                </c:pt>
                <c:pt idx="13">
                  <c:v>12.71219566215864</c:v>
                </c:pt>
                <c:pt idx="14">
                  <c:v>14.638565214448152</c:v>
                </c:pt>
                <c:pt idx="15">
                  <c:v>16.857811368540641</c:v>
                </c:pt>
                <c:pt idx="16">
                  <c:v>34.201573744884413</c:v>
                </c:pt>
                <c:pt idx="17">
                  <c:v>51.29324055563827</c:v>
                </c:pt>
                <c:pt idx="18">
                  <c:v>68.232044534382865</c:v>
                </c:pt>
                <c:pt idx="19">
                  <c:v>85.061887920963684</c:v>
                </c:pt>
                <c:pt idx="20">
                  <c:v>101.80753581019711</c:v>
                </c:pt>
                <c:pt idx="21">
                  <c:v>119.45989396437439</c:v>
                </c:pt>
                <c:pt idx="22">
                  <c:v>137.04857380812416</c:v>
                </c:pt>
                <c:pt idx="23">
                  <c:v>154.58291256812603</c:v>
                </c:pt>
                <c:pt idx="24">
                  <c:v>172.06994842761648</c:v>
                </c:pt>
                <c:pt idx="25">
                  <c:v>189.51516847653488</c:v>
                </c:pt>
                <c:pt idx="26">
                  <c:v>133.57711529041219</c:v>
                </c:pt>
                <c:pt idx="27">
                  <c:v>150.29057534533729</c:v>
                </c:pt>
                <c:pt idx="28">
                  <c:v>166.95971050536991</c:v>
                </c:pt>
                <c:pt idx="29">
                  <c:v>183.58957225263211</c:v>
                </c:pt>
                <c:pt idx="30">
                  <c:v>200.18422046389355</c:v>
                </c:pt>
                <c:pt idx="31">
                  <c:v>215.16760361155573</c:v>
                </c:pt>
                <c:pt idx="32">
                  <c:v>230.12697836929533</c:v>
                </c:pt>
                <c:pt idx="33">
                  <c:v>245.06412551034927</c:v>
                </c:pt>
                <c:pt idx="34">
                  <c:v>259.98059086599062</c:v>
                </c:pt>
                <c:pt idx="35">
                  <c:v>274.87772831278636</c:v>
                </c:pt>
                <c:pt idx="36">
                  <c:v>215.95732803970441</c:v>
                </c:pt>
                <c:pt idx="37">
                  <c:v>228.96124212976682</c:v>
                </c:pt>
                <c:pt idx="38">
                  <c:v>241.94826609319242</c:v>
                </c:pt>
                <c:pt idx="39">
                  <c:v>254.9194346126543</c:v>
                </c:pt>
                <c:pt idx="40">
                  <c:v>267.87566841306415</c:v>
                </c:pt>
                <c:pt idx="41">
                  <c:v>279.00876360809997</c:v>
                </c:pt>
                <c:pt idx="42">
                  <c:v>290.13189569156822</c:v>
                </c:pt>
                <c:pt idx="43">
                  <c:v>301.24550066193814</c:v>
                </c:pt>
                <c:pt idx="44">
                  <c:v>312.34997970388781</c:v>
                </c:pt>
                <c:pt idx="45">
                  <c:v>323.44570313359856</c:v>
                </c:pt>
                <c:pt idx="46">
                  <c:v>265.9621981633228</c:v>
                </c:pt>
                <c:pt idx="47">
                  <c:v>275.49235028250746</c:v>
                </c:pt>
                <c:pt idx="48">
                  <c:v>285.01509894296203</c:v>
                </c:pt>
                <c:pt idx="49">
                  <c:v>294.53072656898814</c:v>
                </c:pt>
                <c:pt idx="50">
                  <c:v>304.03949583203604</c:v>
                </c:pt>
                <c:pt idx="51">
                  <c:v>312.14568297105785</c:v>
                </c:pt>
                <c:pt idx="52">
                  <c:v>320.24720053519974</c:v>
                </c:pt>
                <c:pt idx="53">
                  <c:v>328.34418341805645</c:v>
                </c:pt>
                <c:pt idx="54">
                  <c:v>336.43675931157583</c:v>
                </c:pt>
                <c:pt idx="55">
                  <c:v>344.52504925832619</c:v>
                </c:pt>
                <c:pt idx="56">
                  <c:v>310.95389281759049</c:v>
                </c:pt>
                <c:pt idx="57">
                  <c:v>317.86487787755829</c:v>
                </c:pt>
                <c:pt idx="58">
                  <c:v>324.77253573875549</c:v>
                </c:pt>
                <c:pt idx="59">
                  <c:v>331.67694722590176</c:v>
                </c:pt>
                <c:pt idx="60">
                  <c:v>338.57818952062581</c:v>
                </c:pt>
                <c:pt idx="61">
                  <c:v>344.42312221570597</c:v>
                </c:pt>
                <c:pt idx="62">
                  <c:v>350.26587583499082</c:v>
                </c:pt>
                <c:pt idx="63">
                  <c:v>356.10649189731458</c:v>
                </c:pt>
                <c:pt idx="64">
                  <c:v>361.9450104469401</c:v>
                </c:pt>
                <c:pt idx="65">
                  <c:v>367.78147012940605</c:v>
                </c:pt>
                <c:pt idx="66">
                  <c:v>342.69026088762502</c:v>
                </c:pt>
                <c:pt idx="67">
                  <c:v>347.6504912157115</c:v>
                </c:pt>
                <c:pt idx="68">
                  <c:v>352.60916814916209</c:v>
                </c:pt>
                <c:pt idx="69">
                  <c:v>357.56631664360242</c:v>
                </c:pt>
                <c:pt idx="70">
                  <c:v>362.52196090538229</c:v>
                </c:pt>
                <c:pt idx="71">
                  <c:v>366.89934519516942</c:v>
                </c:pt>
                <c:pt idx="72">
                  <c:v>371.27558926273406</c:v>
                </c:pt>
                <c:pt idx="73">
                  <c:v>375.65070846197818</c:v>
                </c:pt>
                <c:pt idx="74">
                  <c:v>380.02471775952046</c:v>
                </c:pt>
                <c:pt idx="75">
                  <c:v>384.39763174891203</c:v>
                </c:pt>
                <c:pt idx="76">
                  <c:v>388.26116709316602</c:v>
                </c:pt>
                <c:pt idx="77">
                  <c:v>392.12386776166085</c:v>
                </c:pt>
                <c:pt idx="78">
                  <c:v>395.98574314748993</c:v>
                </c:pt>
                <c:pt idx="79">
                  <c:v>399.84680244535281</c:v>
                </c:pt>
                <c:pt idx="80">
                  <c:v>403.70705465766446</c:v>
                </c:pt>
                <c:pt idx="81">
                  <c:v>3.6623255315385623E-12</c:v>
                </c:pt>
                <c:pt idx="82">
                  <c:v>3.6623255315385623E-12</c:v>
                </c:pt>
                <c:pt idx="83">
                  <c:v>3.6623255315385623E-12</c:v>
                </c:pt>
                <c:pt idx="84">
                  <c:v>3.6623255315385623E-12</c:v>
                </c:pt>
                <c:pt idx="85">
                  <c:v>3.6623255315385623E-12</c:v>
                </c:pt>
                <c:pt idx="86">
                  <c:v>3.6623255315385623E-12</c:v>
                </c:pt>
                <c:pt idx="87">
                  <c:v>3.6623255315385623E-12</c:v>
                </c:pt>
                <c:pt idx="88">
                  <c:v>3.6623255315385623E-12</c:v>
                </c:pt>
                <c:pt idx="89">
                  <c:v>3.6623255315385623E-12</c:v>
                </c:pt>
                <c:pt idx="90">
                  <c:v>3.6623255315385623E-12</c:v>
                </c:pt>
                <c:pt idx="91">
                  <c:v>3.6623255315385623E-12</c:v>
                </c:pt>
                <c:pt idx="92">
                  <c:v>3.6623255315385623E-12</c:v>
                </c:pt>
                <c:pt idx="93">
                  <c:v>3.6623255315385623E-12</c:v>
                </c:pt>
                <c:pt idx="94">
                  <c:v>3.6623255315385623E-12</c:v>
                </c:pt>
                <c:pt idx="95">
                  <c:v>3.6623255315385623E-12</c:v>
                </c:pt>
                <c:pt idx="96">
                  <c:v>3.6623255315385623E-12</c:v>
                </c:pt>
                <c:pt idx="97">
                  <c:v>3.6623255315385623E-12</c:v>
                </c:pt>
                <c:pt idx="98">
                  <c:v>3.6623255315385623E-12</c:v>
                </c:pt>
                <c:pt idx="99">
                  <c:v>3.6623255315385623E-12</c:v>
                </c:pt>
                <c:pt idx="100">
                  <c:v>3.6623255315385623E-12</c:v>
                </c:pt>
                <c:pt idx="101">
                  <c:v>3.6623255315385623E-12</c:v>
                </c:pt>
                <c:pt idx="102">
                  <c:v>3.6623255315385623E-12</c:v>
                </c:pt>
                <c:pt idx="103">
                  <c:v>3.6623255315385623E-12</c:v>
                </c:pt>
                <c:pt idx="104">
                  <c:v>3.6623255315385623E-12</c:v>
                </c:pt>
                <c:pt idx="105">
                  <c:v>3.6623255315385623E-12</c:v>
                </c:pt>
                <c:pt idx="106">
                  <c:v>3.6623255315385623E-12</c:v>
                </c:pt>
                <c:pt idx="107">
                  <c:v>3.6623255315385623E-12</c:v>
                </c:pt>
                <c:pt idx="108">
                  <c:v>3.6623255315385623E-12</c:v>
                </c:pt>
                <c:pt idx="109">
                  <c:v>3.6623255315385623E-12</c:v>
                </c:pt>
                <c:pt idx="110">
                  <c:v>3.6623255315385623E-12</c:v>
                </c:pt>
                <c:pt idx="111">
                  <c:v>3.6623255315385623E-12</c:v>
                </c:pt>
                <c:pt idx="112">
                  <c:v>3.6623255315385623E-12</c:v>
                </c:pt>
                <c:pt idx="113">
                  <c:v>3.6623255315385623E-12</c:v>
                </c:pt>
                <c:pt idx="114">
                  <c:v>3.6623255315385623E-12</c:v>
                </c:pt>
                <c:pt idx="115">
                  <c:v>3.6623255315385623E-12</c:v>
                </c:pt>
                <c:pt idx="116">
                  <c:v>3.6623255315385623E-12</c:v>
                </c:pt>
                <c:pt idx="117">
                  <c:v>3.6623255315385623E-12</c:v>
                </c:pt>
                <c:pt idx="118">
                  <c:v>3.6623255315385623E-12</c:v>
                </c:pt>
                <c:pt idx="119">
                  <c:v>3.6623255315385623E-12</c:v>
                </c:pt>
                <c:pt idx="120">
                  <c:v>3.6623255315385623E-12</c:v>
                </c:pt>
                <c:pt idx="121">
                  <c:v>3.6623255315385623E-12</c:v>
                </c:pt>
                <c:pt idx="122">
                  <c:v>3.6623255315385623E-12</c:v>
                </c:pt>
                <c:pt idx="123">
                  <c:v>3.6623255315385623E-12</c:v>
                </c:pt>
                <c:pt idx="124">
                  <c:v>3.6623255315385623E-12</c:v>
                </c:pt>
                <c:pt idx="125">
                  <c:v>3.6623255315385623E-12</c:v>
                </c:pt>
                <c:pt idx="126">
                  <c:v>3.6623255315385623E-12</c:v>
                </c:pt>
                <c:pt idx="127">
                  <c:v>3.6623255315385623E-12</c:v>
                </c:pt>
                <c:pt idx="128">
                  <c:v>3.6623255315385623E-12</c:v>
                </c:pt>
                <c:pt idx="129">
                  <c:v>3.6623255315385623E-12</c:v>
                </c:pt>
                <c:pt idx="130">
                  <c:v>3.6623255315385623E-12</c:v>
                </c:pt>
                <c:pt idx="131">
                  <c:v>3.6623255315385623E-12</c:v>
                </c:pt>
                <c:pt idx="132">
                  <c:v>3.6623255315385623E-12</c:v>
                </c:pt>
                <c:pt idx="133">
                  <c:v>3.6623255315385623E-12</c:v>
                </c:pt>
                <c:pt idx="134">
                  <c:v>3.6623255315385623E-12</c:v>
                </c:pt>
                <c:pt idx="135">
                  <c:v>3.6623255315385623E-12</c:v>
                </c:pt>
                <c:pt idx="136">
                  <c:v>3.6623255315385623E-12</c:v>
                </c:pt>
                <c:pt idx="137">
                  <c:v>3.6623255315385623E-12</c:v>
                </c:pt>
                <c:pt idx="138">
                  <c:v>3.6623255315385623E-12</c:v>
                </c:pt>
                <c:pt idx="139">
                  <c:v>3.6623255315385623E-12</c:v>
                </c:pt>
                <c:pt idx="140">
                  <c:v>3.6623255315385623E-12</c:v>
                </c:pt>
                <c:pt idx="141">
                  <c:v>3.6623255315385623E-12</c:v>
                </c:pt>
                <c:pt idx="142">
                  <c:v>3.6623255315385623E-12</c:v>
                </c:pt>
                <c:pt idx="143">
                  <c:v>3.6623255315385623E-12</c:v>
                </c:pt>
                <c:pt idx="144">
                  <c:v>3.6623255315385623E-12</c:v>
                </c:pt>
                <c:pt idx="145">
                  <c:v>3.6623255315385623E-12</c:v>
                </c:pt>
                <c:pt idx="146">
                  <c:v>3.6623255315385623E-12</c:v>
                </c:pt>
                <c:pt idx="147">
                  <c:v>3.6623255315385623E-12</c:v>
                </c:pt>
                <c:pt idx="148">
                  <c:v>3.6623255315385623E-12</c:v>
                </c:pt>
                <c:pt idx="149">
                  <c:v>3.6623255315385623E-12</c:v>
                </c:pt>
                <c:pt idx="150">
                  <c:v>3.6623255315385623E-12</c:v>
                </c:pt>
                <c:pt idx="151">
                  <c:v>3.6623255315385623E-12</c:v>
                </c:pt>
                <c:pt idx="152">
                  <c:v>3.6623255315385623E-12</c:v>
                </c:pt>
                <c:pt idx="153">
                  <c:v>3.6623255315385623E-12</c:v>
                </c:pt>
                <c:pt idx="154">
                  <c:v>3.6623255315385623E-12</c:v>
                </c:pt>
                <c:pt idx="155">
                  <c:v>3.6623255315385623E-12</c:v>
                </c:pt>
                <c:pt idx="156">
                  <c:v>3.6623255315385623E-12</c:v>
                </c:pt>
                <c:pt idx="157">
                  <c:v>3.6623255315385623E-12</c:v>
                </c:pt>
                <c:pt idx="158">
                  <c:v>3.6623255315385623E-12</c:v>
                </c:pt>
                <c:pt idx="159">
                  <c:v>3.6623255315385623E-12</c:v>
                </c:pt>
                <c:pt idx="160">
                  <c:v>3.6623255315385623E-12</c:v>
                </c:pt>
                <c:pt idx="161">
                  <c:v>3.6623255315385623E-12</c:v>
                </c:pt>
                <c:pt idx="162">
                  <c:v>3.6623255315385623E-12</c:v>
                </c:pt>
                <c:pt idx="163">
                  <c:v>3.6623255315385623E-12</c:v>
                </c:pt>
                <c:pt idx="164">
                  <c:v>3.6623255315385623E-12</c:v>
                </c:pt>
                <c:pt idx="165">
                  <c:v>3.6623255315385623E-12</c:v>
                </c:pt>
                <c:pt idx="166">
                  <c:v>3.6623255315385623E-12</c:v>
                </c:pt>
                <c:pt idx="167">
                  <c:v>3.6623255315385623E-12</c:v>
                </c:pt>
                <c:pt idx="168">
                  <c:v>3.6623255315385623E-12</c:v>
                </c:pt>
                <c:pt idx="169">
                  <c:v>3.6623255315385623E-12</c:v>
                </c:pt>
                <c:pt idx="170">
                  <c:v>3.6623255315385623E-12</c:v>
                </c:pt>
                <c:pt idx="171">
                  <c:v>3.6623255315385623E-12</c:v>
                </c:pt>
                <c:pt idx="172">
                  <c:v>3.6623255315385623E-12</c:v>
                </c:pt>
                <c:pt idx="173">
                  <c:v>3.6623255315385623E-12</c:v>
                </c:pt>
                <c:pt idx="174">
                  <c:v>3.6623255315385623E-12</c:v>
                </c:pt>
                <c:pt idx="175">
                  <c:v>3.6623255315385623E-12</c:v>
                </c:pt>
                <c:pt idx="176">
                  <c:v>3.6623255315385623E-12</c:v>
                </c:pt>
                <c:pt idx="177">
                  <c:v>3.6623255315385623E-12</c:v>
                </c:pt>
                <c:pt idx="178">
                  <c:v>3.6623255315385623E-12</c:v>
                </c:pt>
                <c:pt idx="179">
                  <c:v>3.6623255315385623E-12</c:v>
                </c:pt>
                <c:pt idx="180">
                  <c:v>3.6623255315385623E-12</c:v>
                </c:pt>
                <c:pt idx="181">
                  <c:v>3.6623255315385623E-12</c:v>
                </c:pt>
                <c:pt idx="182">
                  <c:v>3.6623255315385623E-12</c:v>
                </c:pt>
                <c:pt idx="183">
                  <c:v>3.6623255315385623E-12</c:v>
                </c:pt>
                <c:pt idx="184">
                  <c:v>3.6623255315385623E-12</c:v>
                </c:pt>
                <c:pt idx="185">
                  <c:v>3.6623255315385623E-12</c:v>
                </c:pt>
                <c:pt idx="186">
                  <c:v>3.6623255315385623E-12</c:v>
                </c:pt>
                <c:pt idx="187">
                  <c:v>3.6623255315385623E-12</c:v>
                </c:pt>
                <c:pt idx="188">
                  <c:v>3.6623255315385623E-12</c:v>
                </c:pt>
                <c:pt idx="189">
                  <c:v>3.6623255315385623E-12</c:v>
                </c:pt>
                <c:pt idx="190">
                  <c:v>3.6623255315385623E-12</c:v>
                </c:pt>
                <c:pt idx="191">
                  <c:v>3.6623255315385623E-12</c:v>
                </c:pt>
                <c:pt idx="192">
                  <c:v>3.6623255315385623E-12</c:v>
                </c:pt>
                <c:pt idx="193">
                  <c:v>3.6623255315385623E-12</c:v>
                </c:pt>
                <c:pt idx="194">
                  <c:v>3.6623255315385623E-12</c:v>
                </c:pt>
                <c:pt idx="195">
                  <c:v>3.6623255315385623E-12</c:v>
                </c:pt>
                <c:pt idx="196">
                  <c:v>3.6623255315385623E-12</c:v>
                </c:pt>
                <c:pt idx="197">
                  <c:v>3.6623255315385623E-12</c:v>
                </c:pt>
                <c:pt idx="198">
                  <c:v>3.6623255315385623E-12</c:v>
                </c:pt>
                <c:pt idx="199">
                  <c:v>3.6623255315385623E-12</c:v>
                </c:pt>
                <c:pt idx="200">
                  <c:v>3.6623255315385623E-12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68608"/>
        <c:axId val="278078400"/>
      </c:scatterChart>
      <c:valAx>
        <c:axId val="278068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78400"/>
        <c:crosses val="autoZero"/>
        <c:crossBetween val="midCat"/>
      </c:valAx>
      <c:valAx>
        <c:axId val="27807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6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1.7579305829008012</c:v>
                </c:pt>
                <c:pt idx="2">
                  <c:v>2.1260919764195814</c:v>
                </c:pt>
                <c:pt idx="3">
                  <c:v>2.5716529988763619</c:v>
                </c:pt>
                <c:pt idx="4">
                  <c:v>3.1109444850738091</c:v>
                </c:pt>
                <c:pt idx="5">
                  <c:v>3.7637546436506271</c:v>
                </c:pt>
                <c:pt idx="6">
                  <c:v>4.5540633164380813</c:v>
                </c:pt>
                <c:pt idx="7">
                  <c:v>5.5109326295818439</c:v>
                </c:pt>
                <c:pt idx="8">
                  <c:v>6.6695874356807971</c:v>
                </c:pt>
                <c:pt idx="9">
                  <c:v>8.0727260963908574</c:v>
                </c:pt>
                <c:pt idx="10">
                  <c:v>9.7721108392660554</c:v>
                </c:pt>
                <c:pt idx="11">
                  <c:v>11.830497470879934</c:v>
                </c:pt>
                <c:pt idx="12">
                  <c:v>14.323977041342758</c:v>
                </c:pt>
                <c:pt idx="13">
                  <c:v>17.344817620418535</c:v>
                </c:pt>
                <c:pt idx="14">
                  <c:v>21.00491325475986</c:v>
                </c:pt>
                <c:pt idx="15">
                  <c:v>25.439970149184266</c:v>
                </c:pt>
                <c:pt idx="16">
                  <c:v>30.814588027495319</c:v>
                </c:pt>
                <c:pt idx="17">
                  <c:v>37.328428543923089</c:v>
                </c:pt>
                <c:pt idx="18">
                  <c:v>45.223703828138895</c:v>
                </c:pt>
                <c:pt idx="19">
                  <c:v>54.794268327390633</c:v>
                </c:pt>
                <c:pt idx="20">
                  <c:v>66.396657970399346</c:v>
                </c:pt>
                <c:pt idx="21">
                  <c:v>80.463494643800075</c:v>
                </c:pt>
                <c:pt idx="22">
                  <c:v>97.519763869625478</c:v>
                </c:pt>
                <c:pt idx="23">
                  <c:v>118.20258283868009</c:v>
                </c:pt>
                <c:pt idx="24">
                  <c:v>143.28520876927726</c:v>
                </c:pt>
                <c:pt idx="25">
                  <c:v>173.70619900657479</c:v>
                </c:pt>
                <c:pt idx="26">
                  <c:v>187.331608435432</c:v>
                </c:pt>
                <c:pt idx="27">
                  <c:v>200.93390055591695</c:v>
                </c:pt>
                <c:pt idx="28">
                  <c:v>214.5148614662904</c:v>
                </c:pt>
                <c:pt idx="29">
                  <c:v>228.0760324287705</c:v>
                </c:pt>
                <c:pt idx="30">
                  <c:v>241.6187563100552</c:v>
                </c:pt>
                <c:pt idx="31">
                  <c:v>255.14513736318759</c:v>
                </c:pt>
                <c:pt idx="32">
                  <c:v>268.65529367298916</c:v>
                </c:pt>
                <c:pt idx="33">
                  <c:v>282.15015629329156</c:v>
                </c:pt>
                <c:pt idx="34">
                  <c:v>295.63055990745653</c:v>
                </c:pt>
                <c:pt idx="35">
                  <c:v>207.85592722630329</c:v>
                </c:pt>
                <c:pt idx="36">
                  <c:v>221.06950328627056</c:v>
                </c:pt>
                <c:pt idx="37">
                  <c:v>234.2649550191943</c:v>
                </c:pt>
                <c:pt idx="38">
                  <c:v>247.44344752263427</c:v>
                </c:pt>
                <c:pt idx="39">
                  <c:v>260.60601157775585</c:v>
                </c:pt>
                <c:pt idx="40">
                  <c:v>273.75356528140452</c:v>
                </c:pt>
                <c:pt idx="41">
                  <c:v>286.88693130081509</c:v>
                </c:pt>
                <c:pt idx="42">
                  <c:v>300.00685080069837</c:v>
                </c:pt>
                <c:pt idx="43">
                  <c:v>313.11399480488836</c:v>
                </c:pt>
                <c:pt idx="44">
                  <c:v>252.9126951865214</c:v>
                </c:pt>
                <c:pt idx="45">
                  <c:v>265.4327541326183</c:v>
                </c:pt>
                <c:pt idx="46">
                  <c:v>277.93950337581583</c:v>
                </c:pt>
                <c:pt idx="47">
                  <c:v>290.4336264261504</c:v>
                </c:pt>
                <c:pt idx="48">
                  <c:v>302.91574315814154</c:v>
                </c:pt>
                <c:pt idx="49">
                  <c:v>315.38641816940509</c:v>
                </c:pt>
                <c:pt idx="50">
                  <c:v>327.84616774734326</c:v>
                </c:pt>
                <c:pt idx="51">
                  <c:v>340.29546572087713</c:v>
                </c:pt>
                <c:pt idx="52">
                  <c:v>352.73474841075353</c:v>
                </c:pt>
                <c:pt idx="53">
                  <c:v>303.99667321986379</c:v>
                </c:pt>
                <c:pt idx="54">
                  <c:v>315.43977434521383</c:v>
                </c:pt>
                <c:pt idx="55">
                  <c:v>326.87367784820373</c:v>
                </c:pt>
                <c:pt idx="56">
                  <c:v>338.29875092273966</c:v>
                </c:pt>
                <c:pt idx="57">
                  <c:v>349.71533392687934</c:v>
                </c:pt>
                <c:pt idx="58">
                  <c:v>361.12374317487911</c:v>
                </c:pt>
                <c:pt idx="59">
                  <c:v>372.5242733578728</c:v>
                </c:pt>
                <c:pt idx="60">
                  <c:v>383.91719965266685</c:v>
                </c:pt>
                <c:pt idx="61">
                  <c:v>395.30277956708704</c:v>
                </c:pt>
                <c:pt idx="62">
                  <c:v>406.68125456158464</c:v>
                </c:pt>
                <c:pt idx="63">
                  <c:v>352.709053664382</c:v>
                </c:pt>
                <c:pt idx="64">
                  <c:v>362.71958822443958</c:v>
                </c:pt>
                <c:pt idx="65">
                  <c:v>372.72408537057026</c:v>
                </c:pt>
                <c:pt idx="66">
                  <c:v>382.72273007515315</c:v>
                </c:pt>
                <c:pt idx="67">
                  <c:v>392.71569685298044</c:v>
                </c:pt>
                <c:pt idx="68">
                  <c:v>402.70315060928039</c:v>
                </c:pt>
                <c:pt idx="69">
                  <c:v>412.68524739920457</c:v>
                </c:pt>
                <c:pt idx="70">
                  <c:v>422.66213510997824</c:v>
                </c:pt>
                <c:pt idx="71">
                  <c:v>432.63395407527287</c:v>
                </c:pt>
                <c:pt idx="72">
                  <c:v>442.60083762997027</c:v>
                </c:pt>
                <c:pt idx="73">
                  <c:v>389.27758170305532</c:v>
                </c:pt>
                <c:pt idx="74">
                  <c:v>397.69545854963962</c:v>
                </c:pt>
                <c:pt idx="75">
                  <c:v>406.10947696433641</c:v>
                </c:pt>
                <c:pt idx="76">
                  <c:v>414.51972820662968</c:v>
                </c:pt>
                <c:pt idx="77">
                  <c:v>422.92629952874199</c:v>
                </c:pt>
                <c:pt idx="78">
                  <c:v>431.32927442948812</c:v>
                </c:pt>
                <c:pt idx="79">
                  <c:v>439.72873288730898</c:v>
                </c:pt>
                <c:pt idx="80">
                  <c:v>448.12475157456583</c:v>
                </c:pt>
                <c:pt idx="81">
                  <c:v>456.51740405493456</c:v>
                </c:pt>
                <c:pt idx="82">
                  <c:v>464.90676096552397</c:v>
                </c:pt>
                <c:pt idx="83">
                  <c:v>473.29289018515919</c:v>
                </c:pt>
                <c:pt idx="84">
                  <c:v>481.6758569901171</c:v>
                </c:pt>
                <c:pt idx="85">
                  <c:v>421.28397398285648</c:v>
                </c:pt>
                <c:pt idx="86">
                  <c:v>428.05501937740331</c:v>
                </c:pt>
                <c:pt idx="87">
                  <c:v>434.8237622069791</c:v>
                </c:pt>
                <c:pt idx="88">
                  <c:v>441.59024339535631</c:v>
                </c:pt>
                <c:pt idx="89">
                  <c:v>448.35450250901164</c:v>
                </c:pt>
                <c:pt idx="90">
                  <c:v>455.11657782239246</c:v>
                </c:pt>
                <c:pt idx="91">
                  <c:v>461.87650637910087</c:v>
                </c:pt>
                <c:pt idx="92">
                  <c:v>468.63432404930791</c:v>
                </c:pt>
                <c:pt idx="93">
                  <c:v>475.39006558368288</c:v>
                </c:pt>
                <c:pt idx="94">
                  <c:v>482.1437646640947</c:v>
                </c:pt>
                <c:pt idx="95">
                  <c:v>488.89545395132546</c:v>
                </c:pt>
                <c:pt idx="96">
                  <c:v>495.64516513000871</c:v>
                </c:pt>
                <c:pt idx="97">
                  <c:v>430.05314017574671</c:v>
                </c:pt>
                <c:pt idx="98">
                  <c:v>435.36424990967248</c:v>
                </c:pt>
                <c:pt idx="99">
                  <c:v>440.67396902457722</c:v>
                </c:pt>
                <c:pt idx="100">
                  <c:v>445.98231665468933</c:v>
                </c:pt>
                <c:pt idx="101">
                  <c:v>451.28931144119673</c:v>
                </c:pt>
                <c:pt idx="102">
                  <c:v>456.59497155073063</c:v>
                </c:pt>
                <c:pt idx="103">
                  <c:v>461.89931469294356</c:v>
                </c:pt>
                <c:pt idx="104">
                  <c:v>467.20235813723747</c:v>
                </c:pt>
                <c:pt idx="105">
                  <c:v>472.50411872869199</c:v>
                </c:pt>
                <c:pt idx="106">
                  <c:v>477.80461290324206</c:v>
                </c:pt>
                <c:pt idx="107">
                  <c:v>483.10385670214424</c:v>
                </c:pt>
                <c:pt idx="108">
                  <c:v>488.40186578577578</c:v>
                </c:pt>
                <c:pt idx="109">
                  <c:v>430.40872990574189</c:v>
                </c:pt>
                <c:pt idx="110">
                  <c:v>434.53143608807022</c:v>
                </c:pt>
                <c:pt idx="111">
                  <c:v>438.65330254504374</c:v>
                </c:pt>
                <c:pt idx="112">
                  <c:v>442.77433828895465</c:v>
                </c:pt>
                <c:pt idx="113">
                  <c:v>446.89455215047548</c:v>
                </c:pt>
                <c:pt idx="114">
                  <c:v>451.01395278399832</c:v>
                </c:pt>
                <c:pt idx="115">
                  <c:v>455.13254867276783</c:v>
                </c:pt>
                <c:pt idx="116">
                  <c:v>459.25034813381905</c:v>
                </c:pt>
                <c:pt idx="117">
                  <c:v>463.3673593227283</c:v>
                </c:pt>
                <c:pt idx="118">
                  <c:v>467.48359023818756</c:v>
                </c:pt>
                <c:pt idx="119">
                  <c:v>471.59904872640726</c:v>
                </c:pt>
                <c:pt idx="120">
                  <c:v>475.71374248535932</c:v>
                </c:pt>
                <c:pt idx="121">
                  <c:v>7.1192434615550094E-12</c:v>
                </c:pt>
                <c:pt idx="122">
                  <c:v>7.1192434615550094E-12</c:v>
                </c:pt>
                <c:pt idx="123">
                  <c:v>7.1192434615550094E-12</c:v>
                </c:pt>
                <c:pt idx="124">
                  <c:v>7.1192434615550094E-12</c:v>
                </c:pt>
                <c:pt idx="125">
                  <c:v>7.1192434615550094E-12</c:v>
                </c:pt>
                <c:pt idx="126">
                  <c:v>7.1192434615550094E-12</c:v>
                </c:pt>
                <c:pt idx="127">
                  <c:v>7.1192434615550094E-12</c:v>
                </c:pt>
                <c:pt idx="128">
                  <c:v>7.1192434615550094E-12</c:v>
                </c:pt>
                <c:pt idx="129">
                  <c:v>7.1192434615550094E-12</c:v>
                </c:pt>
                <c:pt idx="130">
                  <c:v>7.1192434615550094E-12</c:v>
                </c:pt>
                <c:pt idx="131">
                  <c:v>7.1192434615550094E-12</c:v>
                </c:pt>
                <c:pt idx="132">
                  <c:v>7.1192434615550094E-12</c:v>
                </c:pt>
                <c:pt idx="133">
                  <c:v>7.1192434615550094E-12</c:v>
                </c:pt>
                <c:pt idx="134">
                  <c:v>7.1192434615550094E-12</c:v>
                </c:pt>
                <c:pt idx="135">
                  <c:v>7.1192434615550094E-12</c:v>
                </c:pt>
                <c:pt idx="136">
                  <c:v>7.1192434615550094E-12</c:v>
                </c:pt>
                <c:pt idx="137">
                  <c:v>7.1192434615550094E-12</c:v>
                </c:pt>
                <c:pt idx="138">
                  <c:v>7.1192434615550094E-12</c:v>
                </c:pt>
                <c:pt idx="139">
                  <c:v>7.1192434615550094E-12</c:v>
                </c:pt>
                <c:pt idx="140">
                  <c:v>7.1192434615550094E-12</c:v>
                </c:pt>
                <c:pt idx="141">
                  <c:v>7.1192434615550094E-12</c:v>
                </c:pt>
                <c:pt idx="142">
                  <c:v>7.1192434615550094E-12</c:v>
                </c:pt>
                <c:pt idx="143">
                  <c:v>7.1192434615550094E-12</c:v>
                </c:pt>
                <c:pt idx="144">
                  <c:v>7.1192434615550094E-12</c:v>
                </c:pt>
                <c:pt idx="145">
                  <c:v>7.1192434615550094E-12</c:v>
                </c:pt>
                <c:pt idx="146">
                  <c:v>7.1192434615550094E-12</c:v>
                </c:pt>
                <c:pt idx="147">
                  <c:v>7.1192434615550094E-12</c:v>
                </c:pt>
                <c:pt idx="148">
                  <c:v>7.1192434615550094E-12</c:v>
                </c:pt>
                <c:pt idx="149">
                  <c:v>7.1192434615550094E-12</c:v>
                </c:pt>
                <c:pt idx="150">
                  <c:v>7.1192434615550094E-12</c:v>
                </c:pt>
                <c:pt idx="151">
                  <c:v>7.1192434615550094E-12</c:v>
                </c:pt>
                <c:pt idx="152">
                  <c:v>7.1192434615550094E-12</c:v>
                </c:pt>
                <c:pt idx="153">
                  <c:v>7.1192434615550094E-12</c:v>
                </c:pt>
                <c:pt idx="154">
                  <c:v>7.1192434615550094E-12</c:v>
                </c:pt>
                <c:pt idx="155">
                  <c:v>7.1192434615550094E-12</c:v>
                </c:pt>
                <c:pt idx="156">
                  <c:v>7.1192434615550094E-12</c:v>
                </c:pt>
                <c:pt idx="157">
                  <c:v>7.1192434615550094E-12</c:v>
                </c:pt>
                <c:pt idx="158">
                  <c:v>7.1192434615550094E-12</c:v>
                </c:pt>
                <c:pt idx="159">
                  <c:v>7.1192434615550094E-12</c:v>
                </c:pt>
                <c:pt idx="160">
                  <c:v>7.1192434615550094E-12</c:v>
                </c:pt>
                <c:pt idx="161">
                  <c:v>7.1192434615550094E-12</c:v>
                </c:pt>
                <c:pt idx="162">
                  <c:v>7.1192434615550094E-12</c:v>
                </c:pt>
                <c:pt idx="163">
                  <c:v>7.1192434615550094E-12</c:v>
                </c:pt>
                <c:pt idx="164">
                  <c:v>7.1192434615550094E-12</c:v>
                </c:pt>
                <c:pt idx="165">
                  <c:v>7.1192434615550094E-12</c:v>
                </c:pt>
                <c:pt idx="166">
                  <c:v>7.1192434615550094E-12</c:v>
                </c:pt>
                <c:pt idx="167">
                  <c:v>7.1192434615550094E-12</c:v>
                </c:pt>
                <c:pt idx="168">
                  <c:v>7.1192434615550094E-12</c:v>
                </c:pt>
                <c:pt idx="169">
                  <c:v>7.1192434615550094E-12</c:v>
                </c:pt>
                <c:pt idx="170">
                  <c:v>7.1192434615550094E-12</c:v>
                </c:pt>
                <c:pt idx="171">
                  <c:v>7.1192434615550094E-12</c:v>
                </c:pt>
                <c:pt idx="172">
                  <c:v>7.1192434615550094E-12</c:v>
                </c:pt>
                <c:pt idx="173">
                  <c:v>7.1192434615550094E-12</c:v>
                </c:pt>
                <c:pt idx="174">
                  <c:v>7.1192434615550094E-12</c:v>
                </c:pt>
                <c:pt idx="175">
                  <c:v>7.1192434615550094E-12</c:v>
                </c:pt>
                <c:pt idx="176">
                  <c:v>7.1192434615550094E-12</c:v>
                </c:pt>
                <c:pt idx="177">
                  <c:v>7.1192434615550094E-12</c:v>
                </c:pt>
                <c:pt idx="178">
                  <c:v>7.1192434615550094E-12</c:v>
                </c:pt>
                <c:pt idx="179">
                  <c:v>7.1192434615550094E-12</c:v>
                </c:pt>
                <c:pt idx="180">
                  <c:v>7.1192434615550094E-12</c:v>
                </c:pt>
                <c:pt idx="181">
                  <c:v>7.1192434615550094E-12</c:v>
                </c:pt>
                <c:pt idx="182">
                  <c:v>7.1192434615550094E-12</c:v>
                </c:pt>
                <c:pt idx="183">
                  <c:v>7.1192434615550094E-12</c:v>
                </c:pt>
                <c:pt idx="184">
                  <c:v>7.1192434615550094E-12</c:v>
                </c:pt>
                <c:pt idx="185">
                  <c:v>7.1192434615550094E-12</c:v>
                </c:pt>
                <c:pt idx="186">
                  <c:v>7.1192434615550094E-12</c:v>
                </c:pt>
                <c:pt idx="187">
                  <c:v>7.1192434615550094E-12</c:v>
                </c:pt>
                <c:pt idx="188">
                  <c:v>7.1192434615550094E-12</c:v>
                </c:pt>
                <c:pt idx="189">
                  <c:v>7.1192434615550094E-12</c:v>
                </c:pt>
                <c:pt idx="190">
                  <c:v>7.1192434615550094E-12</c:v>
                </c:pt>
                <c:pt idx="191">
                  <c:v>7.1192434615550094E-12</c:v>
                </c:pt>
                <c:pt idx="192">
                  <c:v>7.1192434615550094E-12</c:v>
                </c:pt>
                <c:pt idx="193">
                  <c:v>7.1192434615550094E-12</c:v>
                </c:pt>
                <c:pt idx="194">
                  <c:v>7.1192434615550094E-12</c:v>
                </c:pt>
                <c:pt idx="195">
                  <c:v>7.1192434615550094E-12</c:v>
                </c:pt>
                <c:pt idx="196">
                  <c:v>7.1192434615550094E-12</c:v>
                </c:pt>
                <c:pt idx="197">
                  <c:v>7.1192434615550094E-12</c:v>
                </c:pt>
                <c:pt idx="198">
                  <c:v>7.1192434615550094E-12</c:v>
                </c:pt>
                <c:pt idx="199">
                  <c:v>7.1192434615550094E-12</c:v>
                </c:pt>
                <c:pt idx="200">
                  <c:v>7.1192434615550094E-12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79488"/>
        <c:axId val="278080032"/>
      </c:scatterChart>
      <c:valAx>
        <c:axId val="278079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80032"/>
        <c:crosses val="autoZero"/>
        <c:crossBetween val="midCat"/>
      </c:valAx>
      <c:valAx>
        <c:axId val="27808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79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080576"/>
        <c:axId val="2137977824"/>
      </c:scatterChart>
      <c:valAx>
        <c:axId val="278080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7977824"/>
        <c:crosses val="autoZero"/>
        <c:crossBetween val="midCat"/>
      </c:valAx>
      <c:valAx>
        <c:axId val="213797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8080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3.3188375698318744</c:v>
                </c:pt>
                <c:pt idx="2">
                  <c:v>4.0332203602588619</c:v>
                </c:pt>
                <c:pt idx="3">
                  <c:v>4.9019484694989979</c:v>
                </c:pt>
                <c:pt idx="4">
                  <c:v>5.9584856257906758</c:v>
                </c:pt>
                <c:pt idx="5">
                  <c:v>7.2435745387798418</c:v>
                </c:pt>
                <c:pt idx="6">
                  <c:v>8.806824999239149</c:v>
                </c:pt>
                <c:pt idx="7">
                  <c:v>10.708649428267698</c:v>
                </c:pt>
                <c:pt idx="8">
                  <c:v>13.02262208567673</c:v>
                </c:pt>
                <c:pt idx="9">
                  <c:v>15.838354901905904</c:v>
                </c:pt>
                <c:pt idx="10">
                  <c:v>19.265003343692616</c:v>
                </c:pt>
                <c:pt idx="11">
                  <c:v>23.435540675598173</c:v>
                </c:pt>
                <c:pt idx="12">
                  <c:v>28.511969432295132</c:v>
                </c:pt>
                <c:pt idx="13">
                  <c:v>34.691676085198104</c:v>
                </c:pt>
                <c:pt idx="14">
                  <c:v>42.215180255315886</c:v>
                </c:pt>
                <c:pt idx="15">
                  <c:v>51.375585204189228</c:v>
                </c:pt>
                <c:pt idx="16">
                  <c:v>62.530103939620666</c:v>
                </c:pt>
                <c:pt idx="17">
                  <c:v>76.114117805762518</c:v>
                </c:pt>
                <c:pt idx="18">
                  <c:v>92.658325189804884</c:v>
                </c:pt>
                <c:pt idx="19">
                  <c:v>112.8096610031785</c:v>
                </c:pt>
                <c:pt idx="20">
                  <c:v>137.35681781065566</c:v>
                </c:pt>
                <c:pt idx="21">
                  <c:v>154.70300795717847</c:v>
                </c:pt>
                <c:pt idx="22">
                  <c:v>172.00294562738861</c:v>
                </c:pt>
                <c:pt idx="23">
                  <c:v>189.26194070315501</c:v>
                </c:pt>
                <c:pt idx="24">
                  <c:v>206.48425377505291</c:v>
                </c:pt>
                <c:pt idx="25">
                  <c:v>223.67337571267657</c:v>
                </c:pt>
                <c:pt idx="26">
                  <c:v>204.62403896524532</c:v>
                </c:pt>
                <c:pt idx="27">
                  <c:v>222.74503213678983</c:v>
                </c:pt>
                <c:pt idx="28">
                  <c:v>240.83221650658709</c:v>
                </c:pt>
                <c:pt idx="29">
                  <c:v>258.88848844639875</c:v>
                </c:pt>
                <c:pt idx="30">
                  <c:v>276.91630711457992</c:v>
                </c:pt>
                <c:pt idx="31">
                  <c:v>295.37903204669743</c:v>
                </c:pt>
                <c:pt idx="32">
                  <c:v>313.81602233837265</c:v>
                </c:pt>
                <c:pt idx="33">
                  <c:v>332.22900222431537</c:v>
                </c:pt>
                <c:pt idx="34">
                  <c:v>350.61948923031787</c:v>
                </c:pt>
                <c:pt idx="35">
                  <c:v>368.98882872292899</c:v>
                </c:pt>
                <c:pt idx="36">
                  <c:v>332.22900222431537</c:v>
                </c:pt>
                <c:pt idx="37">
                  <c:v>350.61948923031787</c:v>
                </c:pt>
                <c:pt idx="38">
                  <c:v>368.98882872292899</c:v>
                </c:pt>
                <c:pt idx="39">
                  <c:v>387.33822121677048</c:v>
                </c:pt>
                <c:pt idx="40">
                  <c:v>405.66874423568089</c:v>
                </c:pt>
                <c:pt idx="41">
                  <c:v>423.066149841504</c:v>
                </c:pt>
                <c:pt idx="42">
                  <c:v>440.44816126040655</c:v>
                </c:pt>
                <c:pt idx="43">
                  <c:v>457.81547126531171</c:v>
                </c:pt>
                <c:pt idx="44">
                  <c:v>475.16871580374072</c:v>
                </c:pt>
                <c:pt idx="45">
                  <c:v>492.50848060673167</c:v>
                </c:pt>
                <c:pt idx="46">
                  <c:v>445.01990443229971</c:v>
                </c:pt>
                <c:pt idx="47">
                  <c:v>461.46993442600098</c:v>
                </c:pt>
                <c:pt idx="48">
                  <c:v>477.90745517780124</c:v>
                </c:pt>
                <c:pt idx="49">
                  <c:v>494.33295733654887</c:v>
                </c:pt>
                <c:pt idx="50">
                  <c:v>510.74689630015126</c:v>
                </c:pt>
                <c:pt idx="51">
                  <c:v>526.69420935002222</c:v>
                </c:pt>
                <c:pt idx="52">
                  <c:v>542.63135688868044</c:v>
                </c:pt>
                <c:pt idx="53">
                  <c:v>558.55867937490245</c:v>
                </c:pt>
                <c:pt idx="54">
                  <c:v>574.47649627813598</c:v>
                </c:pt>
                <c:pt idx="55">
                  <c:v>590.38510793020862</c:v>
                </c:pt>
                <c:pt idx="56">
                  <c:v>537.16831555051419</c:v>
                </c:pt>
                <c:pt idx="57">
                  <c:v>552.18890849311845</c:v>
                </c:pt>
                <c:pt idx="58">
                  <c:v>567.20093985804476</c:v>
                </c:pt>
                <c:pt idx="59">
                  <c:v>582.20466805404669</c:v>
                </c:pt>
                <c:pt idx="60">
                  <c:v>597.20033709193774</c:v>
                </c:pt>
                <c:pt idx="61">
                  <c:v>611.28004252540143</c:v>
                </c:pt>
                <c:pt idx="62">
                  <c:v>625.35302126877616</c:v>
                </c:pt>
                <c:pt idx="63">
                  <c:v>639.41944595007067</c:v>
                </c:pt>
                <c:pt idx="64">
                  <c:v>653.47948098691711</c:v>
                </c:pt>
                <c:pt idx="65">
                  <c:v>667.53328314897647</c:v>
                </c:pt>
                <c:pt idx="66">
                  <c:v>613.09628499771293</c:v>
                </c:pt>
                <c:pt idx="67">
                  <c:v>626.71457192765092</c:v>
                </c:pt>
                <c:pt idx="68">
                  <c:v>640.32673608720279</c:v>
                </c:pt>
                <c:pt idx="69">
                  <c:v>653.93292590911017</c:v>
                </c:pt>
                <c:pt idx="70">
                  <c:v>667.53328314897647</c:v>
                </c:pt>
                <c:pt idx="71">
                  <c:v>679.76872993005441</c:v>
                </c:pt>
                <c:pt idx="72">
                  <c:v>691.99965688460509</c:v>
                </c:pt>
                <c:pt idx="73">
                  <c:v>704.22615511836466</c:v>
                </c:pt>
                <c:pt idx="74">
                  <c:v>716.44831231729233</c:v>
                </c:pt>
                <c:pt idx="75">
                  <c:v>728.6662129333057</c:v>
                </c:pt>
                <c:pt idx="76">
                  <c:v>677.0501356357853</c:v>
                </c:pt>
                <c:pt idx="77">
                  <c:v>688.82910468725822</c:v>
                </c:pt>
                <c:pt idx="78">
                  <c:v>700.60394542471579</c:v>
                </c:pt>
                <c:pt idx="79">
                  <c:v>712.37473697717553</c:v>
                </c:pt>
                <c:pt idx="80">
                  <c:v>724.14155564680425</c:v>
                </c:pt>
                <c:pt idx="81">
                  <c:v>735.45212631254515</c:v>
                </c:pt>
                <c:pt idx="82">
                  <c:v>746.75915513568054</c:v>
                </c:pt>
                <c:pt idx="83">
                  <c:v>758.06270327519849</c:v>
                </c:pt>
                <c:pt idx="84">
                  <c:v>769.36282991848611</c:v>
                </c:pt>
                <c:pt idx="85">
                  <c:v>780.65959237351763</c:v>
                </c:pt>
                <c:pt idx="86">
                  <c:v>730.02349825821113</c:v>
                </c:pt>
                <c:pt idx="87">
                  <c:v>740.42765168643473</c:v>
                </c:pt>
                <c:pt idx="88">
                  <c:v>750.82883030839992</c:v>
                </c:pt>
                <c:pt idx="89">
                  <c:v>761.22708112343207</c:v>
                </c:pt>
                <c:pt idx="90">
                  <c:v>771.62244974278212</c:v>
                </c:pt>
                <c:pt idx="91">
                  <c:v>782.01498044916377</c:v>
                </c:pt>
                <c:pt idx="92">
                  <c:v>792.40471625296061</c:v>
                </c:pt>
                <c:pt idx="93">
                  <c:v>802.79169894533891</c:v>
                </c:pt>
                <c:pt idx="94">
                  <c:v>813.17596914846536</c:v>
                </c:pt>
                <c:pt idx="95">
                  <c:v>823.55756636303204</c:v>
                </c:pt>
                <c:pt idx="96">
                  <c:v>774.33381654334187</c:v>
                </c:pt>
                <c:pt idx="97">
                  <c:v>783.82209060172863</c:v>
                </c:pt>
                <c:pt idx="98">
                  <c:v>793.30804083883538</c:v>
                </c:pt>
                <c:pt idx="99">
                  <c:v>802.79169894533891</c:v>
                </c:pt>
                <c:pt idx="100">
                  <c:v>812.27309580249346</c:v>
                </c:pt>
                <c:pt idx="101">
                  <c:v>821.07525160942578</c:v>
                </c:pt>
                <c:pt idx="102">
                  <c:v>829.87550714920701</c:v>
                </c:pt>
                <c:pt idx="103">
                  <c:v>838.67388540348099</c:v>
                </c:pt>
                <c:pt idx="104">
                  <c:v>847.47040883263162</c:v>
                </c:pt>
                <c:pt idx="105">
                  <c:v>856.26509939300843</c:v>
                </c:pt>
                <c:pt idx="106">
                  <c:v>865.05797855340791</c:v>
                </c:pt>
                <c:pt idx="107">
                  <c:v>873.84906731085027</c:v>
                </c:pt>
                <c:pt idx="108">
                  <c:v>882.63838620568777</c:v>
                </c:pt>
                <c:pt idx="109">
                  <c:v>891.42595533608164</c:v>
                </c:pt>
                <c:pt idx="110">
                  <c:v>900.21179437187914</c:v>
                </c:pt>
                <c:pt idx="111">
                  <c:v>831.68045499172024</c:v>
                </c:pt>
                <c:pt idx="112">
                  <c:v>839.80174800672523</c:v>
                </c:pt>
                <c:pt idx="113">
                  <c:v>847.92146300650109</c:v>
                </c:pt>
                <c:pt idx="114">
                  <c:v>856.03961722513702</c:v>
                </c:pt>
                <c:pt idx="115">
                  <c:v>864.15622754335902</c:v>
                </c:pt>
                <c:pt idx="116">
                  <c:v>872.27131049909622</c:v>
                </c:pt>
                <c:pt idx="117">
                  <c:v>880.38488229763288</c:v>
                </c:pt>
                <c:pt idx="118">
                  <c:v>888.4969588213695</c:v>
                </c:pt>
                <c:pt idx="119">
                  <c:v>896.60755563920611</c:v>
                </c:pt>
                <c:pt idx="120">
                  <c:v>904.71668801557178</c:v>
                </c:pt>
                <c:pt idx="121">
                  <c:v>911.9235883831451</c:v>
                </c:pt>
                <c:pt idx="122">
                  <c:v>919.12935381421778</c:v>
                </c:pt>
                <c:pt idx="123">
                  <c:v>926.33399445584803</c:v>
                </c:pt>
                <c:pt idx="124">
                  <c:v>933.5375202844757</c:v>
                </c:pt>
                <c:pt idx="125">
                  <c:v>940.73994111011177</c:v>
                </c:pt>
                <c:pt idx="126">
                  <c:v>947.94126658039625</c:v>
                </c:pt>
                <c:pt idx="127">
                  <c:v>955.14150618452504</c:v>
                </c:pt>
                <c:pt idx="128">
                  <c:v>962.34066925705156</c:v>
                </c:pt>
                <c:pt idx="129">
                  <c:v>969.53876498156899</c:v>
                </c:pt>
                <c:pt idx="130">
                  <c:v>976.73580239427883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7976736"/>
        <c:axId val="2137972384"/>
      </c:scatterChart>
      <c:valAx>
        <c:axId val="2137976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7972384"/>
        <c:crosses val="autoZero"/>
        <c:crossBetween val="midCat"/>
      </c:valAx>
      <c:valAx>
        <c:axId val="213797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7976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2.9936735610347474</c:v>
                </c:pt>
                <c:pt idx="2">
                  <c:v>3.6378375756692809</c:v>
                </c:pt>
                <c:pt idx="3">
                  <c:v>4.4211296647077072</c:v>
                </c:pt>
                <c:pt idx="4">
                  <c:v>5.3737049265947698</c:v>
                </c:pt>
                <c:pt idx="5">
                  <c:v>6.5322758598738595</c:v>
                </c:pt>
                <c:pt idx="6">
                  <c:v>7.9415426498185218</c:v>
                </c:pt>
                <c:pt idx="7">
                  <c:v>9.6559363011257187</c:v>
                </c:pt>
                <c:pt idx="8">
                  <c:v>11.741743221114143</c:v>
                </c:pt>
                <c:pt idx="9">
                  <c:v>14.279694937436576</c:v>
                </c:pt>
                <c:pt idx="10">
                  <c:v>17.368125035471262</c:v>
                </c:pt>
                <c:pt idx="11">
                  <c:v>21.12681785635451</c:v>
                </c:pt>
                <c:pt idx="12">
                  <c:v>25.701700902166483</c:v>
                </c:pt>
                <c:pt idx="13">
                  <c:v>31.2705663431334</c:v>
                </c:pt>
                <c:pt idx="14">
                  <c:v>38.050047847692518</c:v>
                </c:pt>
                <c:pt idx="15">
                  <c:v>46.304128790046775</c:v>
                </c:pt>
                <c:pt idx="16">
                  <c:v>56.354518722362172</c:v>
                </c:pt>
                <c:pt idx="17">
                  <c:v>68.593309261714523</c:v>
                </c:pt>
                <c:pt idx="18">
                  <c:v>83.498411205403187</c:v>
                </c:pt>
                <c:pt idx="19">
                  <c:v>101.65238538027364</c:v>
                </c:pt>
                <c:pt idx="20">
                  <c:v>123.7654148839167</c:v>
                </c:pt>
                <c:pt idx="21">
                  <c:v>139.39094880292336</c:v>
                </c:pt>
                <c:pt idx="22">
                  <c:v>154.97440180158173</c:v>
                </c:pt>
                <c:pt idx="23">
                  <c:v>170.52060485833445</c:v>
                </c:pt>
                <c:pt idx="24">
                  <c:v>186.03343429693606</c:v>
                </c:pt>
                <c:pt idx="25">
                  <c:v>201.51606614204616</c:v>
                </c:pt>
                <c:pt idx="26">
                  <c:v>184.35787909351566</c:v>
                </c:pt>
                <c:pt idx="27">
                  <c:v>200.67989328789307</c:v>
                </c:pt>
                <c:pt idx="28">
                  <c:v>216.97114792933812</c:v>
                </c:pt>
                <c:pt idx="29">
                  <c:v>233.23427816301728</c:v>
                </c:pt>
                <c:pt idx="30">
                  <c:v>249.47152135339448</c:v>
                </c:pt>
                <c:pt idx="31">
                  <c:v>266.10022493300409</c:v>
                </c:pt>
                <c:pt idx="32">
                  <c:v>282.70551490450038</c:v>
                </c:pt>
                <c:pt idx="33">
                  <c:v>299.28895999218298</c:v>
                </c:pt>
                <c:pt idx="34">
                  <c:v>315.85194085471193</c:v>
                </c:pt>
                <c:pt idx="35">
                  <c:v>332.39568151871464</c:v>
                </c:pt>
                <c:pt idx="36">
                  <c:v>299.28895999218298</c:v>
                </c:pt>
                <c:pt idx="37">
                  <c:v>315.85194085471193</c:v>
                </c:pt>
                <c:pt idx="38">
                  <c:v>332.39568151871464</c:v>
                </c:pt>
                <c:pt idx="39">
                  <c:v>348.92127422322784</c:v>
                </c:pt>
                <c:pt idx="40">
                  <c:v>365.42969930916388</c:v>
                </c:pt>
                <c:pt idx="41">
                  <c:v>381.09760826078099</c:v>
                </c:pt>
                <c:pt idx="42">
                  <c:v>396.75151144221513</c:v>
                </c:pt>
                <c:pt idx="43">
                  <c:v>412.39203914452349</c:v>
                </c:pt>
                <c:pt idx="44">
                  <c:v>428.01976995850004</c:v>
                </c:pt>
                <c:pt idx="45">
                  <c:v>443.63523678752921</c:v>
                </c:pt>
                <c:pt idx="46">
                  <c:v>400.86871209258283</c:v>
                </c:pt>
                <c:pt idx="47">
                  <c:v>415.68313267172834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474.42112721892153</c:v>
                </c:pt>
                <c:pt idx="52">
                  <c:v>488.77314396648063</c:v>
                </c:pt>
                <c:pt idx="53">
                  <c:v>503.11622179266834</c:v>
                </c:pt>
                <c:pt idx="54">
                  <c:v>517.45065135367156</c:v>
                </c:pt>
                <c:pt idx="55">
                  <c:v>531.77670589409684</c:v>
                </c:pt>
                <c:pt idx="56">
                  <c:v>483.85347470993747</c:v>
                </c:pt>
                <c:pt idx="57">
                  <c:v>497.38004432358315</c:v>
                </c:pt>
                <c:pt idx="58">
                  <c:v>510.89882453659499</c:v>
                </c:pt>
                <c:pt idx="59">
                  <c:v>524.41005045158852</c:v>
                </c:pt>
                <c:pt idx="60">
                  <c:v>537.91394407180394</c:v>
                </c:pt>
                <c:pt idx="61">
                  <c:v>550.59292824762167</c:v>
                </c:pt>
                <c:pt idx="62">
                  <c:v>563.265792420092</c:v>
                </c:pt>
                <c:pt idx="63">
                  <c:v>575.93269364773607</c:v>
                </c:pt>
                <c:pt idx="64">
                  <c:v>588.59378151919861</c:v>
                </c:pt>
                <c:pt idx="65">
                  <c:v>601.24919866493201</c:v>
                </c:pt>
                <c:pt idx="66">
                  <c:v>552.22847702156571</c:v>
                </c:pt>
                <c:pt idx="67">
                  <c:v>564.49187973331675</c:v>
                </c:pt>
                <c:pt idx="68">
                  <c:v>576.74971189331632</c:v>
                </c:pt>
                <c:pt idx="69">
                  <c:v>589.00210854701231</c:v>
                </c:pt>
                <c:pt idx="70">
                  <c:v>601.24919866493201</c:v>
                </c:pt>
                <c:pt idx="71">
                  <c:v>612.26714469334559</c:v>
                </c:pt>
                <c:pt idx="72">
                  <c:v>623.28097854279633</c:v>
                </c:pt>
                <c:pt idx="73">
                  <c:v>634.29078310210491</c:v>
                </c:pt>
                <c:pt idx="74">
                  <c:v>645.29663814874846</c:v>
                </c:pt>
                <c:pt idx="75">
                  <c:v>656.29862051784335</c:v>
                </c:pt>
                <c:pt idx="76">
                  <c:v>609.81907059753212</c:v>
                </c:pt>
                <c:pt idx="77">
                  <c:v>620.42593032257957</c:v>
                </c:pt>
                <c:pt idx="78">
                  <c:v>631.02903407028032</c:v>
                </c:pt>
                <c:pt idx="79">
                  <c:v>641.62845383292881</c:v>
                </c:pt>
                <c:pt idx="80">
                  <c:v>652.22425903092505</c:v>
                </c:pt>
                <c:pt idx="81">
                  <c:v>662.40918693208539</c:v>
                </c:pt>
                <c:pt idx="82">
                  <c:v>672.59089243288065</c:v>
                </c:pt>
                <c:pt idx="83">
                  <c:v>682.76943117630969</c:v>
                </c:pt>
                <c:pt idx="84">
                  <c:v>692.94485701159135</c:v>
                </c:pt>
                <c:pt idx="85">
                  <c:v>703.11722207803814</c:v>
                </c:pt>
                <c:pt idx="86">
                  <c:v>657.52082719173063</c:v>
                </c:pt>
                <c:pt idx="87">
                  <c:v>666.88953101925779</c:v>
                </c:pt>
                <c:pt idx="88">
                  <c:v>676.25552834120526</c:v>
                </c:pt>
                <c:pt idx="89">
                  <c:v>685.61886191798339</c:v>
                </c:pt>
                <c:pt idx="90">
                  <c:v>694.97957324712036</c:v>
                </c:pt>
                <c:pt idx="91">
                  <c:v>704.33770261742791</c:v>
                </c:pt>
                <c:pt idx="92">
                  <c:v>713.69328916014183</c:v>
                </c:pt>
                <c:pt idx="93">
                  <c:v>723.04637089724201</c:v>
                </c:pt>
                <c:pt idx="94">
                  <c:v>732.39698478714217</c:v>
                </c:pt>
                <c:pt idx="95">
                  <c:v>741.74516676792882</c:v>
                </c:pt>
                <c:pt idx="96">
                  <c:v>697.42107170393365</c:v>
                </c:pt>
                <c:pt idx="97">
                  <c:v>705.96494272445318</c:v>
                </c:pt>
                <c:pt idx="98">
                  <c:v>714.50669951140151</c:v>
                </c:pt>
                <c:pt idx="99">
                  <c:v>723.04637089724201</c:v>
                </c:pt>
                <c:pt idx="100">
                  <c:v>731.58398497801829</c:v>
                </c:pt>
                <c:pt idx="101">
                  <c:v>739.50995130325816</c:v>
                </c:pt>
                <c:pt idx="102">
                  <c:v>747.43418874829558</c:v>
                </c:pt>
                <c:pt idx="103">
                  <c:v>755.35671822203687</c:v>
                </c:pt>
                <c:pt idx="104">
                  <c:v>763.27756015914235</c:v>
                </c:pt>
                <c:pt idx="105">
                  <c:v>771.19673453569692</c:v>
                </c:pt>
                <c:pt idx="106">
                  <c:v>779.11426088420569</c:v>
                </c:pt>
                <c:pt idx="107">
                  <c:v>787.03015830794664</c:v>
                </c:pt>
                <c:pt idx="108">
                  <c:v>794.94444549471757</c:v>
                </c:pt>
                <c:pt idx="109">
                  <c:v>802.85714073000747</c:v>
                </c:pt>
                <c:pt idx="110">
                  <c:v>810.76826190962095</c:v>
                </c:pt>
                <c:pt idx="111">
                  <c:v>749.0594615661222</c:v>
                </c:pt>
                <c:pt idx="112">
                  <c:v>756.37230466058747</c:v>
                </c:pt>
                <c:pt idx="113">
                  <c:v>763.68371206255631</c:v>
                </c:pt>
                <c:pt idx="114">
                  <c:v>770.99369945175931</c:v>
                </c:pt>
                <c:pt idx="115">
                  <c:v>778.30228218643288</c:v>
                </c:pt>
                <c:pt idx="116">
                  <c:v>785.60947531293414</c:v>
                </c:pt>
                <c:pt idx="117">
                  <c:v>792.91529357497723</c:v>
                </c:pt>
                <c:pt idx="118">
                  <c:v>800.21975142251324</c:v>
                </c:pt>
                <c:pt idx="119">
                  <c:v>807.52286302026857</c:v>
                </c:pt>
                <c:pt idx="120">
                  <c:v>814.82464225595743</c:v>
                </c:pt>
                <c:pt idx="121">
                  <c:v>821.31400517687587</c:v>
                </c:pt>
                <c:pt idx="122">
                  <c:v>827.80233552232414</c:v>
                </c:pt>
                <c:pt idx="123">
                  <c:v>834.2896425241878</c:v>
                </c:pt>
                <c:pt idx="124">
                  <c:v>840.77593525912027</c:v>
                </c:pt>
                <c:pt idx="125">
                  <c:v>847.26122265235927</c:v>
                </c:pt>
                <c:pt idx="126">
                  <c:v>853.74551348141495</c:v>
                </c:pt>
                <c:pt idx="127">
                  <c:v>860.22881637964281</c:v>
                </c:pt>
                <c:pt idx="128">
                  <c:v>866.71113983970338</c:v>
                </c:pt>
                <c:pt idx="129">
                  <c:v>873.19249221691382</c:v>
                </c:pt>
                <c:pt idx="130">
                  <c:v>879.67288173249062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7974016"/>
        <c:axId val="223931984"/>
      </c:scatterChart>
      <c:valAx>
        <c:axId val="2137974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3931984"/>
        <c:crosses val="autoZero"/>
        <c:crossBetween val="midCat"/>
      </c:valAx>
      <c:valAx>
        <c:axId val="22393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797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939056"/>
        <c:axId val="223940688"/>
      </c:scatterChart>
      <c:valAx>
        <c:axId val="22393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3940688"/>
        <c:crosses val="autoZero"/>
        <c:crossBetween val="midCat"/>
      </c:valAx>
      <c:valAx>
        <c:axId val="2239406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393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8" zoomScale="85" zoomScaleNormal="85" workbookViewId="0">
      <selection activeCell="B45" sqref="B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7.92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47</v>
      </c>
      <c r="C9" s="35">
        <v>0.5</v>
      </c>
      <c r="D9" s="36">
        <f t="shared" ref="D9:D18" si="0">C9*$C$5</f>
        <v>3.96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0.15</v>
      </c>
      <c r="D10" s="36">
        <f t="shared" si="0"/>
        <v>1.1879999999999999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0.1</v>
      </c>
      <c r="D11" s="36">
        <f t="shared" si="0"/>
        <v>0.79200000000000004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22</v>
      </c>
      <c r="C12" s="35">
        <v>0.1</v>
      </c>
      <c r="D12" s="36">
        <f t="shared" si="0"/>
        <v>0.79200000000000004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18</v>
      </c>
      <c r="C13" s="35">
        <v>0.05</v>
      </c>
      <c r="D13" s="36">
        <f t="shared" si="0"/>
        <v>0.39600000000000002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27</v>
      </c>
      <c r="C14" s="35">
        <v>0.05</v>
      </c>
      <c r="D14" s="36">
        <f t="shared" si="0"/>
        <v>0.39600000000000002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52</v>
      </c>
      <c r="C15" s="35">
        <v>2.5000000000000001E-2</v>
      </c>
      <c r="D15" s="36">
        <f t="shared" si="0"/>
        <v>0.19800000000000001</v>
      </c>
      <c r="E15" s="37">
        <v>130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2.5000000000000001E-2</v>
      </c>
      <c r="D16" s="36">
        <f t="shared" si="0"/>
        <v>0.19800000000000001</v>
      </c>
      <c r="E16" s="37">
        <v>130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Sapin méditerranéen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112</v>
      </c>
      <c r="C36" s="53"/>
      <c r="D36" s="63"/>
      <c r="E36" s="54"/>
      <c r="F36" s="54"/>
      <c r="G36" s="54"/>
      <c r="H36" s="54"/>
      <c r="I36" s="52">
        <f>IFERROR(B36/A36,"")</f>
        <v>3.7333333333333334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3">
        <f>136+66</f>
        <v>202</v>
      </c>
      <c r="C37" s="53">
        <v>1</v>
      </c>
      <c r="D37" s="63">
        <v>92</v>
      </c>
      <c r="E37" s="54"/>
      <c r="F37" s="54"/>
      <c r="G37" s="54"/>
      <c r="H37" s="54"/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50</v>
      </c>
      <c r="B38" s="63">
        <f>167+58</f>
        <v>225</v>
      </c>
      <c r="C38" s="53">
        <v>2</v>
      </c>
      <c r="D38" s="63">
        <v>58</v>
      </c>
      <c r="E38" s="54"/>
      <c r="F38" s="54"/>
      <c r="G38" s="54"/>
      <c r="H38" s="54"/>
      <c r="I38" s="56">
        <f t="shared" si="1"/>
        <v>11.5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60</v>
      </c>
      <c r="B39" s="63">
        <f>203+58</f>
        <v>261</v>
      </c>
      <c r="C39" s="53">
        <v>3</v>
      </c>
      <c r="D39" s="63">
        <v>58</v>
      </c>
      <c r="E39" s="54"/>
      <c r="F39" s="54"/>
      <c r="G39" s="54"/>
      <c r="H39" s="54"/>
      <c r="I39" s="52">
        <f t="shared" si="1"/>
        <v>9.4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70</v>
      </c>
      <c r="B40" s="63">
        <f>248+62</f>
        <v>310</v>
      </c>
      <c r="C40" s="53">
        <v>4</v>
      </c>
      <c r="D40" s="63">
        <v>62</v>
      </c>
      <c r="E40" s="54"/>
      <c r="F40" s="54"/>
      <c r="G40" s="54"/>
      <c r="H40" s="54"/>
      <c r="I40" s="52">
        <f t="shared" si="1"/>
        <v>10.7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80</v>
      </c>
      <c r="B41" s="63">
        <f>303+58</f>
        <v>361</v>
      </c>
      <c r="C41" s="53">
        <v>5</v>
      </c>
      <c r="D41" s="63">
        <v>58</v>
      </c>
      <c r="E41" s="66"/>
      <c r="F41" s="66"/>
      <c r="G41" s="66"/>
      <c r="H41" s="66"/>
      <c r="I41" s="56">
        <f t="shared" si="1"/>
        <v>11.3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90</v>
      </c>
      <c r="B42" s="63">
        <f>371+50</f>
        <v>421</v>
      </c>
      <c r="C42" s="53">
        <v>6</v>
      </c>
      <c r="D42" s="63">
        <v>50</v>
      </c>
      <c r="E42" s="66"/>
      <c r="F42" s="66"/>
      <c r="G42" s="66"/>
      <c r="H42" s="66"/>
      <c r="I42" s="56">
        <f t="shared" si="1"/>
        <v>11.8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8">
        <v>100</v>
      </c>
      <c r="B43" s="58">
        <f>453+45</f>
        <v>498</v>
      </c>
      <c r="C43" s="58">
        <v>7</v>
      </c>
      <c r="D43" s="58">
        <v>45</v>
      </c>
      <c r="E43" s="66"/>
      <c r="F43" s="66"/>
      <c r="G43" s="66"/>
      <c r="H43" s="66"/>
      <c r="I43" s="52">
        <f t="shared" si="1"/>
        <v>12.7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8">
        <v>110</v>
      </c>
      <c r="B44" s="58">
        <f>553+40</f>
        <v>593</v>
      </c>
      <c r="C44" s="58">
        <v>8</v>
      </c>
      <c r="D44" s="58">
        <f>B44</f>
        <v>593</v>
      </c>
      <c r="E44" s="66"/>
      <c r="F44" s="66"/>
      <c r="G44" s="66"/>
      <c r="H44" s="66"/>
      <c r="I44" s="52">
        <f t="shared" si="1"/>
        <v>14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f>157.88/1.3</f>
        <v>121.44615384615383</v>
      </c>
      <c r="C62" s="53">
        <v>1</v>
      </c>
      <c r="D62" s="63">
        <f>66.88/1.3</f>
        <v>51.446153846153841</v>
      </c>
      <c r="E62" s="54"/>
      <c r="F62" s="54"/>
      <c r="G62" s="54">
        <v>0.5</v>
      </c>
      <c r="H62" s="54">
        <v>0.5</v>
      </c>
      <c r="I62" s="56">
        <f>IFERROR(B62/A62,"")</f>
        <v>4.857846153846153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f>160.36/1.3</f>
        <v>123.35384615384616</v>
      </c>
      <c r="C63" s="53"/>
      <c r="D63" s="63"/>
      <c r="E63" s="54"/>
      <c r="F63" s="54"/>
      <c r="G63" s="54"/>
      <c r="H63" s="54"/>
      <c r="I63" s="52">
        <f>IF(A63&lt;&gt;0,(B63-(B62-D62))/(A63-A62),"")</f>
        <v>10.670769230769233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32</v>
      </c>
      <c r="B64" s="63">
        <f>188.1/1.3</f>
        <v>144.69230769230768</v>
      </c>
      <c r="C64" s="53">
        <v>2</v>
      </c>
      <c r="D64" s="63">
        <f>53.91/1.3</f>
        <v>41.469230769230762</v>
      </c>
      <c r="E64" s="54"/>
      <c r="F64" s="54"/>
      <c r="G64" s="54"/>
      <c r="H64" s="54"/>
      <c r="I64" s="52">
        <f>IF(A64&lt;&gt;0,(B64-(B63-D63))/(A64-A63),"")</f>
        <v>10.669230769230758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33</v>
      </c>
      <c r="B65" s="63">
        <f>145.72/1.3</f>
        <v>112.09230769230768</v>
      </c>
      <c r="C65" s="53"/>
      <c r="D65" s="63"/>
      <c r="E65" s="54"/>
      <c r="F65" s="54"/>
      <c r="G65" s="54"/>
      <c r="H65" s="54"/>
      <c r="I65" s="52">
        <f>IF(A65&lt;&gt;0,(B65-(B64-D64))/(A65-A64),"")</f>
        <v>8.8692307692307679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245.59/1.3</f>
        <v>188.91538461538462</v>
      </c>
      <c r="C66" s="53">
        <v>3</v>
      </c>
      <c r="D66" s="63">
        <f>62.82/1.3</f>
        <v>48.323076923076918</v>
      </c>
      <c r="E66" s="54"/>
      <c r="F66" s="54"/>
      <c r="G66" s="54"/>
      <c r="H66" s="54"/>
      <c r="I66" s="52">
        <f t="shared" ref="I66:I81" si="2">IF(A66&lt;&gt;0,(B66-(B65-D65))/(A66-A65),"")</f>
        <v>10.974725274725277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42</v>
      </c>
      <c r="B67" s="63">
        <f>206.55/1.3</f>
        <v>158.88461538461539</v>
      </c>
      <c r="C67" s="53"/>
      <c r="D67" s="63"/>
      <c r="E67" s="54"/>
      <c r="F67" s="54"/>
      <c r="G67" s="54"/>
      <c r="H67" s="54"/>
      <c r="I67" s="52">
        <f t="shared" si="2"/>
        <v>9.1461538461538368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63">
        <v>50</v>
      </c>
      <c r="B68" s="63">
        <f>314.09/1.3</f>
        <v>241.60769230769228</v>
      </c>
      <c r="C68" s="63">
        <v>4</v>
      </c>
      <c r="D68" s="63">
        <f>72.38/1.3</f>
        <v>55.676923076923075</v>
      </c>
      <c r="E68" s="93"/>
      <c r="F68" s="93"/>
      <c r="G68" s="93"/>
      <c r="H68" s="93"/>
      <c r="I68" s="52">
        <f t="shared" si="2"/>
        <v>10.340384615384611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60</v>
      </c>
      <c r="B69" s="63">
        <f>357.9/1.3</f>
        <v>275.30769230769226</v>
      </c>
      <c r="C69" s="63">
        <v>5</v>
      </c>
      <c r="D69" s="63">
        <f>65.1/1.3</f>
        <v>50.076923076923073</v>
      </c>
      <c r="E69" s="93"/>
      <c r="F69" s="93"/>
      <c r="G69" s="93"/>
      <c r="H69" s="93"/>
      <c r="I69" s="52">
        <f t="shared" si="2"/>
        <v>8.9376923076923056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70</v>
      </c>
      <c r="B70" s="63">
        <f>393.02/1.3</f>
        <v>302.32307692307688</v>
      </c>
      <c r="C70" s="63">
        <v>6</v>
      </c>
      <c r="D70" s="63">
        <f>70.48/1.3</f>
        <v>54.215384615384615</v>
      </c>
      <c r="E70" s="93"/>
      <c r="F70" s="93"/>
      <c r="G70" s="93"/>
      <c r="H70" s="93"/>
      <c r="I70" s="52">
        <f t="shared" si="2"/>
        <v>7.7092307692307687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80</v>
      </c>
      <c r="B71" s="63">
        <f>403.22/1.3</f>
        <v>310.16923076923081</v>
      </c>
      <c r="C71" s="63">
        <v>7</v>
      </c>
      <c r="D71" s="63">
        <f>B71</f>
        <v>310.16923076923081</v>
      </c>
      <c r="E71" s="93"/>
      <c r="F71" s="93"/>
      <c r="G71" s="93"/>
      <c r="H71" s="93"/>
      <c r="I71" s="52">
        <f t="shared" si="2"/>
        <v>6.2061538461538532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57</v>
      </c>
      <c r="C88" s="53"/>
      <c r="D88" s="63"/>
      <c r="E88" s="66"/>
      <c r="F88" s="66"/>
      <c r="G88" s="66"/>
      <c r="H88" s="66"/>
      <c r="I88" s="56">
        <f>IFERROR(B88/A88,"")</f>
        <v>2.85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87+7</f>
        <v>94</v>
      </c>
      <c r="C89" s="53">
        <v>1</v>
      </c>
      <c r="D89" s="63">
        <f>7+9</f>
        <v>16</v>
      </c>
      <c r="E89" s="66"/>
      <c r="F89" s="66"/>
      <c r="G89" s="66"/>
      <c r="H89" s="66">
        <v>1</v>
      </c>
      <c r="I89" s="56">
        <f t="shared" ref="I89:I107" si="3">IF(A89&lt;&gt;0,(B89-(B88-D88))/(A89-A88),"")</f>
        <v>7.4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117</v>
      </c>
      <c r="C90" s="53"/>
      <c r="D90" s="63"/>
      <c r="E90" s="66"/>
      <c r="F90" s="66"/>
      <c r="G90" s="66"/>
      <c r="H90" s="66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8">
        <v>35</v>
      </c>
      <c r="B91" s="58">
        <v>157</v>
      </c>
      <c r="C91" s="58">
        <v>2</v>
      </c>
      <c r="D91" s="58">
        <v>24</v>
      </c>
      <c r="E91" s="66"/>
      <c r="F91" s="66"/>
      <c r="G91" s="66"/>
      <c r="H91" s="66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8">
        <v>40</v>
      </c>
      <c r="B92" s="58">
        <v>173</v>
      </c>
      <c r="C92" s="58"/>
      <c r="D92" s="58"/>
      <c r="E92" s="66"/>
      <c r="F92" s="66"/>
      <c r="G92" s="66"/>
      <c r="H92" s="66"/>
      <c r="I92" s="56">
        <f t="shared" si="3"/>
        <v>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8">
        <v>45</v>
      </c>
      <c r="B93" s="58">
        <v>211</v>
      </c>
      <c r="C93" s="58">
        <v>3</v>
      </c>
      <c r="D93" s="58">
        <v>28</v>
      </c>
      <c r="E93" s="66"/>
      <c r="F93" s="66"/>
      <c r="G93" s="66"/>
      <c r="H93" s="66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8">
        <v>50</v>
      </c>
      <c r="B94" s="58">
        <v>219</v>
      </c>
      <c r="C94" s="58"/>
      <c r="D94" s="58"/>
      <c r="E94" s="66"/>
      <c r="F94" s="66"/>
      <c r="G94" s="66"/>
      <c r="H94" s="66"/>
      <c r="I94" s="56">
        <f t="shared" si="3"/>
        <v>7.2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8">
        <v>55</v>
      </c>
      <c r="B95" s="58">
        <v>254</v>
      </c>
      <c r="C95" s="58">
        <v>4</v>
      </c>
      <c r="D95" s="58">
        <v>30</v>
      </c>
      <c r="E95" s="66"/>
      <c r="F95" s="66"/>
      <c r="G95" s="66"/>
      <c r="H95" s="66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8">
        <v>60</v>
      </c>
      <c r="B96" s="58">
        <v>257</v>
      </c>
      <c r="C96" s="58"/>
      <c r="D96" s="58"/>
      <c r="E96" s="66"/>
      <c r="F96" s="66"/>
      <c r="G96" s="66"/>
      <c r="H96" s="66"/>
      <c r="I96" s="56">
        <f t="shared" si="3"/>
        <v>6.6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8">
        <v>65</v>
      </c>
      <c r="B97" s="58">
        <v>288</v>
      </c>
      <c r="C97" s="58">
        <v>5</v>
      </c>
      <c r="D97" s="58">
        <v>30</v>
      </c>
      <c r="E97" s="66"/>
      <c r="F97" s="66"/>
      <c r="G97" s="66"/>
      <c r="H97" s="66"/>
      <c r="I97" s="56">
        <f t="shared" si="3"/>
        <v>6.2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8">
        <v>70</v>
      </c>
      <c r="B98" s="58">
        <v>288</v>
      </c>
      <c r="C98" s="58"/>
      <c r="D98" s="58"/>
      <c r="E98" s="66"/>
      <c r="F98" s="66"/>
      <c r="G98" s="66"/>
      <c r="H98" s="66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8">
        <v>75</v>
      </c>
      <c r="B99" s="58">
        <v>315</v>
      </c>
      <c r="C99" s="58">
        <v>6</v>
      </c>
      <c r="D99" s="58">
        <v>28</v>
      </c>
      <c r="E99" s="66"/>
      <c r="F99" s="66"/>
      <c r="G99" s="66"/>
      <c r="H99" s="66"/>
      <c r="I99" s="56">
        <f t="shared" si="3"/>
        <v>5.4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8">
        <v>80</v>
      </c>
      <c r="B100" s="58">
        <v>313</v>
      </c>
      <c r="C100" s="58"/>
      <c r="D100" s="58"/>
      <c r="E100" s="67"/>
      <c r="F100" s="67"/>
      <c r="G100" s="67"/>
      <c r="H100" s="67"/>
      <c r="I100" s="56">
        <f t="shared" si="3"/>
        <v>5.2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94">
        <v>85</v>
      </c>
      <c r="B101" s="63">
        <f>324+14</f>
        <v>338</v>
      </c>
      <c r="C101" s="94">
        <v>7</v>
      </c>
      <c r="D101" s="63">
        <f>14+13</f>
        <v>27</v>
      </c>
      <c r="E101" s="57"/>
      <c r="F101" s="57"/>
      <c r="G101" s="57"/>
      <c r="H101" s="57"/>
      <c r="I101" s="56">
        <f t="shared" si="3"/>
        <v>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53">
        <v>334</v>
      </c>
      <c r="C102" s="53"/>
      <c r="D102" s="53"/>
      <c r="E102" s="57"/>
      <c r="F102" s="57"/>
      <c r="G102" s="57"/>
      <c r="H102" s="57"/>
      <c r="I102" s="56">
        <f t="shared" si="3"/>
        <v>4.5999999999999996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v>357</v>
      </c>
      <c r="C103" s="53">
        <v>8</v>
      </c>
      <c r="D103" s="53">
        <v>26</v>
      </c>
      <c r="E103" s="57"/>
      <c r="F103" s="57"/>
      <c r="G103" s="57"/>
      <c r="H103" s="57"/>
      <c r="I103" s="56">
        <f t="shared" si="3"/>
        <v>4.5999999999999996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v>352</v>
      </c>
      <c r="C104" s="53"/>
      <c r="D104" s="53"/>
      <c r="E104" s="57"/>
      <c r="F104" s="57"/>
      <c r="G104" s="57"/>
      <c r="H104" s="57"/>
      <c r="I104" s="56">
        <f t="shared" si="3"/>
        <v>4.2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391</v>
      </c>
      <c r="C105" s="53">
        <v>9</v>
      </c>
      <c r="D105" s="53">
        <v>34</v>
      </c>
      <c r="E105" s="57"/>
      <c r="F105" s="57"/>
      <c r="G105" s="57"/>
      <c r="H105" s="57"/>
      <c r="I105" s="56">
        <f t="shared" si="3"/>
        <v>3.9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120</v>
      </c>
      <c r="B106" s="53">
        <v>393</v>
      </c>
      <c r="C106" s="53"/>
      <c r="D106" s="53"/>
      <c r="E106" s="57"/>
      <c r="F106" s="57"/>
      <c r="G106" s="57"/>
      <c r="H106" s="57"/>
      <c r="I106" s="56">
        <f t="shared" si="3"/>
        <v>3.6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130</v>
      </c>
      <c r="B107" s="53">
        <v>425</v>
      </c>
      <c r="C107" s="53">
        <v>10</v>
      </c>
      <c r="D107" s="53">
        <v>425</v>
      </c>
      <c r="E107" s="57"/>
      <c r="F107" s="57"/>
      <c r="G107" s="57"/>
      <c r="H107" s="57"/>
      <c r="I107" s="56">
        <f t="shared" si="3"/>
        <v>3.2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plane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8.9</v>
      </c>
      <c r="C114" s="63"/>
      <c r="D114" s="63"/>
      <c r="E114" s="54"/>
      <c r="F114" s="54"/>
      <c r="G114" s="54"/>
      <c r="H114" s="66"/>
      <c r="I114" s="56">
        <f>IFERROR(B114/A114,"")</f>
        <v>0.59333333333333338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35.7+21</f>
        <v>56.7</v>
      </c>
      <c r="C115" s="63"/>
      <c r="D115" s="63"/>
      <c r="E115" s="66"/>
      <c r="F115" s="66"/>
      <c r="G115" s="66"/>
      <c r="H115" s="66"/>
      <c r="I115" s="56">
        <f t="shared" ref="I115:I133" si="4">IF(A115&lt;&gt;0,(B115-(B114-D114))/(A115-A114),"")</f>
        <v>9.56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65.3+21+21</f>
        <v>107.3</v>
      </c>
      <c r="C116" s="63">
        <v>1</v>
      </c>
      <c r="D116" s="63">
        <f>21+21</f>
        <v>42</v>
      </c>
      <c r="E116" s="66"/>
      <c r="F116" s="66"/>
      <c r="G116" s="66"/>
      <c r="H116" s="66">
        <v>1</v>
      </c>
      <c r="I116" s="56">
        <f t="shared" si="4"/>
        <v>10.119999999999999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92.5+21</f>
        <v>113.5</v>
      </c>
      <c r="C117" s="63"/>
      <c r="D117" s="63"/>
      <c r="E117" s="66"/>
      <c r="F117" s="66"/>
      <c r="G117" s="66"/>
      <c r="H117" s="66"/>
      <c r="I117" s="56">
        <f t="shared" si="4"/>
        <v>9.64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115.1+21+21</f>
        <v>157.1</v>
      </c>
      <c r="C118" s="63">
        <v>2</v>
      </c>
      <c r="D118" s="63">
        <f>21+21</f>
        <v>42</v>
      </c>
      <c r="E118" s="66"/>
      <c r="F118" s="66"/>
      <c r="G118" s="66"/>
      <c r="H118" s="66"/>
      <c r="I118" s="56">
        <f t="shared" si="4"/>
        <v>8.7199999999999989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132+21</f>
        <v>153</v>
      </c>
      <c r="C119" s="63"/>
      <c r="D119" s="63"/>
      <c r="E119" s="66"/>
      <c r="F119" s="66"/>
      <c r="G119" s="66"/>
      <c r="H119" s="66"/>
      <c r="I119" s="56">
        <f t="shared" si="4"/>
        <v>7.580000000000001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f>146.3+21+18.3</f>
        <v>185.60000000000002</v>
      </c>
      <c r="C120" s="63">
        <v>3</v>
      </c>
      <c r="D120" s="63">
        <f>21+18.3</f>
        <v>39.299999999999997</v>
      </c>
      <c r="E120" s="66"/>
      <c r="F120" s="66"/>
      <c r="G120" s="66"/>
      <c r="H120" s="66"/>
      <c r="I120" s="56">
        <f t="shared" si="4"/>
        <v>6.5200000000000049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8">
        <v>50</v>
      </c>
      <c r="B121" s="58">
        <v>174.20000000000002</v>
      </c>
      <c r="C121" s="58"/>
      <c r="D121" s="58"/>
      <c r="E121" s="66"/>
      <c r="F121" s="66"/>
      <c r="G121" s="66"/>
      <c r="H121" s="66"/>
      <c r="I121" s="56">
        <f t="shared" si="4"/>
        <v>5.580000000000001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8">
        <v>55</v>
      </c>
      <c r="B122" s="58">
        <v>198</v>
      </c>
      <c r="C122" s="58">
        <v>4</v>
      </c>
      <c r="D122" s="58">
        <v>23.8</v>
      </c>
      <c r="E122" s="66"/>
      <c r="F122" s="66"/>
      <c r="G122" s="66"/>
      <c r="H122" s="66"/>
      <c r="I122" s="56">
        <f t="shared" si="4"/>
        <v>4.7599999999999962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8">
        <v>60</v>
      </c>
      <c r="B123" s="58">
        <v>194.5</v>
      </c>
      <c r="C123" s="58"/>
      <c r="D123" s="58"/>
      <c r="E123" s="66"/>
      <c r="F123" s="66"/>
      <c r="G123" s="66"/>
      <c r="H123" s="66"/>
      <c r="I123" s="56">
        <f t="shared" si="4"/>
        <v>4.0600000000000023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8">
        <v>65</v>
      </c>
      <c r="B124" s="58">
        <v>211.70000000000002</v>
      </c>
      <c r="C124" s="58">
        <v>5</v>
      </c>
      <c r="D124" s="58">
        <v>17.700000000000003</v>
      </c>
      <c r="E124" s="66"/>
      <c r="F124" s="66"/>
      <c r="G124" s="66"/>
      <c r="H124" s="66"/>
      <c r="I124" s="56">
        <f t="shared" si="4"/>
        <v>3.4400000000000035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8">
        <v>70</v>
      </c>
      <c r="B125" s="58">
        <v>208.6</v>
      </c>
      <c r="C125" s="58"/>
      <c r="D125" s="58"/>
      <c r="E125" s="66"/>
      <c r="F125" s="66"/>
      <c r="G125" s="66"/>
      <c r="H125" s="66"/>
      <c r="I125" s="56">
        <f t="shared" si="4"/>
        <v>2.919999999999999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8">
        <v>75</v>
      </c>
      <c r="B126" s="58">
        <v>221.5</v>
      </c>
      <c r="C126" s="58"/>
      <c r="D126" s="58"/>
      <c r="E126" s="67"/>
      <c r="F126" s="67"/>
      <c r="G126" s="67"/>
      <c r="H126" s="67"/>
      <c r="I126" s="56">
        <f t="shared" si="4"/>
        <v>2.580000000000001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94">
        <v>80</v>
      </c>
      <c r="B127" s="63">
        <f>213.1+7.5+6.6+5.7</f>
        <v>232.89999999999998</v>
      </c>
      <c r="C127" s="94">
        <v>6</v>
      </c>
      <c r="D127" s="63">
        <f>B127</f>
        <v>232.89999999999998</v>
      </c>
      <c r="E127" s="57"/>
      <c r="F127" s="57"/>
      <c r="G127" s="57"/>
      <c r="H127" s="57"/>
      <c r="I127" s="56">
        <f t="shared" si="4"/>
        <v>2.2799999999999954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Douglas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f>181.56/1.3</f>
        <v>139.66153846153847</v>
      </c>
      <c r="C140" s="63"/>
      <c r="D140" s="63"/>
      <c r="E140" s="54"/>
      <c r="F140" s="54"/>
      <c r="G140" s="54"/>
      <c r="H140" s="54"/>
      <c r="I140" s="60">
        <f>IFERROR(B140/A140,"")</f>
        <v>5.5864615384615384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f>254.68/1.3</f>
        <v>195.90769230769232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11.249230769230769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34</v>
      </c>
      <c r="B142" s="63">
        <f>313.18/1.3</f>
        <v>240.90769230769232</v>
      </c>
      <c r="C142" s="63">
        <v>1</v>
      </c>
      <c r="D142" s="63">
        <f>109.16/1.3</f>
        <v>83.969230769230762</v>
      </c>
      <c r="E142" s="54"/>
      <c r="F142" s="54"/>
      <c r="G142" s="54"/>
      <c r="H142" s="54"/>
      <c r="I142" s="60">
        <f t="shared" si="5"/>
        <v>11.25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43</v>
      </c>
      <c r="B143" s="63">
        <f>332.17/1.3</f>
        <v>255.51538461538462</v>
      </c>
      <c r="C143" s="63">
        <v>2</v>
      </c>
      <c r="D143" s="63">
        <f>78.83/1.3</f>
        <v>60.638461538461534</v>
      </c>
      <c r="E143" s="54"/>
      <c r="F143" s="54"/>
      <c r="G143" s="54"/>
      <c r="H143" s="54"/>
      <c r="I143" s="60">
        <f t="shared" si="5"/>
        <v>10.952991452991451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52</v>
      </c>
      <c r="B144" s="63">
        <f>375.29/1.3</f>
        <v>288.68461538461537</v>
      </c>
      <c r="C144" s="63">
        <v>3</v>
      </c>
      <c r="D144" s="63">
        <f>65.46/1.3</f>
        <v>50.353846153846149</v>
      </c>
      <c r="E144" s="54"/>
      <c r="F144" s="54"/>
      <c r="G144" s="54"/>
      <c r="H144" s="54"/>
      <c r="I144" s="60">
        <f t="shared" si="5"/>
        <v>10.423076923076922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62</v>
      </c>
      <c r="B145" s="63">
        <f>434.17/1.3</f>
        <v>333.97692307692307</v>
      </c>
      <c r="C145" s="63">
        <v>4</v>
      </c>
      <c r="D145" s="63">
        <f>69.82/1.3</f>
        <v>53.707692307692298</v>
      </c>
      <c r="E145" s="54"/>
      <c r="F145" s="54"/>
      <c r="G145" s="54"/>
      <c r="H145" s="54"/>
      <c r="I145" s="60">
        <f t="shared" si="5"/>
        <v>9.5646153846153847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72</v>
      </c>
      <c r="B146" s="63">
        <f>473.47/1.3</f>
        <v>364.2076923076923</v>
      </c>
      <c r="C146" s="63">
        <v>5</v>
      </c>
      <c r="D146" s="63">
        <f>67.51/1.3</f>
        <v>51.930769230769236</v>
      </c>
      <c r="E146" s="54"/>
      <c r="F146" s="54"/>
      <c r="G146" s="54"/>
      <c r="H146" s="54"/>
      <c r="I146" s="60">
        <f t="shared" si="5"/>
        <v>8.3938461538461517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83">
        <v>84</v>
      </c>
      <c r="B147" s="63">
        <f>516.3/1.3</f>
        <v>397.15384615384613</v>
      </c>
      <c r="C147" s="63">
        <v>6</v>
      </c>
      <c r="D147" s="63">
        <f>73.57/1.3</f>
        <v>56.592307692307685</v>
      </c>
      <c r="E147" s="54"/>
      <c r="F147" s="54"/>
      <c r="G147" s="54"/>
      <c r="H147" s="54"/>
      <c r="I147" s="60">
        <f>IF(A147&lt;&gt;0,(B147-(B146-D146))/(A147-A146),"")</f>
        <v>7.073076923076921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83">
        <v>96</v>
      </c>
      <c r="B148" s="63">
        <f>531.63/1.3</f>
        <v>408.94615384615383</v>
      </c>
      <c r="C148" s="63">
        <v>7</v>
      </c>
      <c r="D148" s="63">
        <f>77.71/1.3</f>
        <v>59.776923076923069</v>
      </c>
      <c r="E148" s="54"/>
      <c r="F148" s="54"/>
      <c r="G148" s="54"/>
      <c r="H148" s="54"/>
      <c r="I148" s="60">
        <f t="shared" si="5"/>
        <v>5.6987179487179462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83">
        <v>108</v>
      </c>
      <c r="B149" s="63">
        <f>523.68/1.3</f>
        <v>402.83076923076919</v>
      </c>
      <c r="C149" s="63">
        <v>8</v>
      </c>
      <c r="D149" s="63">
        <f>68.07/1.3</f>
        <v>52.361538461538451</v>
      </c>
      <c r="E149" s="54"/>
      <c r="F149" s="54"/>
      <c r="G149" s="54"/>
      <c r="H149" s="54"/>
      <c r="I149" s="60">
        <f t="shared" si="5"/>
        <v>4.4717948717948701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83">
        <v>120</v>
      </c>
      <c r="B150" s="63">
        <f>509.76/1.3</f>
        <v>392.12307692307689</v>
      </c>
      <c r="C150" s="63">
        <v>9</v>
      </c>
      <c r="D150" s="63">
        <f>B150</f>
        <v>392.12307692307689</v>
      </c>
      <c r="E150" s="54"/>
      <c r="F150" s="54"/>
      <c r="G150" s="54"/>
      <c r="H150" s="54"/>
      <c r="I150" s="60">
        <f t="shared" si="5"/>
        <v>3.4711538461538445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/>
      <c r="B151" s="63"/>
      <c r="C151" s="63"/>
      <c r="D151" s="63"/>
      <c r="E151" s="93"/>
      <c r="F151" s="93"/>
      <c r="G151" s="93"/>
      <c r="H151" s="93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Mélèze d'Europe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18</v>
      </c>
      <c r="B166" s="63">
        <v>112</v>
      </c>
      <c r="C166" s="53">
        <v>1</v>
      </c>
      <c r="D166" s="63">
        <v>20</v>
      </c>
      <c r="E166" s="54"/>
      <c r="F166" s="54"/>
      <c r="G166" s="54">
        <v>0.5</v>
      </c>
      <c r="H166" s="54">
        <v>0.5</v>
      </c>
      <c r="I166" s="52">
        <f>IFERROR(B166/A166,"")</f>
        <v>6.2222222222222223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21</v>
      </c>
      <c r="B167" s="63">
        <v>146</v>
      </c>
      <c r="C167" s="53">
        <v>2</v>
      </c>
      <c r="D167" s="63">
        <v>26</v>
      </c>
      <c r="E167" s="54"/>
      <c r="F167" s="54"/>
      <c r="G167" s="54">
        <v>0.5</v>
      </c>
      <c r="H167" s="54">
        <v>0.5</v>
      </c>
      <c r="I167" s="52">
        <f t="shared" ref="I167:I185" si="6">IF(A167&lt;&gt;0,(B167-(B166-D166))/(A167-A166),"")</f>
        <v>18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24</v>
      </c>
      <c r="B168" s="63">
        <v>168</v>
      </c>
      <c r="C168" s="53">
        <v>3</v>
      </c>
      <c r="D168" s="63">
        <v>29</v>
      </c>
      <c r="E168" s="54"/>
      <c r="F168" s="54">
        <v>0.2</v>
      </c>
      <c r="G168" s="54">
        <v>0.4</v>
      </c>
      <c r="H168" s="54">
        <v>0.4</v>
      </c>
      <c r="I168" s="52">
        <f t="shared" si="6"/>
        <v>16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v>224</v>
      </c>
      <c r="C169" s="53">
        <v>4</v>
      </c>
      <c r="D169" s="63">
        <v>53</v>
      </c>
      <c r="E169" s="54"/>
      <c r="F169" s="54">
        <v>0.2</v>
      </c>
      <c r="G169" s="54">
        <v>0.4</v>
      </c>
      <c r="H169" s="54">
        <v>0.4</v>
      </c>
      <c r="I169" s="52">
        <f t="shared" si="6"/>
        <v>14.166666666666666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36</v>
      </c>
      <c r="B170" s="63">
        <v>248</v>
      </c>
      <c r="C170" s="53">
        <v>5</v>
      </c>
      <c r="D170" s="63">
        <v>62</v>
      </c>
      <c r="E170" s="54"/>
      <c r="F170" s="54"/>
      <c r="G170" s="54"/>
      <c r="H170" s="54"/>
      <c r="I170" s="52">
        <f t="shared" si="6"/>
        <v>12.833333333333334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42</v>
      </c>
      <c r="B171" s="63">
        <v>255</v>
      </c>
      <c r="C171" s="53">
        <v>6</v>
      </c>
      <c r="D171" s="63">
        <v>67</v>
      </c>
      <c r="E171" s="54"/>
      <c r="F171" s="54"/>
      <c r="G171" s="54"/>
      <c r="H171" s="54"/>
      <c r="I171" s="52">
        <f t="shared" si="6"/>
        <v>11.5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3">
        <v>48</v>
      </c>
      <c r="B172" s="63">
        <v>252</v>
      </c>
      <c r="C172" s="63">
        <v>7</v>
      </c>
      <c r="D172" s="63">
        <v>65</v>
      </c>
      <c r="E172" s="93"/>
      <c r="F172" s="93"/>
      <c r="G172" s="93"/>
      <c r="H172" s="93"/>
      <c r="I172" s="52">
        <f t="shared" si="6"/>
        <v>10.666666666666666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60</v>
      </c>
      <c r="B173" s="63">
        <v>304</v>
      </c>
      <c r="C173" s="63">
        <v>8</v>
      </c>
      <c r="D173" s="63">
        <f>B173</f>
        <v>304</v>
      </c>
      <c r="E173" s="93"/>
      <c r="F173" s="93"/>
      <c r="G173" s="93"/>
      <c r="H173" s="93"/>
      <c r="I173" s="52">
        <f t="shared" si="6"/>
        <v>9.75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Cormier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57</v>
      </c>
      <c r="C192" s="53"/>
      <c r="D192" s="63"/>
      <c r="E192" s="66"/>
      <c r="F192" s="66"/>
      <c r="G192" s="66"/>
      <c r="H192" s="66"/>
      <c r="I192" s="52">
        <f>IFERROR(B192/A192,"")</f>
        <v>2.85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f>87+7</f>
        <v>94</v>
      </c>
      <c r="C193" s="53">
        <v>1</v>
      </c>
      <c r="D193" s="63">
        <f>7+9</f>
        <v>16</v>
      </c>
      <c r="E193" s="66"/>
      <c r="F193" s="66"/>
      <c r="G193" s="66"/>
      <c r="H193" s="66">
        <v>1</v>
      </c>
      <c r="I193" s="52">
        <f t="shared" ref="I193:I211" si="7">IF(A193&lt;&gt;0,(B193-(B192-D192))/(A193-A192),"")</f>
        <v>7.4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117</v>
      </c>
      <c r="C194" s="53"/>
      <c r="D194" s="63"/>
      <c r="E194" s="66"/>
      <c r="F194" s="66"/>
      <c r="G194" s="66"/>
      <c r="H194" s="66"/>
      <c r="I194" s="52">
        <f t="shared" si="7"/>
        <v>7.8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8">
        <v>35</v>
      </c>
      <c r="B195" s="58">
        <v>157</v>
      </c>
      <c r="C195" s="58">
        <v>2</v>
      </c>
      <c r="D195" s="58">
        <v>24</v>
      </c>
      <c r="E195" s="66"/>
      <c r="F195" s="66"/>
      <c r="G195" s="66"/>
      <c r="H195" s="66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8">
        <v>40</v>
      </c>
      <c r="B196" s="58">
        <v>173</v>
      </c>
      <c r="C196" s="58"/>
      <c r="D196" s="58"/>
      <c r="E196" s="66"/>
      <c r="F196" s="66"/>
      <c r="G196" s="66"/>
      <c r="H196" s="66"/>
      <c r="I196" s="52">
        <f t="shared" si="7"/>
        <v>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8">
        <v>45</v>
      </c>
      <c r="B197" s="58">
        <v>211</v>
      </c>
      <c r="C197" s="58">
        <v>3</v>
      </c>
      <c r="D197" s="58">
        <v>28</v>
      </c>
      <c r="E197" s="66"/>
      <c r="F197" s="66"/>
      <c r="G197" s="66"/>
      <c r="H197" s="66"/>
      <c r="I197" s="52">
        <f t="shared" si="7"/>
        <v>7.6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8">
        <v>50</v>
      </c>
      <c r="B198" s="58">
        <v>219</v>
      </c>
      <c r="C198" s="58"/>
      <c r="D198" s="58"/>
      <c r="E198" s="66"/>
      <c r="F198" s="66"/>
      <c r="G198" s="66"/>
      <c r="H198" s="66"/>
      <c r="I198" s="52">
        <f t="shared" si="7"/>
        <v>7.2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55</v>
      </c>
      <c r="B199" s="58">
        <v>254</v>
      </c>
      <c r="C199" s="58">
        <v>4</v>
      </c>
      <c r="D199" s="58">
        <v>30</v>
      </c>
      <c r="E199" s="66"/>
      <c r="F199" s="66"/>
      <c r="G199" s="66"/>
      <c r="H199" s="66"/>
      <c r="I199" s="52">
        <f t="shared" si="7"/>
        <v>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60</v>
      </c>
      <c r="B200" s="58">
        <v>257</v>
      </c>
      <c r="C200" s="58"/>
      <c r="D200" s="58"/>
      <c r="E200" s="66"/>
      <c r="F200" s="66"/>
      <c r="G200" s="66"/>
      <c r="H200" s="66"/>
      <c r="I200" s="52">
        <f t="shared" si="7"/>
        <v>6.6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65</v>
      </c>
      <c r="B201" s="58">
        <v>288</v>
      </c>
      <c r="C201" s="58">
        <v>5</v>
      </c>
      <c r="D201" s="58">
        <v>30</v>
      </c>
      <c r="E201" s="66"/>
      <c r="F201" s="66"/>
      <c r="G201" s="66"/>
      <c r="H201" s="66"/>
      <c r="I201" s="52">
        <f t="shared" si="7"/>
        <v>6.2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70</v>
      </c>
      <c r="B202" s="58">
        <v>288</v>
      </c>
      <c r="C202" s="58"/>
      <c r="D202" s="58"/>
      <c r="E202" s="66"/>
      <c r="F202" s="66"/>
      <c r="G202" s="66"/>
      <c r="H202" s="66"/>
      <c r="I202" s="52">
        <f t="shared" si="7"/>
        <v>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75</v>
      </c>
      <c r="B203" s="58">
        <v>315</v>
      </c>
      <c r="C203" s="58">
        <v>6</v>
      </c>
      <c r="D203" s="58">
        <v>28</v>
      </c>
      <c r="E203" s="66"/>
      <c r="F203" s="66"/>
      <c r="G203" s="66"/>
      <c r="H203" s="66"/>
      <c r="I203" s="52">
        <f t="shared" si="7"/>
        <v>5.4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80</v>
      </c>
      <c r="B204" s="58">
        <v>313</v>
      </c>
      <c r="C204" s="58"/>
      <c r="D204" s="58"/>
      <c r="E204" s="67"/>
      <c r="F204" s="67"/>
      <c r="G204" s="67"/>
      <c r="H204" s="67"/>
      <c r="I204" s="52">
        <f t="shared" si="7"/>
        <v>5.2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4">
        <v>85</v>
      </c>
      <c r="B205" s="63">
        <f>324+14</f>
        <v>338</v>
      </c>
      <c r="C205" s="94">
        <v>7</v>
      </c>
      <c r="D205" s="63">
        <f>14+13</f>
        <v>27</v>
      </c>
      <c r="E205" s="57"/>
      <c r="F205" s="57"/>
      <c r="G205" s="57"/>
      <c r="H205" s="57"/>
      <c r="I205" s="52">
        <f t="shared" si="7"/>
        <v>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334</v>
      </c>
      <c r="C206" s="53"/>
      <c r="D206" s="53"/>
      <c r="E206" s="57"/>
      <c r="F206" s="57"/>
      <c r="G206" s="57"/>
      <c r="H206" s="57"/>
      <c r="I206" s="52">
        <f t="shared" si="7"/>
        <v>4.5999999999999996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357</v>
      </c>
      <c r="C207" s="53">
        <v>8</v>
      </c>
      <c r="D207" s="53">
        <v>26</v>
      </c>
      <c r="E207" s="57"/>
      <c r="F207" s="57"/>
      <c r="G207" s="57"/>
      <c r="H207" s="57"/>
      <c r="I207" s="52">
        <f t="shared" si="7"/>
        <v>4.5999999999999996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352</v>
      </c>
      <c r="C208" s="53"/>
      <c r="D208" s="53"/>
      <c r="E208" s="57"/>
      <c r="F208" s="57"/>
      <c r="G208" s="57"/>
      <c r="H208" s="57"/>
      <c r="I208" s="52">
        <f t="shared" si="7"/>
        <v>4.2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110</v>
      </c>
      <c r="B209" s="53">
        <v>391</v>
      </c>
      <c r="C209" s="53">
        <v>9</v>
      </c>
      <c r="D209" s="53">
        <v>34</v>
      </c>
      <c r="E209" s="57"/>
      <c r="F209" s="57"/>
      <c r="G209" s="57"/>
      <c r="H209" s="57"/>
      <c r="I209" s="52">
        <f t="shared" si="7"/>
        <v>3.9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120</v>
      </c>
      <c r="B210" s="53">
        <v>393</v>
      </c>
      <c r="C210" s="53"/>
      <c r="D210" s="53"/>
      <c r="E210" s="57"/>
      <c r="F210" s="57"/>
      <c r="G210" s="57"/>
      <c r="H210" s="57"/>
      <c r="I210" s="52">
        <f t="shared" si="7"/>
        <v>3.6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130</v>
      </c>
      <c r="B211" s="53">
        <v>425</v>
      </c>
      <c r="C211" s="53">
        <v>10</v>
      </c>
      <c r="D211" s="53">
        <v>425</v>
      </c>
      <c r="E211" s="57"/>
      <c r="F211" s="57"/>
      <c r="G211" s="57"/>
      <c r="H211" s="57"/>
      <c r="I211" s="52">
        <f t="shared" si="7"/>
        <v>3.2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57</v>
      </c>
      <c r="C218" s="53"/>
      <c r="D218" s="63"/>
      <c r="E218" s="66"/>
      <c r="F218" s="66"/>
      <c r="G218" s="66"/>
      <c r="H218" s="66"/>
      <c r="I218" s="56">
        <f>IFERROR(B218/A218,"")</f>
        <v>2.85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f>87+7</f>
        <v>94</v>
      </c>
      <c r="C219" s="53">
        <v>1</v>
      </c>
      <c r="D219" s="63">
        <f>7+9</f>
        <v>16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7.4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v>117</v>
      </c>
      <c r="C220" s="53"/>
      <c r="D220" s="63"/>
      <c r="E220" s="66"/>
      <c r="F220" s="66"/>
      <c r="G220" s="66"/>
      <c r="H220" s="66"/>
      <c r="I220" s="56">
        <f t="shared" si="8"/>
        <v>7.8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35</v>
      </c>
      <c r="B221" s="58">
        <v>157</v>
      </c>
      <c r="C221" s="58">
        <v>2</v>
      </c>
      <c r="D221" s="58">
        <v>24</v>
      </c>
      <c r="E221" s="66"/>
      <c r="F221" s="66"/>
      <c r="G221" s="66"/>
      <c r="H221" s="66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40</v>
      </c>
      <c r="B222" s="58">
        <v>173</v>
      </c>
      <c r="C222" s="58"/>
      <c r="D222" s="58"/>
      <c r="E222" s="66"/>
      <c r="F222" s="66"/>
      <c r="G222" s="66"/>
      <c r="H222" s="66"/>
      <c r="I222" s="56">
        <f t="shared" si="8"/>
        <v>8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45</v>
      </c>
      <c r="B223" s="58">
        <v>211</v>
      </c>
      <c r="C223" s="58">
        <v>3</v>
      </c>
      <c r="D223" s="58">
        <v>28</v>
      </c>
      <c r="E223" s="66"/>
      <c r="F223" s="66"/>
      <c r="G223" s="66"/>
      <c r="H223" s="66"/>
      <c r="I223" s="56">
        <f t="shared" si="8"/>
        <v>7.6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50</v>
      </c>
      <c r="B224" s="58">
        <v>219</v>
      </c>
      <c r="C224" s="58"/>
      <c r="D224" s="58"/>
      <c r="E224" s="66"/>
      <c r="F224" s="66"/>
      <c r="G224" s="66"/>
      <c r="H224" s="66"/>
      <c r="I224" s="56">
        <f t="shared" si="8"/>
        <v>7.2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55</v>
      </c>
      <c r="B225" s="58">
        <v>254</v>
      </c>
      <c r="C225" s="58">
        <v>4</v>
      </c>
      <c r="D225" s="58">
        <v>30</v>
      </c>
      <c r="E225" s="66"/>
      <c r="F225" s="66"/>
      <c r="G225" s="66"/>
      <c r="H225" s="66"/>
      <c r="I225" s="56">
        <f t="shared" si="8"/>
        <v>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60</v>
      </c>
      <c r="B226" s="58">
        <v>257</v>
      </c>
      <c r="C226" s="58"/>
      <c r="D226" s="58"/>
      <c r="E226" s="66"/>
      <c r="F226" s="66"/>
      <c r="G226" s="66"/>
      <c r="H226" s="66"/>
      <c r="I226" s="56">
        <f t="shared" si="8"/>
        <v>6.6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65</v>
      </c>
      <c r="B227" s="58">
        <v>288</v>
      </c>
      <c r="C227" s="58">
        <v>5</v>
      </c>
      <c r="D227" s="58">
        <v>30</v>
      </c>
      <c r="E227" s="66"/>
      <c r="F227" s="66"/>
      <c r="G227" s="66"/>
      <c r="H227" s="66"/>
      <c r="I227" s="56">
        <f t="shared" si="8"/>
        <v>6.2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70</v>
      </c>
      <c r="B228" s="58">
        <v>288</v>
      </c>
      <c r="C228" s="58"/>
      <c r="D228" s="58"/>
      <c r="E228" s="66"/>
      <c r="F228" s="66"/>
      <c r="G228" s="66"/>
      <c r="H228" s="66"/>
      <c r="I228" s="56">
        <f t="shared" si="8"/>
        <v>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75</v>
      </c>
      <c r="B229" s="58">
        <v>315</v>
      </c>
      <c r="C229" s="58">
        <v>6</v>
      </c>
      <c r="D229" s="58">
        <v>28</v>
      </c>
      <c r="E229" s="66"/>
      <c r="F229" s="66"/>
      <c r="G229" s="66"/>
      <c r="H229" s="66"/>
      <c r="I229" s="56">
        <f t="shared" si="8"/>
        <v>5.4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80</v>
      </c>
      <c r="B230" s="58">
        <v>313</v>
      </c>
      <c r="C230" s="58"/>
      <c r="D230" s="58"/>
      <c r="E230" s="67"/>
      <c r="F230" s="67"/>
      <c r="G230" s="67"/>
      <c r="H230" s="67"/>
      <c r="I230" s="56">
        <f t="shared" si="8"/>
        <v>5.2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85</v>
      </c>
      <c r="B231" s="63">
        <f>324+14</f>
        <v>338</v>
      </c>
      <c r="C231" s="94">
        <v>7</v>
      </c>
      <c r="D231" s="63">
        <f>14+13</f>
        <v>27</v>
      </c>
      <c r="E231" s="57"/>
      <c r="F231" s="57"/>
      <c r="G231" s="57"/>
      <c r="H231" s="57"/>
      <c r="I231" s="56">
        <f t="shared" si="8"/>
        <v>5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90</v>
      </c>
      <c r="B232" s="53">
        <v>334</v>
      </c>
      <c r="C232" s="53"/>
      <c r="D232" s="53"/>
      <c r="E232" s="57"/>
      <c r="F232" s="57"/>
      <c r="G232" s="57"/>
      <c r="H232" s="57"/>
      <c r="I232" s="56">
        <f t="shared" si="8"/>
        <v>4.5999999999999996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95</v>
      </c>
      <c r="B233" s="53">
        <v>357</v>
      </c>
      <c r="C233" s="53">
        <v>8</v>
      </c>
      <c r="D233" s="53">
        <v>26</v>
      </c>
      <c r="E233" s="57"/>
      <c r="F233" s="57"/>
      <c r="G233" s="57"/>
      <c r="H233" s="57"/>
      <c r="I233" s="56">
        <f t="shared" si="8"/>
        <v>4.5999999999999996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100</v>
      </c>
      <c r="B234" s="53">
        <v>352</v>
      </c>
      <c r="C234" s="53"/>
      <c r="D234" s="53"/>
      <c r="E234" s="57"/>
      <c r="F234" s="57"/>
      <c r="G234" s="57"/>
      <c r="H234" s="57"/>
      <c r="I234" s="56">
        <f t="shared" si="8"/>
        <v>4.2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110</v>
      </c>
      <c r="B235" s="53">
        <v>391</v>
      </c>
      <c r="C235" s="53">
        <v>9</v>
      </c>
      <c r="D235" s="53">
        <v>34</v>
      </c>
      <c r="E235" s="57"/>
      <c r="F235" s="57"/>
      <c r="G235" s="57"/>
      <c r="H235" s="57"/>
      <c r="I235" s="56">
        <f t="shared" si="8"/>
        <v>3.9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120</v>
      </c>
      <c r="B236" s="53">
        <v>393</v>
      </c>
      <c r="C236" s="53"/>
      <c r="D236" s="53"/>
      <c r="E236" s="57"/>
      <c r="F236" s="57"/>
      <c r="G236" s="57"/>
      <c r="H236" s="57"/>
      <c r="I236" s="56">
        <f t="shared" si="8"/>
        <v>3.6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130</v>
      </c>
      <c r="B237" s="53">
        <v>425</v>
      </c>
      <c r="C237" s="53">
        <v>10</v>
      </c>
      <c r="D237" s="53">
        <v>425</v>
      </c>
      <c r="E237" s="57"/>
      <c r="F237" s="57"/>
      <c r="G237" s="57"/>
      <c r="H237" s="57"/>
      <c r="I237" s="56">
        <f t="shared" si="8"/>
        <v>3.2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53"/>
      <c r="D244" s="63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5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5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Sapin méditerranéen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plane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Douglas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Mélèze d'Europe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Cormier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Alisier torminal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179.22241276165141</v>
      </c>
      <c r="T3" s="62">
        <f>IF('Données projet'!E9&gt;30,$R$33-$H$33,LOOKUP('Données projet'!$E$9,$A$3:$A$203,R3:R203)-LOOKUP('Données projet'!$E$9,$A$3:$A$203,$H$3:$H$203))</f>
        <v>86.510654589692876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157.42757749057949</v>
      </c>
      <c r="AO3" s="62">
        <f>IF('Données projet'!E10&gt;30,$AM$33-$H$33,LOOKUP('Données projet'!$E$10,$A$3:$A$203,AM3:AM203)-LOOKUP('Données projet'!$E$10,$A$3:$A$203,$H$3:$H$203))</f>
        <v>129.86070223892136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464.21202287459482</v>
      </c>
      <c r="BJ3" s="62">
        <f>IF('Données projet'!E11&gt;30,$BH$33-$H$33,LOOKUP('Données projet'!$E$11,$A$3:$A$203,BH3:BH203)-LOOKUP('Données projet'!$E$11,$A$3:$A$203,$H$3:$H$203))</f>
        <v>234.57880205159688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177.99876437322689</v>
      </c>
      <c r="CE3" s="62">
        <f>IF('Données projet'!E12&gt;30,$CC$33-$H$33,LOOKUP('Données projet'!$E$12,$A$3:$A$203,CC3:CC203)-LOOKUP('Données projet'!$E$12,$A$3:$A$203,$H$3:$H$203))</f>
        <v>165.68154380324592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242.07451379051349</v>
      </c>
      <c r="CZ3" s="62">
        <f>IF('Données projet'!E13&gt;30,$CX$33-$H$33,LOOKUP('Données projet'!$E$13,$A$3:$A$203,CX3:CX203)-LOOKUP('Données projet'!$E$13,$A$3:$A$203,$H$3:$H$203))</f>
        <v>207.11607964940754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178.56320966726986</v>
      </c>
      <c r="DU3" s="62">
        <f>IF('Données projet'!E14&gt;30,$DS$33-$H$33,LOOKUP('Données projet'!$E$14,$A$3:$A$203,DS3:DS203)-LOOKUP('Données projet'!$E$14,$A$3:$A$203,$H$3:$H$203))</f>
        <v>272.06842551411739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479.87943647026646</v>
      </c>
      <c r="EP3" s="62">
        <f>IF('Données projet'!E15&gt;30,$EN$33-$H$33,LOOKUP('Données projet'!$E$15,$A$3:$A$203,EN3:EN203)-LOOKUP('Données projet'!$E$15,$A$3:$A$203,$H$3:$H$203))</f>
        <v>242.41363045393223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293.33333333333331</v>
      </c>
      <c r="FJ3" s="62">
        <f ca="1">AVERAGE(OFFSET($FI$3,0,0,'Données projet'!$E$16+1,1))-AVERAGE(OFFSET($H$3,0,0,'Données projet'!$E$16+1,1))</f>
        <v>425.00152674093977</v>
      </c>
      <c r="FK3" s="62">
        <f>IF('Données projet'!E16&gt;30,$FI$33-$H$33,LOOKUP('Données projet'!$E$16,$A$3:$A$203,FI3:FI203)-LOOKUP('Données projet'!$E$16,$A$3:$A$203,$H$3:$H$203))</f>
        <v>214.96884469274687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3.7333333333333334</v>
      </c>
      <c r="N4" s="14">
        <f>IF('Données projet'!$A$36&gt;35,N3+M4-V3,IF(A4&lt;'Données projet'!$A$36,$K$205^A4,IF(A4='Données projet'!$A$36,'Données projet'!$B$36,N3+M4-V3)))</f>
        <v>1.1703271155931456</v>
      </c>
      <c r="O4" s="14">
        <f>N4*VLOOKUP('Données projet'!$B$9,Paramètres!$A$1:$I$89,3,0)*VLOOKUP('Données projet'!$B$9,Paramètres!$A$1:$I$89,5,0)</f>
        <v>0.56292734260030308</v>
      </c>
      <c r="P4" s="14">
        <f>EXP(-1.0587+0.8836*LN(O4)+0.284)</f>
        <v>0.2773650627125453</v>
      </c>
      <c r="Q4" s="22">
        <f t="shared" ref="Q4:Q34" si="2">(O4+P4)*0.475*44/12</f>
        <v>1.4635092725865444</v>
      </c>
      <c r="R4" s="62">
        <f t="shared" si="0"/>
        <v>294.79684260591984</v>
      </c>
      <c r="S4" s="62">
        <f ca="1">AVERAGE(OFFSET($R$3,0,0,'Données projet'!$E$9+1,1))-AVERAGE(OFFSET($H$3,0,0,'Données projet'!$E$9+1,1))</f>
        <v>179.22241276165141</v>
      </c>
      <c r="T4" s="62">
        <f>$T$3</f>
        <v>86.510654589692876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4.857846153846153</v>
      </c>
      <c r="AI4" s="14">
        <f>IF('Données projet'!$A$62&gt;35,AI3+AH4-AQ3,IF(A4&lt;'Données projet'!$A$62,$AF$205^A4,IF(A4='Données projet'!$A$62,'Données projet'!$B$62,AI3+AH4-AQ3)))</f>
        <v>1.2116448776253546</v>
      </c>
      <c r="AJ4" s="14">
        <f>AI4*VLOOKUP('Données projet'!$B$10,Paramètres!$A$1:$I$89,3,0)*VLOOKUP('Données projet'!$B$10,Paramètres!$A$1:$I$89,5,0)</f>
        <v>0.72456363681996205</v>
      </c>
      <c r="AK4" s="14">
        <f>EXP(-1.0587+0.8836*LN(AJ4)+0.284)</f>
        <v>0.34666954530770067</v>
      </c>
      <c r="AL4" s="22">
        <f t="shared" ref="AL4:AL67" si="4">(AJ4+AK4)*0.475*44/12</f>
        <v>1.8657311255390123</v>
      </c>
      <c r="AM4" s="62">
        <f t="shared" ref="AM4:AM67" si="5">AL4+(AD4+AE4)*44/12</f>
        <v>295.19906445887233</v>
      </c>
      <c r="AN4" s="62">
        <f ca="1">AVERAGE(OFFSET($AM$3,0,0,'Données projet'!$E$10+1,1))-AVERAGE(OFFSET($H$3,0,0,'Données projet'!$E$10+1,1))</f>
        <v>157.42757749057949</v>
      </c>
      <c r="AO4" s="62">
        <f>$AO$3</f>
        <v>129.86070223892136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2.85</v>
      </c>
      <c r="BD4" s="13">
        <f>IF('Données projet'!$A$88&gt;35,BD3+BC4-BL3,IF(A4&lt;'Données projet'!$A$88,$BA$205^A4,IF(A4='Données projet'!$A$88,'Données projet'!$B$88,BD3+BC4-BL3)))</f>
        <v>1.2240347367580502</v>
      </c>
      <c r="BE4" s="14">
        <f>BD4*VLOOKUP('Données projet'!$B$11,Paramètres!$A$1:$I$89,3,0)*VLOOKUP('Données projet'!$B$11,Paramètres!$A$1:$I$89,5,0)</f>
        <v>1.2793611068595143</v>
      </c>
      <c r="BF4" s="14">
        <f>EXP(-1.0587+0.8836*LN(BE4)+0.284)</f>
        <v>0.57291633727960434</v>
      </c>
      <c r="BG4" s="22">
        <f t="shared" ref="BG4:BG67" si="7">(BE4+BF4)*0.475*44/12</f>
        <v>3.2260498818756318</v>
      </c>
      <c r="BH4" s="62">
        <f t="shared" ref="BH4:BH67" si="8">BG4+(AY4+AZ4)*44/12</f>
        <v>296.55938321520892</v>
      </c>
      <c r="BI4" s="62">
        <f ca="1">AVERAGE(OFFSET($BH$3,0,0,'Données projet'!$E$11+1,1))-AVERAGE(OFFSET($H$3,0,0,'Données projet'!$E$11+1,1))</f>
        <v>464.21202287459482</v>
      </c>
      <c r="BJ4" s="62">
        <f>$BJ$3</f>
        <v>234.57880205159688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0.59333333333333338</v>
      </c>
      <c r="BY4" s="13">
        <f>IF('Données projet'!$A$114&gt;35,BY3+BX4-CG3,IF(A4&lt;'Données projet'!$A$114,$BV$205^A4,IF(A4='Données projet'!$A$114,'Données projet'!$B$114,BY3+BX4-CG3)))</f>
        <v>1.156891598310152</v>
      </c>
      <c r="BZ4" s="14">
        <f>BY4*VLOOKUP('Données projet'!$B$12,Paramètres!$A$1:$I$89,3,0)*VLOOKUP('Données projet'!$B$12,Paramètres!$A$1:$I$89,5,0)</f>
        <v>0.92042295561555687</v>
      </c>
      <c r="CA4" s="14">
        <f>EXP(-1.0587+0.8836*LN(BZ4)+0.284)</f>
        <v>0.42828352474600018</v>
      </c>
      <c r="CB4" s="22">
        <f t="shared" ref="CB4:CB67" si="10">(BZ4+CA4)*0.475*44/12</f>
        <v>2.3489971199630455</v>
      </c>
      <c r="CC4" s="62">
        <f t="shared" ref="CC4:CC67" si="11">CB4+(BT4+BU4)*44/12</f>
        <v>295.68233045329634</v>
      </c>
      <c r="CD4" s="62">
        <f ca="1">AVERAGE(OFFSET($CC$3,0,0,'Données projet'!$E$12+1,1))-AVERAGE(OFFSET($H$3,0,0,'Données projet'!$E$12+1,1))</f>
        <v>177.99876437322689</v>
      </c>
      <c r="CE4" s="62">
        <f>$CE$3</f>
        <v>165.68154380324592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5.5864615384615384</v>
      </c>
      <c r="CT4" s="13">
        <f>IF('Données projet'!$A$140&gt;35,CT3+CS4-DB3,IF(A4&lt;'Données projet'!$A$140,$CQ$205^A4,IF(A4='Données projet'!$A$140,'Données projet'!$B$140,CT3+CS4-DB3)))</f>
        <v>1.2184369837847564</v>
      </c>
      <c r="CU4" s="18">
        <f>CT4*VLOOKUP('Données projet'!$B$13,Paramètres!$A$1:$I$89,3,0)*VLOOKUP('Données projet'!$B$13,Paramètres!$A$1:$I$89,5,0)</f>
        <v>0.68110627393567891</v>
      </c>
      <c r="CV4" s="14">
        <f>EXP(-1.0587+0.8836*LN(CU4)+0.284)</f>
        <v>0.32823185978726926</v>
      </c>
      <c r="CW4" s="22">
        <f t="shared" ref="CW4:CW67" si="13">(CU4+CV4)*0.475*44/12</f>
        <v>1.7579305829008012</v>
      </c>
      <c r="CX4" s="62">
        <f t="shared" ref="CX4:CX67" si="14">CW4+(CO4+CP4)*44/12</f>
        <v>295.09126391623414</v>
      </c>
      <c r="CY4" s="62">
        <f ca="1">AVERAGE(OFFSET($CX$3,0,0,'Données projet'!$E$13+1,1))-AVERAGE(OFFSET($H$3,0,0,'Données projet'!$E$13+1,1))</f>
        <v>242.07451379051349</v>
      </c>
      <c r="CZ4" s="62">
        <f>$CZ$3</f>
        <v>207.11607964940754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6.2222222222222223</v>
      </c>
      <c r="DO4" s="13">
        <f>IF('Données projet'!$A$166&gt;35,DO3+DN4-DW3,IF(A4&lt;'Données projet'!$A$166,$DL$205^A4,IF(A4='Données projet'!$A$166,'Données projet'!$B$166,DO3+DN4-DW3)))</f>
        <v>1.2997069632623315</v>
      </c>
      <c r="DP4" s="18">
        <f>DO4*VLOOKUP('Données projet'!$B$14,Paramètres!$A$1:$I$89,3,0)*VLOOKUP('Données projet'!$B$14,Paramètres!$A$1:$I$89,5,0)</f>
        <v>0.81101714507569489</v>
      </c>
      <c r="DQ4" s="14">
        <f>EXP(-1.0587+0.8836*LN(DP4)+0.284)</f>
        <v>0.38297551084354686</v>
      </c>
      <c r="DR4" s="22">
        <f t="shared" ref="DR4:DR67" si="16">(DP4+DQ4)*0.475*44/12</f>
        <v>2.0795372090593456</v>
      </c>
      <c r="DS4" s="62">
        <f t="shared" ref="DS4:DS67" si="17">DR4+(DJ4+DK4)*44/12</f>
        <v>295.41287054239268</v>
      </c>
      <c r="DT4" s="62">
        <f ca="1">AVERAGE(OFFSET($DS$3,0,0,'Données projet'!$E$14+1,1))-AVERAGE(OFFSET($H$3,0,0,'Données projet'!$E$14+1,1))</f>
        <v>178.56320966726986</v>
      </c>
      <c r="DU4" s="62">
        <f>$DU$3</f>
        <v>272.06842551411739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2.85</v>
      </c>
      <c r="EJ4" s="13">
        <f>IF('Données projet'!$A$192&gt;35,EJ3+EI4-ER3,IF(A4&lt;'Données projet'!$A$192,$EG$205^A4,IF(A4='Données projet'!$A$192,'Données projet'!$B$192,EJ3+EI4-ER3)))</f>
        <v>1.2240347367580502</v>
      </c>
      <c r="EK4" s="18">
        <f>EJ4*VLOOKUP('Données projet'!$B$15,Paramètres!$A$1:$I$89,3,0)*VLOOKUP('Données projet'!$B$15,Paramètres!$A$1:$I$89,5,0)</f>
        <v>1.3175509906463652</v>
      </c>
      <c r="EL4" s="14">
        <f>EXP(-1.0587+0.8836*LN(EK4)+0.284)</f>
        <v>0.58800168102743844</v>
      </c>
      <c r="EM4" s="22">
        <f t="shared" ref="EM4:EM67" si="19">(EK4+EL4)*0.475*44/12</f>
        <v>3.3188375698318744</v>
      </c>
      <c r="EN4" s="62">
        <f t="shared" ref="EN4:EN67" si="20">EM4+(EE4+EF4)*44/12</f>
        <v>296.6521709031652</v>
      </c>
      <c r="EO4" s="62">
        <f ca="1">AVERAGE(OFFSET($EN$3,0,0,'Données projet'!$E$15+1,1))-AVERAGE(OFFSET($H$3,0,0,'Données projet'!$E$15+1,1))</f>
        <v>479.87943647026646</v>
      </c>
      <c r="EP4" s="62">
        <f>$EP$3</f>
        <v>242.41363045393223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2.85</v>
      </c>
      <c r="FE4" s="13">
        <f>IF('Données projet'!$A$218&gt;35,FE3+FD4-FM3,IF(A4&lt;'Données projet'!$A$218,$FB$205^A4,IF(A4='Données projet'!$A$218,'Données projet'!$B$218,FE3+FD4-FM3)))</f>
        <v>1.2240347367580502</v>
      </c>
      <c r="FF4" s="18">
        <f>FE4*VLOOKUP('Données projet'!$B$16,Paramètres!$A$1:$I$89,3,0)*VLOOKUP('Données projet'!$B$16,Paramètres!$A$1:$I$89,5,0)</f>
        <v>1.1838863973923861</v>
      </c>
      <c r="FG4" s="14">
        <f>EXP(-1.0587+0.8836*LN(FF4)+0.284)</f>
        <v>0.53496923573761246</v>
      </c>
      <c r="FH4" s="22">
        <f t="shared" ref="FH4:FH67" si="22">(FF4+FG4)*0.475*44/12</f>
        <v>2.9936735610347474</v>
      </c>
      <c r="FI4" s="62">
        <f t="shared" ref="FI4:FI67" si="23">FH4+(EZ4+FA4)*44/12</f>
        <v>296.32700689436808</v>
      </c>
      <c r="FJ4" s="62">
        <f ca="1">AVERAGE(OFFSET($FI$3,0,0,'Données projet'!$E$16+1,1))-AVERAGE(OFFSET($H$3,0,0,'Données projet'!$E$16+1,1))</f>
        <v>425.00152674093977</v>
      </c>
      <c r="FK4" s="62">
        <f>$FK$3</f>
        <v>214.96884469274687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3.7333333333333334</v>
      </c>
      <c r="N5" s="14">
        <f>IF('Données projet'!$A$36&gt;35,N4+M5-V4,IF(A5&lt;'Données projet'!$A$36,$K$205^A5,IF(A5='Données projet'!$A$36,'Données projet'!$B$36,N4+M5-V4)))</f>
        <v>1.369665557492572</v>
      </c>
      <c r="O5" s="14">
        <f>N5*VLOOKUP('Données projet'!$B$9,Paramètres!$A$1:$I$89,3,0)*VLOOKUP('Données projet'!$B$9,Paramètres!$A$1:$I$89,5,0)</f>
        <v>0.6588091331539272</v>
      </c>
      <c r="P5" s="14">
        <f t="shared" ref="P5:P68" si="33">EXP(-1.0587+0.8836*LN(O5)+0.284)</f>
        <v>0.31871907575195652</v>
      </c>
      <c r="Q5" s="22">
        <f t="shared" si="2"/>
        <v>1.7025282971777473</v>
      </c>
      <c r="R5" s="62">
        <f t="shared" si="0"/>
        <v>295.03586163051108</v>
      </c>
      <c r="S5" s="62">
        <f ca="1">AVERAGE(OFFSET($R$3,0,0,'Données projet'!$E$9+1,1))-AVERAGE(OFFSET($H$3,0,0,'Données projet'!$E$9+1,1))</f>
        <v>179.22241276165141</v>
      </c>
      <c r="T5" s="62">
        <f t="shared" ref="T5:T68" si="34">$T$3</f>
        <v>86.510654589692876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4.857846153846153</v>
      </c>
      <c r="AI5" s="14">
        <f>IF('Données projet'!$A$62&gt;35,AI4+AH5-AQ4,IF(A5&lt;'Données projet'!$A$62,$AF$205^A5,IF(A5='Données projet'!$A$62,'Données projet'!$B$62,AI4+AH5-AQ4)))</f>
        <v>1.4680833094757604</v>
      </c>
      <c r="AJ5" s="14">
        <f>AI5*VLOOKUP('Données projet'!$B$10,Paramètres!$A$1:$I$89,3,0)*VLOOKUP('Données projet'!$B$10,Paramètres!$A$1:$I$89,5,0)</f>
        <v>0.87791381906650479</v>
      </c>
      <c r="AK5" s="14">
        <f t="shared" ref="AK5:AK68" si="35">EXP(-1.0587+0.8836*LN(AJ5)+0.284)</f>
        <v>0.41075811355440428</v>
      </c>
      <c r="AL5" s="22">
        <f t="shared" si="4"/>
        <v>2.2444369493147502</v>
      </c>
      <c r="AM5" s="62">
        <f t="shared" si="5"/>
        <v>295.57777028264809</v>
      </c>
      <c r="AN5" s="62">
        <f ca="1">AVERAGE(OFFSET($AM$3,0,0,'Données projet'!$E$10+1,1))-AVERAGE(OFFSET($H$3,0,0,'Données projet'!$E$10+1,1))</f>
        <v>157.42757749057949</v>
      </c>
      <c r="AO5" s="62">
        <f t="shared" ref="AO5:AO68" si="36">$AO$3</f>
        <v>129.86070223892136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2.85</v>
      </c>
      <c r="BD5" s="13">
        <f>IF('Données projet'!$A$88&gt;35,BD4+BC5-BL4,IF(A5&lt;'Données projet'!$A$88,$BA$205^A5,IF(A5='Données projet'!$A$88,'Données projet'!$B$88,BD4+BC5-BL4)))</f>
        <v>1.4982610367903493</v>
      </c>
      <c r="BE5" s="14">
        <f>BD5*VLOOKUP('Données projet'!$B$11,Paramètres!$A$1:$I$89,3,0)*VLOOKUP('Données projet'!$B$11,Paramètres!$A$1:$I$89,5,0)</f>
        <v>1.5659824356532732</v>
      </c>
      <c r="BF5" s="14">
        <f t="shared" ref="BF5:BF68" si="37">EXP(-1.0587+0.8836*LN(BE5)+0.284)</f>
        <v>0.68496086334656436</v>
      </c>
      <c r="BG5" s="22">
        <f t="shared" si="7"/>
        <v>3.9203929124247168</v>
      </c>
      <c r="BH5" s="62">
        <f t="shared" si="8"/>
        <v>297.253726245758</v>
      </c>
      <c r="BI5" s="62">
        <f ca="1">AVERAGE(OFFSET($BH$3,0,0,'Données projet'!$E$11+1,1))-AVERAGE(OFFSET($H$3,0,0,'Données projet'!$E$11+1,1))</f>
        <v>464.21202287459482</v>
      </c>
      <c r="BJ5" s="62">
        <f t="shared" ref="BJ5:BJ68" si="38">$BJ$3</f>
        <v>234.57880205159688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0.59333333333333338</v>
      </c>
      <c r="BY5" s="13">
        <f>IF('Données projet'!$A$114&gt;35,BY4+BX5-CG4,IF(A5&lt;'Données projet'!$A$114,$BV$205^A5,IF(A5='Données projet'!$A$114,'Données projet'!$B$114,BY4+BX5-CG4)))</f>
        <v>1.338398170240618</v>
      </c>
      <c r="BZ5" s="14">
        <f>BY5*VLOOKUP('Données projet'!$B$12,Paramètres!$A$1:$I$89,3,0)*VLOOKUP('Données projet'!$B$12,Paramètres!$A$1:$I$89,5,0)</f>
        <v>1.0648295842434357</v>
      </c>
      <c r="CA5" s="14">
        <f t="shared" ref="CA5:CA68" si="39">EXP(-1.0587+0.8836*LN(BZ5)+0.284)</f>
        <v>0.48714333937201731</v>
      </c>
      <c r="CB5" s="22">
        <f t="shared" si="10"/>
        <v>2.7030195086302471</v>
      </c>
      <c r="CC5" s="62">
        <f t="shared" si="11"/>
        <v>296.03635284196355</v>
      </c>
      <c r="CD5" s="62">
        <f ca="1">AVERAGE(OFFSET($CC$3,0,0,'Données projet'!$E$12+1,1))-AVERAGE(OFFSET($H$3,0,0,'Données projet'!$E$12+1,1))</f>
        <v>177.99876437322689</v>
      </c>
      <c r="CE5" s="62">
        <f t="shared" ref="CE5:CE68" si="40">$CE$3</f>
        <v>165.68154380324592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5.5864615384615384</v>
      </c>
      <c r="CT5" s="13">
        <f>IF('Données projet'!$A$140&gt;35,CT4+CS5-DB4,IF(A5&lt;'Données projet'!$A$140,$CQ$205^A5,IF(A5='Données projet'!$A$140,'Données projet'!$B$140,CT4+CS5-DB4)))</f>
        <v>1.4845886834544948</v>
      </c>
      <c r="CU5" s="18">
        <f>CT5*VLOOKUP('Données projet'!$B$13,Paramètres!$A$1:$I$89,3,0)*VLOOKUP('Données projet'!$B$13,Paramètres!$A$1:$I$89,5,0)</f>
        <v>0.8298850740510626</v>
      </c>
      <c r="CV5" s="14">
        <f t="shared" ref="CV5:CV68" si="41">EXP(-1.0587+0.8836*LN(CU5)+0.284)</f>
        <v>0.39083759183577838</v>
      </c>
      <c r="CW5" s="22">
        <f t="shared" si="13"/>
        <v>2.1260919764195814</v>
      </c>
      <c r="CX5" s="62">
        <f t="shared" si="14"/>
        <v>295.45942530975287</v>
      </c>
      <c r="CY5" s="62">
        <f ca="1">AVERAGE(OFFSET($CX$3,0,0,'Données projet'!$E$13+1,1))-AVERAGE(OFFSET($H$3,0,0,'Données projet'!$E$13+1,1))</f>
        <v>242.07451379051349</v>
      </c>
      <c r="CZ5" s="62">
        <f t="shared" ref="CZ5:CZ68" si="42">$CZ$3</f>
        <v>207.11607964940754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6.2222222222222223</v>
      </c>
      <c r="DO5" s="13">
        <f>IF('Données projet'!$A$166&gt;35,DO4+DN5-DW4,IF(A5&lt;'Données projet'!$A$166,$DL$205^A5,IF(A5='Données projet'!$A$166,'Données projet'!$B$166,DO4+DN5-DW4)))</f>
        <v>1.6892381903525915</v>
      </c>
      <c r="DP5" s="18">
        <f>DO5*VLOOKUP('Données projet'!$B$14,Paramètres!$A$1:$I$89,3,0)*VLOOKUP('Données projet'!$B$14,Paramètres!$A$1:$I$89,5,0)</f>
        <v>1.0540846307800171</v>
      </c>
      <c r="DQ5" s="14">
        <f t="shared" ref="DQ5:DQ68" si="43">EXP(-1.0587+0.8836*LN(DP5)+0.284)</f>
        <v>0.48279730809434274</v>
      </c>
      <c r="DR5" s="22">
        <f t="shared" si="16"/>
        <v>2.6767360435395098</v>
      </c>
      <c r="DS5" s="62">
        <f t="shared" si="17"/>
        <v>296.01006937687282</v>
      </c>
      <c r="DT5" s="62">
        <f ca="1">AVERAGE(OFFSET($DS$3,0,0,'Données projet'!$E$14+1,1))-AVERAGE(OFFSET($H$3,0,0,'Données projet'!$E$14+1,1))</f>
        <v>178.56320966726986</v>
      </c>
      <c r="DU5" s="62">
        <f t="shared" ref="DU5:DU68" si="44">$DU$3</f>
        <v>272.06842551411739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2.85</v>
      </c>
      <c r="EJ5" s="13">
        <f>IF('Données projet'!$A$192&gt;35,EJ4+EI5-ER4,IF(A5&lt;'Données projet'!$A$192,$EG$205^A5,IF(A5='Données projet'!$A$192,'Données projet'!$B$192,EJ4+EI5-ER4)))</f>
        <v>1.4982610367903493</v>
      </c>
      <c r="EK5" s="18">
        <f>EJ5*VLOOKUP('Données projet'!$B$15,Paramètres!$A$1:$I$89,3,0)*VLOOKUP('Données projet'!$B$15,Paramètres!$A$1:$I$89,5,0)</f>
        <v>1.6127281800011319</v>
      </c>
      <c r="EL5" s="14">
        <f t="shared" ref="EL5:EL68" si="45">EXP(-1.0587+0.8836*LN(EK5)+0.284)</f>
        <v>0.70299642875993718</v>
      </c>
      <c r="EM5" s="22">
        <f t="shared" si="19"/>
        <v>4.0332203602588619</v>
      </c>
      <c r="EN5" s="62">
        <f t="shared" si="20"/>
        <v>297.36655369359215</v>
      </c>
      <c r="EO5" s="62">
        <f ca="1">AVERAGE(OFFSET($EN$3,0,0,'Données projet'!$E$15+1,1))-AVERAGE(OFFSET($H$3,0,0,'Données projet'!$E$15+1,1))</f>
        <v>479.87943647026646</v>
      </c>
      <c r="EP5" s="62">
        <f t="shared" ref="EP5:EP68" si="46">$EP$3</f>
        <v>242.41363045393223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2.85</v>
      </c>
      <c r="FE5" s="13">
        <f>IF('Données projet'!$A$218&gt;35,FE4+FD5-FM4,IF(A5&lt;'Données projet'!$A$218,$FB$205^A5,IF(A5='Données projet'!$A$218,'Données projet'!$B$218,FE4+FD5-FM4)))</f>
        <v>1.4982610367903493</v>
      </c>
      <c r="FF5" s="18">
        <f>FE5*VLOOKUP('Données projet'!$B$16,Paramètres!$A$1:$I$89,3,0)*VLOOKUP('Données projet'!$B$16,Paramètres!$A$1:$I$89,5,0)</f>
        <v>1.4491180747836259</v>
      </c>
      <c r="FG5" s="14">
        <f t="shared" ref="FG5:FG68" si="47">EXP(-1.0587+0.8836*LN(FF5)+0.284)</f>
        <v>0.63959249497864112</v>
      </c>
      <c r="FH5" s="22">
        <f t="shared" si="22"/>
        <v>3.6378375756692809</v>
      </c>
      <c r="FI5" s="62">
        <f t="shared" si="23"/>
        <v>296.97117090900258</v>
      </c>
      <c r="FJ5" s="62">
        <f ca="1">AVERAGE(OFFSET($FI$3,0,0,'Données projet'!$E$16+1,1))-AVERAGE(OFFSET($H$3,0,0,'Données projet'!$E$16+1,1))</f>
        <v>425.00152674093977</v>
      </c>
      <c r="FK5" s="62">
        <f t="shared" ref="FK5:FK68" si="48">$FK$3</f>
        <v>214.96884469274687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3.7333333333333334</v>
      </c>
      <c r="N6" s="14">
        <f>IF('Données projet'!$A$36&gt;35,N5+M6-V5,IF(A6&lt;'Données projet'!$A$36,$K$205^A6,IF(A6='Données projet'!$A$36,'Données projet'!$B$36,N5+M6-V5)))</f>
        <v>1.6029567412275596</v>
      </c>
      <c r="O6" s="14">
        <f>N6*VLOOKUP('Données projet'!$B$9,Paramètres!$A$1:$I$89,3,0)*VLOOKUP('Données projet'!$B$9,Paramètres!$A$1:$I$89,5,0)</f>
        <v>0.77102219253045623</v>
      </c>
      <c r="P6" s="14">
        <f t="shared" si="33"/>
        <v>0.36623880547442444</v>
      </c>
      <c r="Q6" s="22">
        <f t="shared" si="2"/>
        <v>1.9807295715251672</v>
      </c>
      <c r="R6" s="62">
        <f t="shared" si="0"/>
        <v>295.31406290485847</v>
      </c>
      <c r="S6" s="62">
        <f ca="1">AVERAGE(OFFSET($R$3,0,0,'Données projet'!$E$9+1,1))-AVERAGE(OFFSET($H$3,0,0,'Données projet'!$E$9+1,1))</f>
        <v>179.22241276165141</v>
      </c>
      <c r="T6" s="62">
        <f t="shared" si="34"/>
        <v>86.510654589692876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4.857846153846153</v>
      </c>
      <c r="AI6" s="14">
        <f>IF('Données projet'!$A$62&gt;35,AI5+AH6-AQ5,IF(A6&lt;'Données projet'!$A$62,$AF$205^A6,IF(A6='Données projet'!$A$62,'Données projet'!$B$62,AI5+AH6-AQ5)))</f>
        <v>1.7787956218535832</v>
      </c>
      <c r="AJ6" s="14">
        <f>AI6*VLOOKUP('Données projet'!$B$10,Paramètres!$A$1:$I$89,3,0)*VLOOKUP('Données projet'!$B$10,Paramètres!$A$1:$I$89,5,0)</f>
        <v>1.0637197818684427</v>
      </c>
      <c r="AK6" s="14">
        <f t="shared" si="35"/>
        <v>0.48669469278305533</v>
      </c>
      <c r="AL6" s="22">
        <f t="shared" si="4"/>
        <v>2.7003052100180258</v>
      </c>
      <c r="AM6" s="62">
        <f t="shared" si="5"/>
        <v>296.03363854335134</v>
      </c>
      <c r="AN6" s="62">
        <f ca="1">AVERAGE(OFFSET($AM$3,0,0,'Données projet'!$E$10+1,1))-AVERAGE(OFFSET($H$3,0,0,'Données projet'!$E$10+1,1))</f>
        <v>157.42757749057949</v>
      </c>
      <c r="AO6" s="62">
        <f t="shared" si="36"/>
        <v>129.86070223892136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2.85</v>
      </c>
      <c r="BD6" s="13">
        <f>IF('Données projet'!$A$88&gt;35,BD5+BC6-BL5,IF(A6&lt;'Données projet'!$A$88,$BA$205^A6,IF(A6='Données projet'!$A$88,'Données projet'!$B$88,BD5+BC6-BL5)))</f>
        <v>1.8339235537625185</v>
      </c>
      <c r="BE6" s="14">
        <f>BD6*VLOOKUP('Données projet'!$B$11,Paramètres!$A$1:$I$89,3,0)*VLOOKUP('Données projet'!$B$11,Paramètres!$A$1:$I$89,5,0)</f>
        <v>1.9168168983925846</v>
      </c>
      <c r="BF6" s="14">
        <f t="shared" si="37"/>
        <v>0.81891779617291305</v>
      </c>
      <c r="BG6" s="22">
        <f t="shared" si="7"/>
        <v>4.764737926368241</v>
      </c>
      <c r="BH6" s="62">
        <f t="shared" si="8"/>
        <v>298.09807125970156</v>
      </c>
      <c r="BI6" s="62">
        <f ca="1">AVERAGE(OFFSET($BH$3,0,0,'Données projet'!$E$11+1,1))-AVERAGE(OFFSET($H$3,0,0,'Données projet'!$E$11+1,1))</f>
        <v>464.21202287459482</v>
      </c>
      <c r="BJ6" s="62">
        <f t="shared" si="38"/>
        <v>234.57880205159688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0.59333333333333338</v>
      </c>
      <c r="BY6" s="13">
        <f>IF('Données projet'!$A$114&gt;35,BY5+BX6-CG5,IF(A6&lt;'Données projet'!$A$114,$BV$205^A6,IF(A6='Données projet'!$A$114,'Données projet'!$B$114,BY5+BX6-CG5)))</f>
        <v>1.5483815983450515</v>
      </c>
      <c r="BZ6" s="14">
        <f>BY6*VLOOKUP('Données projet'!$B$12,Paramètres!$A$1:$I$89,3,0)*VLOOKUP('Données projet'!$B$12,Paramètres!$A$1:$I$89,5,0)</f>
        <v>1.2318923996433231</v>
      </c>
      <c r="CA6" s="14">
        <f t="shared" si="39"/>
        <v>0.55409236961720576</v>
      </c>
      <c r="CB6" s="22">
        <f t="shared" si="10"/>
        <v>3.1105901397954212</v>
      </c>
      <c r="CC6" s="62">
        <f t="shared" si="11"/>
        <v>296.44392347312873</v>
      </c>
      <c r="CD6" s="62">
        <f ca="1">AVERAGE(OFFSET($CC$3,0,0,'Données projet'!$E$12+1,1))-AVERAGE(OFFSET($H$3,0,0,'Données projet'!$E$12+1,1))</f>
        <v>177.99876437322689</v>
      </c>
      <c r="CE6" s="62">
        <f t="shared" si="40"/>
        <v>165.68154380324592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5.5864615384615384</v>
      </c>
      <c r="CT6" s="13">
        <f>IF('Données projet'!$A$140&gt;35,CT5+CS6-DB5,IF(A6&lt;'Données projet'!$A$140,$CQ$205^A6,IF(A6='Données projet'!$A$140,'Données projet'!$B$140,CT5+CS6-DB5)))</f>
        <v>1.8088777576292772</v>
      </c>
      <c r="CU6" s="18">
        <f>CT6*VLOOKUP('Données projet'!$B$13,Paramètres!$A$1:$I$89,3,0)*VLOOKUP('Données projet'!$B$13,Paramètres!$A$1:$I$89,5,0)</f>
        <v>1.0111626665147659</v>
      </c>
      <c r="CV6" s="14">
        <f t="shared" si="41"/>
        <v>0.46538450987357571</v>
      </c>
      <c r="CW6" s="22">
        <f t="shared" si="13"/>
        <v>2.5716529988763619</v>
      </c>
      <c r="CX6" s="62">
        <f t="shared" si="14"/>
        <v>295.90498633220966</v>
      </c>
      <c r="CY6" s="62">
        <f ca="1">AVERAGE(OFFSET($CX$3,0,0,'Données projet'!$E$13+1,1))-AVERAGE(OFFSET($H$3,0,0,'Données projet'!$E$13+1,1))</f>
        <v>242.07451379051349</v>
      </c>
      <c r="CZ6" s="62">
        <f t="shared" si="42"/>
        <v>207.11607964940754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6.2222222222222223</v>
      </c>
      <c r="DO6" s="13">
        <f>IF('Données projet'!$A$166&gt;35,DO5+DN6-DW5,IF(A6&lt;'Données projet'!$A$166,$DL$205^A6,IF(A6='Données projet'!$A$166,'Données projet'!$B$166,DO5+DN6-DW5)))</f>
        <v>2.1955146386099229</v>
      </c>
      <c r="DP6" s="18">
        <f>DO6*VLOOKUP('Données projet'!$B$14,Paramètres!$A$1:$I$89,3,0)*VLOOKUP('Données projet'!$B$14,Paramètres!$A$1:$I$89,5,0)</f>
        <v>1.3700011344925918</v>
      </c>
      <c r="DQ6" s="14">
        <f t="shared" si="43"/>
        <v>0.60863745619068288</v>
      </c>
      <c r="DR6" s="22">
        <f t="shared" si="16"/>
        <v>3.4461288787733699</v>
      </c>
      <c r="DS6" s="62">
        <f t="shared" si="17"/>
        <v>296.77946221210669</v>
      </c>
      <c r="DT6" s="62">
        <f ca="1">AVERAGE(OFFSET($DS$3,0,0,'Données projet'!$E$14+1,1))-AVERAGE(OFFSET($H$3,0,0,'Données projet'!$E$14+1,1))</f>
        <v>178.56320966726986</v>
      </c>
      <c r="DU6" s="62">
        <f t="shared" si="44"/>
        <v>272.06842551411739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2.85</v>
      </c>
      <c r="EJ6" s="13">
        <f>IF('Données projet'!$A$192&gt;35,EJ5+EI6-ER5,IF(A6&lt;'Données projet'!$A$192,$EG$205^A6,IF(A6='Données projet'!$A$192,'Données projet'!$B$192,EJ5+EI6-ER5)))</f>
        <v>1.8339235537625185</v>
      </c>
      <c r="EK6" s="18">
        <f>EJ6*VLOOKUP('Données projet'!$B$15,Paramètres!$A$1:$I$89,3,0)*VLOOKUP('Données projet'!$B$15,Paramètres!$A$1:$I$89,5,0)</f>
        <v>1.9740353132699748</v>
      </c>
      <c r="EL6" s="14">
        <f t="shared" si="45"/>
        <v>0.84048055438495228</v>
      </c>
      <c r="EM6" s="22">
        <f t="shared" si="19"/>
        <v>4.9019484694989979</v>
      </c>
      <c r="EN6" s="62">
        <f t="shared" si="20"/>
        <v>298.23528180283233</v>
      </c>
      <c r="EO6" s="62">
        <f ca="1">AVERAGE(OFFSET($EN$3,0,0,'Données projet'!$E$15+1,1))-AVERAGE(OFFSET($H$3,0,0,'Données projet'!$E$15+1,1))</f>
        <v>479.87943647026646</v>
      </c>
      <c r="EP6" s="62">
        <f t="shared" si="46"/>
        <v>242.41363045393223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2.85</v>
      </c>
      <c r="FE6" s="13">
        <f>IF('Données projet'!$A$218&gt;35,FE5+FD6-FM5,IF(A6&lt;'Données projet'!$A$218,$FB$205^A6,IF(A6='Données projet'!$A$218,'Données projet'!$B$218,FE5+FD6-FM5)))</f>
        <v>1.8339235537625185</v>
      </c>
      <c r="FF6" s="18">
        <f>FE6*VLOOKUP('Données projet'!$B$16,Paramètres!$A$1:$I$89,3,0)*VLOOKUP('Données projet'!$B$16,Paramètres!$A$1:$I$89,5,0)</f>
        <v>1.7737708611991079</v>
      </c>
      <c r="FG6" s="14">
        <f t="shared" si="47"/>
        <v>0.76467679317852333</v>
      </c>
      <c r="FH6" s="22">
        <f t="shared" si="22"/>
        <v>4.4211296647077072</v>
      </c>
      <c r="FI6" s="62">
        <f t="shared" si="23"/>
        <v>297.75446299804105</v>
      </c>
      <c r="FJ6" s="62">
        <f ca="1">AVERAGE(OFFSET($FI$3,0,0,'Données projet'!$E$16+1,1))-AVERAGE(OFFSET($H$3,0,0,'Données projet'!$E$16+1,1))</f>
        <v>425.00152674093977</v>
      </c>
      <c r="FK6" s="62">
        <f t="shared" si="48"/>
        <v>214.96884469274687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3.7333333333333334</v>
      </c>
      <c r="N7" s="14">
        <f>IF('Données projet'!$A$36&gt;35,N6+M7-V6,IF(A7&lt;'Données projet'!$A$36,$K$205^A7,IF(A7='Données projet'!$A$36,'Données projet'!$B$36,N6+M7-V6)))</f>
        <v>1.875983739381438</v>
      </c>
      <c r="O7" s="14">
        <f>N7*VLOOKUP('Données projet'!$B$9,Paramètres!$A$1:$I$89,3,0)*VLOOKUP('Données projet'!$B$9,Paramètres!$A$1:$I$89,5,0)</f>
        <v>0.90234817864247174</v>
      </c>
      <c r="P7" s="14">
        <f t="shared" si="33"/>
        <v>0.42084353538889141</v>
      </c>
      <c r="Q7" s="22">
        <f t="shared" si="2"/>
        <v>2.3045589019379573</v>
      </c>
      <c r="R7" s="62">
        <f t="shared" si="0"/>
        <v>295.63789223527129</v>
      </c>
      <c r="S7" s="62">
        <f ca="1">AVERAGE(OFFSET($R$3,0,0,'Données projet'!$E$9+1,1))-AVERAGE(OFFSET($H$3,0,0,'Données projet'!$E$9+1,1))</f>
        <v>179.22241276165141</v>
      </c>
      <c r="T7" s="62">
        <f t="shared" si="34"/>
        <v>86.510654589692876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4.857846153846153</v>
      </c>
      <c r="AI7" s="14">
        <f>IF('Données projet'!$A$62&gt;35,AI6+AH7-AQ6,IF(A7&lt;'Données projet'!$A$62,$AF$205^A7,IF(A7='Données projet'!$A$62,'Données projet'!$B$62,AI6+AH7-AQ6)))</f>
        <v>2.1552686035613013</v>
      </c>
      <c r="AJ7" s="14">
        <f>AI7*VLOOKUP('Données projet'!$B$10,Paramètres!$A$1:$I$89,3,0)*VLOOKUP('Données projet'!$B$10,Paramètres!$A$1:$I$89,5,0)</f>
        <v>1.2888506249296583</v>
      </c>
      <c r="AK7" s="14">
        <f t="shared" si="35"/>
        <v>0.57666961690294016</v>
      </c>
      <c r="AL7" s="22">
        <f t="shared" si="4"/>
        <v>3.2491144211917753</v>
      </c>
      <c r="AM7" s="62">
        <f t="shared" si="5"/>
        <v>296.58244775452511</v>
      </c>
      <c r="AN7" s="62">
        <f ca="1">AVERAGE(OFFSET($AM$3,0,0,'Données projet'!$E$10+1,1))-AVERAGE(OFFSET($H$3,0,0,'Données projet'!$E$10+1,1))</f>
        <v>157.42757749057949</v>
      </c>
      <c r="AO7" s="62">
        <f t="shared" si="36"/>
        <v>129.86070223892136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2.85</v>
      </c>
      <c r="BD7" s="13">
        <f>IF('Données projet'!$A$88&gt;35,BD6+BC7-BL6,IF(A7&lt;'Données projet'!$A$88,$BA$205^A7,IF(A7='Données projet'!$A$88,'Données projet'!$B$88,BD6+BC7-BL6)))</f>
        <v>2.2447861343640922</v>
      </c>
      <c r="BE7" s="14">
        <f>BD7*VLOOKUP('Données projet'!$B$11,Paramètres!$A$1:$I$89,3,0)*VLOOKUP('Données projet'!$B$11,Paramètres!$A$1:$I$89,5,0)</f>
        <v>2.3462504676373492</v>
      </c>
      <c r="BF7" s="14">
        <f t="shared" si="37"/>
        <v>0.97907251753358793</v>
      </c>
      <c r="BG7" s="22">
        <f t="shared" si="7"/>
        <v>5.7916041991727143</v>
      </c>
      <c r="BH7" s="62">
        <f t="shared" si="8"/>
        <v>299.12493753250601</v>
      </c>
      <c r="BI7" s="62">
        <f ca="1">AVERAGE(OFFSET($BH$3,0,0,'Données projet'!$E$11+1,1))-AVERAGE(OFFSET($H$3,0,0,'Données projet'!$E$11+1,1))</f>
        <v>464.21202287459482</v>
      </c>
      <c r="BJ7" s="62">
        <f t="shared" si="38"/>
        <v>234.57880205159688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0.59333333333333338</v>
      </c>
      <c r="BY7" s="13">
        <f>IF('Données projet'!$A$114&gt;35,BY6+BX7-CG6,IF(A7&lt;'Données projet'!$A$114,$BV$205^A7,IF(A7='Données projet'!$A$114,'Données projet'!$B$114,BY6+BX7-CG6)))</f>
        <v>1.7913096621034343</v>
      </c>
      <c r="BZ7" s="14">
        <f>BY7*VLOOKUP('Données projet'!$B$12,Paramètres!$A$1:$I$89,3,0)*VLOOKUP('Données projet'!$B$12,Paramètres!$A$1:$I$89,5,0)</f>
        <v>1.4251659671694925</v>
      </c>
      <c r="CA7" s="14">
        <f t="shared" si="39"/>
        <v>0.63024233167960686</v>
      </c>
      <c r="CB7" s="22">
        <f t="shared" si="10"/>
        <v>3.5798361204955143</v>
      </c>
      <c r="CC7" s="62">
        <f t="shared" si="11"/>
        <v>296.9131694538288</v>
      </c>
      <c r="CD7" s="62">
        <f ca="1">AVERAGE(OFFSET($CC$3,0,0,'Données projet'!$E$12+1,1))-AVERAGE(OFFSET($H$3,0,0,'Données projet'!$E$12+1,1))</f>
        <v>177.99876437322689</v>
      </c>
      <c r="CE7" s="62">
        <f t="shared" si="40"/>
        <v>165.68154380324592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5.5864615384615384</v>
      </c>
      <c r="CT7" s="13">
        <f>IF('Données projet'!$A$140&gt;35,CT6+CS7-DB6,IF(A7&lt;'Données projet'!$A$140,$CQ$205^A7,IF(A7='Données projet'!$A$140,'Données projet'!$B$140,CT6+CS7-DB6)))</f>
        <v>2.20400355904115</v>
      </c>
      <c r="CU7" s="18">
        <f>CT7*VLOOKUP('Données projet'!$B$13,Paramètres!$A$1:$I$89,3,0)*VLOOKUP('Données projet'!$B$13,Paramètres!$A$1:$I$89,5,0)</f>
        <v>1.2320379895040028</v>
      </c>
      <c r="CV7" s="14">
        <f t="shared" si="41"/>
        <v>0.5541502315910074</v>
      </c>
      <c r="CW7" s="22">
        <f t="shared" si="13"/>
        <v>3.1109444850738091</v>
      </c>
      <c r="CX7" s="62">
        <f t="shared" si="14"/>
        <v>296.4442778184071</v>
      </c>
      <c r="CY7" s="62">
        <f ca="1">AVERAGE(OFFSET($CX$3,0,0,'Données projet'!$E$13+1,1))-AVERAGE(OFFSET($H$3,0,0,'Données projet'!$E$13+1,1))</f>
        <v>242.07451379051349</v>
      </c>
      <c r="CZ7" s="62">
        <f t="shared" si="42"/>
        <v>207.11607964940754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6.2222222222222223</v>
      </c>
      <c r="DO7" s="13">
        <f>IF('Données projet'!$A$166&gt;35,DO6+DN7-DW6,IF(A7&lt;'Données projet'!$A$166,$DL$205^A7,IF(A7='Données projet'!$A$166,'Données projet'!$B$166,DO6+DN7-DW6)))</f>
        <v>2.8535256637456983</v>
      </c>
      <c r="DP7" s="18">
        <f>DO7*VLOOKUP('Données projet'!$B$14,Paramètres!$A$1:$I$89,3,0)*VLOOKUP('Données projet'!$B$14,Paramètres!$A$1:$I$89,5,0)</f>
        <v>1.7806000141773157</v>
      </c>
      <c r="DQ7" s="14">
        <f t="shared" si="43"/>
        <v>0.76727758599241935</v>
      </c>
      <c r="DR7" s="22">
        <f t="shared" si="16"/>
        <v>4.4375534869622877</v>
      </c>
      <c r="DS7" s="62">
        <f t="shared" si="17"/>
        <v>297.77088682029563</v>
      </c>
      <c r="DT7" s="62">
        <f ca="1">AVERAGE(OFFSET($DS$3,0,0,'Données projet'!$E$14+1,1))-AVERAGE(OFFSET($H$3,0,0,'Données projet'!$E$14+1,1))</f>
        <v>178.56320966726986</v>
      </c>
      <c r="DU7" s="62">
        <f t="shared" si="44"/>
        <v>272.06842551411739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2.85</v>
      </c>
      <c r="EJ7" s="13">
        <f>IF('Données projet'!$A$192&gt;35,EJ6+EI7-ER6,IF(A7&lt;'Données projet'!$A$192,$EG$205^A7,IF(A7='Données projet'!$A$192,'Données projet'!$B$192,EJ6+EI7-ER6)))</f>
        <v>2.2447861343640922</v>
      </c>
      <c r="EK7" s="18">
        <f>EJ7*VLOOKUP('Données projet'!$B$15,Paramètres!$A$1:$I$89,3,0)*VLOOKUP('Données projet'!$B$15,Paramètres!$A$1:$I$89,5,0)</f>
        <v>2.416287795029509</v>
      </c>
      <c r="EL7" s="14">
        <f t="shared" si="45"/>
        <v>1.0048522771948027</v>
      </c>
      <c r="EM7" s="22">
        <f t="shared" si="19"/>
        <v>5.9584856257906758</v>
      </c>
      <c r="EN7" s="62">
        <f t="shared" si="20"/>
        <v>299.29181895912399</v>
      </c>
      <c r="EO7" s="62">
        <f ca="1">AVERAGE(OFFSET($EN$3,0,0,'Données projet'!$E$15+1,1))-AVERAGE(OFFSET($H$3,0,0,'Données projet'!$E$15+1,1))</f>
        <v>479.87943647026646</v>
      </c>
      <c r="EP7" s="62">
        <f t="shared" si="46"/>
        <v>242.41363045393223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2.85</v>
      </c>
      <c r="FE7" s="13">
        <f>IF('Données projet'!$A$218&gt;35,FE6+FD7-FM6,IF(A7&lt;'Données projet'!$A$218,$FB$205^A7,IF(A7='Données projet'!$A$218,'Données projet'!$B$218,FE6+FD7-FM6)))</f>
        <v>2.2447861343640922</v>
      </c>
      <c r="FF7" s="18">
        <f>FE7*VLOOKUP('Données projet'!$B$16,Paramètres!$A$1:$I$89,3,0)*VLOOKUP('Données projet'!$B$16,Paramètres!$A$1:$I$89,5,0)</f>
        <v>2.1711571491569504</v>
      </c>
      <c r="FG7" s="14">
        <f t="shared" si="47"/>
        <v>0.91422366994052562</v>
      </c>
      <c r="FH7" s="22">
        <f t="shared" si="22"/>
        <v>5.3737049265947698</v>
      </c>
      <c r="FI7" s="62">
        <f t="shared" si="23"/>
        <v>298.70703825992808</v>
      </c>
      <c r="FJ7" s="62">
        <f ca="1">AVERAGE(OFFSET($FI$3,0,0,'Données projet'!$E$16+1,1))-AVERAGE(OFFSET($H$3,0,0,'Données projet'!$E$16+1,1))</f>
        <v>425.00152674093977</v>
      </c>
      <c r="FK7" s="62">
        <f t="shared" si="48"/>
        <v>214.96884469274687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3.7333333333333334</v>
      </c>
      <c r="N8" s="14">
        <f>IF('Données projet'!$A$36&gt;35,N7+M8-V7,IF(A8&lt;'Données projet'!$A$36,$K$205^A8,IF(A8='Données projet'!$A$36,'Données projet'!$B$36,N7+M8-V7)))</f>
        <v>2.1955146386099216</v>
      </c>
      <c r="O8" s="14">
        <f>N8*VLOOKUP('Données projet'!$B$9,Paramètres!$A$1:$I$89,3,0)*VLOOKUP('Données projet'!$B$9,Paramètres!$A$1:$I$89,5,0)</f>
        <v>1.0560425411713723</v>
      </c>
      <c r="P8" s="14">
        <f t="shared" si="33"/>
        <v>0.48358961047067195</v>
      </c>
      <c r="Q8" s="22">
        <f t="shared" si="2"/>
        <v>2.6815259974432273</v>
      </c>
      <c r="R8" s="62">
        <f t="shared" si="0"/>
        <v>296.01485933077652</v>
      </c>
      <c r="S8" s="62">
        <f ca="1">AVERAGE(OFFSET($R$3,0,0,'Données projet'!$E$9+1,1))-AVERAGE(OFFSET($H$3,0,0,'Données projet'!$E$9+1,1))</f>
        <v>179.22241276165141</v>
      </c>
      <c r="T8" s="62">
        <f t="shared" si="34"/>
        <v>86.510654589692876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4.857846153846153</v>
      </c>
      <c r="AI8" s="14">
        <f>IF('Données projet'!$A$62&gt;35,AI7+AH8-AQ7,IF(A8&lt;'Données projet'!$A$62,$AF$205^A8,IF(A8='Données projet'!$A$62,'Données projet'!$B$62,AI7+AH8-AQ7)))</f>
        <v>2.6114201634118017</v>
      </c>
      <c r="AJ8" s="14">
        <f>AI8*VLOOKUP('Données projet'!$B$10,Paramètres!$A$1:$I$89,3,0)*VLOOKUP('Données projet'!$B$10,Paramètres!$A$1:$I$89,5,0)</f>
        <v>1.5616292577202577</v>
      </c>
      <c r="AK8" s="14">
        <f t="shared" si="35"/>
        <v>0.68327814539620879</v>
      </c>
      <c r="AL8" s="22">
        <f t="shared" si="4"/>
        <v>3.909880393761179</v>
      </c>
      <c r="AM8" s="62">
        <f t="shared" si="5"/>
        <v>297.24321372709448</v>
      </c>
      <c r="AN8" s="62">
        <f ca="1">AVERAGE(OFFSET($AM$3,0,0,'Données projet'!$E$10+1,1))-AVERAGE(OFFSET($H$3,0,0,'Données projet'!$E$10+1,1))</f>
        <v>157.42757749057949</v>
      </c>
      <c r="AO8" s="62">
        <f t="shared" si="36"/>
        <v>129.86070223892136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2.85</v>
      </c>
      <c r="BD8" s="13">
        <f>IF('Données projet'!$A$88&gt;35,BD7+BC8-BL7,IF(A8&lt;'Données projet'!$A$88,$BA$205^A8,IF(A8='Données projet'!$A$88,'Données projet'!$B$88,BD7+BC8-BL7)))</f>
        <v>2.7476962050544729</v>
      </c>
      <c r="BE8" s="14">
        <f>BD8*VLOOKUP('Données projet'!$B$11,Paramètres!$A$1:$I$89,3,0)*VLOOKUP('Données projet'!$B$11,Paramètres!$A$1:$I$89,5,0)</f>
        <v>2.8718920735229352</v>
      </c>
      <c r="BF8" s="14">
        <f t="shared" si="37"/>
        <v>1.1705484959166217</v>
      </c>
      <c r="BG8" s="22">
        <f t="shared" si="7"/>
        <v>7.0405839917738939</v>
      </c>
      <c r="BH8" s="62">
        <f t="shared" si="8"/>
        <v>300.37391732510719</v>
      </c>
      <c r="BI8" s="62">
        <f ca="1">AVERAGE(OFFSET($BH$3,0,0,'Données projet'!$E$11+1,1))-AVERAGE(OFFSET($H$3,0,0,'Données projet'!$E$11+1,1))</f>
        <v>464.21202287459482</v>
      </c>
      <c r="BJ8" s="62">
        <f t="shared" si="38"/>
        <v>234.57880205159688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0.59333333333333338</v>
      </c>
      <c r="BY8" s="13">
        <f>IF('Données projet'!$A$114&gt;35,BY7+BX8-CG7,IF(A8&lt;'Données projet'!$A$114,$BV$205^A8,IF(A8='Données projet'!$A$114,'Données projet'!$B$114,BY7+BX8-CG7)))</f>
        <v>2.0723510980592605</v>
      </c>
      <c r="BZ8" s="14">
        <f>BY8*VLOOKUP('Données projet'!$B$12,Paramètres!$A$1:$I$89,3,0)*VLOOKUP('Données projet'!$B$12,Paramètres!$A$1:$I$89,5,0)</f>
        <v>1.6487625336159477</v>
      </c>
      <c r="CA8" s="14">
        <f t="shared" si="39"/>
        <v>0.71685772701644768</v>
      </c>
      <c r="CB8" s="22">
        <f t="shared" si="10"/>
        <v>4.1201219539347553</v>
      </c>
      <c r="CC8" s="62">
        <f t="shared" si="11"/>
        <v>297.45345528726807</v>
      </c>
      <c r="CD8" s="62">
        <f ca="1">AVERAGE(OFFSET($CC$3,0,0,'Données projet'!$E$12+1,1))-AVERAGE(OFFSET($H$3,0,0,'Données projet'!$E$12+1,1))</f>
        <v>177.99876437322689</v>
      </c>
      <c r="CE8" s="62">
        <f t="shared" si="40"/>
        <v>165.68154380324592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5.5864615384615384</v>
      </c>
      <c r="CT8" s="13">
        <f>IF('Données projet'!$A$140&gt;35,CT7+CS8-DB7,IF(A8&lt;'Données projet'!$A$140,$CQ$205^A8,IF(A8='Données projet'!$A$140,'Données projet'!$B$140,CT7+CS8-DB7)))</f>
        <v>2.685439448728967</v>
      </c>
      <c r="CU8" s="18">
        <f>CT8*VLOOKUP('Données projet'!$B$13,Paramètres!$A$1:$I$89,3,0)*VLOOKUP('Données projet'!$B$13,Paramètres!$A$1:$I$89,5,0)</f>
        <v>1.5011606518394924</v>
      </c>
      <c r="CV8" s="14">
        <f t="shared" si="41"/>
        <v>0.65984679906038946</v>
      </c>
      <c r="CW8" s="22">
        <f t="shared" si="13"/>
        <v>3.7637546436506271</v>
      </c>
      <c r="CX8" s="62">
        <f t="shared" si="14"/>
        <v>297.09708797698391</v>
      </c>
      <c r="CY8" s="62">
        <f ca="1">AVERAGE(OFFSET($CX$3,0,0,'Données projet'!$E$13+1,1))-AVERAGE(OFFSET($H$3,0,0,'Données projet'!$E$13+1,1))</f>
        <v>242.07451379051349</v>
      </c>
      <c r="CZ8" s="62">
        <f t="shared" si="42"/>
        <v>207.11607964940754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6.2222222222222223</v>
      </c>
      <c r="DO8" s="13">
        <f>IF('Données projet'!$A$166&gt;35,DO7+DN8-DW7,IF(A8&lt;'Données projet'!$A$166,$DL$205^A8,IF(A8='Données projet'!$A$166,'Données projet'!$B$166,DO7+DN8-DW7)))</f>
        <v>3.7087471750180505</v>
      </c>
      <c r="DP8" s="18">
        <f>DO8*VLOOKUP('Données projet'!$B$14,Paramètres!$A$1:$I$89,3,0)*VLOOKUP('Données projet'!$B$14,Paramètres!$A$1:$I$89,5,0)</f>
        <v>2.3142582372112632</v>
      </c>
      <c r="DQ8" s="14">
        <f t="shared" si="43"/>
        <v>0.96726694681425085</v>
      </c>
      <c r="DR8" s="22">
        <f t="shared" si="16"/>
        <v>5.7153230288444377</v>
      </c>
      <c r="DS8" s="62">
        <f t="shared" si="17"/>
        <v>299.04865636217778</v>
      </c>
      <c r="DT8" s="62">
        <f ca="1">AVERAGE(OFFSET($DS$3,0,0,'Données projet'!$E$14+1,1))-AVERAGE(OFFSET($H$3,0,0,'Données projet'!$E$14+1,1))</f>
        <v>178.56320966726986</v>
      </c>
      <c r="DU8" s="62">
        <f t="shared" si="44"/>
        <v>272.06842551411739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2.85</v>
      </c>
      <c r="EJ8" s="13">
        <f>IF('Données projet'!$A$192&gt;35,EJ7+EI8-ER7,IF(A8&lt;'Données projet'!$A$192,$EG$205^A8,IF(A8='Données projet'!$A$192,'Données projet'!$B$192,EJ7+EI8-ER7)))</f>
        <v>2.7476962050544729</v>
      </c>
      <c r="EK8" s="18">
        <f>EJ8*VLOOKUP('Données projet'!$B$15,Paramètres!$A$1:$I$89,3,0)*VLOOKUP('Données projet'!$B$15,Paramètres!$A$1:$I$89,5,0)</f>
        <v>2.9576201951206347</v>
      </c>
      <c r="EL8" s="14">
        <f t="shared" si="45"/>
        <v>1.2013699706859733</v>
      </c>
      <c r="EM8" s="22">
        <f t="shared" si="19"/>
        <v>7.2435745387798418</v>
      </c>
      <c r="EN8" s="62">
        <f t="shared" si="20"/>
        <v>300.57690787211317</v>
      </c>
      <c r="EO8" s="62">
        <f ca="1">AVERAGE(OFFSET($EN$3,0,0,'Données projet'!$E$15+1,1))-AVERAGE(OFFSET($H$3,0,0,'Données projet'!$E$15+1,1))</f>
        <v>479.87943647026646</v>
      </c>
      <c r="EP8" s="62">
        <f t="shared" si="46"/>
        <v>242.41363045393223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2.85</v>
      </c>
      <c r="FE8" s="13">
        <f>IF('Données projet'!$A$218&gt;35,FE7+FD8-FM7,IF(A8&lt;'Données projet'!$A$218,$FB$205^A8,IF(A8='Données projet'!$A$218,'Données projet'!$B$218,FE7+FD8-FM7)))</f>
        <v>2.7476962050544729</v>
      </c>
      <c r="FF8" s="18">
        <f>FE8*VLOOKUP('Données projet'!$B$16,Paramètres!$A$1:$I$89,3,0)*VLOOKUP('Données projet'!$B$16,Paramètres!$A$1:$I$89,5,0)</f>
        <v>2.6575717695286865</v>
      </c>
      <c r="FG8" s="14">
        <f t="shared" si="47"/>
        <v>1.0930172409252044</v>
      </c>
      <c r="FH8" s="22">
        <f t="shared" si="22"/>
        <v>6.5322758598738595</v>
      </c>
      <c r="FI8" s="62">
        <f t="shared" si="23"/>
        <v>299.86560919320715</v>
      </c>
      <c r="FJ8" s="62">
        <f ca="1">AVERAGE(OFFSET($FI$3,0,0,'Données projet'!$E$16+1,1))-AVERAGE(OFFSET($H$3,0,0,'Données projet'!$E$16+1,1))</f>
        <v>425.00152674093977</v>
      </c>
      <c r="FK8" s="62">
        <f t="shared" si="48"/>
        <v>214.96884469274687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3.7333333333333334</v>
      </c>
      <c r="N9" s="14">
        <f>IF('Données projet'!$A$36&gt;35,N8+M9-V8,IF(A9&lt;'Données projet'!$A$36,$K$205^A9,IF(A9='Données projet'!$A$36,'Données projet'!$B$36,N8+M9-V8)))</f>
        <v>2.5694703142468773</v>
      </c>
      <c r="O9" s="14">
        <f>N9*VLOOKUP('Données projet'!$B$9,Paramètres!$A$1:$I$89,3,0)*VLOOKUP('Données projet'!$B$9,Paramètres!$A$1:$I$89,5,0)</f>
        <v>1.235915221152748</v>
      </c>
      <c r="P9" s="14">
        <f t="shared" si="33"/>
        <v>0.55569087247371607</v>
      </c>
      <c r="Q9" s="22">
        <f t="shared" si="2"/>
        <v>3.1203806130660916</v>
      </c>
      <c r="R9" s="62">
        <f t="shared" si="0"/>
        <v>296.45371394639943</v>
      </c>
      <c r="S9" s="62">
        <f ca="1">AVERAGE(OFFSET($R$3,0,0,'Données projet'!$E$9+1,1))-AVERAGE(OFFSET($H$3,0,0,'Données projet'!$E$9+1,1))</f>
        <v>179.22241276165141</v>
      </c>
      <c r="T9" s="62">
        <f t="shared" si="34"/>
        <v>86.510654589692876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4.857846153846153</v>
      </c>
      <c r="AI9" s="14">
        <f>IF('Données projet'!$A$62&gt;35,AI8+AH9-AQ8,IF(A9&lt;'Données projet'!$A$62,$AF$205^A9,IF(A9='Données projet'!$A$62,'Données projet'!$B$62,AI8+AH9-AQ8)))</f>
        <v>3.164113864325476</v>
      </c>
      <c r="AJ9" s="14">
        <f>AI9*VLOOKUP('Données projet'!$B$10,Paramètres!$A$1:$I$89,3,0)*VLOOKUP('Données projet'!$B$10,Paramètres!$A$1:$I$89,5,0)</f>
        <v>1.8921400908666348</v>
      </c>
      <c r="AK9" s="14">
        <f t="shared" si="35"/>
        <v>0.80959532163918713</v>
      </c>
      <c r="AL9" s="22">
        <f t="shared" si="4"/>
        <v>4.7055225101143057</v>
      </c>
      <c r="AM9" s="62">
        <f t="shared" si="5"/>
        <v>298.03885584344761</v>
      </c>
      <c r="AN9" s="62">
        <f ca="1">AVERAGE(OFFSET($AM$3,0,0,'Données projet'!$E$10+1,1))-AVERAGE(OFFSET($H$3,0,0,'Données projet'!$E$10+1,1))</f>
        <v>157.42757749057949</v>
      </c>
      <c r="AO9" s="62">
        <f t="shared" si="36"/>
        <v>129.86070223892136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2.85</v>
      </c>
      <c r="BD9" s="13">
        <f>IF('Données projet'!$A$88&gt;35,BD8+BC9-BL8,IF(A9&lt;'Données projet'!$A$88,$BA$205^A9,IF(A9='Données projet'!$A$88,'Données projet'!$B$88,BD8+BC9-BL8)))</f>
        <v>3.3632756010449452</v>
      </c>
      <c r="BE9" s="14">
        <f>BD9*VLOOKUP('Données projet'!$B$11,Paramètres!$A$1:$I$89,3,0)*VLOOKUP('Données projet'!$B$11,Paramètres!$A$1:$I$89,5,0)</f>
        <v>3.5152956582121768</v>
      </c>
      <c r="BF9" s="14">
        <f t="shared" si="37"/>
        <v>1.3994711900854266</v>
      </c>
      <c r="BG9" s="22">
        <f t="shared" si="7"/>
        <v>8.5598855941183238</v>
      </c>
      <c r="BH9" s="62">
        <f t="shared" si="8"/>
        <v>301.89321892745164</v>
      </c>
      <c r="BI9" s="62">
        <f ca="1">AVERAGE(OFFSET($BH$3,0,0,'Données projet'!$E$11+1,1))-AVERAGE(OFFSET($H$3,0,0,'Données projet'!$E$11+1,1))</f>
        <v>464.21202287459482</v>
      </c>
      <c r="BJ9" s="62">
        <f t="shared" si="38"/>
        <v>234.57880205159688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0.59333333333333338</v>
      </c>
      <c r="BY9" s="13">
        <f>IF('Données projet'!$A$114&gt;35,BY8+BX9-CG8,IF(A9&lt;'Données projet'!$A$114,$BV$205^A9,IF(A9='Données projet'!$A$114,'Données projet'!$B$114,BY8+BX9-CG8)))</f>
        <v>2.3974855740935763</v>
      </c>
      <c r="BZ9" s="14">
        <f>BY9*VLOOKUP('Données projet'!$B$12,Paramètres!$A$1:$I$89,3,0)*VLOOKUP('Données projet'!$B$12,Paramètres!$A$1:$I$89,5,0)</f>
        <v>1.9074395227488494</v>
      </c>
      <c r="CA9" s="14">
        <f t="shared" si="39"/>
        <v>0.8153768399112058</v>
      </c>
      <c r="CB9" s="22">
        <f t="shared" si="10"/>
        <v>4.7422384982995958</v>
      </c>
      <c r="CC9" s="62">
        <f t="shared" si="11"/>
        <v>298.07557183163289</v>
      </c>
      <c r="CD9" s="62">
        <f ca="1">AVERAGE(OFFSET($CC$3,0,0,'Données projet'!$E$12+1,1))-AVERAGE(OFFSET($H$3,0,0,'Données projet'!$E$12+1,1))</f>
        <v>177.99876437322689</v>
      </c>
      <c r="CE9" s="62">
        <f t="shared" si="40"/>
        <v>165.68154380324592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5.5864615384615384</v>
      </c>
      <c r="CT9" s="13">
        <f>IF('Données projet'!$A$140&gt;35,CT8+CS9-DB8,IF(A9&lt;'Données projet'!$A$140,$CQ$205^A9,IF(A9='Données projet'!$A$140,'Données projet'!$B$140,CT8+CS9-DB8)))</f>
        <v>3.2720387420459218</v>
      </c>
      <c r="CU9" s="18">
        <f>CT9*VLOOKUP('Données projet'!$B$13,Paramètres!$A$1:$I$89,3,0)*VLOOKUP('Données projet'!$B$13,Paramètres!$A$1:$I$89,5,0)</f>
        <v>1.8290696568036704</v>
      </c>
      <c r="CV9" s="14">
        <f t="shared" si="41"/>
        <v>0.78570353923733283</v>
      </c>
      <c r="CW9" s="22">
        <f t="shared" si="13"/>
        <v>4.5540633164380813</v>
      </c>
      <c r="CX9" s="62">
        <f t="shared" si="14"/>
        <v>297.8873966497714</v>
      </c>
      <c r="CY9" s="62">
        <f ca="1">AVERAGE(OFFSET($CX$3,0,0,'Données projet'!$E$13+1,1))-AVERAGE(OFFSET($H$3,0,0,'Données projet'!$E$13+1,1))</f>
        <v>242.07451379051349</v>
      </c>
      <c r="CZ9" s="62">
        <f t="shared" si="42"/>
        <v>207.11607964940754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6.2222222222222223</v>
      </c>
      <c r="DO9" s="13">
        <f>IF('Données projet'!$A$166&gt;35,DO8+DN9-DW8,IF(A9&lt;'Données projet'!$A$166,$DL$205^A9,IF(A9='Données projet'!$A$166,'Données projet'!$B$166,DO8+DN9-DW8)))</f>
        <v>4.8202845283504612</v>
      </c>
      <c r="DP9" s="18">
        <f>DO9*VLOOKUP('Données projet'!$B$14,Paramètres!$A$1:$I$89,3,0)*VLOOKUP('Données projet'!$B$14,Paramètres!$A$1:$I$89,5,0)</f>
        <v>3.0078575456906878</v>
      </c>
      <c r="DQ9" s="14">
        <f t="shared" si="43"/>
        <v>1.2193831326236693</v>
      </c>
      <c r="DR9" s="22">
        <f t="shared" si="16"/>
        <v>7.3624441813975059</v>
      </c>
      <c r="DS9" s="62">
        <f t="shared" si="17"/>
        <v>300.69577751473082</v>
      </c>
      <c r="DT9" s="62">
        <f ca="1">AVERAGE(OFFSET($DS$3,0,0,'Données projet'!$E$14+1,1))-AVERAGE(OFFSET($H$3,0,0,'Données projet'!$E$14+1,1))</f>
        <v>178.56320966726986</v>
      </c>
      <c r="DU9" s="62">
        <f t="shared" si="44"/>
        <v>272.06842551411739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2.85</v>
      </c>
      <c r="EJ9" s="13">
        <f>IF('Données projet'!$A$192&gt;35,EJ8+EI9-ER8,IF(A9&lt;'Données projet'!$A$192,$EG$205^A9,IF(A9='Données projet'!$A$192,'Données projet'!$B$192,EJ8+EI9-ER8)))</f>
        <v>3.3632756010449452</v>
      </c>
      <c r="EK9" s="18">
        <f>EJ9*VLOOKUP('Données projet'!$B$15,Paramètres!$A$1:$I$89,3,0)*VLOOKUP('Données projet'!$B$15,Paramètres!$A$1:$I$89,5,0)</f>
        <v>3.6202298569647788</v>
      </c>
      <c r="EL9" s="14">
        <f t="shared" si="45"/>
        <v>1.4363203818328183</v>
      </c>
      <c r="EM9" s="22">
        <f t="shared" si="19"/>
        <v>8.806824999239149</v>
      </c>
      <c r="EN9" s="62">
        <f t="shared" si="20"/>
        <v>302.14015833257247</v>
      </c>
      <c r="EO9" s="62">
        <f ca="1">AVERAGE(OFFSET($EN$3,0,0,'Données projet'!$E$15+1,1))-AVERAGE(OFFSET($H$3,0,0,'Données projet'!$E$15+1,1))</f>
        <v>479.87943647026646</v>
      </c>
      <c r="EP9" s="62">
        <f t="shared" si="46"/>
        <v>242.41363045393223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2.85</v>
      </c>
      <c r="FE9" s="13">
        <f>IF('Données projet'!$A$218&gt;35,FE8+FD9-FM8,IF(A9&lt;'Données projet'!$A$218,$FB$205^A9,IF(A9='Données projet'!$A$218,'Données projet'!$B$218,FE8+FD9-FM8)))</f>
        <v>3.3632756010449452</v>
      </c>
      <c r="FF9" s="18">
        <f>FE9*VLOOKUP('Données projet'!$B$16,Paramètres!$A$1:$I$89,3,0)*VLOOKUP('Données projet'!$B$16,Paramètres!$A$1:$I$89,5,0)</f>
        <v>3.2529601613306713</v>
      </c>
      <c r="FG9" s="14">
        <f t="shared" si="47"/>
        <v>1.3067772452636961</v>
      </c>
      <c r="FH9" s="22">
        <f t="shared" si="22"/>
        <v>7.9415426498185218</v>
      </c>
      <c r="FI9" s="62">
        <f t="shared" si="23"/>
        <v>301.27487598315184</v>
      </c>
      <c r="FJ9" s="62">
        <f ca="1">AVERAGE(OFFSET($FI$3,0,0,'Données projet'!$E$16+1,1))-AVERAGE(OFFSET($H$3,0,0,'Données projet'!$E$16+1,1))</f>
        <v>425.00152674093977</v>
      </c>
      <c r="FK9" s="62">
        <f t="shared" si="48"/>
        <v>214.96884469274687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3.7333333333333334</v>
      </c>
      <c r="N10" s="14">
        <f>IF('Données projet'!$A$36&gt;35,N9+M10-V9,IF(A10&lt;'Données projet'!$A$36,$K$205^A10,IF(A10='Données projet'!$A$36,'Données projet'!$B$36,N9+M10-V9)))</f>
        <v>3.0071207814747614</v>
      </c>
      <c r="O10" s="14">
        <f>N10*VLOOKUP('Données projet'!$B$9,Paramètres!$A$1:$I$89,3,0)*VLOOKUP('Données projet'!$B$9,Paramètres!$A$1:$I$89,5,0)</f>
        <v>1.4464250958893603</v>
      </c>
      <c r="P10" s="14">
        <f t="shared" si="33"/>
        <v>0.63854214206557469</v>
      </c>
      <c r="Q10" s="22">
        <f t="shared" si="2"/>
        <v>3.6313179394381785</v>
      </c>
      <c r="R10" s="62">
        <f t="shared" si="0"/>
        <v>296.9646512727715</v>
      </c>
      <c r="S10" s="62">
        <f ca="1">AVERAGE(OFFSET($R$3,0,0,'Données projet'!$E$9+1,1))-AVERAGE(OFFSET($H$3,0,0,'Données projet'!$E$9+1,1))</f>
        <v>179.22241276165141</v>
      </c>
      <c r="T10" s="62">
        <f t="shared" si="34"/>
        <v>86.510654589692876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4.857846153846153</v>
      </c>
      <c r="AI10" s="14">
        <f>IF('Données projet'!$A$62&gt;35,AI9+AH10-AQ9,IF(A10&lt;'Données projet'!$A$62,$AF$205^A10,IF(A10='Données projet'!$A$62,'Données projet'!$B$62,AI9+AH10-AQ9)))</f>
        <v>3.8337823559333288</v>
      </c>
      <c r="AJ10" s="14">
        <f>AI10*VLOOKUP('Données projet'!$B$10,Paramètres!$A$1:$I$89,3,0)*VLOOKUP('Données projet'!$B$10,Paramètres!$A$1:$I$89,5,0)</f>
        <v>2.2926018488481308</v>
      </c>
      <c r="AK10" s="14">
        <f t="shared" si="35"/>
        <v>0.95926467023175421</v>
      </c>
      <c r="AL10" s="22">
        <f t="shared" si="4"/>
        <v>5.6636675207308</v>
      </c>
      <c r="AM10" s="62">
        <f t="shared" si="5"/>
        <v>298.99700085406414</v>
      </c>
      <c r="AN10" s="62">
        <f ca="1">AVERAGE(OFFSET($AM$3,0,0,'Données projet'!$E$10+1,1))-AVERAGE(OFFSET($H$3,0,0,'Données projet'!$E$10+1,1))</f>
        <v>157.42757749057949</v>
      </c>
      <c r="AO10" s="62">
        <f t="shared" si="36"/>
        <v>129.86070223892136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2.85</v>
      </c>
      <c r="BD10" s="13">
        <f>IF('Données projet'!$A$88&gt;35,BD9+BC10-BL9,IF(A10&lt;'Données projet'!$A$88,$BA$205^A10,IF(A10='Données projet'!$A$88,'Données projet'!$B$88,BD9+BC10-BL9)))</f>
        <v>4.116766164969822</v>
      </c>
      <c r="BE10" s="14">
        <f>BD10*VLOOKUP('Données projet'!$B$11,Paramètres!$A$1:$I$89,3,0)*VLOOKUP('Données projet'!$B$11,Paramètres!$A$1:$I$89,5,0)</f>
        <v>4.3028439956264588</v>
      </c>
      <c r="BF10" s="14">
        <f t="shared" si="37"/>
        <v>1.6731640070541995</v>
      </c>
      <c r="BG10" s="22">
        <f t="shared" si="7"/>
        <v>10.408213938002147</v>
      </c>
      <c r="BH10" s="62">
        <f t="shared" si="8"/>
        <v>303.74154727133543</v>
      </c>
      <c r="BI10" s="62">
        <f ca="1">AVERAGE(OFFSET($BH$3,0,0,'Données projet'!$E$11+1,1))-AVERAGE(OFFSET($H$3,0,0,'Données projet'!$E$11+1,1))</f>
        <v>464.21202287459482</v>
      </c>
      <c r="BJ10" s="62">
        <f t="shared" si="38"/>
        <v>234.57880205159688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0.59333333333333338</v>
      </c>
      <c r="BY10" s="13">
        <f>IF('Données projet'!$A$114&gt;35,BY9+BX10-CG9,IF(A10&lt;'Données projet'!$A$114,$BV$205^A10,IF(A10='Données projet'!$A$114,'Données projet'!$B$114,BY9+BX10-CG9)))</f>
        <v>2.7736309177386498</v>
      </c>
      <c r="BZ10" s="14">
        <f>BY10*VLOOKUP('Données projet'!$B$12,Paramètres!$A$1:$I$89,3,0)*VLOOKUP('Données projet'!$B$12,Paramètres!$A$1:$I$89,5,0)</f>
        <v>2.2067007581528699</v>
      </c>
      <c r="CA10" s="14">
        <f t="shared" si="39"/>
        <v>0.9274356207760176</v>
      </c>
      <c r="CB10" s="22">
        <f t="shared" si="10"/>
        <v>5.4586208599678123</v>
      </c>
      <c r="CC10" s="62">
        <f t="shared" si="11"/>
        <v>298.79195419330114</v>
      </c>
      <c r="CD10" s="62">
        <f ca="1">AVERAGE(OFFSET($CC$3,0,0,'Données projet'!$E$12+1,1))-AVERAGE(OFFSET($H$3,0,0,'Données projet'!$E$12+1,1))</f>
        <v>177.99876437322689</v>
      </c>
      <c r="CE10" s="62">
        <f t="shared" si="40"/>
        <v>165.68154380324592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5.5864615384615384</v>
      </c>
      <c r="CT10" s="13">
        <f>IF('Données projet'!$A$140&gt;35,CT9+CS10-DB9,IF(A10&lt;'Données projet'!$A$140,$CQ$205^A10,IF(A10='Données projet'!$A$140,'Données projet'!$B$140,CT9+CS10-DB9)))</f>
        <v>3.9867730156853014</v>
      </c>
      <c r="CU10" s="18">
        <f>CT10*VLOOKUP('Données projet'!$B$13,Paramètres!$A$1:$I$89,3,0)*VLOOKUP('Données projet'!$B$13,Paramètres!$A$1:$I$89,5,0)</f>
        <v>2.2286061157680837</v>
      </c>
      <c r="CV10" s="14">
        <f t="shared" si="41"/>
        <v>0.93556572896790324</v>
      </c>
      <c r="CW10" s="22">
        <f t="shared" si="13"/>
        <v>5.5109326295818439</v>
      </c>
      <c r="CX10" s="62">
        <f t="shared" si="14"/>
        <v>298.84426596291513</v>
      </c>
      <c r="CY10" s="62">
        <f ca="1">AVERAGE(OFFSET($CX$3,0,0,'Données projet'!$E$13+1,1))-AVERAGE(OFFSET($H$3,0,0,'Données projet'!$E$13+1,1))</f>
        <v>242.07451379051349</v>
      </c>
      <c r="CZ10" s="62">
        <f t="shared" si="42"/>
        <v>207.11607964940754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6.2222222222222223</v>
      </c>
      <c r="DO10" s="13">
        <f>IF('Données projet'!$A$166&gt;35,DO9+DN10-DW9,IF(A10&lt;'Données projet'!$A$166,$DL$205^A10,IF(A10='Données projet'!$A$166,'Données projet'!$B$166,DO9+DN10-DW9)))</f>
        <v>6.2649573664027773</v>
      </c>
      <c r="DP10" s="18">
        <f>DO10*VLOOKUP('Données projet'!$B$14,Paramètres!$A$1:$I$89,3,0)*VLOOKUP('Données projet'!$B$14,Paramètres!$A$1:$I$89,5,0)</f>
        <v>3.9093333966353332</v>
      </c>
      <c r="DQ10" s="14">
        <f t="shared" si="43"/>
        <v>1.5372128955964925</v>
      </c>
      <c r="DR10" s="22">
        <f t="shared" si="16"/>
        <v>9.4860681256370967</v>
      </c>
      <c r="DS10" s="62">
        <f t="shared" si="17"/>
        <v>302.81940145897039</v>
      </c>
      <c r="DT10" s="62">
        <f ca="1">AVERAGE(OFFSET($DS$3,0,0,'Données projet'!$E$14+1,1))-AVERAGE(OFFSET($H$3,0,0,'Données projet'!$E$14+1,1))</f>
        <v>178.56320966726986</v>
      </c>
      <c r="DU10" s="62">
        <f t="shared" si="44"/>
        <v>272.06842551411739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2.85</v>
      </c>
      <c r="EJ10" s="13">
        <f>IF('Données projet'!$A$192&gt;35,EJ9+EI10-ER9,IF(A10&lt;'Données projet'!$A$192,$EG$205^A10,IF(A10='Données projet'!$A$192,'Données projet'!$B$192,EJ9+EI10-ER9)))</f>
        <v>4.116766164969822</v>
      </c>
      <c r="EK10" s="18">
        <f>EJ10*VLOOKUP('Données projet'!$B$15,Paramètres!$A$1:$I$89,3,0)*VLOOKUP('Données projet'!$B$15,Paramètres!$A$1:$I$89,5,0)</f>
        <v>4.4312870999735159</v>
      </c>
      <c r="EL10" s="14">
        <f t="shared" si="45"/>
        <v>1.7172197487926273</v>
      </c>
      <c r="EM10" s="22">
        <f t="shared" si="19"/>
        <v>10.708649428267698</v>
      </c>
      <c r="EN10" s="62">
        <f t="shared" si="20"/>
        <v>304.04198276160099</v>
      </c>
      <c r="EO10" s="62">
        <f ca="1">AVERAGE(OFFSET($EN$3,0,0,'Données projet'!$E$15+1,1))-AVERAGE(OFFSET($H$3,0,0,'Données projet'!$E$15+1,1))</f>
        <v>479.87943647026646</v>
      </c>
      <c r="EP10" s="62">
        <f t="shared" si="46"/>
        <v>242.41363045393223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2.85</v>
      </c>
      <c r="FE10" s="13">
        <f>IF('Données projet'!$A$218&gt;35,FE9+FD10-FM9,IF(A10&lt;'Données projet'!$A$218,$FB$205^A10,IF(A10='Données projet'!$A$218,'Données projet'!$B$218,FE9+FD10-FM9)))</f>
        <v>4.116766164969822</v>
      </c>
      <c r="FF10" s="18">
        <f>FE10*VLOOKUP('Données projet'!$B$16,Paramètres!$A$1:$I$89,3,0)*VLOOKUP('Données projet'!$B$16,Paramètres!$A$1:$I$89,5,0)</f>
        <v>3.9817362347588117</v>
      </c>
      <c r="FG10" s="14">
        <f t="shared" si="47"/>
        <v>1.5623420242607406</v>
      </c>
      <c r="FH10" s="22">
        <f t="shared" si="22"/>
        <v>9.6559363011257187</v>
      </c>
      <c r="FI10" s="62">
        <f t="shared" si="23"/>
        <v>302.98926963445905</v>
      </c>
      <c r="FJ10" s="62">
        <f ca="1">AVERAGE(OFFSET($FI$3,0,0,'Données projet'!$E$16+1,1))-AVERAGE(OFFSET($H$3,0,0,'Données projet'!$E$16+1,1))</f>
        <v>425.00152674093977</v>
      </c>
      <c r="FK10" s="62">
        <f t="shared" si="48"/>
        <v>214.96884469274687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3.7333333333333334</v>
      </c>
      <c r="N11" s="14">
        <f>IF('Données projet'!$A$36&gt;35,N10+M11-V10,IF(A11&lt;'Données projet'!$A$36,$K$205^A11,IF(A11='Données projet'!$A$36,'Données projet'!$B$36,N10+M11-V10)))</f>
        <v>3.5193149904235632</v>
      </c>
      <c r="O11" s="14">
        <f>N11*VLOOKUP('Données projet'!$B$9,Paramètres!$A$1:$I$89,3,0)*VLOOKUP('Données projet'!$B$9,Paramètres!$A$1:$I$89,5,0)</f>
        <v>1.692790510393734</v>
      </c>
      <c r="P11" s="14">
        <f t="shared" si="33"/>
        <v>0.7337462020540535</v>
      </c>
      <c r="Q11" s="22">
        <f t="shared" si="2"/>
        <v>4.2262181075132297</v>
      </c>
      <c r="R11" s="62">
        <f t="shared" si="0"/>
        <v>297.55955144084652</v>
      </c>
      <c r="S11" s="62">
        <f ca="1">AVERAGE(OFFSET($R$3,0,0,'Données projet'!$E$9+1,1))-AVERAGE(OFFSET($H$3,0,0,'Données projet'!$E$9+1,1))</f>
        <v>179.22241276165141</v>
      </c>
      <c r="T11" s="62">
        <f t="shared" si="34"/>
        <v>86.510654589692876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4.857846153846153</v>
      </c>
      <c r="AI11" s="14">
        <f>IF('Données projet'!$A$62&gt;35,AI10+AH11-AQ10,IF(A11&lt;'Données projet'!$A$62,$AF$205^A11,IF(A11='Données projet'!$A$62,'Données projet'!$B$62,AI10+AH11-AQ10)))</f>
        <v>4.6451827534970818</v>
      </c>
      <c r="AJ11" s="14">
        <f>AI11*VLOOKUP('Données projet'!$B$10,Paramètres!$A$1:$I$89,3,0)*VLOOKUP('Données projet'!$B$10,Paramètres!$A$1:$I$89,5,0)</f>
        <v>2.7778192865912552</v>
      </c>
      <c r="AK11" s="14">
        <f t="shared" si="35"/>
        <v>1.136603291743004</v>
      </c>
      <c r="AL11" s="22">
        <f t="shared" si="4"/>
        <v>6.8176193239321679</v>
      </c>
      <c r="AM11" s="62">
        <f t="shared" si="5"/>
        <v>300.15095265726546</v>
      </c>
      <c r="AN11" s="62">
        <f ca="1">AVERAGE(OFFSET($AM$3,0,0,'Données projet'!$E$10+1,1))-AVERAGE(OFFSET($H$3,0,0,'Données projet'!$E$10+1,1))</f>
        <v>157.42757749057949</v>
      </c>
      <c r="AO11" s="62">
        <f t="shared" si="36"/>
        <v>129.86070223892136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2.85</v>
      </c>
      <c r="BD11" s="13">
        <f>IF('Données projet'!$A$88&gt;35,BD10+BC11-BL10,IF(A11&lt;'Données projet'!$A$88,$BA$205^A11,IF(A11='Données projet'!$A$88,'Données projet'!$B$88,BD10+BC11-BL10)))</f>
        <v>5.0390647890332847</v>
      </c>
      <c r="BE11" s="14">
        <f>BD11*VLOOKUP('Données projet'!$B$11,Paramètres!$A$1:$I$89,3,0)*VLOOKUP('Données projet'!$B$11,Paramètres!$A$1:$I$89,5,0)</f>
        <v>5.2668305174975893</v>
      </c>
      <c r="BF11" s="14">
        <f t="shared" si="37"/>
        <v>2.000382583317617</v>
      </c>
      <c r="BG11" s="22">
        <f t="shared" si="7"/>
        <v>12.65706281725315</v>
      </c>
      <c r="BH11" s="62">
        <f t="shared" si="8"/>
        <v>305.99039615058649</v>
      </c>
      <c r="BI11" s="62">
        <f ca="1">AVERAGE(OFFSET($BH$3,0,0,'Données projet'!$E$11+1,1))-AVERAGE(OFFSET($H$3,0,0,'Données projet'!$E$11+1,1))</f>
        <v>464.21202287459482</v>
      </c>
      <c r="BJ11" s="62">
        <f t="shared" si="38"/>
        <v>234.57880205159688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0.59333333333333338</v>
      </c>
      <c r="BY11" s="13">
        <f>IF('Données projet'!$A$114&gt;35,BY10+BX11-CG10,IF(A11&lt;'Données projet'!$A$114,$BV$205^A11,IF(A11='Données projet'!$A$114,'Données projet'!$B$114,BY10+BX11-CG10)))</f>
        <v>3.2087903055451199</v>
      </c>
      <c r="BZ11" s="14">
        <f>BY11*VLOOKUP('Données projet'!$B$12,Paramètres!$A$1:$I$89,3,0)*VLOOKUP('Données projet'!$B$12,Paramètres!$A$1:$I$89,5,0)</f>
        <v>2.5529135670916978</v>
      </c>
      <c r="CA11" s="14">
        <f t="shared" si="39"/>
        <v>1.0548948517814973</v>
      </c>
      <c r="CB11" s="22">
        <f t="shared" si="10"/>
        <v>6.283599662870814</v>
      </c>
      <c r="CC11" s="62">
        <f t="shared" si="11"/>
        <v>299.61693299620413</v>
      </c>
      <c r="CD11" s="62">
        <f ca="1">AVERAGE(OFFSET($CC$3,0,0,'Données projet'!$E$12+1,1))-AVERAGE(OFFSET($H$3,0,0,'Données projet'!$E$12+1,1))</f>
        <v>177.99876437322689</v>
      </c>
      <c r="CE11" s="62">
        <f t="shared" si="40"/>
        <v>165.68154380324592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5.5864615384615384</v>
      </c>
      <c r="CT11" s="13">
        <f>IF('Données projet'!$A$140&gt;35,CT10+CS11-DB10,IF(A11&lt;'Données projet'!$A$140,$CQ$205^A11,IF(A11='Données projet'!$A$140,'Données projet'!$B$140,CT10+CS11-DB10)))</f>
        <v>4.8576316882660562</v>
      </c>
      <c r="CU11" s="18">
        <f>CT11*VLOOKUP('Données projet'!$B$13,Paramètres!$A$1:$I$89,3,0)*VLOOKUP('Données projet'!$B$13,Paramètres!$A$1:$I$89,5,0)</f>
        <v>2.7154161137407256</v>
      </c>
      <c r="CV11" s="14">
        <f t="shared" si="41"/>
        <v>1.1140120789946608</v>
      </c>
      <c r="CW11" s="22">
        <f t="shared" si="13"/>
        <v>6.6695874356807971</v>
      </c>
      <c r="CX11" s="62">
        <f t="shared" si="14"/>
        <v>300.00292076901411</v>
      </c>
      <c r="CY11" s="62">
        <f ca="1">AVERAGE(OFFSET($CX$3,0,0,'Données projet'!$E$13+1,1))-AVERAGE(OFFSET($H$3,0,0,'Données projet'!$E$13+1,1))</f>
        <v>242.07451379051349</v>
      </c>
      <c r="CZ11" s="62">
        <f t="shared" si="42"/>
        <v>207.11607964940754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6.2222222222222223</v>
      </c>
      <c r="DO11" s="13">
        <f>IF('Données projet'!$A$166&gt;35,DO10+DN11-DW10,IF(A11&lt;'Données projet'!$A$166,$DL$205^A11,IF(A11='Données projet'!$A$166,'Données projet'!$B$166,DO10+DN11-DW10)))</f>
        <v>8.1426087136553278</v>
      </c>
      <c r="DP11" s="18">
        <f>DO11*VLOOKUP('Données projet'!$B$14,Paramètres!$A$1:$I$89,3,0)*VLOOKUP('Données projet'!$B$14,Paramètres!$A$1:$I$89,5,0)</f>
        <v>5.080987837320925</v>
      </c>
      <c r="DQ11" s="14">
        <f t="shared" si="43"/>
        <v>1.9378843475584122</v>
      </c>
      <c r="DR11" s="22">
        <f t="shared" si="16"/>
        <v>12.224535721998178</v>
      </c>
      <c r="DS11" s="62">
        <f t="shared" si="17"/>
        <v>305.55786905533148</v>
      </c>
      <c r="DT11" s="62">
        <f ca="1">AVERAGE(OFFSET($DS$3,0,0,'Données projet'!$E$14+1,1))-AVERAGE(OFFSET($H$3,0,0,'Données projet'!$E$14+1,1))</f>
        <v>178.56320966726986</v>
      </c>
      <c r="DU11" s="62">
        <f t="shared" si="44"/>
        <v>272.06842551411739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2.85</v>
      </c>
      <c r="EJ11" s="13">
        <f>IF('Données projet'!$A$192&gt;35,EJ10+EI11-ER10,IF(A11&lt;'Données projet'!$A$192,$EG$205^A11,IF(A11='Données projet'!$A$192,'Données projet'!$B$192,EJ10+EI11-ER10)))</f>
        <v>5.0390647890332847</v>
      </c>
      <c r="EK11" s="18">
        <f>EJ11*VLOOKUP('Données projet'!$B$15,Paramètres!$A$1:$I$89,3,0)*VLOOKUP('Données projet'!$B$15,Paramètres!$A$1:$I$89,5,0)</f>
        <v>5.4240493389154274</v>
      </c>
      <c r="EL11" s="14">
        <f t="shared" si="45"/>
        <v>2.0530542509468117</v>
      </c>
      <c r="EM11" s="22">
        <f t="shared" si="19"/>
        <v>13.02262208567673</v>
      </c>
      <c r="EN11" s="62">
        <f t="shared" si="20"/>
        <v>306.35595541901006</v>
      </c>
      <c r="EO11" s="62">
        <f ca="1">AVERAGE(OFFSET($EN$3,0,0,'Données projet'!$E$15+1,1))-AVERAGE(OFFSET($H$3,0,0,'Données projet'!$E$15+1,1))</f>
        <v>479.87943647026646</v>
      </c>
      <c r="EP11" s="62">
        <f t="shared" si="46"/>
        <v>242.41363045393223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2.85</v>
      </c>
      <c r="FE11" s="13">
        <f>IF('Données projet'!$A$218&gt;35,FE10+FD11-FM10,IF(A11&lt;'Données projet'!$A$218,$FB$205^A11,IF(A11='Données projet'!$A$218,'Données projet'!$B$218,FE10+FD11-FM10)))</f>
        <v>5.0390647890332847</v>
      </c>
      <c r="FF11" s="18">
        <f>FE11*VLOOKUP('Données projet'!$B$16,Paramètres!$A$1:$I$89,3,0)*VLOOKUP('Données projet'!$B$16,Paramètres!$A$1:$I$89,5,0)</f>
        <v>4.8737834639529929</v>
      </c>
      <c r="FG11" s="14">
        <f t="shared" si="47"/>
        <v>1.8678872850120649</v>
      </c>
      <c r="FH11" s="22">
        <f t="shared" si="22"/>
        <v>11.741743221114143</v>
      </c>
      <c r="FI11" s="62">
        <f t="shared" si="23"/>
        <v>305.07507655444743</v>
      </c>
      <c r="FJ11" s="62">
        <f ca="1">AVERAGE(OFFSET($FI$3,0,0,'Données projet'!$E$16+1,1))-AVERAGE(OFFSET($H$3,0,0,'Données projet'!$E$16+1,1))</f>
        <v>425.00152674093977</v>
      </c>
      <c r="FK11" s="62">
        <f t="shared" si="48"/>
        <v>214.96884469274687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3.7333333333333334</v>
      </c>
      <c r="N12" s="14">
        <f>IF('Données projet'!$A$36&gt;35,N11+M12-V11,IF(A12&lt;'Données projet'!$A$36,$K$205^A12,IF(A12='Données projet'!$A$36,'Données projet'!$B$36,N11+M12-V11)))</f>
        <v>4.1187497616061277</v>
      </c>
      <c r="O12" s="14">
        <f>N12*VLOOKUP('Données projet'!$B$9,Paramètres!$A$1:$I$89,3,0)*VLOOKUP('Données projet'!$B$9,Paramètres!$A$1:$I$89,5,0)</f>
        <v>1.9811186353325474</v>
      </c>
      <c r="P12" s="14">
        <f t="shared" si="33"/>
        <v>0.84314480370421485</v>
      </c>
      <c r="Q12" s="22">
        <f t="shared" si="2"/>
        <v>4.9189254896556944</v>
      </c>
      <c r="R12" s="62">
        <f t="shared" si="0"/>
        <v>298.25225882298901</v>
      </c>
      <c r="S12" s="62">
        <f ca="1">AVERAGE(OFFSET($R$3,0,0,'Données projet'!$E$9+1,1))-AVERAGE(OFFSET($H$3,0,0,'Données projet'!$E$9+1,1))</f>
        <v>179.22241276165141</v>
      </c>
      <c r="T12" s="62">
        <f t="shared" si="34"/>
        <v>86.510654589692876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4.857846153846153</v>
      </c>
      <c r="AI12" s="14">
        <f>IF('Données projet'!$A$62&gt;35,AI11+AH12-AQ11,IF(A12&lt;'Données projet'!$A$62,$AF$205^A12,IF(A12='Données projet'!$A$62,'Données projet'!$B$62,AI11+AH12-AQ11)))</f>
        <v>5.628311888908379</v>
      </c>
      <c r="AJ12" s="14">
        <f>AI12*VLOOKUP('Données projet'!$B$10,Paramètres!$A$1:$I$89,3,0)*VLOOKUP('Données projet'!$B$10,Paramètres!$A$1:$I$89,5,0)</f>
        <v>3.3657305095672108</v>
      </c>
      <c r="AK12" s="14">
        <f t="shared" si="35"/>
        <v>1.3467263862526309</v>
      </c>
      <c r="AL12" s="22">
        <f t="shared" si="4"/>
        <v>8.2075290935528908</v>
      </c>
      <c r="AM12" s="62">
        <f t="shared" si="5"/>
        <v>301.54086242688618</v>
      </c>
      <c r="AN12" s="62">
        <f ca="1">AVERAGE(OFFSET($AM$3,0,0,'Données projet'!$E$10+1,1))-AVERAGE(OFFSET($H$3,0,0,'Données projet'!$E$10+1,1))</f>
        <v>157.42757749057949</v>
      </c>
      <c r="AO12" s="62">
        <f t="shared" si="36"/>
        <v>129.86070223892136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2.85</v>
      </c>
      <c r="BD12" s="13">
        <f>IF('Données projet'!$A$88&gt;35,BD11+BC12-BL11,IF(A12&lt;'Données projet'!$A$88,$BA$205^A12,IF(A12='Données projet'!$A$88,'Données projet'!$B$88,BD11+BC12-BL11)))</f>
        <v>6.167990342551116</v>
      </c>
      <c r="BE12" s="14">
        <f>BD12*VLOOKUP('Données projet'!$B$11,Paramètres!$A$1:$I$89,3,0)*VLOOKUP('Données projet'!$B$11,Paramètres!$A$1:$I$89,5,0)</f>
        <v>6.4467835060344267</v>
      </c>
      <c r="BF12" s="14">
        <f t="shared" si="37"/>
        <v>2.3915948841653738</v>
      </c>
      <c r="BG12" s="22">
        <f t="shared" si="7"/>
        <v>15.393509029597984</v>
      </c>
      <c r="BH12" s="62">
        <f t="shared" si="8"/>
        <v>308.72684236293128</v>
      </c>
      <c r="BI12" s="62">
        <f ca="1">AVERAGE(OFFSET($BH$3,0,0,'Données projet'!$E$11+1,1))-AVERAGE(OFFSET($H$3,0,0,'Données projet'!$E$11+1,1))</f>
        <v>464.21202287459482</v>
      </c>
      <c r="BJ12" s="62">
        <f t="shared" si="38"/>
        <v>234.57880205159688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0.59333333333333338</v>
      </c>
      <c r="BY12" s="13">
        <f>IF('Données projet'!$A$114&gt;35,BY11+BX12-CG11,IF(A12&lt;'Données projet'!$A$114,$BV$205^A12,IF(A12='Données projet'!$A$114,'Données projet'!$B$114,BY11+BX12-CG11)))</f>
        <v>3.7122225452242148</v>
      </c>
      <c r="BZ12" s="14">
        <f>BY12*VLOOKUP('Données projet'!$B$12,Paramètres!$A$1:$I$89,3,0)*VLOOKUP('Données projet'!$B$12,Paramètres!$A$1:$I$89,5,0)</f>
        <v>2.9534442569803852</v>
      </c>
      <c r="CA12" s="14">
        <f t="shared" si="39"/>
        <v>1.1998710459104276</v>
      </c>
      <c r="CB12" s="22">
        <f t="shared" si="10"/>
        <v>7.2336908192014988</v>
      </c>
      <c r="CC12" s="62">
        <f t="shared" si="11"/>
        <v>300.56702415253483</v>
      </c>
      <c r="CD12" s="62">
        <f ca="1">AVERAGE(OFFSET($CC$3,0,0,'Données projet'!$E$12+1,1))-AVERAGE(OFFSET($H$3,0,0,'Données projet'!$E$12+1,1))</f>
        <v>177.99876437322689</v>
      </c>
      <c r="CE12" s="62">
        <f t="shared" si="40"/>
        <v>165.68154380324592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5.5864615384615384</v>
      </c>
      <c r="CT12" s="13">
        <f>IF('Données projet'!$A$140&gt;35,CT11+CS12-DB11,IF(A12&lt;'Données projet'!$A$140,$CQ$205^A12,IF(A12='Données projet'!$A$140,'Données projet'!$B$140,CT11+CS12-DB11)))</f>
        <v>5.9187181025881479</v>
      </c>
      <c r="CU12" s="18">
        <f>CT12*VLOOKUP('Données projet'!$B$13,Paramètres!$A$1:$I$89,3,0)*VLOOKUP('Données projet'!$B$13,Paramètres!$A$1:$I$89,5,0)</f>
        <v>3.3085634193467746</v>
      </c>
      <c r="CV12" s="14">
        <f t="shared" si="41"/>
        <v>1.3264946264278805</v>
      </c>
      <c r="CW12" s="22">
        <f t="shared" si="13"/>
        <v>8.0727260963908574</v>
      </c>
      <c r="CX12" s="62">
        <f t="shared" si="14"/>
        <v>301.40605942972417</v>
      </c>
      <c r="CY12" s="62">
        <f ca="1">AVERAGE(OFFSET($CX$3,0,0,'Données projet'!$E$13+1,1))-AVERAGE(OFFSET($H$3,0,0,'Données projet'!$E$13+1,1))</f>
        <v>242.07451379051349</v>
      </c>
      <c r="CZ12" s="62">
        <f t="shared" si="42"/>
        <v>207.11607964940754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6.2222222222222223</v>
      </c>
      <c r="DO12" s="13">
        <f>IF('Données projet'!$A$166&gt;35,DO11+DN12-DW11,IF(A12&lt;'Données projet'!$A$166,$DL$205^A12,IF(A12='Données projet'!$A$166,'Données projet'!$B$166,DO11+DN12-DW11)))</f>
        <v>10.583005244258365</v>
      </c>
      <c r="DP12" s="18">
        <f>DO12*VLOOKUP('Données projet'!$B$14,Paramètres!$A$1:$I$89,3,0)*VLOOKUP('Données projet'!$B$14,Paramètres!$A$1:$I$89,5,0)</f>
        <v>6.6037952724172193</v>
      </c>
      <c r="DQ12" s="14">
        <f t="shared" si="43"/>
        <v>2.4429900082608067</v>
      </c>
      <c r="DR12" s="22">
        <f t="shared" si="16"/>
        <v>15.75648436384756</v>
      </c>
      <c r="DS12" s="62">
        <f t="shared" si="17"/>
        <v>309.08981769718088</v>
      </c>
      <c r="DT12" s="62">
        <f ca="1">AVERAGE(OFFSET($DS$3,0,0,'Données projet'!$E$14+1,1))-AVERAGE(OFFSET($H$3,0,0,'Données projet'!$E$14+1,1))</f>
        <v>178.56320966726986</v>
      </c>
      <c r="DU12" s="62">
        <f t="shared" si="44"/>
        <v>272.06842551411739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2.85</v>
      </c>
      <c r="EJ12" s="13">
        <f>IF('Données projet'!$A$192&gt;35,EJ11+EI12-ER11,IF(A12&lt;'Données projet'!$A$192,$EG$205^A12,IF(A12='Données projet'!$A$192,'Données projet'!$B$192,EJ11+EI12-ER11)))</f>
        <v>6.167990342551116</v>
      </c>
      <c r="EK12" s="18">
        <f>EJ12*VLOOKUP('Données projet'!$B$15,Paramètres!$A$1:$I$89,3,0)*VLOOKUP('Données projet'!$B$15,Paramètres!$A$1:$I$89,5,0)</f>
        <v>6.639224804722021</v>
      </c>
      <c r="EL12" s="14">
        <f t="shared" si="45"/>
        <v>2.4545674834536175</v>
      </c>
      <c r="EM12" s="22">
        <f t="shared" si="19"/>
        <v>15.838354901905904</v>
      </c>
      <c r="EN12" s="62">
        <f t="shared" si="20"/>
        <v>309.17168823523923</v>
      </c>
      <c r="EO12" s="62">
        <f ca="1">AVERAGE(OFFSET($EN$3,0,0,'Données projet'!$E$15+1,1))-AVERAGE(OFFSET($H$3,0,0,'Données projet'!$E$15+1,1))</f>
        <v>479.87943647026646</v>
      </c>
      <c r="EP12" s="62">
        <f t="shared" si="46"/>
        <v>242.41363045393223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2.85</v>
      </c>
      <c r="FE12" s="13">
        <f>IF('Données projet'!$A$218&gt;35,FE11+FD12-FM11,IF(A12&lt;'Données projet'!$A$218,$FB$205^A12,IF(A12='Données projet'!$A$218,'Données projet'!$B$218,FE11+FD12-FM11)))</f>
        <v>6.167990342551116</v>
      </c>
      <c r="FF12" s="18">
        <f>FE12*VLOOKUP('Données projet'!$B$16,Paramètres!$A$1:$I$89,3,0)*VLOOKUP('Données projet'!$B$16,Paramètres!$A$1:$I$89,5,0)</f>
        <v>5.9656802593154392</v>
      </c>
      <c r="FG12" s="14">
        <f t="shared" si="47"/>
        <v>2.23318764734671</v>
      </c>
      <c r="FH12" s="22">
        <f t="shared" si="22"/>
        <v>14.279694937436576</v>
      </c>
      <c r="FI12" s="62">
        <f t="shared" si="23"/>
        <v>307.61302827076992</v>
      </c>
      <c r="FJ12" s="62">
        <f ca="1">AVERAGE(OFFSET($FI$3,0,0,'Données projet'!$E$16+1,1))-AVERAGE(OFFSET($H$3,0,0,'Données projet'!$E$16+1,1))</f>
        <v>425.00152674093977</v>
      </c>
      <c r="FK12" s="62">
        <f t="shared" si="48"/>
        <v>214.96884469274687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3.7333333333333334</v>
      </c>
      <c r="N13" s="14">
        <f>IF('Données projet'!$A$36&gt;35,N12+M13-V12,IF(A13&lt;'Données projet'!$A$36,$K$205^A13,IF(A13='Données projet'!$A$36,'Données projet'!$B$36,N12+M13-V12)))</f>
        <v>4.8202845283504558</v>
      </c>
      <c r="O13" s="14">
        <f>N13*VLOOKUP('Données projet'!$B$9,Paramètres!$A$1:$I$89,3,0)*VLOOKUP('Données projet'!$B$9,Paramètres!$A$1:$I$89,5,0)</f>
        <v>2.3185568581365694</v>
      </c>
      <c r="P13" s="14">
        <f t="shared" si="33"/>
        <v>0.96885429597228678</v>
      </c>
      <c r="Q13" s="22">
        <f t="shared" si="2"/>
        <v>5.7255744267395903</v>
      </c>
      <c r="R13" s="62">
        <f t="shared" si="0"/>
        <v>299.05890776007288</v>
      </c>
      <c r="S13" s="62">
        <f ca="1">AVERAGE(OFFSET($R$3,0,0,'Données projet'!$E$9+1,1))-AVERAGE(OFFSET($H$3,0,0,'Données projet'!$E$9+1,1))</f>
        <v>179.22241276165141</v>
      </c>
      <c r="T13" s="62">
        <f t="shared" si="34"/>
        <v>86.510654589692876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4.857846153846153</v>
      </c>
      <c r="AI13" s="14">
        <f>IF('Données projet'!$A$62&gt;35,AI12+AH13-AQ12,IF(A13&lt;'Données projet'!$A$62,$AF$205^A13,IF(A13='Données projet'!$A$62,'Données projet'!$B$62,AI12+AH13-AQ12)))</f>
        <v>6.8195152698737207</v>
      </c>
      <c r="AJ13" s="14">
        <f>AI13*VLOOKUP('Données projet'!$B$10,Paramètres!$A$1:$I$89,3,0)*VLOOKUP('Données projet'!$B$10,Paramètres!$A$1:$I$89,5,0)</f>
        <v>4.0780701313844849</v>
      </c>
      <c r="AK13" s="14">
        <f t="shared" si="35"/>
        <v>1.5956947974765834</v>
      </c>
      <c r="AL13" s="22">
        <f t="shared" si="4"/>
        <v>9.8818072510996942</v>
      </c>
      <c r="AM13" s="62">
        <f t="shared" si="5"/>
        <v>303.21514058443302</v>
      </c>
      <c r="AN13" s="62">
        <f ca="1">AVERAGE(OFFSET($AM$3,0,0,'Données projet'!$E$10+1,1))-AVERAGE(OFFSET($H$3,0,0,'Données projet'!$E$10+1,1))</f>
        <v>157.42757749057949</v>
      </c>
      <c r="AO13" s="62">
        <f t="shared" si="36"/>
        <v>129.86070223892136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2.85</v>
      </c>
      <c r="BD13" s="13">
        <f>IF('Données projet'!$A$88&gt;35,BD12+BC13-BL12,IF(A13&lt;'Données projet'!$A$88,$BA$205^A13,IF(A13='Données projet'!$A$88,'Données projet'!$B$88,BD12+BC13-BL12)))</f>
        <v>7.5498344352707516</v>
      </c>
      <c r="BE13" s="14">
        <f>BD13*VLOOKUP('Données projet'!$B$11,Paramètres!$A$1:$I$89,3,0)*VLOOKUP('Données projet'!$B$11,Paramètres!$A$1:$I$89,5,0)</f>
        <v>7.8910869517449909</v>
      </c>
      <c r="BF13" s="14">
        <f t="shared" si="37"/>
        <v>2.8593160816666754</v>
      </c>
      <c r="BG13" s="22">
        <f t="shared" si="7"/>
        <v>18.723618616525318</v>
      </c>
      <c r="BH13" s="62">
        <f t="shared" si="8"/>
        <v>312.05695194985861</v>
      </c>
      <c r="BI13" s="62">
        <f ca="1">AVERAGE(OFFSET($BH$3,0,0,'Données projet'!$E$11+1,1))-AVERAGE(OFFSET($H$3,0,0,'Données projet'!$E$11+1,1))</f>
        <v>464.21202287459482</v>
      </c>
      <c r="BJ13" s="62">
        <f t="shared" si="38"/>
        <v>234.57880205159688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0.59333333333333338</v>
      </c>
      <c r="BY13" s="13">
        <f>IF('Données projet'!$A$114&gt;35,BY12+BX13-CG12,IF(A13&lt;'Données projet'!$A$114,$BV$205^A13,IF(A13='Données projet'!$A$114,'Données projet'!$B$114,BY12+BX13-CG12)))</f>
        <v>4.2946390736274225</v>
      </c>
      <c r="BZ13" s="14">
        <f>BY13*VLOOKUP('Données projet'!$B$12,Paramètres!$A$1:$I$89,3,0)*VLOOKUP('Données projet'!$B$12,Paramètres!$A$1:$I$89,5,0)</f>
        <v>3.4168148469779775</v>
      </c>
      <c r="CA13" s="14">
        <f t="shared" si="39"/>
        <v>1.364771592526826</v>
      </c>
      <c r="CB13" s="22">
        <f t="shared" si="10"/>
        <v>8.327929715470864</v>
      </c>
      <c r="CC13" s="62">
        <f t="shared" si="11"/>
        <v>301.66126304880419</v>
      </c>
      <c r="CD13" s="62">
        <f ca="1">AVERAGE(OFFSET($CC$3,0,0,'Données projet'!$E$12+1,1))-AVERAGE(OFFSET($H$3,0,0,'Données projet'!$E$12+1,1))</f>
        <v>177.99876437322689</v>
      </c>
      <c r="CE13" s="62">
        <f t="shared" si="40"/>
        <v>165.68154380324592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5.5864615384615384</v>
      </c>
      <c r="CT13" s="13">
        <f>IF('Données projet'!$A$140&gt;35,CT12+CS13-DB12,IF(A13&lt;'Données projet'!$A$140,$CQ$205^A13,IF(A13='Données projet'!$A$140,'Données projet'!$B$140,CT12+CS13-DB12)))</f>
        <v>7.2115850327897393</v>
      </c>
      <c r="CU13" s="18">
        <f>CT13*VLOOKUP('Données projet'!$B$13,Paramètres!$A$1:$I$89,3,0)*VLOOKUP('Données projet'!$B$13,Paramètres!$A$1:$I$89,5,0)</f>
        <v>4.0312760333294646</v>
      </c>
      <c r="CV13" s="14">
        <f t="shared" si="41"/>
        <v>1.5795053097898017</v>
      </c>
      <c r="CW13" s="22">
        <f t="shared" si="13"/>
        <v>9.7721108392660554</v>
      </c>
      <c r="CX13" s="62">
        <f t="shared" si="14"/>
        <v>303.10544417259939</v>
      </c>
      <c r="CY13" s="62">
        <f ca="1">AVERAGE(OFFSET($CX$3,0,0,'Données projet'!$E$13+1,1))-AVERAGE(OFFSET($H$3,0,0,'Données projet'!$E$13+1,1))</f>
        <v>242.07451379051349</v>
      </c>
      <c r="CZ13" s="62">
        <f t="shared" si="42"/>
        <v>207.11607964940754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6.2222222222222223</v>
      </c>
      <c r="DO13" s="13">
        <f>IF('Données projet'!$A$166&gt;35,DO12+DN13-DW12,IF(A13&lt;'Données projet'!$A$166,$DL$205^A13,IF(A13='Données projet'!$A$166,'Données projet'!$B$166,DO12+DN13-DW12)))</f>
        <v>13.754805608204368</v>
      </c>
      <c r="DP13" s="18">
        <f>DO13*VLOOKUP('Données projet'!$B$14,Paramètres!$A$1:$I$89,3,0)*VLOOKUP('Données projet'!$B$14,Paramètres!$A$1:$I$89,5,0)</f>
        <v>8.5829986995195267</v>
      </c>
      <c r="DQ13" s="14">
        <f t="shared" si="43"/>
        <v>3.0797504443346257</v>
      </c>
      <c r="DR13" s="22">
        <f t="shared" si="16"/>
        <v>20.312621425545984</v>
      </c>
      <c r="DS13" s="62">
        <f t="shared" si="17"/>
        <v>313.64595475887927</v>
      </c>
      <c r="DT13" s="62">
        <f ca="1">AVERAGE(OFFSET($DS$3,0,0,'Données projet'!$E$14+1,1))-AVERAGE(OFFSET($H$3,0,0,'Données projet'!$E$14+1,1))</f>
        <v>178.56320966726986</v>
      </c>
      <c r="DU13" s="62">
        <f t="shared" si="44"/>
        <v>272.06842551411739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2.85</v>
      </c>
      <c r="EJ13" s="13">
        <f>IF('Données projet'!$A$192&gt;35,EJ12+EI13-ER12,IF(A13&lt;'Données projet'!$A$192,$EG$205^A13,IF(A13='Données projet'!$A$192,'Données projet'!$B$192,EJ12+EI13-ER12)))</f>
        <v>7.5498344352707516</v>
      </c>
      <c r="EK13" s="18">
        <f>EJ13*VLOOKUP('Données projet'!$B$15,Paramètres!$A$1:$I$89,3,0)*VLOOKUP('Données projet'!$B$15,Paramètres!$A$1:$I$89,5,0)</f>
        <v>8.1266417861254379</v>
      </c>
      <c r="EL13" s="14">
        <f t="shared" si="45"/>
        <v>2.9346041528368323</v>
      </c>
      <c r="EM13" s="22">
        <f t="shared" si="19"/>
        <v>19.265003343692616</v>
      </c>
      <c r="EN13" s="62">
        <f t="shared" si="20"/>
        <v>312.59833667702594</v>
      </c>
      <c r="EO13" s="62">
        <f ca="1">AVERAGE(OFFSET($EN$3,0,0,'Données projet'!$E$15+1,1))-AVERAGE(OFFSET($H$3,0,0,'Données projet'!$E$15+1,1))</f>
        <v>479.87943647026646</v>
      </c>
      <c r="EP13" s="62">
        <f t="shared" si="46"/>
        <v>242.41363045393223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2.85</v>
      </c>
      <c r="FE13" s="13">
        <f>IF('Données projet'!$A$218&gt;35,FE12+FD13-FM12,IF(A13&lt;'Données projet'!$A$218,$FB$205^A13,IF(A13='Données projet'!$A$218,'Données projet'!$B$218,FE12+FD13-FM12)))</f>
        <v>7.5498344352707516</v>
      </c>
      <c r="FF13" s="18">
        <f>FE13*VLOOKUP('Données projet'!$B$16,Paramètres!$A$1:$I$89,3,0)*VLOOKUP('Données projet'!$B$16,Paramètres!$A$1:$I$89,5,0)</f>
        <v>7.3021998657938711</v>
      </c>
      <c r="FG13" s="14">
        <f t="shared" si="47"/>
        <v>2.6699293411752754</v>
      </c>
      <c r="FH13" s="22">
        <f t="shared" si="22"/>
        <v>17.368125035471262</v>
      </c>
      <c r="FI13" s="62">
        <f t="shared" si="23"/>
        <v>310.70145836880459</v>
      </c>
      <c r="FJ13" s="62">
        <f ca="1">AVERAGE(OFFSET($FI$3,0,0,'Données projet'!$E$16+1,1))-AVERAGE(OFFSET($H$3,0,0,'Données projet'!$E$16+1,1))</f>
        <v>425.00152674093977</v>
      </c>
      <c r="FK13" s="62">
        <f t="shared" si="48"/>
        <v>214.96884469274687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3.7333333333333334</v>
      </c>
      <c r="N14" s="14">
        <f>IF('Données projet'!$A$36&gt;35,N13+M14-V13,IF(A14&lt;'Données projet'!$A$36,$K$205^A14,IF(A14='Données projet'!$A$36,'Données projet'!$B$36,N13+M14-V13)))</f>
        <v>5.6413096884026555</v>
      </c>
      <c r="O14" s="14">
        <f>N14*VLOOKUP('Données projet'!$B$9,Paramètres!$A$1:$I$89,3,0)*VLOOKUP('Données projet'!$B$9,Paramètres!$A$1:$I$89,5,0)</f>
        <v>2.7134699601216772</v>
      </c>
      <c r="P14" s="14">
        <f t="shared" si="33"/>
        <v>1.1133065669147559</v>
      </c>
      <c r="Q14" s="22">
        <f t="shared" si="2"/>
        <v>6.664969117921788</v>
      </c>
      <c r="R14" s="62">
        <f t="shared" si="0"/>
        <v>299.99830245125509</v>
      </c>
      <c r="S14" s="62">
        <f ca="1">AVERAGE(OFFSET($R$3,0,0,'Données projet'!$E$9+1,1))-AVERAGE(OFFSET($H$3,0,0,'Données projet'!$E$9+1,1))</f>
        <v>179.22241276165141</v>
      </c>
      <c r="T14" s="62">
        <f t="shared" si="34"/>
        <v>86.510654589692876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4.857846153846153</v>
      </c>
      <c r="AI14" s="14">
        <f>IF('Données projet'!$A$62&gt;35,AI13+AH14-AQ13,IF(A14&lt;'Données projet'!$A$62,$AF$205^A14,IF(A14='Données projet'!$A$62,'Données projet'!$B$62,AI13+AH14-AQ13)))</f>
        <v>8.2628307446303815</v>
      </c>
      <c r="AJ14" s="14">
        <f>AI14*VLOOKUP('Données projet'!$B$10,Paramètres!$A$1:$I$89,3,0)*VLOOKUP('Données projet'!$B$10,Paramètres!$A$1:$I$89,5,0)</f>
        <v>4.9411727852889689</v>
      </c>
      <c r="AK14" s="14">
        <f t="shared" si="35"/>
        <v>1.8906898332770827</v>
      </c>
      <c r="AL14" s="22">
        <f t="shared" si="4"/>
        <v>11.89882739400254</v>
      </c>
      <c r="AM14" s="62">
        <f t="shared" si="5"/>
        <v>305.23216072733584</v>
      </c>
      <c r="AN14" s="62">
        <f ca="1">AVERAGE(OFFSET($AM$3,0,0,'Données projet'!$E$10+1,1))-AVERAGE(OFFSET($H$3,0,0,'Données projet'!$E$10+1,1))</f>
        <v>157.42757749057949</v>
      </c>
      <c r="AO14" s="62">
        <f t="shared" si="36"/>
        <v>129.86070223892136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2.85</v>
      </c>
      <c r="BD14" s="13">
        <f>IF('Données projet'!$A$88&gt;35,BD13+BC14-BL13,IF(A14&lt;'Données projet'!$A$88,$BA$205^A14,IF(A14='Données projet'!$A$88,'Données projet'!$B$88,BD13+BC14-BL13)))</f>
        <v>9.2412596055434975</v>
      </c>
      <c r="BE14" s="14">
        <f>BD14*VLOOKUP('Données projet'!$B$11,Paramètres!$A$1:$I$89,3,0)*VLOOKUP('Données projet'!$B$11,Paramètres!$A$1:$I$89,5,0)</f>
        <v>9.6589645397140647</v>
      </c>
      <c r="BF14" s="14">
        <f t="shared" si="37"/>
        <v>3.4185089243201179</v>
      </c>
      <c r="BG14" s="22">
        <f t="shared" si="7"/>
        <v>22.776599616526198</v>
      </c>
      <c r="BH14" s="62">
        <f t="shared" si="8"/>
        <v>316.10993294985951</v>
      </c>
      <c r="BI14" s="62">
        <f ca="1">AVERAGE(OFFSET($BH$3,0,0,'Données projet'!$E$11+1,1))-AVERAGE(OFFSET($H$3,0,0,'Données projet'!$E$11+1,1))</f>
        <v>464.21202287459482</v>
      </c>
      <c r="BJ14" s="62">
        <f t="shared" si="38"/>
        <v>234.57880205159688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0.59333333333333338</v>
      </c>
      <c r="BY14" s="13">
        <f>IF('Données projet'!$A$114&gt;35,BY13+BX14-CG13,IF(A14&lt;'Données projet'!$A$114,$BV$205^A14,IF(A14='Données projet'!$A$114,'Données projet'!$B$114,BY13+BX14-CG13)))</f>
        <v>4.9684318620540591</v>
      </c>
      <c r="BZ14" s="14">
        <f>BY14*VLOOKUP('Données projet'!$B$12,Paramètres!$A$1:$I$89,3,0)*VLOOKUP('Données projet'!$B$12,Paramètres!$A$1:$I$89,5,0)</f>
        <v>3.9528843894502095</v>
      </c>
      <c r="CA14" s="14">
        <f t="shared" si="39"/>
        <v>1.5523347330670187</v>
      </c>
      <c r="CB14" s="22">
        <f t="shared" si="10"/>
        <v>9.5882566383841734</v>
      </c>
      <c r="CC14" s="62">
        <f t="shared" si="11"/>
        <v>302.92158997171748</v>
      </c>
      <c r="CD14" s="62">
        <f ca="1">AVERAGE(OFFSET($CC$3,0,0,'Données projet'!$E$12+1,1))-AVERAGE(OFFSET($H$3,0,0,'Données projet'!$E$12+1,1))</f>
        <v>177.99876437322689</v>
      </c>
      <c r="CE14" s="62">
        <f t="shared" si="40"/>
        <v>165.68154380324592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5.5864615384615384</v>
      </c>
      <c r="CT14" s="13">
        <f>IF('Données projet'!$A$140&gt;35,CT13+CS14-DB13,IF(A14&lt;'Données projet'!$A$140,$CQ$205^A14,IF(A14='Données projet'!$A$140,'Données projet'!$B$140,CT13+CS14-DB13)))</f>
        <v>8.7868619156596228</v>
      </c>
      <c r="CU14" s="18">
        <f>CT14*VLOOKUP('Données projet'!$B$13,Paramètres!$A$1:$I$89,3,0)*VLOOKUP('Données projet'!$B$13,Paramètres!$A$1:$I$89,5,0)</f>
        <v>4.9118558108537291</v>
      </c>
      <c r="CV14" s="14">
        <f t="shared" si="41"/>
        <v>1.8807743159672847</v>
      </c>
      <c r="CW14" s="22">
        <f t="shared" si="13"/>
        <v>11.830497470879934</v>
      </c>
      <c r="CX14" s="62">
        <f t="shared" si="14"/>
        <v>305.16383080421326</v>
      </c>
      <c r="CY14" s="62">
        <f ca="1">AVERAGE(OFFSET($CX$3,0,0,'Données projet'!$E$13+1,1))-AVERAGE(OFFSET($H$3,0,0,'Données projet'!$E$13+1,1))</f>
        <v>242.07451379051349</v>
      </c>
      <c r="CZ14" s="62">
        <f t="shared" si="42"/>
        <v>207.11607964940754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6.2222222222222223</v>
      </c>
      <c r="DO14" s="13">
        <f>IF('Données projet'!$A$166&gt;35,DO13+DN14-DW13,IF(A14&lt;'Données projet'!$A$166,$DL$205^A14,IF(A14='Données projet'!$A$166,'Données projet'!$B$166,DO13+DN14-DW13)))</f>
        <v>17.877216627302985</v>
      </c>
      <c r="DP14" s="18">
        <f>DO14*VLOOKUP('Données projet'!$B$14,Paramètres!$A$1:$I$89,3,0)*VLOOKUP('Données projet'!$B$14,Paramètres!$A$1:$I$89,5,0)</f>
        <v>11.155383175437063</v>
      </c>
      <c r="DQ14" s="14">
        <f t="shared" si="43"/>
        <v>3.8824812083990929</v>
      </c>
      <c r="DR14" s="22">
        <f t="shared" si="16"/>
        <v>26.1909471351813</v>
      </c>
      <c r="DS14" s="62">
        <f t="shared" si="17"/>
        <v>319.52428046851463</v>
      </c>
      <c r="DT14" s="62">
        <f ca="1">AVERAGE(OFFSET($DS$3,0,0,'Données projet'!$E$14+1,1))-AVERAGE(OFFSET($H$3,0,0,'Données projet'!$E$14+1,1))</f>
        <v>178.56320966726986</v>
      </c>
      <c r="DU14" s="62">
        <f t="shared" si="44"/>
        <v>272.06842551411739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2.85</v>
      </c>
      <c r="EJ14" s="13">
        <f>IF('Données projet'!$A$192&gt;35,EJ13+EI14-ER13,IF(A14&lt;'Données projet'!$A$192,$EG$205^A14,IF(A14='Données projet'!$A$192,'Données projet'!$B$192,EJ13+EI14-ER13)))</f>
        <v>9.2412596055434975</v>
      </c>
      <c r="EK14" s="18">
        <f>EJ14*VLOOKUP('Données projet'!$B$15,Paramètres!$A$1:$I$89,3,0)*VLOOKUP('Données projet'!$B$15,Paramètres!$A$1:$I$89,5,0)</f>
        <v>9.9472918394070202</v>
      </c>
      <c r="EL14" s="14">
        <f t="shared" si="45"/>
        <v>3.5085209886876254</v>
      </c>
      <c r="EM14" s="22">
        <f t="shared" si="19"/>
        <v>23.435540675598173</v>
      </c>
      <c r="EN14" s="62">
        <f t="shared" si="20"/>
        <v>316.7688740089315</v>
      </c>
      <c r="EO14" s="62">
        <f ca="1">AVERAGE(OFFSET($EN$3,0,0,'Données projet'!$E$15+1,1))-AVERAGE(OFFSET($H$3,0,0,'Données projet'!$E$15+1,1))</f>
        <v>479.87943647026646</v>
      </c>
      <c r="EP14" s="62">
        <f t="shared" si="46"/>
        <v>242.41363045393223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2.85</v>
      </c>
      <c r="FE14" s="13">
        <f>IF('Données projet'!$A$218&gt;35,FE13+FD14-FM13,IF(A14&lt;'Données projet'!$A$218,$FB$205^A14,IF(A14='Données projet'!$A$218,'Données projet'!$B$218,FE13+FD14-FM13)))</f>
        <v>9.2412596055434975</v>
      </c>
      <c r="FF14" s="18">
        <f>FE14*VLOOKUP('Données projet'!$B$16,Paramètres!$A$1:$I$89,3,0)*VLOOKUP('Données projet'!$B$16,Paramètres!$A$1:$I$89,5,0)</f>
        <v>8.9381462904816704</v>
      </c>
      <c r="FG14" s="14">
        <f t="shared" si="47"/>
        <v>3.1920840576644616</v>
      </c>
      <c r="FH14" s="22">
        <f t="shared" si="22"/>
        <v>21.12681785635451</v>
      </c>
      <c r="FI14" s="62">
        <f t="shared" si="23"/>
        <v>314.46015118968785</v>
      </c>
      <c r="FJ14" s="62">
        <f ca="1">AVERAGE(OFFSET($FI$3,0,0,'Données projet'!$E$16+1,1))-AVERAGE(OFFSET($H$3,0,0,'Données projet'!$E$16+1,1))</f>
        <v>425.00152674093977</v>
      </c>
      <c r="FK14" s="62">
        <f t="shared" si="48"/>
        <v>214.96884469274687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3.7333333333333334</v>
      </c>
      <c r="N15" s="14">
        <f>IF('Données projet'!$A$36&gt;35,N14+M15-V14,IF(A15&lt;'Données projet'!$A$36,$K$205^A15,IF(A15='Données projet'!$A$36,'Données projet'!$B$36,N14+M15-V14)))</f>
        <v>6.6021776957959455</v>
      </c>
      <c r="O15" s="14">
        <f>N15*VLOOKUP('Données projet'!$B$9,Paramètres!$A$1:$I$89,3,0)*VLOOKUP('Données projet'!$B$9,Paramètres!$A$1:$I$89,5,0)</f>
        <v>3.1756474716778502</v>
      </c>
      <c r="P15" s="14">
        <f t="shared" si="33"/>
        <v>1.2792960892965615</v>
      </c>
      <c r="Q15" s="22">
        <f t="shared" si="2"/>
        <v>7.7590267020304333</v>
      </c>
      <c r="R15" s="62">
        <f t="shared" si="0"/>
        <v>301.09236003536375</v>
      </c>
      <c r="S15" s="62">
        <f ca="1">AVERAGE(OFFSET($R$3,0,0,'Données projet'!$E$9+1,1))-AVERAGE(OFFSET($H$3,0,0,'Données projet'!$E$9+1,1))</f>
        <v>179.22241276165141</v>
      </c>
      <c r="T15" s="62">
        <f t="shared" si="34"/>
        <v>86.510654589692876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4.857846153846153</v>
      </c>
      <c r="AI15" s="14">
        <f>IF('Données projet'!$A$62&gt;35,AI14+AH15-AQ14,IF(A15&lt;'Données projet'!$A$62,$AF$205^A15,IF(A15='Données projet'!$A$62,'Données projet'!$B$62,AI14+AH15-AQ14)))</f>
        <v>10.011616546416697</v>
      </c>
      <c r="AJ15" s="14">
        <f>AI15*VLOOKUP('Données projet'!$B$10,Paramètres!$A$1:$I$89,3,0)*VLOOKUP('Données projet'!$B$10,Paramètres!$A$1:$I$89,5,0)</f>
        <v>5.9869466947571857</v>
      </c>
      <c r="AK15" s="14">
        <f t="shared" si="35"/>
        <v>2.2402204051240453</v>
      </c>
      <c r="AL15" s="22">
        <f t="shared" si="4"/>
        <v>14.328982698959813</v>
      </c>
      <c r="AM15" s="62">
        <f t="shared" si="5"/>
        <v>307.66231603229312</v>
      </c>
      <c r="AN15" s="62">
        <f ca="1">AVERAGE(OFFSET($AM$3,0,0,'Données projet'!$E$10+1,1))-AVERAGE(OFFSET($H$3,0,0,'Données projet'!$E$10+1,1))</f>
        <v>157.42757749057949</v>
      </c>
      <c r="AO15" s="62">
        <f t="shared" si="36"/>
        <v>129.86070223892136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2.85</v>
      </c>
      <c r="BD15" s="13">
        <f>IF('Données projet'!$A$88&gt;35,BD14+BC15-BL14,IF(A15&lt;'Données projet'!$A$88,$BA$205^A15,IF(A15='Données projet'!$A$88,'Données projet'!$B$88,BD14+BC15-BL14)))</f>
        <v>11.311622768584238</v>
      </c>
      <c r="BE15" s="14">
        <f>BD15*VLOOKUP('Données projet'!$B$11,Paramètres!$A$1:$I$89,3,0)*VLOOKUP('Données projet'!$B$11,Paramètres!$A$1:$I$89,5,0)</f>
        <v>11.822908117724246</v>
      </c>
      <c r="BF15" s="14">
        <f t="shared" si="37"/>
        <v>4.0870624064914436</v>
      </c>
      <c r="BG15" s="22">
        <f t="shared" si="7"/>
        <v>27.709865329675662</v>
      </c>
      <c r="BH15" s="62">
        <f t="shared" si="8"/>
        <v>321.04319866300898</v>
      </c>
      <c r="BI15" s="62">
        <f ca="1">AVERAGE(OFFSET($BH$3,0,0,'Données projet'!$E$11+1,1))-AVERAGE(OFFSET($H$3,0,0,'Données projet'!$E$11+1,1))</f>
        <v>464.21202287459482</v>
      </c>
      <c r="BJ15" s="62">
        <f t="shared" si="38"/>
        <v>234.57880205159688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0.59333333333333338</v>
      </c>
      <c r="BY15" s="13">
        <f>IF('Données projet'!$A$114&gt;35,BY14+BX15-CG14,IF(A15&lt;'Données projet'!$A$114,$BV$205^A15,IF(A15='Données projet'!$A$114,'Données projet'!$B$114,BY14+BX15-CG14)))</f>
        <v>5.7479370779868049</v>
      </c>
      <c r="BZ15" s="14">
        <f>BY15*VLOOKUP('Données projet'!$B$12,Paramètres!$A$1:$I$89,3,0)*VLOOKUP('Données projet'!$B$12,Paramètres!$A$1:$I$89,5,0)</f>
        <v>4.573058739246302</v>
      </c>
      <c r="CA15" s="14">
        <f t="shared" si="39"/>
        <v>1.7656750306655336</v>
      </c>
      <c r="CB15" s="22">
        <f t="shared" si="10"/>
        <v>11.039961315929778</v>
      </c>
      <c r="CC15" s="62">
        <f t="shared" si="11"/>
        <v>304.37329464926307</v>
      </c>
      <c r="CD15" s="62">
        <f ca="1">AVERAGE(OFFSET($CC$3,0,0,'Données projet'!$E$12+1,1))-AVERAGE(OFFSET($H$3,0,0,'Données projet'!$E$12+1,1))</f>
        <v>177.99876437322689</v>
      </c>
      <c r="CE15" s="62">
        <f t="shared" si="40"/>
        <v>165.68154380324592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5.5864615384615384</v>
      </c>
      <c r="CT15" s="13">
        <f>IF('Données projet'!$A$140&gt;35,CT14+CS15-DB14,IF(A15&lt;'Données projet'!$A$140,$CQ$205^A15,IF(A15='Données projet'!$A$140,'Données projet'!$B$140,CT14+CS15-DB14)))</f>
        <v>10.706237529449458</v>
      </c>
      <c r="CU15" s="18">
        <f>CT15*VLOOKUP('Données projet'!$B$13,Paramètres!$A$1:$I$89,3,0)*VLOOKUP('Données projet'!$B$13,Paramètres!$A$1:$I$89,5,0)</f>
        <v>5.9847867789622464</v>
      </c>
      <c r="CV15" s="14">
        <f t="shared" si="41"/>
        <v>2.2395062591292896</v>
      </c>
      <c r="CW15" s="22">
        <f t="shared" si="13"/>
        <v>14.323977041342758</v>
      </c>
      <c r="CX15" s="62">
        <f t="shared" si="14"/>
        <v>307.65731037467606</v>
      </c>
      <c r="CY15" s="62">
        <f ca="1">AVERAGE(OFFSET($CX$3,0,0,'Données projet'!$E$13+1,1))-AVERAGE(OFFSET($H$3,0,0,'Données projet'!$E$13+1,1))</f>
        <v>242.07451379051349</v>
      </c>
      <c r="CZ15" s="62">
        <f t="shared" si="42"/>
        <v>207.11607964940754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6.2222222222222223</v>
      </c>
      <c r="DO15" s="13">
        <f>IF('Données projet'!$A$166&gt;35,DO14+DN15-DW14,IF(A15&lt;'Données projet'!$A$166,$DL$205^A15,IF(A15='Données projet'!$A$166,'Données projet'!$B$166,DO14+DN15-DW14)))</f>
        <v>23.235142934254824</v>
      </c>
      <c r="DP15" s="18">
        <f>DO15*VLOOKUP('Données projet'!$B$14,Paramètres!$A$1:$I$89,3,0)*VLOOKUP('Données projet'!$B$14,Paramètres!$A$1:$I$89,5,0)</f>
        <v>14.498729190975009</v>
      </c>
      <c r="DQ15" s="14">
        <f t="shared" si="43"/>
        <v>4.8944421329010357</v>
      </c>
      <c r="DR15" s="22">
        <f t="shared" si="16"/>
        <v>33.776440055750776</v>
      </c>
      <c r="DS15" s="62">
        <f t="shared" si="17"/>
        <v>327.10977338908407</v>
      </c>
      <c r="DT15" s="62">
        <f ca="1">AVERAGE(OFFSET($DS$3,0,0,'Données projet'!$E$14+1,1))-AVERAGE(OFFSET($H$3,0,0,'Données projet'!$E$14+1,1))</f>
        <v>178.56320966726986</v>
      </c>
      <c r="DU15" s="62">
        <f t="shared" si="44"/>
        <v>272.06842551411739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2.85</v>
      </c>
      <c r="EJ15" s="13">
        <f>IF('Données projet'!$A$192&gt;35,EJ14+EI15-ER14,IF(A15&lt;'Données projet'!$A$192,$EG$205^A15,IF(A15='Données projet'!$A$192,'Données projet'!$B$192,EJ14+EI15-ER14)))</f>
        <v>11.311622768584238</v>
      </c>
      <c r="EK15" s="18">
        <f>EJ15*VLOOKUP('Données projet'!$B$15,Paramètres!$A$1:$I$89,3,0)*VLOOKUP('Données projet'!$B$15,Paramètres!$A$1:$I$89,5,0)</f>
        <v>12.175830748104072</v>
      </c>
      <c r="EL15" s="14">
        <f t="shared" si="45"/>
        <v>4.1946780168500695</v>
      </c>
      <c r="EM15" s="22">
        <f t="shared" si="19"/>
        <v>28.511969432295132</v>
      </c>
      <c r="EN15" s="62">
        <f t="shared" si="20"/>
        <v>321.84530276562845</v>
      </c>
      <c r="EO15" s="62">
        <f ca="1">AVERAGE(OFFSET($EN$3,0,0,'Données projet'!$E$15+1,1))-AVERAGE(OFFSET($H$3,0,0,'Données projet'!$E$15+1,1))</f>
        <v>479.87943647026646</v>
      </c>
      <c r="EP15" s="62">
        <f t="shared" si="46"/>
        <v>242.41363045393223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2.85</v>
      </c>
      <c r="FE15" s="13">
        <f>IF('Données projet'!$A$218&gt;35,FE14+FD15-FM14,IF(A15&lt;'Données projet'!$A$218,$FB$205^A15,IF(A15='Données projet'!$A$218,'Données projet'!$B$218,FE14+FD15-FM14)))</f>
        <v>11.311622768584238</v>
      </c>
      <c r="FF15" s="18">
        <f>FE15*VLOOKUP('Données projet'!$B$16,Paramètres!$A$1:$I$89,3,0)*VLOOKUP('Données projet'!$B$16,Paramètres!$A$1:$I$89,5,0)</f>
        <v>10.940601541774676</v>
      </c>
      <c r="FG15" s="14">
        <f t="shared" si="47"/>
        <v>3.8163559140146934</v>
      </c>
      <c r="FH15" s="22">
        <f t="shared" si="22"/>
        <v>25.701700902166483</v>
      </c>
      <c r="FI15" s="62">
        <f t="shared" si="23"/>
        <v>319.03503423549978</v>
      </c>
      <c r="FJ15" s="62">
        <f ca="1">AVERAGE(OFFSET($FI$3,0,0,'Données projet'!$E$16+1,1))-AVERAGE(OFFSET($H$3,0,0,'Données projet'!$E$16+1,1))</f>
        <v>425.00152674093977</v>
      </c>
      <c r="FK15" s="62">
        <f t="shared" si="48"/>
        <v>214.96884469274687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3.7333333333333334</v>
      </c>
      <c r="N16" s="14">
        <f>IF('Données projet'!$A$36&gt;35,N15+M16-V15,IF(A16&lt;'Données projet'!$A$36,$K$205^A16,IF(A16='Données projet'!$A$36,'Données projet'!$B$36,N15+M16-V15)))</f>
        <v>7.7267075793542688</v>
      </c>
      <c r="O16" s="14">
        <f>N16*VLOOKUP('Données projet'!$B$9,Paramètres!$A$1:$I$89,3,0)*VLOOKUP('Données projet'!$B$9,Paramètres!$A$1:$I$89,5,0)</f>
        <v>3.716546345669403</v>
      </c>
      <c r="P16" s="14">
        <f t="shared" si="33"/>
        <v>1.4700339805098694</v>
      </c>
      <c r="Q16" s="22">
        <f t="shared" si="2"/>
        <v>9.0332940680955645</v>
      </c>
      <c r="R16" s="62">
        <f t="shared" si="0"/>
        <v>302.3666274014289</v>
      </c>
      <c r="S16" s="62">
        <f ca="1">AVERAGE(OFFSET($R$3,0,0,'Données projet'!$E$9+1,1))-AVERAGE(OFFSET($H$3,0,0,'Données projet'!$E$9+1,1))</f>
        <v>179.22241276165141</v>
      </c>
      <c r="T16" s="62">
        <f t="shared" si="34"/>
        <v>86.510654589692876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4.857846153846153</v>
      </c>
      <c r="AI16" s="14">
        <f>IF('Données projet'!$A$62&gt;35,AI15+AH16-AQ15,IF(A16&lt;'Données projet'!$A$62,$AF$205^A16,IF(A16='Données projet'!$A$62,'Données projet'!$B$62,AI15+AH16-AQ15)))</f>
        <v>12.130523905215032</v>
      </c>
      <c r="AJ16" s="14">
        <f>AI16*VLOOKUP('Données projet'!$B$10,Paramètres!$A$1:$I$89,3,0)*VLOOKUP('Données projet'!$B$10,Paramètres!$A$1:$I$89,5,0)</f>
        <v>7.2540532953185899</v>
      </c>
      <c r="AK16" s="14">
        <f t="shared" si="35"/>
        <v>2.6543684612909537</v>
      </c>
      <c r="AL16" s="22">
        <f t="shared" si="4"/>
        <v>17.257167892761622</v>
      </c>
      <c r="AM16" s="62">
        <f t="shared" si="5"/>
        <v>310.59050122609494</v>
      </c>
      <c r="AN16" s="62">
        <f ca="1">AVERAGE(OFFSET($AM$3,0,0,'Données projet'!$E$10+1,1))-AVERAGE(OFFSET($H$3,0,0,'Données projet'!$E$10+1,1))</f>
        <v>157.42757749057949</v>
      </c>
      <c r="AO16" s="62">
        <f t="shared" si="36"/>
        <v>129.86070223892136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2.85</v>
      </c>
      <c r="BD16" s="13">
        <f>IF('Données projet'!$A$88&gt;35,BD15+BC16-BL15,IF(A16&lt;'Données projet'!$A$88,$BA$205^A16,IF(A16='Données projet'!$A$88,'Données projet'!$B$88,BD15+BC16-BL15)))</f>
        <v>13.845819197850375</v>
      </c>
      <c r="BE16" s="14">
        <f>BD16*VLOOKUP('Données projet'!$B$11,Paramètres!$A$1:$I$89,3,0)*VLOOKUP('Données projet'!$B$11,Paramètres!$A$1:$I$89,5,0)</f>
        <v>14.471650225593212</v>
      </c>
      <c r="BF16" s="14">
        <f t="shared" si="37"/>
        <v>4.8863640506299921</v>
      </c>
      <c r="BG16" s="22">
        <f t="shared" si="7"/>
        <v>33.715208197755409</v>
      </c>
      <c r="BH16" s="62">
        <f t="shared" si="8"/>
        <v>327.04854153108874</v>
      </c>
      <c r="BI16" s="62">
        <f ca="1">AVERAGE(OFFSET($BH$3,0,0,'Données projet'!$E$11+1,1))-AVERAGE(OFFSET($H$3,0,0,'Données projet'!$E$11+1,1))</f>
        <v>464.21202287459482</v>
      </c>
      <c r="BJ16" s="62">
        <f t="shared" si="38"/>
        <v>234.57880205159688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0.59333333333333338</v>
      </c>
      <c r="BY16" s="13">
        <f>IF('Données projet'!$A$114&gt;35,BY15+BX16-CG15,IF(A16&lt;'Données projet'!$A$114,$BV$205^A16,IF(A16='Données projet'!$A$114,'Données projet'!$B$114,BY15+BX16-CG15)))</f>
        <v>6.6497401131383391</v>
      </c>
      <c r="BZ16" s="14">
        <f>BY16*VLOOKUP('Données projet'!$B$12,Paramètres!$A$1:$I$89,3,0)*VLOOKUP('Données projet'!$B$12,Paramètres!$A$1:$I$89,5,0)</f>
        <v>5.2905332340128624</v>
      </c>
      <c r="CA16" s="14">
        <f t="shared" si="39"/>
        <v>2.008335088757649</v>
      </c>
      <c r="CB16" s="22">
        <f t="shared" si="10"/>
        <v>12.71219566215864</v>
      </c>
      <c r="CC16" s="62">
        <f t="shared" si="11"/>
        <v>306.04552899549196</v>
      </c>
      <c r="CD16" s="62">
        <f ca="1">AVERAGE(OFFSET($CC$3,0,0,'Données projet'!$E$12+1,1))-AVERAGE(OFFSET($H$3,0,0,'Données projet'!$E$12+1,1))</f>
        <v>177.99876437322689</v>
      </c>
      <c r="CE16" s="62">
        <f t="shared" si="40"/>
        <v>165.68154380324592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5.5864615384615384</v>
      </c>
      <c r="CT16" s="13">
        <f>IF('Données projet'!$A$140&gt;35,CT15+CS16-DB15,IF(A16&lt;'Données projet'!$A$140,$CQ$205^A16,IF(A16='Données projet'!$A$140,'Données projet'!$B$140,CT15+CS16-DB15)))</f>
        <v>13.044875763065559</v>
      </c>
      <c r="CU16" s="18">
        <f>CT16*VLOOKUP('Données projet'!$B$13,Paramètres!$A$1:$I$89,3,0)*VLOOKUP('Données projet'!$B$13,Paramètres!$A$1:$I$89,5,0)</f>
        <v>7.2920855515536473</v>
      </c>
      <c r="CV16" s="14">
        <f t="shared" si="41"/>
        <v>2.6666614075383333</v>
      </c>
      <c r="CW16" s="22">
        <f t="shared" si="13"/>
        <v>17.344817620418535</v>
      </c>
      <c r="CX16" s="62">
        <f t="shared" si="14"/>
        <v>310.67815095375187</v>
      </c>
      <c r="CY16" s="62">
        <f ca="1">AVERAGE(OFFSET($CX$3,0,0,'Données projet'!$E$13+1,1))-AVERAGE(OFFSET($H$3,0,0,'Données projet'!$E$13+1,1))</f>
        <v>242.07451379051349</v>
      </c>
      <c r="CZ16" s="62">
        <f t="shared" si="42"/>
        <v>207.11607964940754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6.2222222222222223</v>
      </c>
      <c r="DO16" s="13">
        <f>IF('Données projet'!$A$166&gt;35,DO15+DN16-DW15,IF(A16&lt;'Données projet'!$A$166,$DL$205^A16,IF(A16='Données projet'!$A$166,'Données projet'!$B$166,DO15+DN16-DW15)))</f>
        <v>30.19887706404656</v>
      </c>
      <c r="DP16" s="18">
        <f>DO16*VLOOKUP('Données projet'!$B$14,Paramètres!$A$1:$I$89,3,0)*VLOOKUP('Données projet'!$B$14,Paramètres!$A$1:$I$89,5,0)</f>
        <v>18.844099287965054</v>
      </c>
      <c r="DQ16" s="14">
        <f t="shared" si="43"/>
        <v>6.1701686386769925</v>
      </c>
      <c r="DR16" s="22">
        <f t="shared" si="16"/>
        <v>43.566516638901568</v>
      </c>
      <c r="DS16" s="62">
        <f t="shared" si="17"/>
        <v>336.8998499722349</v>
      </c>
      <c r="DT16" s="62">
        <f ca="1">AVERAGE(OFFSET($DS$3,0,0,'Données projet'!$E$14+1,1))-AVERAGE(OFFSET($H$3,0,0,'Données projet'!$E$14+1,1))</f>
        <v>178.56320966726986</v>
      </c>
      <c r="DU16" s="62">
        <f t="shared" si="44"/>
        <v>272.06842551411739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2.85</v>
      </c>
      <c r="EJ16" s="13">
        <f>IF('Données projet'!$A$192&gt;35,EJ15+EI16-ER15,IF(A16&lt;'Données projet'!$A$192,$EG$205^A16,IF(A16='Données projet'!$A$192,'Données projet'!$B$192,EJ15+EI16-ER15)))</f>
        <v>13.845819197850375</v>
      </c>
      <c r="EK16" s="18">
        <f>EJ16*VLOOKUP('Données projet'!$B$15,Paramètres!$A$1:$I$89,3,0)*VLOOKUP('Données projet'!$B$15,Paramètres!$A$1:$I$89,5,0)</f>
        <v>14.903639784566142</v>
      </c>
      <c r="EL16" s="14">
        <f t="shared" si="45"/>
        <v>5.0150259102844483</v>
      </c>
      <c r="EM16" s="22">
        <f t="shared" si="19"/>
        <v>34.691676085198104</v>
      </c>
      <c r="EN16" s="62">
        <f t="shared" si="20"/>
        <v>328.0250094185314</v>
      </c>
      <c r="EO16" s="62">
        <f ca="1">AVERAGE(OFFSET($EN$3,0,0,'Données projet'!$E$15+1,1))-AVERAGE(OFFSET($H$3,0,0,'Données projet'!$E$15+1,1))</f>
        <v>479.87943647026646</v>
      </c>
      <c r="EP16" s="62">
        <f t="shared" si="46"/>
        <v>242.41363045393223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2.85</v>
      </c>
      <c r="FE16" s="13">
        <f>IF('Données projet'!$A$218&gt;35,FE15+FD16-FM15,IF(A16&lt;'Données projet'!$A$218,$FB$205^A16,IF(A16='Données projet'!$A$218,'Données projet'!$B$218,FE15+FD16-FM15)))</f>
        <v>13.845819197850375</v>
      </c>
      <c r="FF16" s="18">
        <f>FE16*VLOOKUP('Données projet'!$B$16,Paramètres!$A$1:$I$89,3,0)*VLOOKUP('Données projet'!$B$16,Paramètres!$A$1:$I$89,5,0)</f>
        <v>13.391676328160882</v>
      </c>
      <c r="FG16" s="14">
        <f t="shared" si="47"/>
        <v>4.5627158305760025</v>
      </c>
      <c r="FH16" s="22">
        <f t="shared" si="22"/>
        <v>31.2705663431334</v>
      </c>
      <c r="FI16" s="62">
        <f t="shared" si="23"/>
        <v>324.60389967646671</v>
      </c>
      <c r="FJ16" s="62">
        <f ca="1">AVERAGE(OFFSET($FI$3,0,0,'Données projet'!$E$16+1,1))-AVERAGE(OFFSET($H$3,0,0,'Données projet'!$E$16+1,1))</f>
        <v>425.00152674093977</v>
      </c>
      <c r="FK16" s="62">
        <f t="shared" si="48"/>
        <v>214.96884469274687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3.7333333333333334</v>
      </c>
      <c r="N17" s="14">
        <f>IF('Données projet'!$A$36&gt;35,N16+M17-V16,IF(A17&lt;'Données projet'!$A$36,$K$205^A17,IF(A17='Données projet'!$A$36,'Données projet'!$B$36,N16+M17-V16)))</f>
        <v>9.0427753943773794</v>
      </c>
      <c r="O17" s="14">
        <f>N17*VLOOKUP('Données projet'!$B$9,Paramètres!$A$1:$I$89,3,0)*VLOOKUP('Données projet'!$B$9,Paramètres!$A$1:$I$89,5,0)</f>
        <v>4.3495749646955195</v>
      </c>
      <c r="P17" s="14">
        <f t="shared" si="33"/>
        <v>1.6892101226088696</v>
      </c>
      <c r="Q17" s="22">
        <f t="shared" si="2"/>
        <v>10.517550693721811</v>
      </c>
      <c r="R17" s="62">
        <f t="shared" si="0"/>
        <v>303.85088402705514</v>
      </c>
      <c r="S17" s="62">
        <f ca="1">AVERAGE(OFFSET($R$3,0,0,'Données projet'!$E$9+1,1))-AVERAGE(OFFSET($H$3,0,0,'Données projet'!$E$9+1,1))</f>
        <v>179.22241276165141</v>
      </c>
      <c r="T17" s="62">
        <f t="shared" si="34"/>
        <v>86.510654589692876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4.857846153846153</v>
      </c>
      <c r="AI17" s="14">
        <f>IF('Données projet'!$A$62&gt;35,AI16+AH17-AQ16,IF(A17&lt;'Données projet'!$A$62,$AF$205^A17,IF(A17='Données projet'!$A$62,'Données projet'!$B$62,AI16+AH17-AQ16)))</f>
        <v>14.697887152665707</v>
      </c>
      <c r="AJ17" s="14">
        <f>AI17*VLOOKUP('Données projet'!$B$10,Paramètres!$A$1:$I$89,3,0)*VLOOKUP('Données projet'!$B$10,Paramètres!$A$1:$I$89,5,0)</f>
        <v>8.7893365172940943</v>
      </c>
      <c r="AK17" s="14">
        <f t="shared" si="35"/>
        <v>3.1450797931223988</v>
      </c>
      <c r="AL17" s="22">
        <f t="shared" si="4"/>
        <v>20.78577507397539</v>
      </c>
      <c r="AM17" s="62">
        <f t="shared" si="5"/>
        <v>314.11910840730872</v>
      </c>
      <c r="AN17" s="62">
        <f ca="1">AVERAGE(OFFSET($AM$3,0,0,'Données projet'!$E$10+1,1))-AVERAGE(OFFSET($H$3,0,0,'Données projet'!$E$10+1,1))</f>
        <v>157.42757749057949</v>
      </c>
      <c r="AO17" s="62">
        <f t="shared" si="36"/>
        <v>129.86070223892136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2.85</v>
      </c>
      <c r="BD17" s="13">
        <f>IF('Données projet'!$A$88&gt;35,BD16+BC17-BL16,IF(A17&lt;'Données projet'!$A$88,$BA$205^A17,IF(A17='Données projet'!$A$88,'Données projet'!$B$88,BD16+BC17-BL16)))</f>
        <v>16.94776365704034</v>
      </c>
      <c r="BE17" s="14">
        <f>BD17*VLOOKUP('Données projet'!$B$11,Paramètres!$A$1:$I$89,3,0)*VLOOKUP('Données projet'!$B$11,Paramètres!$A$1:$I$89,5,0)</f>
        <v>17.713802574338565</v>
      </c>
      <c r="BF17" s="14">
        <f t="shared" si="37"/>
        <v>5.8419841099970107</v>
      </c>
      <c r="BG17" s="22">
        <f t="shared" si="7"/>
        <v>41.026328475217795</v>
      </c>
      <c r="BH17" s="62">
        <f t="shared" si="8"/>
        <v>334.3596618085511</v>
      </c>
      <c r="BI17" s="62">
        <f ca="1">AVERAGE(OFFSET($BH$3,0,0,'Données projet'!$E$11+1,1))-AVERAGE(OFFSET($H$3,0,0,'Données projet'!$E$11+1,1))</f>
        <v>464.21202287459482</v>
      </c>
      <c r="BJ17" s="62">
        <f t="shared" si="38"/>
        <v>234.57880205159688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0.59333333333333338</v>
      </c>
      <c r="BY17" s="13">
        <f>IF('Données projet'!$A$114&gt;35,BY16+BX17-CG16,IF(A17&lt;'Données projet'!$A$114,$BV$205^A17,IF(A17='Données projet'!$A$114,'Données projet'!$B$114,BY16+BX17-CG16)))</f>
        <v>7.6930284678357443</v>
      </c>
      <c r="BZ17" s="14">
        <f>BY17*VLOOKUP('Données projet'!$B$12,Paramètres!$A$1:$I$89,3,0)*VLOOKUP('Données projet'!$B$12,Paramètres!$A$1:$I$89,5,0)</f>
        <v>6.1205734490101191</v>
      </c>
      <c r="CA17" s="14">
        <f t="shared" si="39"/>
        <v>2.2843443774672894</v>
      </c>
      <c r="CB17" s="22">
        <f t="shared" si="10"/>
        <v>14.638565214448152</v>
      </c>
      <c r="CC17" s="62">
        <f t="shared" si="11"/>
        <v>307.97189854778145</v>
      </c>
      <c r="CD17" s="62">
        <f ca="1">AVERAGE(OFFSET($CC$3,0,0,'Données projet'!$E$12+1,1))-AVERAGE(OFFSET($H$3,0,0,'Données projet'!$E$12+1,1))</f>
        <v>177.99876437322689</v>
      </c>
      <c r="CE17" s="62">
        <f t="shared" si="40"/>
        <v>165.68154380324592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5.5864615384615384</v>
      </c>
      <c r="CT17" s="13">
        <f>IF('Données projet'!$A$140&gt;35,CT16+CS17-DB16,IF(A17&lt;'Données projet'!$A$140,$CQ$205^A17,IF(A17='Données projet'!$A$140,'Données projet'!$B$140,CT16+CS17-DB16)))</f>
        <v>15.894359078596475</v>
      </c>
      <c r="CU17" s="18">
        <f>CT17*VLOOKUP('Données projet'!$B$13,Paramètres!$A$1:$I$89,3,0)*VLOOKUP('Données projet'!$B$13,Paramètres!$A$1:$I$89,5,0)</f>
        <v>8.8849467249354301</v>
      </c>
      <c r="CV17" s="14">
        <f t="shared" si="41"/>
        <v>3.1752905505247768</v>
      </c>
      <c r="CW17" s="22">
        <f t="shared" si="13"/>
        <v>21.00491325475986</v>
      </c>
      <c r="CX17" s="62">
        <f t="shared" si="14"/>
        <v>314.33824658809317</v>
      </c>
      <c r="CY17" s="62">
        <f ca="1">AVERAGE(OFFSET($CX$3,0,0,'Données projet'!$E$13+1,1))-AVERAGE(OFFSET($H$3,0,0,'Données projet'!$E$13+1,1))</f>
        <v>242.07451379051349</v>
      </c>
      <c r="CZ17" s="62">
        <f t="shared" si="42"/>
        <v>207.11607964940754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6.2222222222222223</v>
      </c>
      <c r="DO17" s="13">
        <f>IF('Données projet'!$A$166&gt;35,DO16+DN17-DW16,IF(A17&lt;'Données projet'!$A$166,$DL$205^A17,IF(A17='Données projet'!$A$166,'Données projet'!$B$166,DO16+DN17-DW16)))</f>
        <v>39.249690802844427</v>
      </c>
      <c r="DP17" s="18">
        <f>DO17*VLOOKUP('Données projet'!$B$14,Paramètres!$A$1:$I$89,3,0)*VLOOKUP('Données projet'!$B$14,Paramètres!$A$1:$I$89,5,0)</f>
        <v>24.491807060974921</v>
      </c>
      <c r="DQ17" s="14">
        <f t="shared" si="43"/>
        <v>7.7784106944068903</v>
      </c>
      <c r="DR17" s="22">
        <f t="shared" si="16"/>
        <v>56.203962590623313</v>
      </c>
      <c r="DS17" s="62">
        <f t="shared" si="17"/>
        <v>349.53729592395661</v>
      </c>
      <c r="DT17" s="62">
        <f ca="1">AVERAGE(OFFSET($DS$3,0,0,'Données projet'!$E$14+1,1))-AVERAGE(OFFSET($H$3,0,0,'Données projet'!$E$14+1,1))</f>
        <v>178.56320966726986</v>
      </c>
      <c r="DU17" s="62">
        <f t="shared" si="44"/>
        <v>272.06842551411739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2.85</v>
      </c>
      <c r="EJ17" s="13">
        <f>IF('Données projet'!$A$192&gt;35,EJ16+EI17-ER16,IF(A17&lt;'Données projet'!$A$192,$EG$205^A17,IF(A17='Données projet'!$A$192,'Données projet'!$B$192,EJ16+EI17-ER16)))</f>
        <v>16.94776365704034</v>
      </c>
      <c r="EK17" s="18">
        <f>EJ17*VLOOKUP('Données projet'!$B$15,Paramètres!$A$1:$I$89,3,0)*VLOOKUP('Données projet'!$B$15,Paramètres!$A$1:$I$89,5,0)</f>
        <v>18.242572800438221</v>
      </c>
      <c r="EL17" s="14">
        <f t="shared" si="45"/>
        <v>5.9958082073986523</v>
      </c>
      <c r="EM17" s="22">
        <f t="shared" si="19"/>
        <v>42.215180255315886</v>
      </c>
      <c r="EN17" s="62">
        <f t="shared" si="20"/>
        <v>335.5485135886492</v>
      </c>
      <c r="EO17" s="62">
        <f ca="1">AVERAGE(OFFSET($EN$3,0,0,'Données projet'!$E$15+1,1))-AVERAGE(OFFSET($H$3,0,0,'Données projet'!$E$15+1,1))</f>
        <v>479.87943647026646</v>
      </c>
      <c r="EP17" s="62">
        <f t="shared" si="46"/>
        <v>242.41363045393223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2.85</v>
      </c>
      <c r="FE17" s="13">
        <f>IF('Données projet'!$A$218&gt;35,FE16+FD17-FM16,IF(A17&lt;'Données projet'!$A$218,$FB$205^A17,IF(A17='Données projet'!$A$218,'Données projet'!$B$218,FE16+FD17-FM16)))</f>
        <v>16.94776365704034</v>
      </c>
      <c r="FF17" s="18">
        <f>FE17*VLOOKUP('Données projet'!$B$16,Paramètres!$A$1:$I$89,3,0)*VLOOKUP('Données projet'!$B$16,Paramètres!$A$1:$I$89,5,0)</f>
        <v>16.39187700908942</v>
      </c>
      <c r="FG17" s="14">
        <f t="shared" si="47"/>
        <v>5.4550404154230359</v>
      </c>
      <c r="FH17" s="22">
        <f t="shared" si="22"/>
        <v>38.050047847692518</v>
      </c>
      <c r="FI17" s="62">
        <f t="shared" si="23"/>
        <v>331.38338118102581</v>
      </c>
      <c r="FJ17" s="62">
        <f ca="1">AVERAGE(OFFSET($FI$3,0,0,'Données projet'!$E$16+1,1))-AVERAGE(OFFSET($H$3,0,0,'Données projet'!$E$16+1,1))</f>
        <v>425.00152674093977</v>
      </c>
      <c r="FK17" s="62">
        <f t="shared" si="48"/>
        <v>214.96884469274687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3.7333333333333334</v>
      </c>
      <c r="N18" s="14">
        <f>IF('Données projet'!$A$36&gt;35,N17+M18-V17,IF(A18&lt;'Données projet'!$A$36,$K$205^A18,IF(A18='Données projet'!$A$36,'Données projet'!$B$36,N17+M18-V17)))</f>
        <v>10.583005244258347</v>
      </c>
      <c r="O18" s="14">
        <f>N18*VLOOKUP('Données projet'!$B$9,Paramètres!$A$1:$I$89,3,0)*VLOOKUP('Données projet'!$B$9,Paramètres!$A$1:$I$89,5,0)</f>
        <v>5.0904255224882649</v>
      </c>
      <c r="P18" s="14">
        <f t="shared" si="33"/>
        <v>1.9410645441914081</v>
      </c>
      <c r="Q18" s="22">
        <f t="shared" si="2"/>
        <v>12.246511866133764</v>
      </c>
      <c r="R18" s="62">
        <f t="shared" si="0"/>
        <v>305.57984519946706</v>
      </c>
      <c r="S18" s="62">
        <f ca="1">AVERAGE(OFFSET($R$3,0,0,'Données projet'!$E$9+1,1))-AVERAGE(OFFSET($H$3,0,0,'Données projet'!$E$9+1,1))</f>
        <v>179.22241276165141</v>
      </c>
      <c r="T18" s="62">
        <f t="shared" si="34"/>
        <v>86.510654589692876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4.857846153846153</v>
      </c>
      <c r="AI18" s="14">
        <f>IF('Données projet'!$A$62&gt;35,AI17+AH18-AQ17,IF(A18&lt;'Données projet'!$A$62,$AF$205^A18,IF(A18='Données projet'!$A$62,'Données projet'!$B$62,AI17+AH18-AQ17)))</f>
        <v>17.808619680442909</v>
      </c>
      <c r="AJ18" s="14">
        <f>AI18*VLOOKUP('Données projet'!$B$10,Paramètres!$A$1:$I$89,3,0)*VLOOKUP('Données projet'!$B$10,Paramètres!$A$1:$I$89,5,0)</f>
        <v>10.649554568904859</v>
      </c>
      <c r="AK18" s="14">
        <f t="shared" si="35"/>
        <v>3.7265086024628529</v>
      </c>
      <c r="AL18" s="22">
        <f t="shared" si="4"/>
        <v>25.038310023465428</v>
      </c>
      <c r="AM18" s="62">
        <f t="shared" si="5"/>
        <v>318.37164335679876</v>
      </c>
      <c r="AN18" s="62">
        <f ca="1">AVERAGE(OFFSET($AM$3,0,0,'Données projet'!$E$10+1,1))-AVERAGE(OFFSET($H$3,0,0,'Données projet'!$E$10+1,1))</f>
        <v>157.42757749057949</v>
      </c>
      <c r="AO18" s="62">
        <f t="shared" si="36"/>
        <v>129.86070223892136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2.85</v>
      </c>
      <c r="BD18" s="13">
        <f>IF('Données projet'!$A$88&gt;35,BD17+BC18-BL17,IF(A18&lt;'Données projet'!$A$88,$BA$205^A18,IF(A18='Données projet'!$A$88,'Données projet'!$B$88,BD17+BC18-BL17)))</f>
        <v>20.744651426583019</v>
      </c>
      <c r="BE18" s="14">
        <f>BD18*VLOOKUP('Données projet'!$B$11,Paramètres!$A$1:$I$89,3,0)*VLOOKUP('Données projet'!$B$11,Paramètres!$A$1:$I$89,5,0)</f>
        <v>21.682309671064573</v>
      </c>
      <c r="BF18" s="14">
        <f t="shared" si="37"/>
        <v>6.9844935800592589</v>
      </c>
      <c r="BG18" s="22">
        <f t="shared" si="7"/>
        <v>49.928015662374008</v>
      </c>
      <c r="BH18" s="62">
        <f t="shared" si="8"/>
        <v>343.26134899570729</v>
      </c>
      <c r="BI18" s="62">
        <f ca="1">AVERAGE(OFFSET($BH$3,0,0,'Données projet'!$E$11+1,1))-AVERAGE(OFFSET($H$3,0,0,'Données projet'!$E$11+1,1))</f>
        <v>464.21202287459482</v>
      </c>
      <c r="BJ18" s="62">
        <f t="shared" si="38"/>
        <v>234.57880205159688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8.9</v>
      </c>
      <c r="BW18" s="13">
        <f>VLOOKUP(A18,'Données projet'!$A$113:$I$133,9,0)</f>
        <v>0.59333333333333338</v>
      </c>
      <c r="BX18" s="13">
        <f t="array" ref="BX18">INDEX(BW:BW,MIN(IF(ISNUMBER(BW18:BW214),ROW(BW18:BW214),"")))</f>
        <v>0.59333333333333338</v>
      </c>
      <c r="BY18" s="13">
        <f>IF('Données projet'!$A$114&gt;35,BY17+BX18-CG17,IF(A18&lt;'Données projet'!$A$114,$BV$205^A18,IF(A18='Données projet'!$A$114,'Données projet'!$B$114,BY17+BX18-CG17)))</f>
        <v>8.9</v>
      </c>
      <c r="BZ18" s="14">
        <f>BY18*VLOOKUP('Données projet'!$B$12,Paramètres!$A$1:$I$89,3,0)*VLOOKUP('Données projet'!$B$12,Paramètres!$A$1:$I$89,5,0)</f>
        <v>7.0808400000000011</v>
      </c>
      <c r="CA18" s="14">
        <f t="shared" si="39"/>
        <v>2.5982861446166345</v>
      </c>
      <c r="CB18" s="22">
        <f t="shared" si="10"/>
        <v>16.857811368540641</v>
      </c>
      <c r="CC18" s="62">
        <f t="shared" si="11"/>
        <v>310.19114470187395</v>
      </c>
      <c r="CD18" s="62">
        <f ca="1">AVERAGE(OFFSET($CC$3,0,0,'Données projet'!$E$12+1,1))-AVERAGE(OFFSET($H$3,0,0,'Données projet'!$E$12+1,1))</f>
        <v>177.99876437322689</v>
      </c>
      <c r="CE18" s="62">
        <f t="shared" si="40"/>
        <v>165.68154380324592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5.5864615384615384</v>
      </c>
      <c r="CT18" s="13">
        <f>IF('Données projet'!$A$140&gt;35,CT17+CS18-DB17,IF(A18&lt;'Données projet'!$A$140,$CQ$205^A18,IF(A18='Données projet'!$A$140,'Données projet'!$B$140,CT17+CS18-DB17)))</f>
        <v>19.366274934916948</v>
      </c>
      <c r="CU18" s="18">
        <f>CT18*VLOOKUP('Données projet'!$B$13,Paramètres!$A$1:$I$89,3,0)*VLOOKUP('Données projet'!$B$13,Paramètres!$A$1:$I$89,5,0)</f>
        <v>10.825747688618575</v>
      </c>
      <c r="CV18" s="14">
        <f t="shared" si="41"/>
        <v>3.7809337367503804</v>
      </c>
      <c r="CW18" s="22">
        <f t="shared" si="13"/>
        <v>25.439970149184266</v>
      </c>
      <c r="CX18" s="62">
        <f t="shared" si="14"/>
        <v>318.77330348251758</v>
      </c>
      <c r="CY18" s="62">
        <f ca="1">AVERAGE(OFFSET($CX$3,0,0,'Données projet'!$E$13+1,1))-AVERAGE(OFFSET($H$3,0,0,'Données projet'!$E$13+1,1))</f>
        <v>242.07451379051349</v>
      </c>
      <c r="CZ18" s="62">
        <f t="shared" si="42"/>
        <v>207.11607964940754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6.2222222222222223</v>
      </c>
      <c r="DO18" s="13">
        <f>IF('Données projet'!$A$166&gt;35,DO17+DN18-DW17,IF(A18&lt;'Données projet'!$A$166,$DL$205^A18,IF(A18='Données projet'!$A$166,'Données projet'!$B$166,DO17+DN18-DW17)))</f>
        <v>51.013096442350388</v>
      </c>
      <c r="DP18" s="18">
        <f>DO18*VLOOKUP('Données projet'!$B$14,Paramètres!$A$1:$I$89,3,0)*VLOOKUP('Données projet'!$B$14,Paramètres!$A$1:$I$89,5,0)</f>
        <v>31.832172180026642</v>
      </c>
      <c r="DQ18" s="14">
        <f t="shared" si="43"/>
        <v>9.8058378099430179</v>
      </c>
      <c r="DR18" s="22">
        <f t="shared" si="16"/>
        <v>72.519534065863823</v>
      </c>
      <c r="DS18" s="62">
        <f t="shared" si="17"/>
        <v>365.85286739919712</v>
      </c>
      <c r="DT18" s="62">
        <f ca="1">AVERAGE(OFFSET($DS$3,0,0,'Données projet'!$E$14+1,1))-AVERAGE(OFFSET($H$3,0,0,'Données projet'!$E$14+1,1))</f>
        <v>178.56320966726986</v>
      </c>
      <c r="DU18" s="62">
        <f t="shared" si="44"/>
        <v>272.06842551411739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2.85</v>
      </c>
      <c r="EJ18" s="13">
        <f>IF('Données projet'!$A$192&gt;35,EJ17+EI18-ER17,IF(A18&lt;'Données projet'!$A$192,$EG$205^A18,IF(A18='Données projet'!$A$192,'Données projet'!$B$192,EJ17+EI18-ER17)))</f>
        <v>20.744651426583019</v>
      </c>
      <c r="EK18" s="18">
        <f>EJ18*VLOOKUP('Données projet'!$B$15,Paramètres!$A$1:$I$89,3,0)*VLOOKUP('Données projet'!$B$15,Paramètres!$A$1:$I$89,5,0)</f>
        <v>22.32954279557396</v>
      </c>
      <c r="EL18" s="14">
        <f t="shared" si="45"/>
        <v>7.168400862333729</v>
      </c>
      <c r="EM18" s="22">
        <f t="shared" si="19"/>
        <v>51.375585204189228</v>
      </c>
      <c r="EN18" s="62">
        <f t="shared" si="20"/>
        <v>344.70891853752255</v>
      </c>
      <c r="EO18" s="62">
        <f ca="1">AVERAGE(OFFSET($EN$3,0,0,'Données projet'!$E$15+1,1))-AVERAGE(OFFSET($H$3,0,0,'Données projet'!$E$15+1,1))</f>
        <v>479.87943647026646</v>
      </c>
      <c r="EP18" s="62">
        <f t="shared" si="46"/>
        <v>242.41363045393223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2.85</v>
      </c>
      <c r="FE18" s="13">
        <f>IF('Données projet'!$A$218&gt;35,FE17+FD18-FM17,IF(A18&lt;'Données projet'!$A$218,$FB$205^A18,IF(A18='Données projet'!$A$218,'Données projet'!$B$218,FE17+FD18-FM17)))</f>
        <v>20.744651426583019</v>
      </c>
      <c r="FF18" s="18">
        <f>FE18*VLOOKUP('Données projet'!$B$16,Paramètres!$A$1:$I$89,3,0)*VLOOKUP('Données projet'!$B$16,Paramètres!$A$1:$I$89,5,0)</f>
        <v>20.064226859791098</v>
      </c>
      <c r="FG18" s="14">
        <f t="shared" si="47"/>
        <v>6.5218757947812183</v>
      </c>
      <c r="FH18" s="22">
        <f t="shared" si="22"/>
        <v>46.304128790046775</v>
      </c>
      <c r="FI18" s="62">
        <f t="shared" si="23"/>
        <v>339.63746212338009</v>
      </c>
      <c r="FJ18" s="62">
        <f ca="1">AVERAGE(OFFSET($FI$3,0,0,'Données projet'!$E$16+1,1))-AVERAGE(OFFSET($H$3,0,0,'Données projet'!$E$16+1,1))</f>
        <v>425.00152674093977</v>
      </c>
      <c r="FK18" s="62">
        <f t="shared" si="48"/>
        <v>214.96884469274687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3.7333333333333334</v>
      </c>
      <c r="N19" s="14">
        <f>IF('Données projet'!$A$36&gt;35,N18+M19-V18,IF(A19&lt;'Données projet'!$A$36,$K$205^A19,IF(A19='Données projet'!$A$36,'Données projet'!$B$36,N18+M19-V18)))</f>
        <v>12.385578001820004</v>
      </c>
      <c r="O19" s="14">
        <f>N19*VLOOKUP('Données projet'!$B$9,Paramètres!$A$1:$I$89,3,0)*VLOOKUP('Données projet'!$B$9,Paramètres!$A$1:$I$89,5,0)</f>
        <v>5.9574630188754218</v>
      </c>
      <c r="P19" s="14">
        <f t="shared" si="33"/>
        <v>2.2304694450315008</v>
      </c>
      <c r="Q19" s="22">
        <f t="shared" si="2"/>
        <v>14.260649041304555</v>
      </c>
      <c r="R19" s="62">
        <f t="shared" si="0"/>
        <v>307.59398237463785</v>
      </c>
      <c r="S19" s="62">
        <f ca="1">AVERAGE(OFFSET($R$3,0,0,'Données projet'!$E$9+1,1))-AVERAGE(OFFSET($H$3,0,0,'Données projet'!$E$9+1,1))</f>
        <v>179.22241276165141</v>
      </c>
      <c r="T19" s="62">
        <f t="shared" si="34"/>
        <v>86.510654589692876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4.857846153846153</v>
      </c>
      <c r="AI19" s="14">
        <f>IF('Données projet'!$A$62&gt;35,AI18+AH19-AQ18,IF(A19&lt;'Données projet'!$A$62,$AF$205^A19,IF(A19='Données projet'!$A$62,'Données projet'!$B$62,AI18+AH19-AQ18)))</f>
        <v>21.577722813386732</v>
      </c>
      <c r="AJ19" s="14">
        <f>AI19*VLOOKUP('Données projet'!$B$10,Paramètres!$A$1:$I$89,3,0)*VLOOKUP('Données projet'!$B$10,Paramètres!$A$1:$I$89,5,0)</f>
        <v>12.903478242405267</v>
      </c>
      <c r="AK19" s="14">
        <f t="shared" si="35"/>
        <v>4.4154257690368244</v>
      </c>
      <c r="AL19" s="22">
        <f t="shared" si="4"/>
        <v>30.163757819928311</v>
      </c>
      <c r="AM19" s="62">
        <f t="shared" si="5"/>
        <v>323.49709115326164</v>
      </c>
      <c r="AN19" s="62">
        <f ca="1">AVERAGE(OFFSET($AM$3,0,0,'Données projet'!$E$10+1,1))-AVERAGE(OFFSET($H$3,0,0,'Données projet'!$E$10+1,1))</f>
        <v>157.42757749057949</v>
      </c>
      <c r="AO19" s="62">
        <f t="shared" si="36"/>
        <v>129.86070223892136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2.85</v>
      </c>
      <c r="BD19" s="13">
        <f>IF('Données projet'!$A$88&gt;35,BD18+BC19-BL18,IF(A19&lt;'Données projet'!$A$88,$BA$205^A19,IF(A19='Données projet'!$A$88,'Données projet'!$B$88,BD18+BC19-BL18)))</f>
        <v>25.392173948075062</v>
      </c>
      <c r="BE19" s="14">
        <f>BD19*VLOOKUP('Données projet'!$B$11,Paramètres!$A$1:$I$89,3,0)*VLOOKUP('Données projet'!$B$11,Paramètres!$A$1:$I$89,5,0)</f>
        <v>26.539900210528053</v>
      </c>
      <c r="BF19" s="14">
        <f t="shared" si="37"/>
        <v>8.350442187340013</v>
      </c>
      <c r="BG19" s="22">
        <f t="shared" si="7"/>
        <v>60.767346342953552</v>
      </c>
      <c r="BH19" s="62">
        <f t="shared" si="8"/>
        <v>354.10067967628686</v>
      </c>
      <c r="BI19" s="62">
        <f ca="1">AVERAGE(OFFSET($BH$3,0,0,'Données projet'!$E$11+1,1))-AVERAGE(OFFSET($H$3,0,0,'Données projet'!$E$11+1,1))</f>
        <v>464.21202287459482</v>
      </c>
      <c r="BJ19" s="62">
        <f t="shared" si="38"/>
        <v>234.57880205159688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9.56</v>
      </c>
      <c r="BY19" s="13">
        <f>IF('Données projet'!$A$114&gt;35,BY18+BX19-CG18,IF(A19&lt;'Données projet'!$A$114,$BV$205^A19,IF(A19='Données projet'!$A$114,'Données projet'!$B$114,BY18+BX19-CG18)))</f>
        <v>18.46</v>
      </c>
      <c r="BZ19" s="14">
        <f>BY19*VLOOKUP('Données projet'!$B$12,Paramètres!$A$1:$I$89,3,0)*VLOOKUP('Données projet'!$B$12,Paramètres!$A$1:$I$89,5,0)</f>
        <v>14.686776</v>
      </c>
      <c r="CA19" s="14">
        <f t="shared" si="39"/>
        <v>4.9504912219432047</v>
      </c>
      <c r="CB19" s="22">
        <f t="shared" si="10"/>
        <v>34.201573744884413</v>
      </c>
      <c r="CC19" s="62">
        <f t="shared" si="11"/>
        <v>327.53490707821771</v>
      </c>
      <c r="CD19" s="62">
        <f ca="1">AVERAGE(OFFSET($CC$3,0,0,'Données projet'!$E$12+1,1))-AVERAGE(OFFSET($H$3,0,0,'Données projet'!$E$12+1,1))</f>
        <v>177.99876437322689</v>
      </c>
      <c r="CE19" s="62">
        <f t="shared" si="40"/>
        <v>165.68154380324592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5.5864615384615384</v>
      </c>
      <c r="CT19" s="13">
        <f>IF('Données projet'!$A$140&gt;35,CT18+CS19-DB18,IF(A19&lt;'Données projet'!$A$140,$CQ$205^A19,IF(A19='Données projet'!$A$140,'Données projet'!$B$140,CT18+CS19-DB18)))</f>
        <v>23.596585618846536</v>
      </c>
      <c r="CU19" s="18">
        <f>CT19*VLOOKUP('Données projet'!$B$13,Paramètres!$A$1:$I$89,3,0)*VLOOKUP('Données projet'!$B$13,Paramètres!$A$1:$I$89,5,0)</f>
        <v>13.190491360935214</v>
      </c>
      <c r="CV19" s="14">
        <f t="shared" si="41"/>
        <v>4.5020950663348271</v>
      </c>
      <c r="CW19" s="22">
        <f t="shared" si="13"/>
        <v>30.814588027495319</v>
      </c>
      <c r="CX19" s="62">
        <f t="shared" si="14"/>
        <v>324.1479213608286</v>
      </c>
      <c r="CY19" s="62">
        <f ca="1">AVERAGE(OFFSET($CX$3,0,0,'Données projet'!$E$13+1,1))-AVERAGE(OFFSET($H$3,0,0,'Données projet'!$E$13+1,1))</f>
        <v>242.07451379051349</v>
      </c>
      <c r="CZ19" s="62">
        <f t="shared" si="42"/>
        <v>207.11607964940754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6.2222222222222223</v>
      </c>
      <c r="DO19" s="13">
        <f>IF('Données projet'!$A$166&gt;35,DO18+DN19-DW18,IF(A19&lt;'Données projet'!$A$166,$DL$205^A19,IF(A19='Données projet'!$A$166,'Données projet'!$B$166,DO18+DN19-DW18)))</f>
        <v>66.302076663695672</v>
      </c>
      <c r="DP19" s="18">
        <f>DO19*VLOOKUP('Données projet'!$B$14,Paramètres!$A$1:$I$89,3,0)*VLOOKUP('Données projet'!$B$14,Paramètres!$A$1:$I$89,5,0)</f>
        <v>41.372495838146101</v>
      </c>
      <c r="DQ19" s="14">
        <f t="shared" si="43"/>
        <v>12.361709728704412</v>
      </c>
      <c r="DR19" s="22">
        <f t="shared" si="16"/>
        <v>93.587074695597963</v>
      </c>
      <c r="DS19" s="62">
        <f t="shared" si="17"/>
        <v>386.92040802893126</v>
      </c>
      <c r="DT19" s="62">
        <f ca="1">AVERAGE(OFFSET($DS$3,0,0,'Données projet'!$E$14+1,1))-AVERAGE(OFFSET($H$3,0,0,'Données projet'!$E$14+1,1))</f>
        <v>178.56320966726986</v>
      </c>
      <c r="DU19" s="62">
        <f t="shared" si="44"/>
        <v>272.06842551411739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2.85</v>
      </c>
      <c r="EJ19" s="13">
        <f>IF('Données projet'!$A$192&gt;35,EJ18+EI19-ER18,IF(A19&lt;'Données projet'!$A$192,$EG$205^A19,IF(A19='Données projet'!$A$192,'Données projet'!$B$192,EJ18+EI19-ER18)))</f>
        <v>25.392173948075062</v>
      </c>
      <c r="EK19" s="18">
        <f>EJ19*VLOOKUP('Données projet'!$B$15,Paramètres!$A$1:$I$89,3,0)*VLOOKUP('Données projet'!$B$15,Paramètres!$A$1:$I$89,5,0)</f>
        <v>27.332136037707997</v>
      </c>
      <c r="EL19" s="14">
        <f t="shared" si="45"/>
        <v>8.5703159850407129</v>
      </c>
      <c r="EM19" s="22">
        <f t="shared" si="19"/>
        <v>62.530103939620666</v>
      </c>
      <c r="EN19" s="62">
        <f t="shared" si="20"/>
        <v>355.863437272954</v>
      </c>
      <c r="EO19" s="62">
        <f ca="1">AVERAGE(OFFSET($EN$3,0,0,'Données projet'!$E$15+1,1))-AVERAGE(OFFSET($H$3,0,0,'Données projet'!$E$15+1,1))</f>
        <v>479.87943647026646</v>
      </c>
      <c r="EP19" s="62">
        <f t="shared" si="46"/>
        <v>242.41363045393223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2.85</v>
      </c>
      <c r="FE19" s="13">
        <f>IF('Données projet'!$A$218&gt;35,FE18+FD19-FM18,IF(A19&lt;'Données projet'!$A$218,$FB$205^A19,IF(A19='Données projet'!$A$218,'Données projet'!$B$218,FE18+FD19-FM18)))</f>
        <v>25.392173948075062</v>
      </c>
      <c r="FF19" s="18">
        <f>FE19*VLOOKUP('Données projet'!$B$16,Paramètres!$A$1:$I$89,3,0)*VLOOKUP('Données projet'!$B$16,Paramètres!$A$1:$I$89,5,0)</f>
        <v>24.5593106425782</v>
      </c>
      <c r="FG19" s="14">
        <f t="shared" si="47"/>
        <v>7.7973508248067818</v>
      </c>
      <c r="FH19" s="22">
        <f t="shared" si="22"/>
        <v>56.354518722362172</v>
      </c>
      <c r="FI19" s="62">
        <f t="shared" si="23"/>
        <v>349.68785205569549</v>
      </c>
      <c r="FJ19" s="62">
        <f ca="1">AVERAGE(OFFSET($FI$3,0,0,'Données projet'!$E$16+1,1))-AVERAGE(OFFSET($H$3,0,0,'Données projet'!$E$16+1,1))</f>
        <v>425.00152674093977</v>
      </c>
      <c r="FK19" s="62">
        <f t="shared" si="48"/>
        <v>214.96884469274687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3.7333333333333334</v>
      </c>
      <c r="N20" s="14">
        <f>IF('Données projet'!$A$36&gt;35,N19+M20-V19,IF(A20&lt;'Données projet'!$A$36,$K$205^A20,IF(A20='Données projet'!$A$36,'Données projet'!$B$36,N19+M20-V19)))</f>
        <v>14.495177777823923</v>
      </c>
      <c r="O20" s="14">
        <f>N20*VLOOKUP('Données projet'!$B$9,Paramètres!$A$1:$I$89,3,0)*VLOOKUP('Données projet'!$B$9,Paramètres!$A$1:$I$89,5,0)</f>
        <v>6.9721805111333062</v>
      </c>
      <c r="P20" s="14">
        <f t="shared" si="33"/>
        <v>2.5630234502539797</v>
      </c>
      <c r="Q20" s="22">
        <f t="shared" si="2"/>
        <v>16.60714689941619</v>
      </c>
      <c r="R20" s="62">
        <f t="shared" si="0"/>
        <v>309.94048023274951</v>
      </c>
      <c r="S20" s="62">
        <f ca="1">AVERAGE(OFFSET($R$3,0,0,'Données projet'!$E$9+1,1))-AVERAGE(OFFSET($H$3,0,0,'Données projet'!$E$9+1,1))</f>
        <v>179.22241276165141</v>
      </c>
      <c r="T20" s="62">
        <f t="shared" si="34"/>
        <v>86.510654589692876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4.857846153846153</v>
      </c>
      <c r="AI20" s="14">
        <f>IF('Données projet'!$A$62&gt;35,AI19+AH20-AQ19,IF(A20&lt;'Données projet'!$A$62,$AF$205^A20,IF(A20='Données projet'!$A$62,'Données projet'!$B$62,AI19+AH20-AQ19)))</f>
        <v>26.144537317659786</v>
      </c>
      <c r="AJ20" s="14">
        <f>AI20*VLOOKUP('Données projet'!$B$10,Paramètres!$A$1:$I$89,3,0)*VLOOKUP('Données projet'!$B$10,Paramètres!$A$1:$I$89,5,0)</f>
        <v>15.634433315960553</v>
      </c>
      <c r="AK20" s="14">
        <f t="shared" si="35"/>
        <v>5.2317025939479986</v>
      </c>
      <c r="AL20" s="22">
        <f t="shared" si="4"/>
        <v>36.341853376424055</v>
      </c>
      <c r="AM20" s="62">
        <f t="shared" si="5"/>
        <v>329.67518670975738</v>
      </c>
      <c r="AN20" s="62">
        <f ca="1">AVERAGE(OFFSET($AM$3,0,0,'Données projet'!$E$10+1,1))-AVERAGE(OFFSET($H$3,0,0,'Données projet'!$E$10+1,1))</f>
        <v>157.42757749057949</v>
      </c>
      <c r="AO20" s="62">
        <f t="shared" si="36"/>
        <v>129.86070223892136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2.85</v>
      </c>
      <c r="BD20" s="13">
        <f>IF('Données projet'!$A$88&gt;35,BD19+BC20-BL19,IF(A20&lt;'Données projet'!$A$88,$BA$205^A20,IF(A20='Données projet'!$A$88,'Données projet'!$B$88,BD19+BC20-BL19)))</f>
        <v>31.080902954246678</v>
      </c>
      <c r="BE20" s="14">
        <f>BD20*VLOOKUP('Données projet'!$B$11,Paramètres!$A$1:$I$89,3,0)*VLOOKUP('Données projet'!$B$11,Paramètres!$A$1:$I$89,5,0)</f>
        <v>32.485759767778632</v>
      </c>
      <c r="BF20" s="14">
        <f t="shared" si="37"/>
        <v>9.9835276423170871</v>
      </c>
      <c r="BG20" s="22">
        <f t="shared" si="7"/>
        <v>73.967342239250044</v>
      </c>
      <c r="BH20" s="62">
        <f t="shared" si="8"/>
        <v>367.30067557258337</v>
      </c>
      <c r="BI20" s="62">
        <f ca="1">AVERAGE(OFFSET($BH$3,0,0,'Données projet'!$E$11+1,1))-AVERAGE(OFFSET($H$3,0,0,'Données projet'!$E$11+1,1))</f>
        <v>464.21202287459482</v>
      </c>
      <c r="BJ20" s="62">
        <f t="shared" si="38"/>
        <v>234.57880205159688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9.56</v>
      </c>
      <c r="BY20" s="13">
        <f>IF('Données projet'!$A$114&gt;35,BY19+BX20-CG19,IF(A20&lt;'Données projet'!$A$114,$BV$205^A20,IF(A20='Données projet'!$A$114,'Données projet'!$B$114,BY19+BX20-CG19)))</f>
        <v>28.020000000000003</v>
      </c>
      <c r="BZ20" s="14">
        <f>BY20*VLOOKUP('Données projet'!$B$12,Paramètres!$A$1:$I$89,3,0)*VLOOKUP('Données projet'!$B$12,Paramètres!$A$1:$I$89,5,0)</f>
        <v>22.292712000000005</v>
      </c>
      <c r="CA20" s="14">
        <f t="shared" si="39"/>
        <v>7.1579524338592915</v>
      </c>
      <c r="CB20" s="22">
        <f t="shared" si="10"/>
        <v>51.29324055563827</v>
      </c>
      <c r="CC20" s="62">
        <f t="shared" si="11"/>
        <v>344.62657388897156</v>
      </c>
      <c r="CD20" s="62">
        <f ca="1">AVERAGE(OFFSET($CC$3,0,0,'Données projet'!$E$12+1,1))-AVERAGE(OFFSET($H$3,0,0,'Données projet'!$E$12+1,1))</f>
        <v>177.99876437322689</v>
      </c>
      <c r="CE20" s="62">
        <f t="shared" si="40"/>
        <v>165.68154380324592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5.5864615384615384</v>
      </c>
      <c r="CT20" s="13">
        <f>IF('Données projet'!$A$140&gt;35,CT19+CS20-DB19,IF(A20&lt;'Données projet'!$A$140,$CQ$205^A20,IF(A20='Données projet'!$A$140,'Données projet'!$B$140,CT19+CS20-DB19)))</f>
        <v>28.750952609046134</v>
      </c>
      <c r="CU20" s="18">
        <f>CT20*VLOOKUP('Données projet'!$B$13,Paramètres!$A$1:$I$89,3,0)*VLOOKUP('Données projet'!$B$13,Paramètres!$A$1:$I$89,5,0)</f>
        <v>16.071782508456788</v>
      </c>
      <c r="CV20" s="14">
        <f t="shared" si="41"/>
        <v>5.3608080430779994</v>
      </c>
      <c r="CW20" s="22">
        <f t="shared" si="13"/>
        <v>37.328428543923089</v>
      </c>
      <c r="CX20" s="62">
        <f t="shared" si="14"/>
        <v>330.66176187725642</v>
      </c>
      <c r="CY20" s="62">
        <f ca="1">AVERAGE(OFFSET($CX$3,0,0,'Données projet'!$E$13+1,1))-AVERAGE(OFFSET($H$3,0,0,'Données projet'!$E$13+1,1))</f>
        <v>242.07451379051349</v>
      </c>
      <c r="CZ20" s="62">
        <f t="shared" si="42"/>
        <v>207.11607964940754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6.2222222222222223</v>
      </c>
      <c r="DO20" s="13">
        <f>IF('Données projet'!$A$166&gt;35,DO19+DN20-DW19,IF(A20&lt;'Données projet'!$A$166,$DL$205^A20,IF(A20='Données projet'!$A$166,'Données projet'!$B$166,DO19+DN20-DW19)))</f>
        <v>86.1732707185582</v>
      </c>
      <c r="DP20" s="18">
        <f>DO20*VLOOKUP('Données projet'!$B$14,Paramètres!$A$1:$I$89,3,0)*VLOOKUP('Données projet'!$B$14,Paramètres!$A$1:$I$89,5,0)</f>
        <v>53.772120928380318</v>
      </c>
      <c r="DQ20" s="14">
        <f t="shared" si="43"/>
        <v>15.583764526657339</v>
      </c>
      <c r="DR20" s="22">
        <f t="shared" si="16"/>
        <v>120.79483383419057</v>
      </c>
      <c r="DS20" s="62">
        <f t="shared" si="17"/>
        <v>414.12816716752388</v>
      </c>
      <c r="DT20" s="62">
        <f ca="1">AVERAGE(OFFSET($DS$3,0,0,'Données projet'!$E$14+1,1))-AVERAGE(OFFSET($H$3,0,0,'Données projet'!$E$14+1,1))</f>
        <v>178.56320966726986</v>
      </c>
      <c r="DU20" s="62">
        <f t="shared" si="44"/>
        <v>272.06842551411739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2.85</v>
      </c>
      <c r="EJ20" s="13">
        <f>IF('Données projet'!$A$192&gt;35,EJ19+EI20-ER19,IF(A20&lt;'Données projet'!$A$192,$EG$205^A20,IF(A20='Données projet'!$A$192,'Données projet'!$B$192,EJ19+EI20-ER19)))</f>
        <v>31.080902954246678</v>
      </c>
      <c r="EK20" s="18">
        <f>EJ20*VLOOKUP('Données projet'!$B$15,Paramètres!$A$1:$I$89,3,0)*VLOOKUP('Données projet'!$B$15,Paramètres!$A$1:$I$89,5,0)</f>
        <v>33.455483939951122</v>
      </c>
      <c r="EL20" s="14">
        <f t="shared" si="45"/>
        <v>10.24640188153931</v>
      </c>
      <c r="EM20" s="22">
        <f t="shared" si="19"/>
        <v>76.114117805762518</v>
      </c>
      <c r="EN20" s="62">
        <f t="shared" si="20"/>
        <v>369.44745113909585</v>
      </c>
      <c r="EO20" s="62">
        <f ca="1">AVERAGE(OFFSET($EN$3,0,0,'Données projet'!$E$15+1,1))-AVERAGE(OFFSET($H$3,0,0,'Données projet'!$E$15+1,1))</f>
        <v>479.87943647026646</v>
      </c>
      <c r="EP20" s="62">
        <f t="shared" si="46"/>
        <v>242.41363045393223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2.85</v>
      </c>
      <c r="FE20" s="13">
        <f>IF('Données projet'!$A$218&gt;35,FE19+FD20-FM19,IF(A20&lt;'Données projet'!$A$218,$FB$205^A20,IF(A20='Données projet'!$A$218,'Données projet'!$B$218,FE19+FD20-FM19)))</f>
        <v>31.080902954246678</v>
      </c>
      <c r="FF20" s="18">
        <f>FE20*VLOOKUP('Données projet'!$B$16,Paramètres!$A$1:$I$89,3,0)*VLOOKUP('Données projet'!$B$16,Paramètres!$A$1:$I$89,5,0)</f>
        <v>30.061449337347391</v>
      </c>
      <c r="FG20" s="14">
        <f t="shared" si="47"/>
        <v>9.3222688990437277</v>
      </c>
      <c r="FH20" s="22">
        <f t="shared" si="22"/>
        <v>68.593309261714523</v>
      </c>
      <c r="FI20" s="62">
        <f t="shared" si="23"/>
        <v>361.92664259504784</v>
      </c>
      <c r="FJ20" s="62">
        <f ca="1">AVERAGE(OFFSET($FI$3,0,0,'Données projet'!$E$16+1,1))-AVERAGE(OFFSET($H$3,0,0,'Données projet'!$E$16+1,1))</f>
        <v>425.00152674093977</v>
      </c>
      <c r="FK20" s="62">
        <f t="shared" si="48"/>
        <v>214.96884469274687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3.7333333333333334</v>
      </c>
      <c r="N21" s="14">
        <f>IF('Données projet'!$A$36&gt;35,N20+M21-V20,IF(A21&lt;'Données projet'!$A$36,$K$205^A21,IF(A21='Données projet'!$A$36,'Données projet'!$B$36,N20+M21-V20)))</f>
        <v>16.964099598730531</v>
      </c>
      <c r="O21" s="14">
        <f>N21*VLOOKUP('Données projet'!$B$9,Paramètres!$A$1:$I$89,3,0)*VLOOKUP('Données projet'!$B$9,Paramètres!$A$1:$I$89,5,0)</f>
        <v>8.1597319069893857</v>
      </c>
      <c r="P21" s="14">
        <f t="shared" si="33"/>
        <v>2.9451599174267282</v>
      </c>
      <c r="Q21" s="22">
        <f t="shared" si="2"/>
        <v>19.34101992752473</v>
      </c>
      <c r="R21" s="62">
        <f t="shared" si="0"/>
        <v>312.67435326085803</v>
      </c>
      <c r="S21" s="62">
        <f ca="1">AVERAGE(OFFSET($R$3,0,0,'Données projet'!$E$9+1,1))-AVERAGE(OFFSET($H$3,0,0,'Données projet'!$E$9+1,1))</f>
        <v>179.22241276165141</v>
      </c>
      <c r="T21" s="62">
        <f t="shared" si="34"/>
        <v>86.510654589692876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4.857846153846153</v>
      </c>
      <c r="AI21" s="14">
        <f>IF('Données projet'!$A$62&gt;35,AI20+AH21-AQ20,IF(A21&lt;'Données projet'!$A$62,$AF$205^A21,IF(A21='Données projet'!$A$62,'Données projet'!$B$62,AI20+AH21-AQ20)))</f>
        <v>31.677894718827407</v>
      </c>
      <c r="AJ21" s="14">
        <f>AI21*VLOOKUP('Données projet'!$B$10,Paramètres!$A$1:$I$89,3,0)*VLOOKUP('Données projet'!$B$10,Paramètres!$A$1:$I$89,5,0)</f>
        <v>18.943381041858792</v>
      </c>
      <c r="AK21" s="14">
        <f t="shared" si="35"/>
        <v>6.1988839725172955</v>
      </c>
      <c r="AL21" s="22">
        <f t="shared" si="4"/>
        <v>43.789444900038347</v>
      </c>
      <c r="AM21" s="62">
        <f t="shared" si="5"/>
        <v>337.12277823337166</v>
      </c>
      <c r="AN21" s="62">
        <f ca="1">AVERAGE(OFFSET($AM$3,0,0,'Données projet'!$E$10+1,1))-AVERAGE(OFFSET($H$3,0,0,'Données projet'!$E$10+1,1))</f>
        <v>157.42757749057949</v>
      </c>
      <c r="AO21" s="62">
        <f t="shared" si="36"/>
        <v>129.86070223892136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2.85</v>
      </c>
      <c r="BD21" s="13">
        <f>IF('Données projet'!$A$88&gt;35,BD20+BC21-BL20,IF(A21&lt;'Données projet'!$A$88,$BA$205^A21,IF(A21='Données projet'!$A$88,'Données projet'!$B$88,BD20+BC21-BL20)))</f>
        <v>38.044104865803838</v>
      </c>
      <c r="BE21" s="14">
        <f>BD21*VLOOKUP('Données projet'!$B$11,Paramètres!$A$1:$I$89,3,0)*VLOOKUP('Données projet'!$B$11,Paramètres!$A$1:$I$89,5,0)</f>
        <v>39.763698405738175</v>
      </c>
      <c r="BF21" s="14">
        <f t="shared" si="37"/>
        <v>11.935993561636639</v>
      </c>
      <c r="BG21" s="22">
        <f t="shared" si="7"/>
        <v>90.043630176511144</v>
      </c>
      <c r="BH21" s="62">
        <f t="shared" si="8"/>
        <v>383.37696350984447</v>
      </c>
      <c r="BI21" s="62">
        <f ca="1">AVERAGE(OFFSET($BH$3,0,0,'Données projet'!$E$11+1,1))-AVERAGE(OFFSET($H$3,0,0,'Données projet'!$E$11+1,1))</f>
        <v>464.21202287459482</v>
      </c>
      <c r="BJ21" s="62">
        <f t="shared" si="38"/>
        <v>234.57880205159688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9.56</v>
      </c>
      <c r="BY21" s="13">
        <f>IF('Données projet'!$A$114&gt;35,BY20+BX21-CG20,IF(A21&lt;'Données projet'!$A$114,$BV$205^A21,IF(A21='Données projet'!$A$114,'Données projet'!$B$114,BY20+BX21-CG20)))</f>
        <v>37.580000000000005</v>
      </c>
      <c r="BZ21" s="14">
        <f>BY21*VLOOKUP('Données projet'!$B$12,Paramètres!$A$1:$I$89,3,0)*VLOOKUP('Données projet'!$B$12,Paramètres!$A$1:$I$89,5,0)</f>
        <v>29.898648000000009</v>
      </c>
      <c r="CA21" s="14">
        <f t="shared" si="39"/>
        <v>9.277645512564316</v>
      </c>
      <c r="CB21" s="22">
        <f t="shared" si="10"/>
        <v>68.232044534382865</v>
      </c>
      <c r="CC21" s="62">
        <f t="shared" si="11"/>
        <v>361.56537786771617</v>
      </c>
      <c r="CD21" s="62">
        <f ca="1">AVERAGE(OFFSET($CC$3,0,0,'Données projet'!$E$12+1,1))-AVERAGE(OFFSET($H$3,0,0,'Données projet'!$E$12+1,1))</f>
        <v>177.99876437322689</v>
      </c>
      <c r="CE21" s="62">
        <f t="shared" si="40"/>
        <v>165.68154380324592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5.5864615384615384</v>
      </c>
      <c r="CT21" s="13">
        <f>IF('Données projet'!$A$140&gt;35,CT20+CS21-DB20,IF(A21&lt;'Données projet'!$A$140,$CQ$205^A21,IF(A21='Données projet'!$A$140,'Données projet'!$B$140,CT20+CS21-DB20)))</f>
        <v>35.031223977904645</v>
      </c>
      <c r="CU21" s="18">
        <f>CT21*VLOOKUP('Données projet'!$B$13,Paramètres!$A$1:$I$89,3,0)*VLOOKUP('Données projet'!$B$13,Paramètres!$A$1:$I$89,5,0)</f>
        <v>19.582454203648698</v>
      </c>
      <c r="CV21" s="14">
        <f t="shared" si="41"/>
        <v>6.3833087598760283</v>
      </c>
      <c r="CW21" s="22">
        <f t="shared" si="13"/>
        <v>45.223703828138895</v>
      </c>
      <c r="CX21" s="62">
        <f t="shared" si="14"/>
        <v>338.55703716147218</v>
      </c>
      <c r="CY21" s="62">
        <f ca="1">AVERAGE(OFFSET($CX$3,0,0,'Données projet'!$E$13+1,1))-AVERAGE(OFFSET($H$3,0,0,'Données projet'!$E$13+1,1))</f>
        <v>242.07451379051349</v>
      </c>
      <c r="CZ21" s="62">
        <f t="shared" si="42"/>
        <v>207.11607964940754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>
        <f>VLOOKUP(A21,'Données projet'!$A$165:$I$185,2,0)</f>
        <v>112</v>
      </c>
      <c r="DM21" s="13">
        <f>VLOOKUP(A21,'Données projet'!$A$165:$I$185,9,0)</f>
        <v>6.2222222222222223</v>
      </c>
      <c r="DN21" s="13">
        <f t="array" ref="DN21">INDEX(DM:DM,MIN(IF(ISNUMBER(DM21:DM217),ROW(DM21:DM217),"")))</f>
        <v>6.2222222222222223</v>
      </c>
      <c r="DO21" s="13">
        <f>IF('Données projet'!$A$166&gt;35,DO20+DN21-DW20,IF(A21&lt;'Données projet'!$A$166,$DL$205^A21,IF(A21='Données projet'!$A$166,'Données projet'!$B$166,DO20+DN21-DW20)))</f>
        <v>112</v>
      </c>
      <c r="DP21" s="18">
        <f>DO21*VLOOKUP('Données projet'!$B$14,Paramètres!$A$1:$I$89,3,0)*VLOOKUP('Données projet'!$B$14,Paramètres!$A$1:$I$89,5,0)</f>
        <v>69.888000000000005</v>
      </c>
      <c r="DQ21" s="14">
        <f t="shared" si="43"/>
        <v>19.645641432461961</v>
      </c>
      <c r="DR21" s="22">
        <f t="shared" si="16"/>
        <v>155.93775882820458</v>
      </c>
      <c r="DS21" s="62">
        <f t="shared" si="17"/>
        <v>449.27109216153792</v>
      </c>
      <c r="DT21" s="62">
        <f ca="1">AVERAGE(OFFSET($DS$3,0,0,'Données projet'!$E$14+1,1))-AVERAGE(OFFSET($H$3,0,0,'Données projet'!$E$14+1,1))</f>
        <v>178.56320966726986</v>
      </c>
      <c r="DU21" s="62">
        <f t="shared" si="44"/>
        <v>272.06842551411739</v>
      </c>
      <c r="DV21" s="16">
        <f>IF(ISNA(VLOOKUP(A21,'Données projet'!$A$165:$I$185,3,0)),0,VLOOKUP(A21,'Données projet'!$A$165:$I$185,3,0))</f>
        <v>1</v>
      </c>
      <c r="DW21" s="16">
        <f>IF(ISNA(VLOOKUP(A21,'Données projet'!$A$165:$I$185,4,0)),0,VLOOKUP(A21,'Données projet'!$A$165:$I$185,4,0))</f>
        <v>20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0.5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7.0651295365651476</v>
      </c>
      <c r="ED21" s="24">
        <f t="shared" si="18"/>
        <v>7.0651295365651476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2.85</v>
      </c>
      <c r="EJ21" s="13">
        <f>IF('Données projet'!$A$192&gt;35,EJ20+EI21-ER20,IF(A21&lt;'Données projet'!$A$192,$EG$205^A21,IF(A21='Données projet'!$A$192,'Données projet'!$B$192,EJ20+EI21-ER20)))</f>
        <v>38.044104865803838</v>
      </c>
      <c r="EK21" s="18">
        <f>EJ21*VLOOKUP('Données projet'!$B$15,Paramètres!$A$1:$I$89,3,0)*VLOOKUP('Données projet'!$B$15,Paramètres!$A$1:$I$89,5,0)</f>
        <v>40.950674477551253</v>
      </c>
      <c r="EL21" s="14">
        <f t="shared" si="45"/>
        <v>12.250277784537671</v>
      </c>
      <c r="EM21" s="22">
        <f t="shared" si="19"/>
        <v>92.658325189804884</v>
      </c>
      <c r="EN21" s="62">
        <f t="shared" si="20"/>
        <v>385.9916585231382</v>
      </c>
      <c r="EO21" s="62">
        <f ca="1">AVERAGE(OFFSET($EN$3,0,0,'Données projet'!$E$15+1,1))-AVERAGE(OFFSET($H$3,0,0,'Données projet'!$E$15+1,1))</f>
        <v>479.87943647026646</v>
      </c>
      <c r="EP21" s="62">
        <f t="shared" si="46"/>
        <v>242.41363045393223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2.85</v>
      </c>
      <c r="FE21" s="13">
        <f>IF('Données projet'!$A$218&gt;35,FE20+FD21-FM20,IF(A21&lt;'Données projet'!$A$218,$FB$205^A21,IF(A21='Données projet'!$A$218,'Données projet'!$B$218,FE20+FD21-FM20)))</f>
        <v>38.044104865803838</v>
      </c>
      <c r="FF21" s="18">
        <f>FE21*VLOOKUP('Données projet'!$B$16,Paramètres!$A$1:$I$89,3,0)*VLOOKUP('Données projet'!$B$16,Paramètres!$A$1:$I$89,5,0)</f>
        <v>36.796258226205474</v>
      </c>
      <c r="FG21" s="14">
        <f t="shared" si="47"/>
        <v>11.145413279289176</v>
      </c>
      <c r="FH21" s="22">
        <f t="shared" si="22"/>
        <v>83.498411205403187</v>
      </c>
      <c r="FI21" s="62">
        <f t="shared" si="23"/>
        <v>376.83174453873653</v>
      </c>
      <c r="FJ21" s="62">
        <f ca="1">AVERAGE(OFFSET($FI$3,0,0,'Données projet'!$E$16+1,1))-AVERAGE(OFFSET($H$3,0,0,'Données projet'!$E$16+1,1))</f>
        <v>425.00152674093977</v>
      </c>
      <c r="FK21" s="62">
        <f t="shared" si="48"/>
        <v>214.96884469274687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3.7333333333333334</v>
      </c>
      <c r="N22" s="14">
        <f>IF('Données projet'!$A$36&gt;35,N21+M22-V21,IF(A22&lt;'Données projet'!$A$36,$K$205^A22,IF(A22='Données projet'!$A$36,'Données projet'!$B$36,N21+M22-V21)))</f>
        <v>19.853545752017144</v>
      </c>
      <c r="O22" s="14">
        <f>N22*VLOOKUP('Données projet'!$B$9,Paramètres!$A$1:$I$89,3,0)*VLOOKUP('Données projet'!$B$9,Paramètres!$A$1:$I$89,5,0)</f>
        <v>9.549555506720246</v>
      </c>
      <c r="P22" s="14">
        <f t="shared" si="33"/>
        <v>3.3842713918038774</v>
      </c>
      <c r="Q22" s="22">
        <f t="shared" si="2"/>
        <v>22.526415181596182</v>
      </c>
      <c r="R22" s="62">
        <f t="shared" si="0"/>
        <v>315.85974851492949</v>
      </c>
      <c r="S22" s="62">
        <f ca="1">AVERAGE(OFFSET($R$3,0,0,'Données projet'!$E$9+1,1))-AVERAGE(OFFSET($H$3,0,0,'Données projet'!$E$9+1,1))</f>
        <v>179.22241276165141</v>
      </c>
      <c r="T22" s="62">
        <f t="shared" si="34"/>
        <v>86.510654589692876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4.857846153846153</v>
      </c>
      <c r="AI22" s="14">
        <f>IF('Données projet'!$A$62&gt;35,AI21+AH22-AQ21,IF(A22&lt;'Données projet'!$A$62,$AF$205^A22,IF(A22='Données projet'!$A$62,'Données projet'!$B$62,AI21+AH22-AQ21)))</f>
        <v>38.3823588700225</v>
      </c>
      <c r="AJ22" s="14">
        <f>AI22*VLOOKUP('Données projet'!$B$10,Paramètres!$A$1:$I$89,3,0)*VLOOKUP('Données projet'!$B$10,Paramètres!$A$1:$I$89,5,0)</f>
        <v>22.952650604273455</v>
      </c>
      <c r="AK22" s="14">
        <f t="shared" si="35"/>
        <v>7.3448675292022392</v>
      </c>
      <c r="AL22" s="22">
        <f t="shared" si="4"/>
        <v>52.7681774158035</v>
      </c>
      <c r="AM22" s="62">
        <f t="shared" si="5"/>
        <v>346.10151074913682</v>
      </c>
      <c r="AN22" s="62">
        <f ca="1">AVERAGE(OFFSET($AM$3,0,0,'Données projet'!$E$10+1,1))-AVERAGE(OFFSET($H$3,0,0,'Données projet'!$E$10+1,1))</f>
        <v>157.42757749057949</v>
      </c>
      <c r="AO22" s="62">
        <f t="shared" si="36"/>
        <v>129.86070223892136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2.85</v>
      </c>
      <c r="BD22" s="13">
        <f>IF('Données projet'!$A$88&gt;35,BD21+BC22-BL21,IF(A22&lt;'Données projet'!$A$88,$BA$205^A22,IF(A22='Données projet'!$A$88,'Données projet'!$B$88,BD21+BC22-BL21)))</f>
        <v>46.567305884609858</v>
      </c>
      <c r="BE22" s="14">
        <f>BD22*VLOOKUP('Données projet'!$B$11,Paramètres!$A$1:$I$89,3,0)*VLOOKUP('Données projet'!$B$11,Paramètres!$A$1:$I$89,5,0)</f>
        <v>48.672148110594229</v>
      </c>
      <c r="BF22" s="14">
        <f t="shared" si="37"/>
        <v>14.270300780212571</v>
      </c>
      <c r="BG22" s="22">
        <f t="shared" si="7"/>
        <v>109.62476515148852</v>
      </c>
      <c r="BH22" s="62">
        <f t="shared" si="8"/>
        <v>402.95809848482185</v>
      </c>
      <c r="BI22" s="62">
        <f ca="1">AVERAGE(OFFSET($BH$3,0,0,'Données projet'!$E$11+1,1))-AVERAGE(OFFSET($H$3,0,0,'Données projet'!$E$11+1,1))</f>
        <v>464.21202287459482</v>
      </c>
      <c r="BJ22" s="62">
        <f t="shared" si="38"/>
        <v>234.57880205159688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9.56</v>
      </c>
      <c r="BY22" s="13">
        <f>IF('Données projet'!$A$114&gt;35,BY21+BX22-CG21,IF(A22&lt;'Données projet'!$A$114,$BV$205^A22,IF(A22='Données projet'!$A$114,'Données projet'!$B$114,BY21+BX22-CG21)))</f>
        <v>47.140000000000008</v>
      </c>
      <c r="BZ22" s="14">
        <f>BY22*VLOOKUP('Données projet'!$B$12,Paramètres!$A$1:$I$89,3,0)*VLOOKUP('Données projet'!$B$12,Paramètres!$A$1:$I$89,5,0)</f>
        <v>37.504584000000008</v>
      </c>
      <c r="CA22" s="14">
        <f t="shared" si="39"/>
        <v>11.334777485720775</v>
      </c>
      <c r="CB22" s="22">
        <f t="shared" si="10"/>
        <v>85.061887920963684</v>
      </c>
      <c r="CC22" s="62">
        <f t="shared" si="11"/>
        <v>378.39522125429698</v>
      </c>
      <c r="CD22" s="62">
        <f ca="1">AVERAGE(OFFSET($CC$3,0,0,'Données projet'!$E$12+1,1))-AVERAGE(OFFSET($H$3,0,0,'Données projet'!$E$12+1,1))</f>
        <v>177.99876437322689</v>
      </c>
      <c r="CE22" s="62">
        <f t="shared" si="40"/>
        <v>165.68154380324592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5.5864615384615384</v>
      </c>
      <c r="CT22" s="13">
        <f>IF('Données projet'!$A$140&gt;35,CT21+CS22-DB21,IF(A22&lt;'Données projet'!$A$140,$CQ$205^A22,IF(A22='Données projet'!$A$140,'Données projet'!$B$140,CT21+CS22-DB21)))</f>
        <v>42.683338881926375</v>
      </c>
      <c r="CU22" s="18">
        <f>CT22*VLOOKUP('Données projet'!$B$13,Paramètres!$A$1:$I$89,3,0)*VLOOKUP('Données projet'!$B$13,Paramètres!$A$1:$I$89,5,0)</f>
        <v>23.859986434996841</v>
      </c>
      <c r="CV22" s="14">
        <f t="shared" si="41"/>
        <v>7.6008374850360587</v>
      </c>
      <c r="CW22" s="22">
        <f t="shared" si="13"/>
        <v>54.794268327390633</v>
      </c>
      <c r="CX22" s="62">
        <f t="shared" si="14"/>
        <v>348.12760166072394</v>
      </c>
      <c r="CY22" s="62">
        <f ca="1">AVERAGE(OFFSET($CX$3,0,0,'Données projet'!$E$13+1,1))-AVERAGE(OFFSET($H$3,0,0,'Données projet'!$E$13+1,1))</f>
        <v>242.07451379051349</v>
      </c>
      <c r="CZ22" s="62">
        <f t="shared" si="42"/>
        <v>207.11607964940754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18</v>
      </c>
      <c r="DO22" s="13">
        <f>IF('Données projet'!$A$166&gt;35,DO21+DN22-DW21,IF(A22&lt;'Données projet'!$A$166,$DL$205^A22,IF(A22='Données projet'!$A$166,'Données projet'!$B$166,DO21+DN22-DW21)))</f>
        <v>110</v>
      </c>
      <c r="DP22" s="18">
        <f>DO22*VLOOKUP('Données projet'!$B$14,Paramètres!$A$1:$I$89,3,0)*VLOOKUP('Données projet'!$B$14,Paramètres!$A$1:$I$89,5,0)</f>
        <v>68.64</v>
      </c>
      <c r="DQ22" s="14">
        <f t="shared" si="43"/>
        <v>19.335336956640202</v>
      </c>
      <c r="DR22" s="22">
        <f t="shared" si="16"/>
        <v>153.22371186614836</v>
      </c>
      <c r="DS22" s="62">
        <f t="shared" si="17"/>
        <v>446.55704519948165</v>
      </c>
      <c r="DT22" s="62">
        <f ca="1">AVERAGE(OFFSET($DS$3,0,0,'Données projet'!$E$14+1,1))-AVERAGE(OFFSET($H$3,0,0,'Données projet'!$E$14+1,1))</f>
        <v>178.56320966726986</v>
      </c>
      <c r="DU22" s="62">
        <f t="shared" si="44"/>
        <v>272.06842551411739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4.9958010052665864</v>
      </c>
      <c r="ED22" s="24">
        <f t="shared" si="18"/>
        <v>4.9958010052665864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2.85</v>
      </c>
      <c r="EJ22" s="13">
        <f>IF('Données projet'!$A$192&gt;35,EJ21+EI22-ER21,IF(A22&lt;'Données projet'!$A$192,$EG$205^A22,IF(A22='Données projet'!$A$192,'Données projet'!$B$192,EJ21+EI22-ER21)))</f>
        <v>46.567305884609858</v>
      </c>
      <c r="EK22" s="18">
        <f>EJ22*VLOOKUP('Données projet'!$B$15,Paramètres!$A$1:$I$89,3,0)*VLOOKUP('Données projet'!$B$15,Paramètres!$A$1:$I$89,5,0)</f>
        <v>50.125048054194053</v>
      </c>
      <c r="EL22" s="14">
        <f t="shared" si="45"/>
        <v>14.646049172511319</v>
      </c>
      <c r="EM22" s="22">
        <f t="shared" si="19"/>
        <v>112.8096610031785</v>
      </c>
      <c r="EN22" s="62">
        <f t="shared" si="20"/>
        <v>406.14299433651183</v>
      </c>
      <c r="EO22" s="62">
        <f ca="1">AVERAGE(OFFSET($EN$3,0,0,'Données projet'!$E$15+1,1))-AVERAGE(OFFSET($H$3,0,0,'Données projet'!$E$15+1,1))</f>
        <v>479.87943647026646</v>
      </c>
      <c r="EP22" s="62">
        <f t="shared" si="46"/>
        <v>242.41363045393223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2.85</v>
      </c>
      <c r="FE22" s="13">
        <f>IF('Données projet'!$A$218&gt;35,FE21+FD22-FM21,IF(A22&lt;'Données projet'!$A$218,$FB$205^A22,IF(A22='Données projet'!$A$218,'Données projet'!$B$218,FE21+FD22-FM21)))</f>
        <v>46.567305884609858</v>
      </c>
      <c r="FF22" s="18">
        <f>FE22*VLOOKUP('Données projet'!$B$16,Paramètres!$A$1:$I$89,3,0)*VLOOKUP('Données projet'!$B$16,Paramètres!$A$1:$I$89,5,0)</f>
        <v>45.039898251594657</v>
      </c>
      <c r="FG22" s="14">
        <f t="shared" si="47"/>
        <v>13.325107708371073</v>
      </c>
      <c r="FH22" s="22">
        <f t="shared" si="22"/>
        <v>101.65238538027364</v>
      </c>
      <c r="FI22" s="62">
        <f t="shared" si="23"/>
        <v>394.98571871360696</v>
      </c>
      <c r="FJ22" s="62">
        <f ca="1">AVERAGE(OFFSET($FI$3,0,0,'Données projet'!$E$16+1,1))-AVERAGE(OFFSET($H$3,0,0,'Données projet'!$E$16+1,1))</f>
        <v>425.00152674093977</v>
      </c>
      <c r="FK22" s="62">
        <f t="shared" si="48"/>
        <v>214.96884469274687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3.7333333333333334</v>
      </c>
      <c r="N23" s="14">
        <f>IF('Données projet'!$A$36&gt;35,N22+M23-V22,IF(A23&lt;'Données projet'!$A$36,$K$205^A23,IF(A23='Données projet'!$A$36,'Données projet'!$B$36,N22+M23-V22)))</f>
        <v>23.235142934254771</v>
      </c>
      <c r="O23" s="14">
        <f>N23*VLOOKUP('Données projet'!$B$9,Paramètres!$A$1:$I$89,3,0)*VLOOKUP('Données projet'!$B$9,Paramètres!$A$1:$I$89,5,0)</f>
        <v>11.176103751376544</v>
      </c>
      <c r="P23" s="14">
        <f t="shared" si="33"/>
        <v>3.888852617344198</v>
      </c>
      <c r="Q23" s="22">
        <f t="shared" si="2"/>
        <v>26.238132342188624</v>
      </c>
      <c r="R23" s="62">
        <f t="shared" si="0"/>
        <v>319.57146567552195</v>
      </c>
      <c r="S23" s="62">
        <f ca="1">AVERAGE(OFFSET($R$3,0,0,'Données projet'!$E$9+1,1))-AVERAGE(OFFSET($H$3,0,0,'Données projet'!$E$9+1,1))</f>
        <v>179.22241276165141</v>
      </c>
      <c r="T23" s="62">
        <f t="shared" si="34"/>
        <v>86.510654589692876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4.857846153846153</v>
      </c>
      <c r="AI23" s="14">
        <f>IF('Données projet'!$A$62&gt;35,AI22+AH23-AQ22,IF(A23&lt;'Données projet'!$A$62,$AF$205^A23,IF(A23='Données projet'!$A$62,'Données projet'!$B$62,AI22+AH23-AQ22)))</f>
        <v>46.505788516040859</v>
      </c>
      <c r="AJ23" s="14">
        <f>AI23*VLOOKUP('Données projet'!$B$10,Paramètres!$A$1:$I$89,3,0)*VLOOKUP('Données projet'!$B$10,Paramètres!$A$1:$I$89,5,0)</f>
        <v>27.810461532592438</v>
      </c>
      <c r="AK23" s="14">
        <f t="shared" si="35"/>
        <v>8.702708303737154</v>
      </c>
      <c r="AL23" s="22">
        <f t="shared" si="4"/>
        <v>63.593770798274043</v>
      </c>
      <c r="AM23" s="62">
        <f t="shared" si="5"/>
        <v>356.92710413160734</v>
      </c>
      <c r="AN23" s="62">
        <f ca="1">AVERAGE(OFFSET($AM$3,0,0,'Données projet'!$E$10+1,1))-AVERAGE(OFFSET($H$3,0,0,'Données projet'!$E$10+1,1))</f>
        <v>157.42757749057949</v>
      </c>
      <c r="AO23" s="62">
        <f t="shared" si="36"/>
        <v>129.86070223892136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57</v>
      </c>
      <c r="BB23" s="13">
        <f>VLOOKUP(A23,'Données projet'!$A$87:$I$107,9,0)</f>
        <v>2.85</v>
      </c>
      <c r="BC23" s="13">
        <f t="array" ref="BC23">INDEX(BB:BB,MIN(IF(ISNUMBER(BB23:BB219),ROW(BB23:BB219),"")))</f>
        <v>2.85</v>
      </c>
      <c r="BD23" s="13">
        <f>IF('Données projet'!$A$88&gt;35,BD22+BC23-BL22,IF(A23&lt;'Données projet'!$A$88,$BA$205^A23,IF(A23='Données projet'!$A$88,'Données projet'!$B$88,BD22+BC23-BL22)))</f>
        <v>57</v>
      </c>
      <c r="BE23" s="14">
        <f>BD23*VLOOKUP('Données projet'!$B$11,Paramètres!$A$1:$I$89,3,0)*VLOOKUP('Données projet'!$B$11,Paramètres!$A$1:$I$89,5,0)</f>
        <v>59.576400000000007</v>
      </c>
      <c r="BF23" s="14">
        <f t="shared" si="37"/>
        <v>17.06112551972695</v>
      </c>
      <c r="BG23" s="22">
        <f t="shared" si="7"/>
        <v>133.47702361352444</v>
      </c>
      <c r="BH23" s="62">
        <f t="shared" si="8"/>
        <v>426.81035694685772</v>
      </c>
      <c r="BI23" s="62">
        <f ca="1">AVERAGE(OFFSET($BH$3,0,0,'Données projet'!$E$11+1,1))-AVERAGE(OFFSET($H$3,0,0,'Données projet'!$E$11+1,1))</f>
        <v>464.21202287459482</v>
      </c>
      <c r="BJ23" s="62">
        <f t="shared" si="38"/>
        <v>234.57880205159688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56.7</v>
      </c>
      <c r="BW23" s="13">
        <f>VLOOKUP(A23,'Données projet'!$A$113:$I$133,9,0)</f>
        <v>9.56</v>
      </c>
      <c r="BX23" s="13">
        <f t="array" ref="BX23">INDEX(BW:BW,MIN(IF(ISNUMBER(BW23:BW219),ROW(BW23:BW219),"")))</f>
        <v>9.56</v>
      </c>
      <c r="BY23" s="13">
        <f>IF('Données projet'!$A$114&gt;35,BY22+BX23-CG22,IF(A23&lt;'Données projet'!$A$114,$BV$205^A23,IF(A23='Données projet'!$A$114,'Données projet'!$B$114,BY22+BX23-CG22)))</f>
        <v>56.70000000000001</v>
      </c>
      <c r="BZ23" s="14">
        <f>BY23*VLOOKUP('Données projet'!$B$12,Paramètres!$A$1:$I$89,3,0)*VLOOKUP('Données projet'!$B$12,Paramètres!$A$1:$I$89,5,0)</f>
        <v>45.110520000000008</v>
      </c>
      <c r="CA23" s="14">
        <f t="shared" si="39"/>
        <v>13.343567546524644</v>
      </c>
      <c r="CB23" s="22">
        <f t="shared" si="10"/>
        <v>101.80753581019711</v>
      </c>
      <c r="CC23" s="62">
        <f t="shared" si="11"/>
        <v>395.14086914353044</v>
      </c>
      <c r="CD23" s="62">
        <f ca="1">AVERAGE(OFFSET($CC$3,0,0,'Données projet'!$E$12+1,1))-AVERAGE(OFFSET($H$3,0,0,'Données projet'!$E$12+1,1))</f>
        <v>177.99876437322689</v>
      </c>
      <c r="CE23" s="62">
        <f t="shared" si="40"/>
        <v>165.68154380324592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5.5864615384615384</v>
      </c>
      <c r="CT23" s="13">
        <f>IF('Données projet'!$A$140&gt;35,CT22+CS23-DB22,IF(A23&lt;'Données projet'!$A$140,$CQ$205^A23,IF(A23='Données projet'!$A$140,'Données projet'!$B$140,CT22+CS23-DB22)))</f>
        <v>52.006958685156981</v>
      </c>
      <c r="CU23" s="18">
        <f>CT23*VLOOKUP('Données projet'!$B$13,Paramètres!$A$1:$I$89,3,0)*VLOOKUP('Données projet'!$B$13,Paramètres!$A$1:$I$89,5,0)</f>
        <v>29.071889905002752</v>
      </c>
      <c r="CV23" s="14">
        <f t="shared" si="41"/>
        <v>9.0505931402026167</v>
      </c>
      <c r="CW23" s="22">
        <f t="shared" si="13"/>
        <v>66.396657970399346</v>
      </c>
      <c r="CX23" s="62">
        <f t="shared" si="14"/>
        <v>359.72999130373267</v>
      </c>
      <c r="CY23" s="62">
        <f ca="1">AVERAGE(OFFSET($CX$3,0,0,'Données projet'!$E$13+1,1))-AVERAGE(OFFSET($H$3,0,0,'Données projet'!$E$13+1,1))</f>
        <v>242.07451379051349</v>
      </c>
      <c r="CZ23" s="62">
        <f t="shared" si="42"/>
        <v>207.11607964940754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18</v>
      </c>
      <c r="DO23" s="13">
        <f>IF('Données projet'!$A$166&gt;35,DO22+DN23-DW22,IF(A23&lt;'Données projet'!$A$166,$DL$205^A23,IF(A23='Données projet'!$A$166,'Données projet'!$B$166,DO22+DN23-DW22)))</f>
        <v>128</v>
      </c>
      <c r="DP23" s="18">
        <f>DO23*VLOOKUP('Données projet'!$B$14,Paramètres!$A$1:$I$89,3,0)*VLOOKUP('Données projet'!$B$14,Paramètres!$A$1:$I$89,5,0)</f>
        <v>79.872</v>
      </c>
      <c r="DQ23" s="14">
        <f t="shared" si="43"/>
        <v>22.105884547145418</v>
      </c>
      <c r="DR23" s="22">
        <f t="shared" si="16"/>
        <v>177.61148225294494</v>
      </c>
      <c r="DS23" s="62">
        <f t="shared" si="17"/>
        <v>470.94481558627825</v>
      </c>
      <c r="DT23" s="62">
        <f ca="1">AVERAGE(OFFSET($DS$3,0,0,'Données projet'!$E$14+1,1))-AVERAGE(OFFSET($H$3,0,0,'Données projet'!$E$14+1,1))</f>
        <v>178.56320966726986</v>
      </c>
      <c r="DU23" s="62">
        <f t="shared" si="44"/>
        <v>272.06842551411739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3.5325647682825747</v>
      </c>
      <c r="ED23" s="24">
        <f t="shared" si="18"/>
        <v>3.5325647682825747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57</v>
      </c>
      <c r="EH23" s="13">
        <f>VLOOKUP(A23,'Données projet'!$A$191:$I$211,9,0)</f>
        <v>2.85</v>
      </c>
      <c r="EI23" s="13">
        <f t="array" ref="EI23">INDEX(EH:EH,MIN(IF(ISNUMBER(EH23:EH219),ROW(EH23:EH219),"")))</f>
        <v>2.85</v>
      </c>
      <c r="EJ23" s="13">
        <f>IF('Données projet'!$A$192&gt;35,EJ22+EI23-ER22,IF(A23&lt;'Données projet'!$A$192,$EG$205^A23,IF(A23='Données projet'!$A$192,'Données projet'!$B$192,EJ22+EI23-ER22)))</f>
        <v>57</v>
      </c>
      <c r="EK23" s="18">
        <f>EJ23*VLOOKUP('Données projet'!$B$15,Paramètres!$A$1:$I$89,3,0)*VLOOKUP('Données projet'!$B$15,Paramètres!$A$1:$I$89,5,0)</f>
        <v>61.354799999999997</v>
      </c>
      <c r="EL23" s="14">
        <f t="shared" si="45"/>
        <v>17.510358551572615</v>
      </c>
      <c r="EM23" s="22">
        <f t="shared" si="19"/>
        <v>137.35681781065566</v>
      </c>
      <c r="EN23" s="62">
        <f t="shared" si="20"/>
        <v>430.69015114398894</v>
      </c>
      <c r="EO23" s="62">
        <f ca="1">AVERAGE(OFFSET($EN$3,0,0,'Données projet'!$E$15+1,1))-AVERAGE(OFFSET($H$3,0,0,'Données projet'!$E$15+1,1))</f>
        <v>479.87943647026646</v>
      </c>
      <c r="EP23" s="62">
        <f t="shared" si="46"/>
        <v>242.41363045393223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>
        <f>VLOOKUP(A23,'Données projet'!$A$217:$I$237,2,0)</f>
        <v>57</v>
      </c>
      <c r="FC23" s="13">
        <f>VLOOKUP(A23,'Données projet'!$A$217:$I$237,9,0)</f>
        <v>2.85</v>
      </c>
      <c r="FD23" s="13">
        <f t="array" ref="FD23">INDEX(FC:FC,MIN(IF(ISNUMBER(FC23:FC219),ROW(FC23:FC219),"")))</f>
        <v>2.85</v>
      </c>
      <c r="FE23" s="13">
        <f>IF('Données projet'!$A$218&gt;35,FE22+FD23-FM22,IF(A23&lt;'Données projet'!$A$218,$FB$205^A23,IF(A23='Données projet'!$A$218,'Données projet'!$B$218,FE22+FD23-FM22)))</f>
        <v>57</v>
      </c>
      <c r="FF23" s="18">
        <f>FE23*VLOOKUP('Données projet'!$B$16,Paramètres!$A$1:$I$89,3,0)*VLOOKUP('Données projet'!$B$16,Paramètres!$A$1:$I$89,5,0)</f>
        <v>55.130399999999995</v>
      </c>
      <c r="FG23" s="14">
        <f t="shared" si="47"/>
        <v>15.931082230000035</v>
      </c>
      <c r="FH23" s="22">
        <f t="shared" si="22"/>
        <v>123.7654148839167</v>
      </c>
      <c r="FI23" s="62">
        <f t="shared" si="23"/>
        <v>417.09874821725003</v>
      </c>
      <c r="FJ23" s="62">
        <f ca="1">AVERAGE(OFFSET($FI$3,0,0,'Données projet'!$E$16+1,1))-AVERAGE(OFFSET($H$3,0,0,'Données projet'!$E$16+1,1))</f>
        <v>425.00152674093977</v>
      </c>
      <c r="FK23" s="62">
        <f t="shared" si="48"/>
        <v>214.96884469274687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3.7333333333333334</v>
      </c>
      <c r="N24" s="14">
        <f>IF('Données projet'!$A$36&gt;35,N23+M24-V23,IF(A24&lt;'Données projet'!$A$36,$K$205^A24,IF(A24='Données projet'!$A$36,'Données projet'!$B$36,N23+M24-V23)))</f>
        <v>27.19271781064084</v>
      </c>
      <c r="O24" s="14">
        <f>N24*VLOOKUP('Données projet'!$B$9,Paramètres!$A$1:$I$89,3,0)*VLOOKUP('Données projet'!$B$9,Paramètres!$A$1:$I$89,5,0)</f>
        <v>13.079697266918243</v>
      </c>
      <c r="P24" s="14">
        <f t="shared" si="33"/>
        <v>4.4686648700959797</v>
      </c>
      <c r="Q24" s="22">
        <f t="shared" si="2"/>
        <v>30.563397388633103</v>
      </c>
      <c r="R24" s="62">
        <f t="shared" si="0"/>
        <v>323.89673072196643</v>
      </c>
      <c r="S24" s="62">
        <f ca="1">AVERAGE(OFFSET($R$3,0,0,'Données projet'!$E$9+1,1))-AVERAGE(OFFSET($H$3,0,0,'Données projet'!$E$9+1,1))</f>
        <v>179.22241276165141</v>
      </c>
      <c r="T24" s="62">
        <f t="shared" si="34"/>
        <v>86.510654589692876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4.857846153846153</v>
      </c>
      <c r="AI24" s="14">
        <f>IF('Données projet'!$A$62&gt;35,AI23+AH24-AQ23,IF(A24&lt;'Données projet'!$A$62,$AF$205^A24,IF(A24='Données projet'!$A$62,'Données projet'!$B$62,AI23+AH24-AQ23)))</f>
        <v>56.348500435388942</v>
      </c>
      <c r="AJ24" s="14">
        <f>AI24*VLOOKUP('Données projet'!$B$10,Paramètres!$A$1:$I$89,3,0)*VLOOKUP('Données projet'!$B$10,Paramètres!$A$1:$I$89,5,0)</f>
        <v>33.696403260362594</v>
      </c>
      <c r="AK24" s="14">
        <f t="shared" si="35"/>
        <v>10.311572199064805</v>
      </c>
      <c r="AL24" s="22">
        <f t="shared" si="4"/>
        <v>76.647223925169385</v>
      </c>
      <c r="AM24" s="62">
        <f t="shared" si="5"/>
        <v>369.9805572585027</v>
      </c>
      <c r="AN24" s="62">
        <f ca="1">AVERAGE(OFFSET($AM$3,0,0,'Données projet'!$E$10+1,1))-AVERAGE(OFFSET($H$3,0,0,'Données projet'!$E$10+1,1))</f>
        <v>157.42757749057949</v>
      </c>
      <c r="AO24" s="62">
        <f t="shared" si="36"/>
        <v>129.86070223892136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7.4</v>
      </c>
      <c r="BD24" s="13">
        <f>IF('Données projet'!$A$88&gt;35,BD23+BC24-BL23,IF(A24&lt;'Données projet'!$A$88,$BA$205^A24,IF(A24='Données projet'!$A$88,'Données projet'!$B$88,BD23+BC24-BL23)))</f>
        <v>64.400000000000006</v>
      </c>
      <c r="BE24" s="14">
        <f>BD24*VLOOKUP('Données projet'!$B$11,Paramètres!$A$1:$I$89,3,0)*VLOOKUP('Données projet'!$B$11,Paramètres!$A$1:$I$89,5,0)</f>
        <v>67.310880000000012</v>
      </c>
      <c r="BF24" s="14">
        <f t="shared" si="37"/>
        <v>19.004139427405065</v>
      </c>
      <c r="BG24" s="22">
        <f t="shared" si="7"/>
        <v>150.33199216939715</v>
      </c>
      <c r="BH24" s="62">
        <f t="shared" si="8"/>
        <v>443.66532550273047</v>
      </c>
      <c r="BI24" s="62">
        <f ca="1">AVERAGE(OFFSET($BH$3,0,0,'Données projet'!$E$11+1,1))-AVERAGE(OFFSET($H$3,0,0,'Données projet'!$E$11+1,1))</f>
        <v>464.21202287459482</v>
      </c>
      <c r="BJ24" s="62">
        <f t="shared" si="38"/>
        <v>234.57880205159688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10.119999999999999</v>
      </c>
      <c r="BY24" s="13">
        <f>IF('Données projet'!$A$114&gt;35,BY23+BX24-CG23,IF(A24&lt;'Données projet'!$A$114,$BV$205^A24,IF(A24='Données projet'!$A$114,'Données projet'!$B$114,BY23+BX24-CG23)))</f>
        <v>66.820000000000007</v>
      </c>
      <c r="BZ24" s="14">
        <f>BY24*VLOOKUP('Données projet'!$B$12,Paramètres!$A$1:$I$89,3,0)*VLOOKUP('Données projet'!$B$12,Paramètres!$A$1:$I$89,5,0)</f>
        <v>53.161992000000005</v>
      </c>
      <c r="CA24" s="14">
        <f t="shared" si="39"/>
        <v>15.42742080251162</v>
      </c>
      <c r="CB24" s="22">
        <f t="shared" si="10"/>
        <v>119.45989396437439</v>
      </c>
      <c r="CC24" s="62">
        <f t="shared" si="11"/>
        <v>412.79322729770769</v>
      </c>
      <c r="CD24" s="62">
        <f ca="1">AVERAGE(OFFSET($CC$3,0,0,'Données projet'!$E$12+1,1))-AVERAGE(OFFSET($H$3,0,0,'Données projet'!$E$12+1,1))</f>
        <v>177.99876437322689</v>
      </c>
      <c r="CE24" s="62">
        <f t="shared" si="40"/>
        <v>165.68154380324592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5.5864615384615384</v>
      </c>
      <c r="CT24" s="13">
        <f>IF('Données projet'!$A$140&gt;35,CT23+CS24-DB23,IF(A24&lt;'Données projet'!$A$140,$CQ$205^A24,IF(A24='Données projet'!$A$140,'Données projet'!$B$140,CT23+CS24-DB23)))</f>
        <v>63.367201876161111</v>
      </c>
      <c r="CU24" s="18">
        <f>CT24*VLOOKUP('Données projet'!$B$13,Paramètres!$A$1:$I$89,3,0)*VLOOKUP('Données projet'!$B$13,Paramètres!$A$1:$I$89,5,0)</f>
        <v>35.42226584877406</v>
      </c>
      <c r="CV24" s="14">
        <f t="shared" si="41"/>
        <v>10.776869831876704</v>
      </c>
      <c r="CW24" s="22">
        <f t="shared" si="13"/>
        <v>80.463494643800075</v>
      </c>
      <c r="CX24" s="62">
        <f t="shared" si="14"/>
        <v>373.79682797713338</v>
      </c>
      <c r="CY24" s="62">
        <f ca="1">AVERAGE(OFFSET($CX$3,0,0,'Données projet'!$E$13+1,1))-AVERAGE(OFFSET($H$3,0,0,'Données projet'!$E$13+1,1))</f>
        <v>242.07451379051349</v>
      </c>
      <c r="CZ24" s="62">
        <f t="shared" si="42"/>
        <v>207.11607964940754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>
        <f>VLOOKUP(A24,'Données projet'!$A$165:$I$185,2,0)</f>
        <v>146</v>
      </c>
      <c r="DM24" s="13">
        <f>VLOOKUP(A24,'Données projet'!$A$165:$I$185,9,0)</f>
        <v>18</v>
      </c>
      <c r="DN24" s="13">
        <f t="array" ref="DN24">INDEX(DM:DM,MIN(IF(ISNUMBER(DM24:DM220),ROW(DM24:DM220),"")))</f>
        <v>18</v>
      </c>
      <c r="DO24" s="13">
        <f>IF('Données projet'!$A$166&gt;35,DO23+DN24-DW23,IF(A24&lt;'Données projet'!$A$166,$DL$205^A24,IF(A24='Données projet'!$A$166,'Données projet'!$B$166,DO23+DN24-DW23)))</f>
        <v>146</v>
      </c>
      <c r="DP24" s="18">
        <f>DO24*VLOOKUP('Données projet'!$B$14,Paramètres!$A$1:$I$89,3,0)*VLOOKUP('Données projet'!$B$14,Paramètres!$A$1:$I$89,5,0)</f>
        <v>91.103999999999999</v>
      </c>
      <c r="DQ24" s="14">
        <f t="shared" si="43"/>
        <v>24.831293984707884</v>
      </c>
      <c r="DR24" s="22">
        <f t="shared" si="16"/>
        <v>201.92063702336623</v>
      </c>
      <c r="DS24" s="62">
        <f t="shared" si="17"/>
        <v>495.25397035669954</v>
      </c>
      <c r="DT24" s="62">
        <f ca="1">AVERAGE(OFFSET($DS$3,0,0,'Données projet'!$E$14+1,1))-AVERAGE(OFFSET($H$3,0,0,'Données projet'!$E$14+1,1))</f>
        <v>178.56320966726986</v>
      </c>
      <c r="DU24" s="62">
        <f t="shared" si="44"/>
        <v>272.06842551411739</v>
      </c>
      <c r="DV24" s="16">
        <f>IF(ISNA(VLOOKUP(A24,'Données projet'!$A$165:$I$185,3,0)),0,VLOOKUP(A24,'Données projet'!$A$165:$I$185,3,0))</f>
        <v>2</v>
      </c>
      <c r="DW24" s="16">
        <f>IF(ISNA(VLOOKUP(A24,'Données projet'!$A$165:$I$185,4,0)),0,VLOOKUP(A24,'Données projet'!$A$165:$I$185,4,0))</f>
        <v>26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0.5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11.682568900167986</v>
      </c>
      <c r="ED24" s="24">
        <f t="shared" si="18"/>
        <v>11.682568900167986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7.4</v>
      </c>
      <c r="EJ24" s="13">
        <f>IF('Données projet'!$A$192&gt;35,EJ23+EI24-ER23,IF(A24&lt;'Données projet'!$A$192,$EG$205^A24,IF(A24='Données projet'!$A$192,'Données projet'!$B$192,EJ23+EI24-ER23)))</f>
        <v>64.400000000000006</v>
      </c>
      <c r="EK24" s="18">
        <f>EJ24*VLOOKUP('Données projet'!$B$15,Paramètres!$A$1:$I$89,3,0)*VLOOKUP('Données projet'!$B$15,Paramètres!$A$1:$I$89,5,0)</f>
        <v>69.320160000000001</v>
      </c>
      <c r="EL24" s="14">
        <f t="shared" si="45"/>
        <v>19.50453356393022</v>
      </c>
      <c r="EM24" s="22">
        <f t="shared" si="19"/>
        <v>154.70300795717847</v>
      </c>
      <c r="EN24" s="62">
        <f t="shared" si="20"/>
        <v>448.03634129051181</v>
      </c>
      <c r="EO24" s="62">
        <f ca="1">AVERAGE(OFFSET($EN$3,0,0,'Données projet'!$E$15+1,1))-AVERAGE(OFFSET($H$3,0,0,'Données projet'!$E$15+1,1))</f>
        <v>479.87943647026646</v>
      </c>
      <c r="EP24" s="62">
        <f t="shared" si="46"/>
        <v>242.41363045393223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7.4</v>
      </c>
      <c r="FE24" s="13">
        <f>IF('Données projet'!$A$218&gt;35,FE23+FD24-FM23,IF(A24&lt;'Données projet'!$A$218,$FB$205^A24,IF(A24='Données projet'!$A$218,'Données projet'!$B$218,FE23+FD24-FM23)))</f>
        <v>64.400000000000006</v>
      </c>
      <c r="FF24" s="18">
        <f>FE24*VLOOKUP('Données projet'!$B$16,Paramètres!$A$1:$I$89,3,0)*VLOOKUP('Données projet'!$B$16,Paramètres!$A$1:$I$89,5,0)</f>
        <v>62.287680000000009</v>
      </c>
      <c r="FG24" s="14">
        <f t="shared" si="47"/>
        <v>17.745400652396182</v>
      </c>
      <c r="FH24" s="22">
        <f t="shared" si="22"/>
        <v>139.39094880292336</v>
      </c>
      <c r="FI24" s="62">
        <f t="shared" si="23"/>
        <v>432.72428213625665</v>
      </c>
      <c r="FJ24" s="62">
        <f ca="1">AVERAGE(OFFSET($FI$3,0,0,'Données projet'!$E$16+1,1))-AVERAGE(OFFSET($H$3,0,0,'Données projet'!$E$16+1,1))</f>
        <v>425.00152674093977</v>
      </c>
      <c r="FK24" s="62">
        <f t="shared" si="48"/>
        <v>214.96884469274687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3.7333333333333334</v>
      </c>
      <c r="N25" s="14">
        <f>IF('Données projet'!$A$36&gt;35,N24+M25-V24,IF(A25&lt;'Données projet'!$A$36,$K$205^A25,IF(A25='Données projet'!$A$36,'Données projet'!$B$36,N24+M25-V24)))</f>
        <v>31.824375000465658</v>
      </c>
      <c r="O25" s="14">
        <f>N25*VLOOKUP('Données projet'!$B$9,Paramètres!$A$1:$I$89,3,0)*VLOOKUP('Données projet'!$B$9,Paramètres!$A$1:$I$89,5,0)</f>
        <v>15.307524375223982</v>
      </c>
      <c r="P25" s="14">
        <f t="shared" si="33"/>
        <v>5.1349247930273281</v>
      </c>
      <c r="Q25" s="22">
        <f t="shared" si="2"/>
        <v>35.603932301371032</v>
      </c>
      <c r="R25" s="62">
        <f t="shared" si="0"/>
        <v>328.93726563470432</v>
      </c>
      <c r="S25" s="62">
        <f ca="1">AVERAGE(OFFSET($R$3,0,0,'Données projet'!$E$9+1,1))-AVERAGE(OFFSET($H$3,0,0,'Données projet'!$E$9+1,1))</f>
        <v>179.22241276165141</v>
      </c>
      <c r="T25" s="62">
        <f t="shared" si="34"/>
        <v>86.510654589692876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4.857846153846153</v>
      </c>
      <c r="AI25" s="14">
        <f>IF('Données projet'!$A$62&gt;35,AI24+AH25-AQ24,IF(A25&lt;'Données projet'!$A$62,$AF$205^A25,IF(A25='Données projet'!$A$62,'Données projet'!$B$62,AI24+AH25-AQ24)))</f>
        <v>68.274371914409073</v>
      </c>
      <c r="AJ25" s="14">
        <f>AI25*VLOOKUP('Données projet'!$B$10,Paramètres!$A$1:$I$89,3,0)*VLOOKUP('Données projet'!$B$10,Paramètres!$A$1:$I$89,5,0)</f>
        <v>40.828074404816626</v>
      </c>
      <c r="AK25" s="14">
        <f t="shared" si="35"/>
        <v>12.217865692552984</v>
      </c>
      <c r="AL25" s="22">
        <f t="shared" si="4"/>
        <v>92.388345669585405</v>
      </c>
      <c r="AM25" s="62">
        <f t="shared" si="5"/>
        <v>385.72167900291873</v>
      </c>
      <c r="AN25" s="62">
        <f ca="1">AVERAGE(OFFSET($AM$3,0,0,'Données projet'!$E$10+1,1))-AVERAGE(OFFSET($H$3,0,0,'Données projet'!$E$10+1,1))</f>
        <v>157.42757749057949</v>
      </c>
      <c r="AO25" s="62">
        <f t="shared" si="36"/>
        <v>129.86070223892136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7.4</v>
      </c>
      <c r="BD25" s="13">
        <f>IF('Données projet'!$A$88&gt;35,BD24+BC25-BL24,IF(A25&lt;'Données projet'!$A$88,$BA$205^A25,IF(A25='Données projet'!$A$88,'Données projet'!$B$88,BD24+BC25-BL24)))</f>
        <v>71.800000000000011</v>
      </c>
      <c r="BE25" s="14">
        <f>BD25*VLOOKUP('Données projet'!$B$11,Paramètres!$A$1:$I$89,3,0)*VLOOKUP('Données projet'!$B$11,Paramètres!$A$1:$I$89,5,0)</f>
        <v>75.045360000000016</v>
      </c>
      <c r="BF25" s="14">
        <f t="shared" si="37"/>
        <v>20.921278202222915</v>
      </c>
      <c r="BG25" s="22">
        <f t="shared" si="7"/>
        <v>167.14189486887159</v>
      </c>
      <c r="BH25" s="62">
        <f t="shared" si="8"/>
        <v>460.4752282022049</v>
      </c>
      <c r="BI25" s="62">
        <f ca="1">AVERAGE(OFFSET($BH$3,0,0,'Données projet'!$E$11+1,1))-AVERAGE(OFFSET($H$3,0,0,'Données projet'!$E$11+1,1))</f>
        <v>464.21202287459482</v>
      </c>
      <c r="BJ25" s="62">
        <f t="shared" si="38"/>
        <v>234.57880205159688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10.119999999999999</v>
      </c>
      <c r="BY25" s="13">
        <f>IF('Données projet'!$A$114&gt;35,BY24+BX25-CG24,IF(A25&lt;'Données projet'!$A$114,$BV$205^A25,IF(A25='Données projet'!$A$114,'Données projet'!$B$114,BY24+BX25-CG24)))</f>
        <v>76.940000000000012</v>
      </c>
      <c r="BZ25" s="14">
        <f>BY25*VLOOKUP('Données projet'!$B$12,Paramètres!$A$1:$I$89,3,0)*VLOOKUP('Données projet'!$B$12,Paramètres!$A$1:$I$89,5,0)</f>
        <v>61.213464000000009</v>
      </c>
      <c r="CA25" s="14">
        <f t="shared" si="39"/>
        <v>17.474712349162193</v>
      </c>
      <c r="CB25" s="22">
        <f t="shared" si="10"/>
        <v>137.04857380812416</v>
      </c>
      <c r="CC25" s="62">
        <f t="shared" si="11"/>
        <v>430.38190714145748</v>
      </c>
      <c r="CD25" s="62">
        <f ca="1">AVERAGE(OFFSET($CC$3,0,0,'Données projet'!$E$12+1,1))-AVERAGE(OFFSET($H$3,0,0,'Données projet'!$E$12+1,1))</f>
        <v>177.99876437322689</v>
      </c>
      <c r="CE25" s="62">
        <f t="shared" si="40"/>
        <v>165.68154380324592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5.5864615384615384</v>
      </c>
      <c r="CT25" s="13">
        <f>IF('Données projet'!$A$140&gt;35,CT24+CS25-DB24,IF(A25&lt;'Données projet'!$A$140,$CQ$205^A25,IF(A25='Données projet'!$A$140,'Données projet'!$B$140,CT24+CS25-DB24)))</f>
        <v>77.208942324869511</v>
      </c>
      <c r="CU25" s="18">
        <f>CT25*VLOOKUP('Données projet'!$B$13,Paramètres!$A$1:$I$89,3,0)*VLOOKUP('Données projet'!$B$13,Paramètres!$A$1:$I$89,5,0)</f>
        <v>43.159798759602062</v>
      </c>
      <c r="CV25" s="14">
        <f t="shared" si="41"/>
        <v>12.832410160757069</v>
      </c>
      <c r="CW25" s="22">
        <f t="shared" si="13"/>
        <v>97.519763869625478</v>
      </c>
      <c r="CX25" s="62">
        <f t="shared" si="14"/>
        <v>390.85309720295879</v>
      </c>
      <c r="CY25" s="62">
        <f ca="1">AVERAGE(OFFSET($CX$3,0,0,'Données projet'!$E$13+1,1))-AVERAGE(OFFSET($H$3,0,0,'Données projet'!$E$13+1,1))</f>
        <v>242.07451379051349</v>
      </c>
      <c r="CZ25" s="62">
        <f t="shared" si="42"/>
        <v>207.11607964940754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</v>
      </c>
      <c r="DO25" s="13">
        <f>IF('Données projet'!$A$166&gt;35,DO24+DN25-DW24,IF(A25&lt;'Données projet'!$A$166,$DL$205^A25,IF(A25='Données projet'!$A$166,'Données projet'!$B$166,DO24+DN25-DW24)))</f>
        <v>136</v>
      </c>
      <c r="DP25" s="18">
        <f>DO25*VLOOKUP('Données projet'!$B$14,Paramètres!$A$1:$I$89,3,0)*VLOOKUP('Données projet'!$B$14,Paramètres!$A$1:$I$89,5,0)</f>
        <v>84.864000000000004</v>
      </c>
      <c r="DQ25" s="14">
        <f t="shared" si="43"/>
        <v>23.322341364766192</v>
      </c>
      <c r="DR25" s="22">
        <f t="shared" si="16"/>
        <v>188.42454454363443</v>
      </c>
      <c r="DS25" s="62">
        <f t="shared" si="17"/>
        <v>481.75787787696777</v>
      </c>
      <c r="DT25" s="62">
        <f ca="1">AVERAGE(OFFSET($DS$3,0,0,'Données projet'!$E$14+1,1))-AVERAGE(OFFSET($H$3,0,0,'Données projet'!$E$14+1,1))</f>
        <v>178.56320966726986</v>
      </c>
      <c r="DU25" s="62">
        <f t="shared" si="44"/>
        <v>272.06842551411739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8.2608236909878503</v>
      </c>
      <c r="ED25" s="24">
        <f t="shared" si="18"/>
        <v>8.2608236909878503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7.4</v>
      </c>
      <c r="EJ25" s="13">
        <f>IF('Données projet'!$A$192&gt;35,EJ24+EI25-ER24,IF(A25&lt;'Données projet'!$A$192,$EG$205^A25,IF(A25='Données projet'!$A$192,'Données projet'!$B$192,EJ24+EI25-ER24)))</f>
        <v>71.800000000000011</v>
      </c>
      <c r="EK25" s="18">
        <f>EJ25*VLOOKUP('Données projet'!$B$15,Paramètres!$A$1:$I$89,3,0)*VLOOKUP('Données projet'!$B$15,Paramètres!$A$1:$I$89,5,0)</f>
        <v>77.285520000000005</v>
      </c>
      <c r="EL25" s="14">
        <f t="shared" si="45"/>
        <v>21.472152130558065</v>
      </c>
      <c r="EM25" s="22">
        <f t="shared" si="19"/>
        <v>172.00294562738861</v>
      </c>
      <c r="EN25" s="62">
        <f t="shared" si="20"/>
        <v>465.33627896072193</v>
      </c>
      <c r="EO25" s="62">
        <f ca="1">AVERAGE(OFFSET($EN$3,0,0,'Données projet'!$E$15+1,1))-AVERAGE(OFFSET($H$3,0,0,'Données projet'!$E$15+1,1))</f>
        <v>479.87943647026646</v>
      </c>
      <c r="EP25" s="62">
        <f t="shared" si="46"/>
        <v>242.41363045393223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7.4</v>
      </c>
      <c r="FE25" s="13">
        <f>IF('Données projet'!$A$218&gt;35,FE24+FD25-FM24,IF(A25&lt;'Données projet'!$A$218,$FB$205^A25,IF(A25='Données projet'!$A$218,'Données projet'!$B$218,FE24+FD25-FM24)))</f>
        <v>71.800000000000011</v>
      </c>
      <c r="FF25" s="18">
        <f>FE25*VLOOKUP('Données projet'!$B$16,Paramètres!$A$1:$I$89,3,0)*VLOOKUP('Données projet'!$B$16,Paramètres!$A$1:$I$89,5,0)</f>
        <v>69.444960000000009</v>
      </c>
      <c r="FG25" s="14">
        <f t="shared" si="47"/>
        <v>19.535557780812475</v>
      </c>
      <c r="FH25" s="22">
        <f t="shared" si="22"/>
        <v>154.97440180158173</v>
      </c>
      <c r="FI25" s="62">
        <f t="shared" si="23"/>
        <v>448.30773513491505</v>
      </c>
      <c r="FJ25" s="62">
        <f ca="1">AVERAGE(OFFSET($FI$3,0,0,'Données projet'!$E$16+1,1))-AVERAGE(OFFSET($H$3,0,0,'Données projet'!$E$16+1,1))</f>
        <v>425.00152674093977</v>
      </c>
      <c r="FK25" s="62">
        <f t="shared" si="48"/>
        <v>214.96884469274687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3.7333333333333334</v>
      </c>
      <c r="N26" s="14">
        <f>IF('Données projet'!$A$36&gt;35,N25+M26-V25,IF(A26&lt;'Données projet'!$A$36,$K$205^A26,IF(A26='Données projet'!$A$36,'Données projet'!$B$36,N25+M26-V25)))</f>
        <v>37.244928999849584</v>
      </c>
      <c r="O26" s="14">
        <f>N26*VLOOKUP('Données projet'!$B$9,Paramètres!$A$1:$I$89,3,0)*VLOOKUP('Données projet'!$B$9,Paramètres!$A$1:$I$89,5,0)</f>
        <v>17.914810848927651</v>
      </c>
      <c r="P26" s="14">
        <f t="shared" si="33"/>
        <v>5.9005213853686014</v>
      </c>
      <c r="Q26" s="22">
        <f t="shared" si="2"/>
        <v>41.478370308065969</v>
      </c>
      <c r="R26" s="62">
        <f t="shared" si="0"/>
        <v>334.81170364139928</v>
      </c>
      <c r="S26" s="62">
        <f ca="1">AVERAGE(OFFSET($R$3,0,0,'Données projet'!$E$9+1,1))-AVERAGE(OFFSET($H$3,0,0,'Données projet'!$E$9+1,1))</f>
        <v>179.22241276165141</v>
      </c>
      <c r="T26" s="62">
        <f t="shared" si="34"/>
        <v>86.510654589692876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4.857846153846153</v>
      </c>
      <c r="AI26" s="14">
        <f>IF('Données projet'!$A$62&gt;35,AI25+AH26-AQ25,IF(A26&lt;'Données projet'!$A$62,$AF$205^A26,IF(A26='Données projet'!$A$62,'Données projet'!$B$62,AI25+AH26-AQ25)))</f>
        <v>82.724293003182126</v>
      </c>
      <c r="AJ26" s="14">
        <f>AI26*VLOOKUP('Données projet'!$B$10,Paramètres!$A$1:$I$89,3,0)*VLOOKUP('Données projet'!$B$10,Paramètres!$A$1:$I$89,5,0)</f>
        <v>49.469127215902915</v>
      </c>
      <c r="AK26" s="14">
        <f t="shared" si="35"/>
        <v>14.476574396172257</v>
      </c>
      <c r="AL26" s="22">
        <f t="shared" si="4"/>
        <v>111.37209697436424</v>
      </c>
      <c r="AM26" s="62">
        <f t="shared" si="5"/>
        <v>404.70543030769755</v>
      </c>
      <c r="AN26" s="62">
        <f ca="1">AVERAGE(OFFSET($AM$3,0,0,'Données projet'!$E$10+1,1))-AVERAGE(OFFSET($H$3,0,0,'Données projet'!$E$10+1,1))</f>
        <v>157.42757749057949</v>
      </c>
      <c r="AO26" s="62">
        <f t="shared" si="36"/>
        <v>129.86070223892136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7.4</v>
      </c>
      <c r="BD26" s="13">
        <f>IF('Données projet'!$A$88&gt;35,BD25+BC26-BL25,IF(A26&lt;'Données projet'!$A$88,$BA$205^A26,IF(A26='Données projet'!$A$88,'Données projet'!$B$88,BD25+BC26-BL25)))</f>
        <v>79.200000000000017</v>
      </c>
      <c r="BE26" s="14">
        <f>BD26*VLOOKUP('Données projet'!$B$11,Paramètres!$A$1:$I$89,3,0)*VLOOKUP('Données projet'!$B$11,Paramètres!$A$1:$I$89,5,0)</f>
        <v>82.779840000000021</v>
      </c>
      <c r="BF26" s="14">
        <f t="shared" si="37"/>
        <v>22.815512364026805</v>
      </c>
      <c r="BG26" s="22">
        <f t="shared" si="7"/>
        <v>183.91190536734669</v>
      </c>
      <c r="BH26" s="62">
        <f t="shared" si="8"/>
        <v>477.24523870068003</v>
      </c>
      <c r="BI26" s="62">
        <f ca="1">AVERAGE(OFFSET($BH$3,0,0,'Données projet'!$E$11+1,1))-AVERAGE(OFFSET($H$3,0,0,'Données projet'!$E$11+1,1))</f>
        <v>464.21202287459482</v>
      </c>
      <c r="BJ26" s="62">
        <f t="shared" si="38"/>
        <v>234.57880205159688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10.119999999999999</v>
      </c>
      <c r="BY26" s="13">
        <f>IF('Données projet'!$A$114&gt;35,BY25+BX26-CG25,IF(A26&lt;'Données projet'!$A$114,$BV$205^A26,IF(A26='Données projet'!$A$114,'Données projet'!$B$114,BY25+BX26-CG25)))</f>
        <v>87.060000000000016</v>
      </c>
      <c r="BZ26" s="14">
        <f>BY26*VLOOKUP('Données projet'!$B$12,Paramètres!$A$1:$I$89,3,0)*VLOOKUP('Données projet'!$B$12,Paramètres!$A$1:$I$89,5,0)</f>
        <v>69.26493600000002</v>
      </c>
      <c r="CA26" s="14">
        <f t="shared" si="39"/>
        <v>19.490803273565174</v>
      </c>
      <c r="CB26" s="22">
        <f t="shared" si="10"/>
        <v>154.58291256812603</v>
      </c>
      <c r="CC26" s="62">
        <f t="shared" si="11"/>
        <v>447.91624590145932</v>
      </c>
      <c r="CD26" s="62">
        <f ca="1">AVERAGE(OFFSET($CC$3,0,0,'Données projet'!$E$12+1,1))-AVERAGE(OFFSET($H$3,0,0,'Données projet'!$E$12+1,1))</f>
        <v>177.99876437322689</v>
      </c>
      <c r="CE26" s="62">
        <f t="shared" si="40"/>
        <v>165.68154380324592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5.5864615384615384</v>
      </c>
      <c r="CT26" s="13">
        <f>IF('Données projet'!$A$140&gt;35,CT25+CS26-DB25,IF(A26&lt;'Données projet'!$A$140,$CQ$205^A26,IF(A26='Données projet'!$A$140,'Données projet'!$B$140,CT25+CS26-DB25)))</f>
        <v>94.074230807525211</v>
      </c>
      <c r="CU26" s="18">
        <f>CT26*VLOOKUP('Données projet'!$B$13,Paramètres!$A$1:$I$89,3,0)*VLOOKUP('Données projet'!$B$13,Paramètres!$A$1:$I$89,5,0)</f>
        <v>52.587495021406596</v>
      </c>
      <c r="CV26" s="14">
        <f t="shared" si="41"/>
        <v>15.280016656304463</v>
      </c>
      <c r="CW26" s="22">
        <f t="shared" si="13"/>
        <v>118.20258283868009</v>
      </c>
      <c r="CX26" s="62">
        <f t="shared" si="14"/>
        <v>411.5359161720134</v>
      </c>
      <c r="CY26" s="62">
        <f ca="1">AVERAGE(OFFSET($CX$3,0,0,'Données projet'!$E$13+1,1))-AVERAGE(OFFSET($H$3,0,0,'Données projet'!$E$13+1,1))</f>
        <v>242.07451379051349</v>
      </c>
      <c r="CZ26" s="62">
        <f t="shared" si="42"/>
        <v>207.11607964940754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</v>
      </c>
      <c r="DO26" s="13">
        <f>IF('Données projet'!$A$166&gt;35,DO25+DN26-DW25,IF(A26&lt;'Données projet'!$A$166,$DL$205^A26,IF(A26='Données projet'!$A$166,'Données projet'!$B$166,DO25+DN26-DW25)))</f>
        <v>152</v>
      </c>
      <c r="DP26" s="18">
        <f>DO26*VLOOKUP('Données projet'!$B$14,Paramètres!$A$1:$I$89,3,0)*VLOOKUP('Données projet'!$B$14,Paramètres!$A$1:$I$89,5,0)</f>
        <v>94.847999999999999</v>
      </c>
      <c r="DQ26" s="14">
        <f t="shared" si="43"/>
        <v>25.730851751939202</v>
      </c>
      <c r="DR26" s="22">
        <f t="shared" si="16"/>
        <v>210.0081668012941</v>
      </c>
      <c r="DS26" s="62">
        <f t="shared" si="17"/>
        <v>503.34150013462738</v>
      </c>
      <c r="DT26" s="62">
        <f ca="1">AVERAGE(OFFSET($DS$3,0,0,'Données projet'!$E$14+1,1))-AVERAGE(OFFSET($H$3,0,0,'Données projet'!$E$14+1,1))</f>
        <v>178.56320966726986</v>
      </c>
      <c r="DU26" s="62">
        <f t="shared" si="44"/>
        <v>272.06842551411739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5.841284450083994</v>
      </c>
      <c r="ED26" s="24">
        <f t="shared" si="18"/>
        <v>5.841284450083994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7.4</v>
      </c>
      <c r="EJ26" s="13">
        <f>IF('Données projet'!$A$192&gt;35,EJ25+EI26-ER25,IF(A26&lt;'Données projet'!$A$192,$EG$205^A26,IF(A26='Données projet'!$A$192,'Données projet'!$B$192,EJ25+EI26-ER25)))</f>
        <v>79.200000000000017</v>
      </c>
      <c r="EK26" s="18">
        <f>EJ26*VLOOKUP('Données projet'!$B$15,Paramètres!$A$1:$I$89,3,0)*VLOOKUP('Données projet'!$B$15,Paramètres!$A$1:$I$89,5,0)</f>
        <v>85.250880000000024</v>
      </c>
      <c r="EL26" s="14">
        <f t="shared" si="45"/>
        <v>23.416262987457412</v>
      </c>
      <c r="EM26" s="22">
        <f t="shared" si="19"/>
        <v>189.26194070315501</v>
      </c>
      <c r="EN26" s="62">
        <f t="shared" si="20"/>
        <v>482.59527403648832</v>
      </c>
      <c r="EO26" s="62">
        <f ca="1">AVERAGE(OFFSET($EN$3,0,0,'Données projet'!$E$15+1,1))-AVERAGE(OFFSET($H$3,0,0,'Données projet'!$E$15+1,1))</f>
        <v>479.87943647026646</v>
      </c>
      <c r="EP26" s="62">
        <f t="shared" si="46"/>
        <v>242.41363045393223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7.4</v>
      </c>
      <c r="FE26" s="13">
        <f>IF('Données projet'!$A$218&gt;35,FE25+FD26-FM25,IF(A26&lt;'Données projet'!$A$218,$FB$205^A26,IF(A26='Données projet'!$A$218,'Données projet'!$B$218,FE25+FD26-FM25)))</f>
        <v>79.200000000000017</v>
      </c>
      <c r="FF26" s="18">
        <f>FE26*VLOOKUP('Données projet'!$B$16,Paramètres!$A$1:$I$89,3,0)*VLOOKUP('Données projet'!$B$16,Paramètres!$A$1:$I$89,5,0)</f>
        <v>76.602240000000023</v>
      </c>
      <c r="FG26" s="14">
        <f t="shared" si="47"/>
        <v>21.30432738277575</v>
      </c>
      <c r="FH26" s="22">
        <f t="shared" si="22"/>
        <v>170.52060485833445</v>
      </c>
      <c r="FI26" s="62">
        <f t="shared" si="23"/>
        <v>463.85393819166779</v>
      </c>
      <c r="FJ26" s="62">
        <f ca="1">AVERAGE(OFFSET($FI$3,0,0,'Données projet'!$E$16+1,1))-AVERAGE(OFFSET($H$3,0,0,'Données projet'!$E$16+1,1))</f>
        <v>425.00152674093977</v>
      </c>
      <c r="FK26" s="62">
        <f t="shared" si="48"/>
        <v>214.96884469274687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3.7333333333333334</v>
      </c>
      <c r="N27" s="14">
        <f>IF('Données projet'!$A$36&gt;35,N26+M27-V26,IF(A27&lt;'Données projet'!$A$36,$K$205^A27,IF(A27='Données projet'!$A$36,'Données projet'!$B$36,N26+M27-V26)))</f>
        <v>43.588750326865465</v>
      </c>
      <c r="O27" s="14">
        <f>N27*VLOOKUP('Données projet'!$B$9,Paramètres!$A$1:$I$89,3,0)*VLOOKUP('Données projet'!$B$9,Paramètres!$A$1:$I$89,5,0)</f>
        <v>20.966188907222293</v>
      </c>
      <c r="P27" s="14">
        <f t="shared" si="33"/>
        <v>6.7802653441913607</v>
      </c>
      <c r="Q27" s="22">
        <f t="shared" si="2"/>
        <v>48.325074487878773</v>
      </c>
      <c r="R27" s="62">
        <f t="shared" si="0"/>
        <v>341.65840782121211</v>
      </c>
      <c r="S27" s="62">
        <f ca="1">AVERAGE(OFFSET($R$3,0,0,'Données projet'!$E$9+1,1))-AVERAGE(OFFSET($H$3,0,0,'Données projet'!$E$9+1,1))</f>
        <v>179.22241276165141</v>
      </c>
      <c r="T27" s="62">
        <f t="shared" si="34"/>
        <v>86.510654589692876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4.857846153846153</v>
      </c>
      <c r="AI27" s="14">
        <f>IF('Données projet'!$A$62&gt;35,AI26+AH27-AQ26,IF(A27&lt;'Données projet'!$A$62,$AF$205^A27,IF(A27='Données projet'!$A$62,'Données projet'!$B$62,AI26+AH27-AQ26)))</f>
        <v>100.23246587248458</v>
      </c>
      <c r="AJ27" s="14">
        <f>AI27*VLOOKUP('Données projet'!$B$10,Paramètres!$A$1:$I$89,3,0)*VLOOKUP('Données projet'!$B$10,Paramètres!$A$1:$I$89,5,0)</f>
        <v>59.939014591745789</v>
      </c>
      <c r="AK27" s="14">
        <f t="shared" si="35"/>
        <v>17.152849075403395</v>
      </c>
      <c r="AL27" s="22">
        <f t="shared" si="4"/>
        <v>134.26832922028481</v>
      </c>
      <c r="AM27" s="62">
        <f t="shared" si="5"/>
        <v>427.6016625536181</v>
      </c>
      <c r="AN27" s="62">
        <f ca="1">AVERAGE(OFFSET($AM$3,0,0,'Données projet'!$E$10+1,1))-AVERAGE(OFFSET($H$3,0,0,'Données projet'!$E$10+1,1))</f>
        <v>157.42757749057949</v>
      </c>
      <c r="AO27" s="62">
        <f t="shared" si="36"/>
        <v>129.86070223892136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7.4</v>
      </c>
      <c r="BD27" s="13">
        <f>IF('Données projet'!$A$88&gt;35,BD26+BC27-BL26,IF(A27&lt;'Données projet'!$A$88,$BA$205^A27,IF(A27='Données projet'!$A$88,'Données projet'!$B$88,BD26+BC27-BL26)))</f>
        <v>86.600000000000023</v>
      </c>
      <c r="BE27" s="14">
        <f>BD27*VLOOKUP('Données projet'!$B$11,Paramètres!$A$1:$I$89,3,0)*VLOOKUP('Données projet'!$B$11,Paramètres!$A$1:$I$89,5,0)</f>
        <v>90.514320000000041</v>
      </c>
      <c r="BF27" s="14">
        <f t="shared" si="37"/>
        <v>24.689225425138435</v>
      </c>
      <c r="BG27" s="22">
        <f t="shared" si="7"/>
        <v>200.6461749487828</v>
      </c>
      <c r="BH27" s="62">
        <f t="shared" si="8"/>
        <v>493.97950828211611</v>
      </c>
      <c r="BI27" s="62">
        <f ca="1">AVERAGE(OFFSET($BH$3,0,0,'Données projet'!$E$11+1,1))-AVERAGE(OFFSET($H$3,0,0,'Données projet'!$E$11+1,1))</f>
        <v>464.21202287459482</v>
      </c>
      <c r="BJ27" s="62">
        <f t="shared" si="38"/>
        <v>234.57880205159688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10.119999999999999</v>
      </c>
      <c r="BY27" s="13">
        <f>IF('Données projet'!$A$114&gt;35,BY26+BX27-CG26,IF(A27&lt;'Données projet'!$A$114,$BV$205^A27,IF(A27='Données projet'!$A$114,'Données projet'!$B$114,BY26+BX27-CG26)))</f>
        <v>97.180000000000021</v>
      </c>
      <c r="BZ27" s="14">
        <f>BY27*VLOOKUP('Données projet'!$B$12,Paramètres!$A$1:$I$89,3,0)*VLOOKUP('Données projet'!$B$12,Paramètres!$A$1:$I$89,5,0)</f>
        <v>77.316408000000024</v>
      </c>
      <c r="CA27" s="14">
        <f t="shared" si="39"/>
        <v>21.479734637865896</v>
      </c>
      <c r="CB27" s="22">
        <f t="shared" si="10"/>
        <v>172.06994842761648</v>
      </c>
      <c r="CC27" s="62">
        <f t="shared" si="11"/>
        <v>465.40328176094977</v>
      </c>
      <c r="CD27" s="62">
        <f ca="1">AVERAGE(OFFSET($CC$3,0,0,'Données projet'!$E$12+1,1))-AVERAGE(OFFSET($H$3,0,0,'Données projet'!$E$12+1,1))</f>
        <v>177.99876437322689</v>
      </c>
      <c r="CE27" s="62">
        <f t="shared" si="40"/>
        <v>165.68154380324592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5.5864615384615384</v>
      </c>
      <c r="CT27" s="13">
        <f>IF('Données projet'!$A$140&gt;35,CT26+CS27-DB26,IF(A27&lt;'Données projet'!$A$140,$CQ$205^A27,IF(A27='Données projet'!$A$140,'Données projet'!$B$140,CT26+CS27-DB26)))</f>
        <v>114.62352203699204</v>
      </c>
      <c r="CU27" s="18">
        <f>CT27*VLOOKUP('Données projet'!$B$13,Paramètres!$A$1:$I$89,3,0)*VLOOKUP('Données projet'!$B$13,Paramètres!$A$1:$I$89,5,0)</f>
        <v>64.074548818678551</v>
      </c>
      <c r="CV27" s="14">
        <f t="shared" si="41"/>
        <v>18.194470570380172</v>
      </c>
      <c r="CW27" s="22">
        <f t="shared" si="13"/>
        <v>143.28520876927726</v>
      </c>
      <c r="CX27" s="62">
        <f t="shared" si="14"/>
        <v>436.6185421026106</v>
      </c>
      <c r="CY27" s="62">
        <f ca="1">AVERAGE(OFFSET($CX$3,0,0,'Données projet'!$E$13+1,1))-AVERAGE(OFFSET($H$3,0,0,'Données projet'!$E$13+1,1))</f>
        <v>242.07451379051349</v>
      </c>
      <c r="CZ27" s="62">
        <f t="shared" si="42"/>
        <v>207.11607964940754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>
        <f>VLOOKUP(A27,'Données projet'!$A$165:$I$185,2,0)</f>
        <v>168</v>
      </c>
      <c r="DM27" s="13">
        <f>VLOOKUP(A27,'Données projet'!$A$165:$I$185,9,0)</f>
        <v>16</v>
      </c>
      <c r="DN27" s="13">
        <f t="array" ref="DN27">INDEX(DM:DM,MIN(IF(ISNUMBER(DM27:DM223),ROW(DM27:DM223),"")))</f>
        <v>16</v>
      </c>
      <c r="DO27" s="13">
        <f>IF('Données projet'!$A$166&gt;35,DO26+DN27-DW26,IF(A27&lt;'Données projet'!$A$166,$DL$205^A27,IF(A27='Données projet'!$A$166,'Données projet'!$B$166,DO26+DN27-DW26)))</f>
        <v>168</v>
      </c>
      <c r="DP27" s="18">
        <f>DO27*VLOOKUP('Données projet'!$B$14,Paramètres!$A$1:$I$89,3,0)*VLOOKUP('Données projet'!$B$14,Paramètres!$A$1:$I$89,5,0)</f>
        <v>104.83200000000001</v>
      </c>
      <c r="DQ27" s="14">
        <f t="shared" si="43"/>
        <v>28.109974371137717</v>
      </c>
      <c r="DR27" s="22">
        <f t="shared" si="16"/>
        <v>231.54060536306486</v>
      </c>
      <c r="DS27" s="62">
        <f t="shared" si="17"/>
        <v>524.87393869639823</v>
      </c>
      <c r="DT27" s="62">
        <f ca="1">AVERAGE(OFFSET($DS$3,0,0,'Données projet'!$E$14+1,1))-AVERAGE(OFFSET($H$3,0,0,'Données projet'!$E$14+1,1))</f>
        <v>178.56320966726986</v>
      </c>
      <c r="DU27" s="62">
        <f t="shared" si="44"/>
        <v>272.06842551411739</v>
      </c>
      <c r="DV27" s="16">
        <f>IF(ISNA(VLOOKUP(A27,'Données projet'!$A$165:$I$185,3,0)),0,VLOOKUP(A27,'Données projet'!$A$165:$I$185,3,0))</f>
        <v>3</v>
      </c>
      <c r="DW27" s="16">
        <f>IF(ISNA(VLOOKUP(A27,'Données projet'!$A$165:$I$185,4,0)),0,VLOOKUP(A27,'Données projet'!$A$165:$I$185,4,0))</f>
        <v>29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0.12</v>
      </c>
      <c r="DZ27" s="17">
        <f>IF(ISNA(VLOOKUP(A27,'Données projet'!$A$165:$I$185,7,0)),0%,VLOOKUP(A27,'Données projet'!$A$165:$I$185,7,0))</f>
        <v>0.4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2.8693189853314944</v>
      </c>
      <c r="EC27" s="23">
        <f>EXP(-LN(2)/2)*EC26+(1-EXP(-LN(2)/2))/(LN(2)/2)*DW27*DZ27*VLOOKUP('Données projet'!$B$14,Paramètres!$A$1:$I$89,3,0)*0.475*44/12</f>
        <v>12.325962107909497</v>
      </c>
      <c r="ED27" s="24">
        <f t="shared" si="18"/>
        <v>15.195281093240991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7.4</v>
      </c>
      <c r="EJ27" s="13">
        <f>IF('Données projet'!$A$192&gt;35,EJ26+EI27-ER26,IF(A27&lt;'Données projet'!$A$192,$EG$205^A27,IF(A27='Données projet'!$A$192,'Données projet'!$B$192,EJ26+EI27-ER26)))</f>
        <v>86.600000000000023</v>
      </c>
      <c r="EK27" s="18">
        <f>EJ27*VLOOKUP('Données projet'!$B$15,Paramètres!$A$1:$I$89,3,0)*VLOOKUP('Données projet'!$B$15,Paramètres!$A$1:$I$89,5,0)</f>
        <v>93.216240000000028</v>
      </c>
      <c r="EL27" s="14">
        <f t="shared" si="45"/>
        <v>25.339312406728926</v>
      </c>
      <c r="EM27" s="22">
        <f t="shared" si="19"/>
        <v>206.48425377505291</v>
      </c>
      <c r="EN27" s="62">
        <f t="shared" si="20"/>
        <v>499.81758710838619</v>
      </c>
      <c r="EO27" s="62">
        <f ca="1">AVERAGE(OFFSET($EN$3,0,0,'Données projet'!$E$15+1,1))-AVERAGE(OFFSET($H$3,0,0,'Données projet'!$E$15+1,1))</f>
        <v>479.87943647026646</v>
      </c>
      <c r="EP27" s="62">
        <f t="shared" si="46"/>
        <v>242.41363045393223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7.4</v>
      </c>
      <c r="FE27" s="13">
        <f>IF('Données projet'!$A$218&gt;35,FE26+FD27-FM26,IF(A27&lt;'Données projet'!$A$218,$FB$205^A27,IF(A27='Données projet'!$A$218,'Données projet'!$B$218,FE26+FD27-FM26)))</f>
        <v>86.600000000000023</v>
      </c>
      <c r="FF27" s="18">
        <f>FE27*VLOOKUP('Données projet'!$B$16,Paramètres!$A$1:$I$89,3,0)*VLOOKUP('Données projet'!$B$16,Paramètres!$A$1:$I$89,5,0)</f>
        <v>83.759520000000023</v>
      </c>
      <c r="FG27" s="14">
        <f t="shared" si="47"/>
        <v>23.053935098719236</v>
      </c>
      <c r="FH27" s="22">
        <f t="shared" si="22"/>
        <v>186.03343429693606</v>
      </c>
      <c r="FI27" s="62">
        <f t="shared" si="23"/>
        <v>479.36676763026935</v>
      </c>
      <c r="FJ27" s="62">
        <f ca="1">AVERAGE(OFFSET($FI$3,0,0,'Données projet'!$E$16+1,1))-AVERAGE(OFFSET($H$3,0,0,'Données projet'!$E$16+1,1))</f>
        <v>425.00152674093977</v>
      </c>
      <c r="FK27" s="62">
        <f t="shared" si="48"/>
        <v>214.96884469274687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3.7333333333333334</v>
      </c>
      <c r="N28" s="14">
        <f>IF('Données projet'!$A$36&gt;35,N27+M28-V27,IF(A28&lt;'Données projet'!$A$36,$K$205^A28,IF(A28='Données projet'!$A$36,'Données projet'!$B$36,N27+M28-V27)))</f>
        <v>51.013096442350239</v>
      </c>
      <c r="O28" s="14">
        <f>N28*VLOOKUP('Données projet'!$B$9,Paramètres!$A$1:$I$89,3,0)*VLOOKUP('Données projet'!$B$9,Paramètres!$A$1:$I$89,5,0)</f>
        <v>24.537299388770464</v>
      </c>
      <c r="P28" s="14">
        <f t="shared" si="33"/>
        <v>7.7911755818118369</v>
      </c>
      <c r="Q28" s="22">
        <f t="shared" si="2"/>
        <v>56.305427240430838</v>
      </c>
      <c r="R28" s="62">
        <f t="shared" si="0"/>
        <v>349.63876057376416</v>
      </c>
      <c r="S28" s="62">
        <f ca="1">AVERAGE(OFFSET($R$3,0,0,'Données projet'!$E$9+1,1))-AVERAGE(OFFSET($H$3,0,0,'Données projet'!$E$9+1,1))</f>
        <v>179.22241276165141</v>
      </c>
      <c r="T28" s="62">
        <f t="shared" si="34"/>
        <v>86.510654589692876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121.44615384615383</v>
      </c>
      <c r="AG28" s="13">
        <f>VLOOKUP(A28,'Données projet'!$A$61:$I$81,9,0)</f>
        <v>4.857846153846153</v>
      </c>
      <c r="AH28" s="13">
        <f t="array" ref="AH28">INDEX(AG:AG,MIN(IF(ISNUMBER(AG28:AG224),ROW(AG28:AG224),"")))</f>
        <v>4.857846153846153</v>
      </c>
      <c r="AI28" s="14">
        <f>IF('Données projet'!$A$62&gt;35,AI27+AH28-AQ27,IF(A28&lt;'Données projet'!$A$62,$AF$205^A28,IF(A28='Données projet'!$A$62,'Données projet'!$B$62,AI27+AH28-AQ27)))</f>
        <v>121.44615384615383</v>
      </c>
      <c r="AJ28" s="14">
        <f>AI28*VLOOKUP('Données projet'!$B$10,Paramètres!$A$1:$I$89,3,0)*VLOOKUP('Données projet'!$B$10,Paramètres!$A$1:$I$89,5,0)</f>
        <v>72.624799999999993</v>
      </c>
      <c r="AK28" s="14">
        <f t="shared" si="35"/>
        <v>20.323884874405149</v>
      </c>
      <c r="AL28" s="22">
        <f t="shared" si="4"/>
        <v>161.88562615625563</v>
      </c>
      <c r="AM28" s="62">
        <f t="shared" si="5"/>
        <v>455.21895948958894</v>
      </c>
      <c r="AN28" s="62">
        <f ca="1">AVERAGE(OFFSET($AM$3,0,0,'Données projet'!$E$10+1,1))-AVERAGE(OFFSET($H$3,0,0,'Données projet'!$E$10+1,1))</f>
        <v>157.42757749057949</v>
      </c>
      <c r="AO28" s="62">
        <f t="shared" si="36"/>
        <v>129.86070223892136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51.446153846153841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17.416450093471109</v>
      </c>
      <c r="AX28" s="23">
        <f t="shared" si="6"/>
        <v>17.416450093471109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94</v>
      </c>
      <c r="BB28" s="13">
        <f>VLOOKUP(A28,'Données projet'!$A$87:$I$107,9,0)</f>
        <v>7.4</v>
      </c>
      <c r="BC28" s="13">
        <f t="array" ref="BC28">INDEX(BB:BB,MIN(IF(ISNUMBER(BB28:BB224),ROW(BB28:BB224),"")))</f>
        <v>7.4</v>
      </c>
      <c r="BD28" s="13">
        <f>IF('Données projet'!$A$88&gt;35,BD27+BC28-BL27,IF(A28&lt;'Données projet'!$A$88,$BA$205^A28,IF(A28='Données projet'!$A$88,'Données projet'!$B$88,BD27+BC28-BL27)))</f>
        <v>94.000000000000028</v>
      </c>
      <c r="BE28" s="14">
        <f>BD28*VLOOKUP('Données projet'!$B$11,Paramètres!$A$1:$I$89,3,0)*VLOOKUP('Données projet'!$B$11,Paramètres!$A$1:$I$89,5,0)</f>
        <v>98.248800000000045</v>
      </c>
      <c r="BF28" s="14">
        <f t="shared" si="37"/>
        <v>26.544370291039854</v>
      </c>
      <c r="BG28" s="22">
        <f t="shared" si="7"/>
        <v>217.34810492356112</v>
      </c>
      <c r="BH28" s="62">
        <f t="shared" si="8"/>
        <v>510.68143825689447</v>
      </c>
      <c r="BI28" s="62">
        <f ca="1">AVERAGE(OFFSET($BH$3,0,0,'Données projet'!$E$11+1,1))-AVERAGE(OFFSET($H$3,0,0,'Données projet'!$E$11+1,1))</f>
        <v>464.21202287459482</v>
      </c>
      <c r="BJ28" s="62">
        <f t="shared" si="38"/>
        <v>234.57880205159688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107.3</v>
      </c>
      <c r="BW28" s="13">
        <f>VLOOKUP(A28,'Données projet'!$A$113:$I$133,9,0)</f>
        <v>10.119999999999999</v>
      </c>
      <c r="BX28" s="13">
        <f t="array" ref="BX28">INDEX(BW:BW,MIN(IF(ISNUMBER(BW28:BW224),ROW(BW28:BW224),"")))</f>
        <v>10.119999999999999</v>
      </c>
      <c r="BY28" s="13">
        <f>IF('Données projet'!$A$114&gt;35,BY27+BX28-CG27,IF(A28&lt;'Données projet'!$A$114,$BV$205^A28,IF(A28='Données projet'!$A$114,'Données projet'!$B$114,BY27+BX28-CG27)))</f>
        <v>107.30000000000003</v>
      </c>
      <c r="BZ28" s="14">
        <f>BY28*VLOOKUP('Données projet'!$B$12,Paramètres!$A$1:$I$89,3,0)*VLOOKUP('Données projet'!$B$12,Paramètres!$A$1:$I$89,5,0)</f>
        <v>85.367880000000028</v>
      </c>
      <c r="CA28" s="14">
        <f t="shared" si="39"/>
        <v>23.444656924326228</v>
      </c>
      <c r="CB28" s="22">
        <f t="shared" si="10"/>
        <v>189.51516847653488</v>
      </c>
      <c r="CC28" s="62">
        <f t="shared" si="11"/>
        <v>482.8485018098682</v>
      </c>
      <c r="CD28" s="62">
        <f ca="1">AVERAGE(OFFSET($CC$3,0,0,'Données projet'!$E$12+1,1))-AVERAGE(OFFSET($H$3,0,0,'Données projet'!$E$12+1,1))</f>
        <v>177.99876437322689</v>
      </c>
      <c r="CE28" s="62">
        <f t="shared" si="40"/>
        <v>165.68154380324592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42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139.66153846153847</v>
      </c>
      <c r="CR28" s="13">
        <f>VLOOKUP(A28,'Données projet'!$A$139:$I$159,9,0)</f>
        <v>5.5864615384615384</v>
      </c>
      <c r="CS28" s="13">
        <f t="array" ref="CS28">INDEX(CR:CR,MIN(IF(ISNUMBER(CR28:CR224),ROW(CR28:CR224),"")))</f>
        <v>5.5864615384615384</v>
      </c>
      <c r="CT28" s="13">
        <f>IF('Données projet'!$A$140&gt;35,CT27+CS28-DB27,IF(A28&lt;'Données projet'!$A$140,$CQ$205^A28,IF(A28='Données projet'!$A$140,'Données projet'!$B$140,CT27+CS28-DB27)))</f>
        <v>139.66153846153847</v>
      </c>
      <c r="CU28" s="18">
        <f>CT28*VLOOKUP('Données projet'!$B$13,Paramètres!$A$1:$I$89,3,0)*VLOOKUP('Données projet'!$B$13,Paramètres!$A$1:$I$89,5,0)</f>
        <v>78.070800000000006</v>
      </c>
      <c r="CV28" s="14">
        <f t="shared" si="41"/>
        <v>21.664816654492686</v>
      </c>
      <c r="CW28" s="22">
        <f t="shared" si="13"/>
        <v>173.70619900657479</v>
      </c>
      <c r="CX28" s="62">
        <f t="shared" si="14"/>
        <v>467.03953233990808</v>
      </c>
      <c r="CY28" s="62">
        <f ca="1">AVERAGE(OFFSET($CX$3,0,0,'Données projet'!$E$13+1,1))-AVERAGE(OFFSET($H$3,0,0,'Données projet'!$E$13+1,1))</f>
        <v>242.07451379051349</v>
      </c>
      <c r="CZ28" s="62">
        <f t="shared" si="42"/>
        <v>207.11607964940754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14.166666666666666</v>
      </c>
      <c r="DO28" s="13">
        <f>IF('Données projet'!$A$166&gt;35,DO27+DN28-DW27,IF(A28&lt;'Données projet'!$A$166,$DL$205^A28,IF(A28='Données projet'!$A$166,'Données projet'!$B$166,DO27+DN28-DW27)))</f>
        <v>153.16666666666666</v>
      </c>
      <c r="DP28" s="18">
        <f>DO28*VLOOKUP('Données projet'!$B$14,Paramètres!$A$1:$I$89,3,0)*VLOOKUP('Données projet'!$B$14,Paramètres!$A$1:$I$89,5,0)</f>
        <v>95.575999999999993</v>
      </c>
      <c r="DQ28" s="14">
        <f t="shared" si="43"/>
        <v>25.905281107545633</v>
      </c>
      <c r="DR28" s="22">
        <f t="shared" si="16"/>
        <v>211.57989792897527</v>
      </c>
      <c r="DS28" s="62">
        <f t="shared" si="17"/>
        <v>504.91323126230861</v>
      </c>
      <c r="DT28" s="62">
        <f ca="1">AVERAGE(OFFSET($DS$3,0,0,'Données projet'!$E$14+1,1))-AVERAGE(OFFSET($H$3,0,0,'Données projet'!$E$14+1,1))</f>
        <v>178.56320966726986</v>
      </c>
      <c r="DU28" s="62">
        <f t="shared" si="44"/>
        <v>272.06842551411739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2.7908573067866773</v>
      </c>
      <c r="EC28" s="23">
        <f>EXP(-LN(2)/2)*EC27+(1-EXP(-LN(2)/2))/(LN(2)/2)*DW28*DZ28*VLOOKUP('Données projet'!$B$14,Paramètres!$A$1:$I$89,3,0)*0.475*44/12</f>
        <v>8.7157713911512378</v>
      </c>
      <c r="ED28" s="24">
        <f t="shared" si="18"/>
        <v>11.506628697937915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94</v>
      </c>
      <c r="EH28" s="13">
        <f>VLOOKUP(A28,'Données projet'!$A$191:$I$211,9,0)</f>
        <v>7.4</v>
      </c>
      <c r="EI28" s="13">
        <f t="array" ref="EI28">INDEX(EH:EH,MIN(IF(ISNUMBER(EH28:EH224),ROW(EH28:EH224),"")))</f>
        <v>7.4</v>
      </c>
      <c r="EJ28" s="13">
        <f>IF('Données projet'!$A$192&gt;35,EJ27+EI28-ER27,IF(A28&lt;'Données projet'!$A$192,$EG$205^A28,IF(A28='Données projet'!$A$192,'Données projet'!$B$192,EJ27+EI28-ER27)))</f>
        <v>94.000000000000028</v>
      </c>
      <c r="EK28" s="18">
        <f>EJ28*VLOOKUP('Données projet'!$B$15,Paramètres!$A$1:$I$89,3,0)*VLOOKUP('Données projet'!$B$15,Paramètres!$A$1:$I$89,5,0)</f>
        <v>101.18160000000003</v>
      </c>
      <c r="EL28" s="14">
        <f t="shared" si="45"/>
        <v>27.243304715412357</v>
      </c>
      <c r="EM28" s="22">
        <f t="shared" si="19"/>
        <v>223.67337571267657</v>
      </c>
      <c r="EN28" s="62">
        <f t="shared" si="20"/>
        <v>517.00670904600986</v>
      </c>
      <c r="EO28" s="62">
        <f ca="1">AVERAGE(OFFSET($EN$3,0,0,'Données projet'!$E$15+1,1))-AVERAGE(OFFSET($H$3,0,0,'Données projet'!$E$15+1,1))</f>
        <v>479.87943647026646</v>
      </c>
      <c r="EP28" s="62">
        <f t="shared" si="46"/>
        <v>242.41363045393223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16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>
        <f>VLOOKUP(A28,'Données projet'!$A$217:$I$237,2,0)</f>
        <v>94</v>
      </c>
      <c r="FC28" s="13">
        <f>VLOOKUP(A28,'Données projet'!$A$217:$I$237,9,0)</f>
        <v>7.4</v>
      </c>
      <c r="FD28" s="13">
        <f t="array" ref="FD28">INDEX(FC:FC,MIN(IF(ISNUMBER(FC28:FC224),ROW(FC28:FC224),"")))</f>
        <v>7.4</v>
      </c>
      <c r="FE28" s="13">
        <f>IF('Données projet'!$A$218&gt;35,FE27+FD28-FM27,IF(A28&lt;'Données projet'!$A$218,$FB$205^A28,IF(A28='Données projet'!$A$218,'Données projet'!$B$218,FE27+FD28-FM27)))</f>
        <v>94.000000000000028</v>
      </c>
      <c r="FF28" s="18">
        <f>FE28*VLOOKUP('Données projet'!$B$16,Paramètres!$A$1:$I$89,3,0)*VLOOKUP('Données projet'!$B$16,Paramètres!$A$1:$I$89,5,0)</f>
        <v>90.916800000000023</v>
      </c>
      <c r="FG28" s="14">
        <f t="shared" si="47"/>
        <v>24.786204483471451</v>
      </c>
      <c r="FH28" s="22">
        <f t="shared" si="22"/>
        <v>201.51606614204616</v>
      </c>
      <c r="FI28" s="62">
        <f t="shared" si="23"/>
        <v>494.84939947537947</v>
      </c>
      <c r="FJ28" s="62">
        <f ca="1">AVERAGE(OFFSET($FI$3,0,0,'Données projet'!$E$16+1,1))-AVERAGE(OFFSET($H$3,0,0,'Données projet'!$E$16+1,1))</f>
        <v>425.00152674093977</v>
      </c>
      <c r="FK28" s="62">
        <f t="shared" si="48"/>
        <v>214.96884469274687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16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3.7333333333333334</v>
      </c>
      <c r="N29" s="14">
        <f>IF('Données projet'!$A$36&gt;35,N28+M29-V28,IF(A29&lt;'Données projet'!$A$36,$K$205^A29,IF(A29='Données projet'!$A$36,'Données projet'!$B$36,N28+M29-V28)))</f>
        <v>59.702010016850721</v>
      </c>
      <c r="O29" s="14">
        <f>N29*VLOOKUP('Données projet'!$B$9,Paramètres!$A$1:$I$89,3,0)*VLOOKUP('Données projet'!$B$9,Paramètres!$A$1:$I$89,5,0)</f>
        <v>28.7166668181052</v>
      </c>
      <c r="P29" s="14">
        <f t="shared" si="33"/>
        <v>8.9528084617845618</v>
      </c>
      <c r="Q29" s="22">
        <f t="shared" si="2"/>
        <v>65.607669445808</v>
      </c>
      <c r="R29" s="62">
        <f t="shared" si="0"/>
        <v>358.94100277914129</v>
      </c>
      <c r="S29" s="62">
        <f ca="1">AVERAGE(OFFSET($R$3,0,0,'Données projet'!$E$9+1,1))-AVERAGE(OFFSET($H$3,0,0,'Données projet'!$E$9+1,1))</f>
        <v>179.22241276165141</v>
      </c>
      <c r="T29" s="62">
        <f t="shared" si="34"/>
        <v>86.510654589692876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10.670769230769233</v>
      </c>
      <c r="AI29" s="14">
        <f>IF('Données projet'!$A$62&gt;35,AI28+AH29-AQ28,IF(A29&lt;'Données projet'!$A$62,$AF$205^A29,IF(A29='Données projet'!$A$62,'Données projet'!$B$62,AI28+AH29-AQ28)))</f>
        <v>80.670769230769224</v>
      </c>
      <c r="AJ29" s="14">
        <f>AI29*VLOOKUP('Données projet'!$B$10,Paramètres!$A$1:$I$89,3,0)*VLOOKUP('Données projet'!$B$10,Paramètres!$A$1:$I$89,5,0)</f>
        <v>48.241120000000002</v>
      </c>
      <c r="AK29" s="14">
        <f t="shared" si="35"/>
        <v>14.158578848733127</v>
      </c>
      <c r="AL29" s="22">
        <f t="shared" si="4"/>
        <v>108.67947549487685</v>
      </c>
      <c r="AM29" s="62">
        <f t="shared" si="5"/>
        <v>402.01280882821015</v>
      </c>
      <c r="AN29" s="62">
        <f ca="1">AVERAGE(OFFSET($AM$3,0,0,'Données projet'!$E$10+1,1))-AVERAGE(OFFSET($H$3,0,0,'Données projet'!$E$10+1,1))</f>
        <v>157.42757749057949</v>
      </c>
      <c r="AO29" s="62">
        <f t="shared" si="36"/>
        <v>129.86070223892136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12.315289965290502</v>
      </c>
      <c r="AX29" s="23">
        <f t="shared" si="6"/>
        <v>12.315289965290502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7.8</v>
      </c>
      <c r="BD29" s="13">
        <f>IF('Données projet'!$A$88&gt;35,BD28+BC29-BL28,IF(A29&lt;'Données projet'!$A$88,$BA$205^A29,IF(A29='Données projet'!$A$88,'Données projet'!$B$88,BD28+BC29-BL28)))</f>
        <v>85.800000000000026</v>
      </c>
      <c r="BE29" s="14">
        <f>BD29*VLOOKUP('Données projet'!$B$11,Paramètres!$A$1:$I$89,3,0)*VLOOKUP('Données projet'!$B$11,Paramètres!$A$1:$I$89,5,0)</f>
        <v>89.678160000000034</v>
      </c>
      <c r="BF29" s="14">
        <f t="shared" si="37"/>
        <v>24.487588759726865</v>
      </c>
      <c r="BG29" s="22">
        <f t="shared" si="7"/>
        <v>198.83867908985766</v>
      </c>
      <c r="BH29" s="62">
        <f t="shared" si="8"/>
        <v>492.17201242319095</v>
      </c>
      <c r="BI29" s="62">
        <f ca="1">AVERAGE(OFFSET($BH$3,0,0,'Données projet'!$E$11+1,1))-AVERAGE(OFFSET($H$3,0,0,'Données projet'!$E$11+1,1))</f>
        <v>464.21202287459482</v>
      </c>
      <c r="BJ29" s="62">
        <f t="shared" si="38"/>
        <v>234.57880205159688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9.64</v>
      </c>
      <c r="BY29" s="13">
        <f>IF('Données projet'!$A$114&gt;35,BY28+BX29-CG28,IF(A29&lt;'Données projet'!$A$114,$BV$205^A29,IF(A29='Données projet'!$A$114,'Données projet'!$B$114,BY28+BX29-CG28)))</f>
        <v>74.940000000000026</v>
      </c>
      <c r="BZ29" s="14">
        <f>BY29*VLOOKUP('Données projet'!$B$12,Paramètres!$A$1:$I$89,3,0)*VLOOKUP('Données projet'!$B$12,Paramètres!$A$1:$I$89,5,0)</f>
        <v>59.622264000000023</v>
      </c>
      <c r="CA29" s="14">
        <f t="shared" si="39"/>
        <v>17.072730425117037</v>
      </c>
      <c r="CB29" s="22">
        <f t="shared" si="10"/>
        <v>133.57711529041219</v>
      </c>
      <c r="CC29" s="62">
        <f t="shared" si="11"/>
        <v>426.91044862374554</v>
      </c>
      <c r="CD29" s="62">
        <f ca="1">AVERAGE(OFFSET($CC$3,0,0,'Données projet'!$E$12+1,1))-AVERAGE(OFFSET($H$3,0,0,'Données projet'!$E$12+1,1))</f>
        <v>177.99876437322689</v>
      </c>
      <c r="CE29" s="62">
        <f t="shared" si="40"/>
        <v>165.68154380324592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11.249230769230769</v>
      </c>
      <c r="CT29" s="13">
        <f>IF('Données projet'!$A$140&gt;35,CT28+CS29-DB28,IF(A29&lt;'Données projet'!$A$140,$CQ$205^A29,IF(A29='Données projet'!$A$140,'Données projet'!$B$140,CT28+CS29-DB28)))</f>
        <v>150.91076923076923</v>
      </c>
      <c r="CU29" s="18">
        <f>CT29*VLOOKUP('Données projet'!$B$13,Paramètres!$A$1:$I$89,3,0)*VLOOKUP('Données projet'!$B$13,Paramètres!$A$1:$I$89,5,0)</f>
        <v>84.359120000000004</v>
      </c>
      <c r="CV29" s="14">
        <f t="shared" si="41"/>
        <v>23.199698240439421</v>
      </c>
      <c r="CW29" s="22">
        <f t="shared" si="13"/>
        <v>187.331608435432</v>
      </c>
      <c r="CX29" s="62">
        <f t="shared" si="14"/>
        <v>480.66494176876529</v>
      </c>
      <c r="CY29" s="62">
        <f ca="1">AVERAGE(OFFSET($CX$3,0,0,'Données projet'!$E$13+1,1))-AVERAGE(OFFSET($H$3,0,0,'Données projet'!$E$13+1,1))</f>
        <v>242.07451379051349</v>
      </c>
      <c r="CZ29" s="62">
        <f t="shared" si="42"/>
        <v>207.11607964940754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14.166666666666666</v>
      </c>
      <c r="DO29" s="13">
        <f>IF('Données projet'!$A$166&gt;35,DO28+DN29-DW28,IF(A29&lt;'Données projet'!$A$166,$DL$205^A29,IF(A29='Données projet'!$A$166,'Données projet'!$B$166,DO28+DN29-DW28)))</f>
        <v>167.33333333333331</v>
      </c>
      <c r="DP29" s="18">
        <f>DO29*VLOOKUP('Données projet'!$B$14,Paramètres!$A$1:$I$89,3,0)*VLOOKUP('Données projet'!$B$14,Paramètres!$A$1:$I$89,5,0)</f>
        <v>104.416</v>
      </c>
      <c r="DQ29" s="14">
        <f t="shared" si="43"/>
        <v>28.01138818767625</v>
      </c>
      <c r="DR29" s="22">
        <f t="shared" si="16"/>
        <v>230.64436776020281</v>
      </c>
      <c r="DS29" s="62">
        <f t="shared" si="17"/>
        <v>523.9777010935361</v>
      </c>
      <c r="DT29" s="62">
        <f ca="1">AVERAGE(OFFSET($DS$3,0,0,'Données projet'!$E$14+1,1))-AVERAGE(OFFSET($H$3,0,0,'Données projet'!$E$14+1,1))</f>
        <v>178.56320966726986</v>
      </c>
      <c r="DU29" s="62">
        <f t="shared" si="44"/>
        <v>272.06842551411739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2.7145411669677886</v>
      </c>
      <c r="EC29" s="23">
        <f>EXP(-LN(2)/2)*EC28+(1-EXP(-LN(2)/2))/(LN(2)/2)*DW29*DZ29*VLOOKUP('Données projet'!$B$14,Paramètres!$A$1:$I$89,3,0)*0.475*44/12</f>
        <v>6.1629810539547494</v>
      </c>
      <c r="ED29" s="24">
        <f t="shared" si="18"/>
        <v>8.877522220922538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7.8</v>
      </c>
      <c r="EJ29" s="13">
        <f>IF('Données projet'!$A$192&gt;35,EJ28+EI29-ER28,IF(A29&lt;'Données projet'!$A$192,$EG$205^A29,IF(A29='Données projet'!$A$192,'Données projet'!$B$192,EJ28+EI29-ER28)))</f>
        <v>85.800000000000026</v>
      </c>
      <c r="EK29" s="18">
        <f>EJ29*VLOOKUP('Données projet'!$B$15,Paramètres!$A$1:$I$89,3,0)*VLOOKUP('Données projet'!$B$15,Paramètres!$A$1:$I$89,5,0)</f>
        <v>92.355120000000028</v>
      </c>
      <c r="EL29" s="14">
        <f t="shared" si="45"/>
        <v>25.132366487222171</v>
      </c>
      <c r="EM29" s="22">
        <f t="shared" si="19"/>
        <v>204.62403896524532</v>
      </c>
      <c r="EN29" s="62">
        <f t="shared" si="20"/>
        <v>497.95737229857866</v>
      </c>
      <c r="EO29" s="62">
        <f ca="1">AVERAGE(OFFSET($EN$3,0,0,'Données projet'!$E$15+1,1))-AVERAGE(OFFSET($H$3,0,0,'Données projet'!$E$15+1,1))</f>
        <v>479.87943647026646</v>
      </c>
      <c r="EP29" s="62">
        <f t="shared" si="46"/>
        <v>242.41363045393223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7.8</v>
      </c>
      <c r="FE29" s="13">
        <f>IF('Données projet'!$A$218&gt;35,FE28+FD29-FM28,IF(A29&lt;'Données projet'!$A$218,$FB$205^A29,IF(A29='Données projet'!$A$218,'Données projet'!$B$218,FE28+FD29-FM28)))</f>
        <v>85.800000000000026</v>
      </c>
      <c r="FF29" s="18">
        <f>FE29*VLOOKUP('Données projet'!$B$16,Paramètres!$A$1:$I$89,3,0)*VLOOKUP('Données projet'!$B$16,Paramètres!$A$1:$I$89,5,0)</f>
        <v>82.985760000000028</v>
      </c>
      <c r="FG29" s="14">
        <f t="shared" si="47"/>
        <v>22.865653833597502</v>
      </c>
      <c r="FH29" s="22">
        <f t="shared" si="22"/>
        <v>184.35787909351566</v>
      </c>
      <c r="FI29" s="62">
        <f t="shared" si="23"/>
        <v>477.69121242684901</v>
      </c>
      <c r="FJ29" s="62">
        <f ca="1">AVERAGE(OFFSET($FI$3,0,0,'Données projet'!$E$16+1,1))-AVERAGE(OFFSET($H$3,0,0,'Données projet'!$E$16+1,1))</f>
        <v>425.00152674093977</v>
      </c>
      <c r="FK29" s="62">
        <f t="shared" si="48"/>
        <v>214.96884469274687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3.7333333333333334</v>
      </c>
      <c r="N30" s="14">
        <f>IF('Données projet'!$A$36&gt;35,N29+M30-V29,IF(A30&lt;'Données projet'!$A$36,$K$205^A30,IF(A30='Données projet'!$A$36,'Données projet'!$B$36,N29+M30-V29)))</f>
        <v>69.870881178133999</v>
      </c>
      <c r="O30" s="14">
        <f>N30*VLOOKUP('Données projet'!$B$9,Paramètres!$A$1:$I$89,3,0)*VLOOKUP('Données projet'!$B$9,Paramètres!$A$1:$I$89,5,0)</f>
        <v>33.607893846682458</v>
      </c>
      <c r="P30" s="14">
        <f t="shared" si="33"/>
        <v>10.287636122655798</v>
      </c>
      <c r="Q30" s="22">
        <f t="shared" si="2"/>
        <v>76.451381363264133</v>
      </c>
      <c r="R30" s="62">
        <f t="shared" si="0"/>
        <v>369.78471469659746</v>
      </c>
      <c r="S30" s="62">
        <f ca="1">AVERAGE(OFFSET($R$3,0,0,'Données projet'!$E$9+1,1))-AVERAGE(OFFSET($H$3,0,0,'Données projet'!$E$9+1,1))</f>
        <v>179.22241276165141</v>
      </c>
      <c r="T30" s="62">
        <f t="shared" si="34"/>
        <v>86.510654589692876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10.670769230769233</v>
      </c>
      <c r="AI30" s="14">
        <f>IF('Données projet'!$A$62&gt;35,AI29+AH30-AQ29,IF(A30&lt;'Données projet'!$A$62,$AF$205^A30,IF(A30='Données projet'!$A$62,'Données projet'!$B$62,AI29+AH30-AQ29)))</f>
        <v>91.341538461538462</v>
      </c>
      <c r="AJ30" s="14">
        <f>AI30*VLOOKUP('Données projet'!$B$10,Paramètres!$A$1:$I$89,3,0)*VLOOKUP('Données projet'!$B$10,Paramètres!$A$1:$I$89,5,0)</f>
        <v>54.622240000000005</v>
      </c>
      <c r="AK30" s="14">
        <f t="shared" si="35"/>
        <v>15.801261502523898</v>
      </c>
      <c r="AL30" s="22">
        <f t="shared" si="4"/>
        <v>122.65426511689581</v>
      </c>
      <c r="AM30" s="62">
        <f t="shared" si="5"/>
        <v>415.98759845022914</v>
      </c>
      <c r="AN30" s="62">
        <f ca="1">AVERAGE(OFFSET($AM$3,0,0,'Données projet'!$E$10+1,1))-AVERAGE(OFFSET($H$3,0,0,'Données projet'!$E$10+1,1))</f>
        <v>157.42757749057949</v>
      </c>
      <c r="AO30" s="62">
        <f t="shared" si="36"/>
        <v>129.86070223892136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8.7082250467355564</v>
      </c>
      <c r="AX30" s="23">
        <f t="shared" si="6"/>
        <v>8.7082250467355564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7.8</v>
      </c>
      <c r="BD30" s="13">
        <f>IF('Données projet'!$A$88&gt;35,BD29+BC30-BL29,IF(A30&lt;'Données projet'!$A$88,$BA$205^A30,IF(A30='Données projet'!$A$88,'Données projet'!$B$88,BD29+BC30-BL29)))</f>
        <v>93.600000000000023</v>
      </c>
      <c r="BE30" s="14">
        <f>BD30*VLOOKUP('Données projet'!$B$11,Paramètres!$A$1:$I$89,3,0)*VLOOKUP('Données projet'!$B$11,Paramètres!$A$1:$I$89,5,0)</f>
        <v>97.830720000000028</v>
      </c>
      <c r="BF30" s="14">
        <f t="shared" si="37"/>
        <v>26.444538701397263</v>
      </c>
      <c r="BG30" s="22">
        <f t="shared" si="7"/>
        <v>216.44607557160029</v>
      </c>
      <c r="BH30" s="62">
        <f t="shared" si="8"/>
        <v>509.77940890493358</v>
      </c>
      <c r="BI30" s="62">
        <f ca="1">AVERAGE(OFFSET($BH$3,0,0,'Données projet'!$E$11+1,1))-AVERAGE(OFFSET($H$3,0,0,'Données projet'!$E$11+1,1))</f>
        <v>464.21202287459482</v>
      </c>
      <c r="BJ30" s="62">
        <f t="shared" si="38"/>
        <v>234.57880205159688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9.64</v>
      </c>
      <c r="BY30" s="13">
        <f>IF('Données projet'!$A$114&gt;35,BY29+BX30-CG29,IF(A30&lt;'Données projet'!$A$114,$BV$205^A30,IF(A30='Données projet'!$A$114,'Données projet'!$B$114,BY29+BX30-CG29)))</f>
        <v>84.580000000000027</v>
      </c>
      <c r="BZ30" s="14">
        <f>BY30*VLOOKUP('Données projet'!$B$12,Paramètres!$A$1:$I$89,3,0)*VLOOKUP('Données projet'!$B$12,Paramètres!$A$1:$I$89,5,0)</f>
        <v>67.29184800000003</v>
      </c>
      <c r="CA30" s="14">
        <f t="shared" si="39"/>
        <v>18.999391432729507</v>
      </c>
      <c r="CB30" s="22">
        <f t="shared" si="10"/>
        <v>150.29057534533729</v>
      </c>
      <c r="CC30" s="62">
        <f t="shared" si="11"/>
        <v>443.6239086786706</v>
      </c>
      <c r="CD30" s="62">
        <f ca="1">AVERAGE(OFFSET($CC$3,0,0,'Données projet'!$E$12+1,1))-AVERAGE(OFFSET($H$3,0,0,'Données projet'!$E$12+1,1))</f>
        <v>177.99876437322689</v>
      </c>
      <c r="CE30" s="62">
        <f t="shared" si="40"/>
        <v>165.68154380324592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11.249230769230769</v>
      </c>
      <c r="CT30" s="13">
        <f>IF('Données projet'!$A$140&gt;35,CT29+CS30-DB29,IF(A30&lt;'Données projet'!$A$140,$CQ$205^A30,IF(A30='Données projet'!$A$140,'Données projet'!$B$140,CT29+CS30-DB29)))</f>
        <v>162.16</v>
      </c>
      <c r="CU30" s="18">
        <f>CT30*VLOOKUP('Données projet'!$B$13,Paramètres!$A$1:$I$89,3,0)*VLOOKUP('Données projet'!$B$13,Paramètres!$A$1:$I$89,5,0)</f>
        <v>90.647439999999989</v>
      </c>
      <c r="CV30" s="14">
        <f t="shared" si="41"/>
        <v>24.721306730670033</v>
      </c>
      <c r="CW30" s="22">
        <f t="shared" si="13"/>
        <v>200.93390055591695</v>
      </c>
      <c r="CX30" s="62">
        <f t="shared" si="14"/>
        <v>494.26723388925029</v>
      </c>
      <c r="CY30" s="62">
        <f ca="1">AVERAGE(OFFSET($CX$3,0,0,'Données projet'!$E$13+1,1))-AVERAGE(OFFSET($H$3,0,0,'Données projet'!$E$13+1,1))</f>
        <v>242.07451379051349</v>
      </c>
      <c r="CZ30" s="62">
        <f t="shared" si="42"/>
        <v>207.11607964940754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14.166666666666666</v>
      </c>
      <c r="DO30" s="13">
        <f>IF('Données projet'!$A$166&gt;35,DO29+DN30-DW29,IF(A30&lt;'Données projet'!$A$166,$DL$205^A30,IF(A30='Données projet'!$A$166,'Données projet'!$B$166,DO29+DN30-DW29)))</f>
        <v>181.49999999999997</v>
      </c>
      <c r="DP30" s="18">
        <f>DO30*VLOOKUP('Données projet'!$B$14,Paramètres!$A$1:$I$89,3,0)*VLOOKUP('Données projet'!$B$14,Paramètres!$A$1:$I$89,5,0)</f>
        <v>113.25599999999997</v>
      </c>
      <c r="DQ30" s="14">
        <f t="shared" si="43"/>
        <v>30.096816336106439</v>
      </c>
      <c r="DR30" s="22">
        <f t="shared" si="16"/>
        <v>249.67282178538531</v>
      </c>
      <c r="DS30" s="62">
        <f t="shared" si="17"/>
        <v>543.00615511871865</v>
      </c>
      <c r="DT30" s="62">
        <f ca="1">AVERAGE(OFFSET($DS$3,0,0,'Données projet'!$E$14+1,1))-AVERAGE(OFFSET($H$3,0,0,'Données projet'!$E$14+1,1))</f>
        <v>178.56320966726986</v>
      </c>
      <c r="DU30" s="62">
        <f t="shared" si="44"/>
        <v>272.06842551411739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2.6403118960055387</v>
      </c>
      <c r="EC30" s="23">
        <f>EXP(-LN(2)/2)*EC29+(1-EXP(-LN(2)/2))/(LN(2)/2)*DW30*DZ30*VLOOKUP('Données projet'!$B$14,Paramètres!$A$1:$I$89,3,0)*0.475*44/12</f>
        <v>4.3578856955756189</v>
      </c>
      <c r="ED30" s="24">
        <f t="shared" si="18"/>
        <v>6.9981975915811576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7.8</v>
      </c>
      <c r="EJ30" s="13">
        <f>IF('Données projet'!$A$192&gt;35,EJ29+EI30-ER29,IF(A30&lt;'Données projet'!$A$192,$EG$205^A30,IF(A30='Données projet'!$A$192,'Données projet'!$B$192,EJ29+EI30-ER29)))</f>
        <v>93.600000000000023</v>
      </c>
      <c r="EK30" s="18">
        <f>EJ30*VLOOKUP('Données projet'!$B$15,Paramètres!$A$1:$I$89,3,0)*VLOOKUP('Données projet'!$B$15,Paramètres!$A$1:$I$89,5,0)</f>
        <v>100.75104000000003</v>
      </c>
      <c r="EL30" s="14">
        <f t="shared" si="45"/>
        <v>27.140844480453463</v>
      </c>
      <c r="EM30" s="22">
        <f t="shared" si="19"/>
        <v>222.74503213678983</v>
      </c>
      <c r="EN30" s="62">
        <f t="shared" si="20"/>
        <v>516.07836547012312</v>
      </c>
      <c r="EO30" s="62">
        <f ca="1">AVERAGE(OFFSET($EN$3,0,0,'Données projet'!$E$15+1,1))-AVERAGE(OFFSET($H$3,0,0,'Données projet'!$E$15+1,1))</f>
        <v>479.87943647026646</v>
      </c>
      <c r="EP30" s="62">
        <f t="shared" si="46"/>
        <v>242.41363045393223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7.8</v>
      </c>
      <c r="FE30" s="13">
        <f>IF('Données projet'!$A$218&gt;35,FE29+FD30-FM29,IF(A30&lt;'Données projet'!$A$218,$FB$205^A30,IF(A30='Données projet'!$A$218,'Données projet'!$B$218,FE29+FD30-FM29)))</f>
        <v>93.600000000000023</v>
      </c>
      <c r="FF30" s="18">
        <f>FE30*VLOOKUP('Données projet'!$B$16,Paramètres!$A$1:$I$89,3,0)*VLOOKUP('Données projet'!$B$16,Paramètres!$A$1:$I$89,5,0)</f>
        <v>90.529920000000018</v>
      </c>
      <c r="FG30" s="14">
        <f t="shared" si="47"/>
        <v>24.692985237067781</v>
      </c>
      <c r="FH30" s="22">
        <f t="shared" si="22"/>
        <v>200.67989328789307</v>
      </c>
      <c r="FI30" s="62">
        <f t="shared" si="23"/>
        <v>494.01322662122641</v>
      </c>
      <c r="FJ30" s="62">
        <f ca="1">AVERAGE(OFFSET($FI$3,0,0,'Données projet'!$E$16+1,1))-AVERAGE(OFFSET($H$3,0,0,'Données projet'!$E$16+1,1))</f>
        <v>425.00152674093977</v>
      </c>
      <c r="FK30" s="62">
        <f t="shared" si="48"/>
        <v>214.96884469274687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3.7333333333333334</v>
      </c>
      <c r="N31" s="14">
        <f>IF('Données projet'!$A$36&gt;35,N30+M31-V30,IF(A31&lt;'Données projet'!$A$36,$K$205^A31,IF(A31='Données projet'!$A$36,'Données projet'!$B$36,N30+M31-V30)))</f>
        <v>81.771786833156952</v>
      </c>
      <c r="O31" s="14">
        <f>N31*VLOOKUP('Données projet'!$B$9,Paramètres!$A$1:$I$89,3,0)*VLOOKUP('Données projet'!$B$9,Paramètres!$A$1:$I$89,5,0)</f>
        <v>39.332229466748494</v>
      </c>
      <c r="P31" s="14">
        <f t="shared" si="33"/>
        <v>11.821481208263915</v>
      </c>
      <c r="Q31" s="22">
        <f t="shared" si="2"/>
        <v>89.092712758979928</v>
      </c>
      <c r="R31" s="62">
        <f t="shared" si="0"/>
        <v>382.42604609231324</v>
      </c>
      <c r="S31" s="62">
        <f ca="1">AVERAGE(OFFSET($R$3,0,0,'Données projet'!$E$9+1,1))-AVERAGE(OFFSET($H$3,0,0,'Données projet'!$E$9+1,1))</f>
        <v>179.22241276165141</v>
      </c>
      <c r="T31" s="62">
        <f t="shared" si="34"/>
        <v>86.510654589692876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10.670769230769233</v>
      </c>
      <c r="AI31" s="14">
        <f>IF('Données projet'!$A$62&gt;35,AI30+AH31-AQ30,IF(A31&lt;'Données projet'!$A$62,$AF$205^A31,IF(A31='Données projet'!$A$62,'Données projet'!$B$62,AI30+AH31-AQ30)))</f>
        <v>102.0123076923077</v>
      </c>
      <c r="AJ31" s="14">
        <f>AI31*VLOOKUP('Données projet'!$B$10,Paramètres!$A$1:$I$89,3,0)*VLOOKUP('Données projet'!$B$10,Paramètres!$A$1:$I$89,5,0)</f>
        <v>61.003360000000015</v>
      </c>
      <c r="AK31" s="14">
        <f t="shared" si="35"/>
        <v>17.421704526651936</v>
      </c>
      <c r="AL31" s="22">
        <f t="shared" si="4"/>
        <v>136.59032071725215</v>
      </c>
      <c r="AM31" s="62">
        <f t="shared" si="5"/>
        <v>429.92365405058547</v>
      </c>
      <c r="AN31" s="62">
        <f ca="1">AVERAGE(OFFSET($AM$3,0,0,'Données projet'!$E$10+1,1))-AVERAGE(OFFSET($H$3,0,0,'Données projet'!$E$10+1,1))</f>
        <v>157.42757749057949</v>
      </c>
      <c r="AO31" s="62">
        <f t="shared" si="36"/>
        <v>129.86070223892136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6.1576449826452517</v>
      </c>
      <c r="AX31" s="23">
        <f t="shared" si="6"/>
        <v>6.1576449826452517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7.8</v>
      </c>
      <c r="BD31" s="13">
        <f>IF('Données projet'!$A$88&gt;35,BD30+BC31-BL30,IF(A31&lt;'Données projet'!$A$88,$BA$205^A31,IF(A31='Données projet'!$A$88,'Données projet'!$B$88,BD30+BC31-BL30)))</f>
        <v>101.40000000000002</v>
      </c>
      <c r="BE31" s="14">
        <f>BD31*VLOOKUP('Données projet'!$B$11,Paramètres!$A$1:$I$89,3,0)*VLOOKUP('Données projet'!$B$11,Paramètres!$A$1:$I$89,5,0)</f>
        <v>105.98328000000004</v>
      </c>
      <c r="BF31" s="14">
        <f t="shared" si="37"/>
        <v>28.382574904673611</v>
      </c>
      <c r="BG31" s="22">
        <f t="shared" si="7"/>
        <v>234.02053062563994</v>
      </c>
      <c r="BH31" s="62">
        <f t="shared" si="8"/>
        <v>527.35386395897331</v>
      </c>
      <c r="BI31" s="62">
        <f ca="1">AVERAGE(OFFSET($BH$3,0,0,'Données projet'!$E$11+1,1))-AVERAGE(OFFSET($H$3,0,0,'Données projet'!$E$11+1,1))</f>
        <v>464.21202287459482</v>
      </c>
      <c r="BJ31" s="62">
        <f t="shared" si="38"/>
        <v>234.57880205159688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9.64</v>
      </c>
      <c r="BY31" s="13">
        <f>IF('Données projet'!$A$114&gt;35,BY30+BX31-CG30,IF(A31&lt;'Données projet'!$A$114,$BV$205^A31,IF(A31='Données projet'!$A$114,'Données projet'!$B$114,BY30+BX31-CG30)))</f>
        <v>94.220000000000027</v>
      </c>
      <c r="BZ31" s="14">
        <f>BY31*VLOOKUP('Données projet'!$B$12,Paramètres!$A$1:$I$89,3,0)*VLOOKUP('Données projet'!$B$12,Paramètres!$A$1:$I$89,5,0)</f>
        <v>74.96143200000003</v>
      </c>
      <c r="CA31" s="14">
        <f t="shared" si="39"/>
        <v>20.900602739925272</v>
      </c>
      <c r="CB31" s="22">
        <f t="shared" si="10"/>
        <v>166.95971050536991</v>
      </c>
      <c r="CC31" s="62">
        <f t="shared" si="11"/>
        <v>460.29304383870323</v>
      </c>
      <c r="CD31" s="62">
        <f ca="1">AVERAGE(OFFSET($CC$3,0,0,'Données projet'!$E$12+1,1))-AVERAGE(OFFSET($H$3,0,0,'Données projet'!$E$12+1,1))</f>
        <v>177.99876437322689</v>
      </c>
      <c r="CE31" s="62">
        <f t="shared" si="40"/>
        <v>165.68154380324592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11.249230769230769</v>
      </c>
      <c r="CT31" s="13">
        <f>IF('Données projet'!$A$140&gt;35,CT30+CS31-DB30,IF(A31&lt;'Données projet'!$A$140,$CQ$205^A31,IF(A31='Données projet'!$A$140,'Données projet'!$B$140,CT30+CS31-DB30)))</f>
        <v>173.40923076923076</v>
      </c>
      <c r="CU31" s="18">
        <f>CT31*VLOOKUP('Données projet'!$B$13,Paramètres!$A$1:$I$89,3,0)*VLOOKUP('Données projet'!$B$13,Paramètres!$A$1:$I$89,5,0)</f>
        <v>96.935760000000002</v>
      </c>
      <c r="CV31" s="14">
        <f t="shared" si="41"/>
        <v>26.230667636147597</v>
      </c>
      <c r="CW31" s="22">
        <f t="shared" si="13"/>
        <v>214.5148614662904</v>
      </c>
      <c r="CX31" s="62">
        <f t="shared" si="14"/>
        <v>507.84819479962368</v>
      </c>
      <c r="CY31" s="62">
        <f ca="1">AVERAGE(OFFSET($CX$3,0,0,'Données projet'!$E$13+1,1))-AVERAGE(OFFSET($H$3,0,0,'Données projet'!$E$13+1,1))</f>
        <v>242.07451379051349</v>
      </c>
      <c r="CZ31" s="62">
        <f t="shared" si="42"/>
        <v>207.11607964940754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14.166666666666666</v>
      </c>
      <c r="DO31" s="13">
        <f>IF('Données projet'!$A$166&gt;35,DO30+DN31-DW30,IF(A31&lt;'Données projet'!$A$166,$DL$205^A31,IF(A31='Données projet'!$A$166,'Données projet'!$B$166,DO30+DN31-DW30)))</f>
        <v>195.66666666666663</v>
      </c>
      <c r="DP31" s="18">
        <f>DO31*VLOOKUP('Données projet'!$B$14,Paramètres!$A$1:$I$89,3,0)*VLOOKUP('Données projet'!$B$14,Paramètres!$A$1:$I$89,5,0)</f>
        <v>122.09599999999998</v>
      </c>
      <c r="DQ31" s="14">
        <f t="shared" si="43"/>
        <v>32.163363121463028</v>
      </c>
      <c r="DR31" s="22">
        <f t="shared" si="16"/>
        <v>268.6683907698814</v>
      </c>
      <c r="DS31" s="62">
        <f t="shared" si="17"/>
        <v>562.00172410321466</v>
      </c>
      <c r="DT31" s="62">
        <f ca="1">AVERAGE(OFFSET($DS$3,0,0,'Données projet'!$E$14+1,1))-AVERAGE(OFFSET($H$3,0,0,'Données projet'!$E$14+1,1))</f>
        <v>178.56320966726986</v>
      </c>
      <c r="DU31" s="62">
        <f t="shared" si="44"/>
        <v>272.06842551411739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2.568112428361299</v>
      </c>
      <c r="EC31" s="23">
        <f>EXP(-LN(2)/2)*EC30+(1-EXP(-LN(2)/2))/(LN(2)/2)*DW31*DZ31*VLOOKUP('Données projet'!$B$14,Paramètres!$A$1:$I$89,3,0)*0.475*44/12</f>
        <v>3.0814905269773747</v>
      </c>
      <c r="ED31" s="24">
        <f t="shared" si="18"/>
        <v>5.6496029553386737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7.8</v>
      </c>
      <c r="EJ31" s="13">
        <f>IF('Données projet'!$A$192&gt;35,EJ30+EI31-ER30,IF(A31&lt;'Données projet'!$A$192,$EG$205^A31,IF(A31='Données projet'!$A$192,'Données projet'!$B$192,EJ30+EI31-ER30)))</f>
        <v>101.40000000000002</v>
      </c>
      <c r="EK31" s="18">
        <f>EJ31*VLOOKUP('Données projet'!$B$15,Paramètres!$A$1:$I$89,3,0)*VLOOKUP('Données projet'!$B$15,Paramètres!$A$1:$I$89,5,0)</f>
        <v>109.14696000000002</v>
      </c>
      <c r="EL31" s="14">
        <f t="shared" si="45"/>
        <v>29.129910721485402</v>
      </c>
      <c r="EM31" s="22">
        <f t="shared" si="19"/>
        <v>240.83221650658709</v>
      </c>
      <c r="EN31" s="62">
        <f t="shared" si="20"/>
        <v>534.16554983992046</v>
      </c>
      <c r="EO31" s="62">
        <f ca="1">AVERAGE(OFFSET($EN$3,0,0,'Données projet'!$E$15+1,1))-AVERAGE(OFFSET($H$3,0,0,'Données projet'!$E$15+1,1))</f>
        <v>479.87943647026646</v>
      </c>
      <c r="EP31" s="62">
        <f t="shared" si="46"/>
        <v>242.41363045393223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7.8</v>
      </c>
      <c r="FE31" s="13">
        <f>IF('Données projet'!$A$218&gt;35,FE30+FD31-FM30,IF(A31&lt;'Données projet'!$A$218,$FB$205^A31,IF(A31='Données projet'!$A$218,'Données projet'!$B$218,FE30+FD31-FM30)))</f>
        <v>101.40000000000002</v>
      </c>
      <c r="FF31" s="18">
        <f>FE31*VLOOKUP('Données projet'!$B$16,Paramètres!$A$1:$I$89,3,0)*VLOOKUP('Données projet'!$B$16,Paramètres!$A$1:$I$89,5,0)</f>
        <v>98.074080000000023</v>
      </c>
      <c r="FG31" s="14">
        <f t="shared" si="47"/>
        <v>26.502655653208453</v>
      </c>
      <c r="FH31" s="22">
        <f t="shared" si="22"/>
        <v>216.97114792933812</v>
      </c>
      <c r="FI31" s="62">
        <f t="shared" si="23"/>
        <v>510.3044812626714</v>
      </c>
      <c r="FJ31" s="62">
        <f ca="1">AVERAGE(OFFSET($FI$3,0,0,'Données projet'!$E$16+1,1))-AVERAGE(OFFSET($H$3,0,0,'Données projet'!$E$16+1,1))</f>
        <v>425.00152674093977</v>
      </c>
      <c r="FK31" s="62">
        <f t="shared" si="48"/>
        <v>214.96884469274687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3.7333333333333334</v>
      </c>
      <c r="N32" s="14">
        <f>IF('Données projet'!$A$36&gt;35,N31+M32-V31,IF(A32&lt;'Données projet'!$A$36,$K$205^A32,IF(A32='Données projet'!$A$36,'Données projet'!$B$36,N31+M32-V31)))</f>
        <v>95.699739421346123</v>
      </c>
      <c r="O32" s="14">
        <f>N32*VLOOKUP('Données projet'!$B$9,Paramètres!$A$1:$I$89,3,0)*VLOOKUP('Données projet'!$B$9,Paramètres!$A$1:$I$89,5,0)</f>
        <v>46.031574661667491</v>
      </c>
      <c r="P32" s="14">
        <f t="shared" si="33"/>
        <v>13.58401641457557</v>
      </c>
      <c r="Q32" s="22">
        <f t="shared" si="2"/>
        <v>103.83048779112333</v>
      </c>
      <c r="R32" s="62">
        <f t="shared" si="0"/>
        <v>397.16382112445666</v>
      </c>
      <c r="S32" s="62">
        <f ca="1">AVERAGE(OFFSET($R$3,0,0,'Données projet'!$E$9+1,1))-AVERAGE(OFFSET($H$3,0,0,'Données projet'!$E$9+1,1))</f>
        <v>179.22241276165141</v>
      </c>
      <c r="T32" s="62">
        <f t="shared" si="34"/>
        <v>86.510654589692876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10.670769230769233</v>
      </c>
      <c r="AI32" s="14">
        <f>IF('Données projet'!$A$62&gt;35,AI31+AH32-AQ31,IF(A32&lt;'Données projet'!$A$62,$AF$205^A32,IF(A32='Données projet'!$A$62,'Données projet'!$B$62,AI31+AH32-AQ31)))</f>
        <v>112.68307692307694</v>
      </c>
      <c r="AJ32" s="14">
        <f>AI32*VLOOKUP('Données projet'!$B$10,Paramètres!$A$1:$I$89,3,0)*VLOOKUP('Données projet'!$B$10,Paramètres!$A$1:$I$89,5,0)</f>
        <v>67.384480000000025</v>
      </c>
      <c r="AK32" s="14">
        <f t="shared" si="35"/>
        <v>19.022499264944969</v>
      </c>
      <c r="AL32" s="22">
        <f t="shared" si="4"/>
        <v>150.49215555311253</v>
      </c>
      <c r="AM32" s="62">
        <f t="shared" si="5"/>
        <v>443.82548888644584</v>
      </c>
      <c r="AN32" s="62">
        <f ca="1">AVERAGE(OFFSET($AM$3,0,0,'Données projet'!$E$10+1,1))-AVERAGE(OFFSET($H$3,0,0,'Données projet'!$E$10+1,1))</f>
        <v>157.42757749057949</v>
      </c>
      <c r="AO32" s="62">
        <f t="shared" si="36"/>
        <v>129.86070223892136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4.3541125233677782</v>
      </c>
      <c r="AX32" s="23">
        <f t="shared" si="6"/>
        <v>4.3541125233677782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7.8</v>
      </c>
      <c r="BD32" s="13">
        <f>IF('Données projet'!$A$88&gt;35,BD31+BC32-BL31,IF(A32&lt;'Données projet'!$A$88,$BA$205^A32,IF(A32='Données projet'!$A$88,'Données projet'!$B$88,BD31+BC32-BL31)))</f>
        <v>109.20000000000002</v>
      </c>
      <c r="BE32" s="14">
        <f>BD32*VLOOKUP('Données projet'!$B$11,Paramètres!$A$1:$I$89,3,0)*VLOOKUP('Données projet'!$B$11,Paramètres!$A$1:$I$89,5,0)</f>
        <v>114.13584000000003</v>
      </c>
      <c r="BF32" s="14">
        <f t="shared" si="37"/>
        <v>30.303317693701107</v>
      </c>
      <c r="BG32" s="22">
        <f t="shared" si="7"/>
        <v>251.56486631652947</v>
      </c>
      <c r="BH32" s="62">
        <f t="shared" si="8"/>
        <v>544.89819964986282</v>
      </c>
      <c r="BI32" s="62">
        <f ca="1">AVERAGE(OFFSET($BH$3,0,0,'Données projet'!$E$11+1,1))-AVERAGE(OFFSET($H$3,0,0,'Données projet'!$E$11+1,1))</f>
        <v>464.21202287459482</v>
      </c>
      <c r="BJ32" s="62">
        <f t="shared" si="38"/>
        <v>234.57880205159688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9.64</v>
      </c>
      <c r="BY32" s="13">
        <f>IF('Données projet'!$A$114&gt;35,BY31+BX32-CG31,IF(A32&lt;'Données projet'!$A$114,$BV$205^A32,IF(A32='Données projet'!$A$114,'Données projet'!$B$114,BY31+BX32-CG31)))</f>
        <v>103.86000000000003</v>
      </c>
      <c r="BZ32" s="14">
        <f>BY32*VLOOKUP('Données projet'!$B$12,Paramètres!$A$1:$I$89,3,0)*VLOOKUP('Données projet'!$B$12,Paramètres!$A$1:$I$89,5,0)</f>
        <v>82.631016000000031</v>
      </c>
      <c r="CA32" s="14">
        <f t="shared" si="39"/>
        <v>22.779264719214567</v>
      </c>
      <c r="CB32" s="22">
        <f t="shared" si="10"/>
        <v>183.58957225263211</v>
      </c>
      <c r="CC32" s="62">
        <f t="shared" si="11"/>
        <v>476.9229055859654</v>
      </c>
      <c r="CD32" s="62">
        <f ca="1">AVERAGE(OFFSET($CC$3,0,0,'Données projet'!$E$12+1,1))-AVERAGE(OFFSET($H$3,0,0,'Données projet'!$E$12+1,1))</f>
        <v>177.99876437322689</v>
      </c>
      <c r="CE32" s="62">
        <f t="shared" si="40"/>
        <v>165.68154380324592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11.249230769230769</v>
      </c>
      <c r="CT32" s="13">
        <f>IF('Données projet'!$A$140&gt;35,CT31+CS32-DB31,IF(A32&lt;'Données projet'!$A$140,$CQ$205^A32,IF(A32='Données projet'!$A$140,'Données projet'!$B$140,CT31+CS32-DB31)))</f>
        <v>184.65846153846152</v>
      </c>
      <c r="CU32" s="18">
        <f>CT32*VLOOKUP('Données projet'!$B$13,Paramètres!$A$1:$I$89,3,0)*VLOOKUP('Données projet'!$B$13,Paramètres!$A$1:$I$89,5,0)</f>
        <v>103.22407999999999</v>
      </c>
      <c r="CV32" s="14">
        <f t="shared" si="41"/>
        <v>27.728665892117057</v>
      </c>
      <c r="CW32" s="22">
        <f t="shared" si="13"/>
        <v>228.0760324287705</v>
      </c>
      <c r="CX32" s="62">
        <f t="shared" si="14"/>
        <v>521.40936576210379</v>
      </c>
      <c r="CY32" s="62">
        <f ca="1">AVERAGE(OFFSET($CX$3,0,0,'Données projet'!$E$13+1,1))-AVERAGE(OFFSET($H$3,0,0,'Données projet'!$E$13+1,1))</f>
        <v>242.07451379051349</v>
      </c>
      <c r="CZ32" s="62">
        <f t="shared" si="42"/>
        <v>207.11607964940754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14.166666666666666</v>
      </c>
      <c r="DO32" s="13">
        <f>IF('Données projet'!$A$166&gt;35,DO31+DN32-DW31,IF(A32&lt;'Données projet'!$A$166,$DL$205^A32,IF(A32='Données projet'!$A$166,'Données projet'!$B$166,DO31+DN32-DW31)))</f>
        <v>209.83333333333329</v>
      </c>
      <c r="DP32" s="18">
        <f>DO32*VLOOKUP('Données projet'!$B$14,Paramètres!$A$1:$I$89,3,0)*VLOOKUP('Données projet'!$B$14,Paramètres!$A$1:$I$89,5,0)</f>
        <v>130.93599999999998</v>
      </c>
      <c r="DQ32" s="14">
        <f t="shared" si="43"/>
        <v>34.21255106176632</v>
      </c>
      <c r="DR32" s="22">
        <f t="shared" si="16"/>
        <v>287.63372643257628</v>
      </c>
      <c r="DS32" s="62">
        <f t="shared" si="17"/>
        <v>580.96705976590965</v>
      </c>
      <c r="DT32" s="62">
        <f ca="1">AVERAGE(OFFSET($DS$3,0,0,'Données projet'!$E$14+1,1))-AVERAGE(OFFSET($H$3,0,0,'Données projet'!$E$14+1,1))</f>
        <v>178.56320966726986</v>
      </c>
      <c r="DU32" s="62">
        <f t="shared" si="44"/>
        <v>272.06842551411739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2.4978872589565961</v>
      </c>
      <c r="EC32" s="23">
        <f>EXP(-LN(2)/2)*EC31+(1-EXP(-LN(2)/2))/(LN(2)/2)*DW32*DZ32*VLOOKUP('Données projet'!$B$14,Paramètres!$A$1:$I$89,3,0)*0.475*44/12</f>
        <v>2.1789428477878094</v>
      </c>
      <c r="ED32" s="24">
        <f t="shared" si="18"/>
        <v>4.676830106744406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7.8</v>
      </c>
      <c r="EJ32" s="13">
        <f>IF('Données projet'!$A$192&gt;35,EJ31+EI32-ER31,IF(A32&lt;'Données projet'!$A$192,$EG$205^A32,IF(A32='Données projet'!$A$192,'Données projet'!$B$192,EJ31+EI32-ER31)))</f>
        <v>109.20000000000002</v>
      </c>
      <c r="EK32" s="18">
        <f>EJ32*VLOOKUP('Données projet'!$B$15,Paramètres!$A$1:$I$89,3,0)*VLOOKUP('Données projet'!$B$15,Paramètres!$A$1:$I$89,5,0)</f>
        <v>117.54288</v>
      </c>
      <c r="EL32" s="14">
        <f t="shared" si="45"/>
        <v>31.101228198889224</v>
      </c>
      <c r="EM32" s="22">
        <f t="shared" si="19"/>
        <v>258.88848844639875</v>
      </c>
      <c r="EN32" s="62">
        <f t="shared" si="20"/>
        <v>552.22182177973207</v>
      </c>
      <c r="EO32" s="62">
        <f ca="1">AVERAGE(OFFSET($EN$3,0,0,'Données projet'!$E$15+1,1))-AVERAGE(OFFSET($H$3,0,0,'Données projet'!$E$15+1,1))</f>
        <v>479.87943647026646</v>
      </c>
      <c r="EP32" s="62">
        <f t="shared" si="46"/>
        <v>242.41363045393223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7.8</v>
      </c>
      <c r="FE32" s="13">
        <f>IF('Données projet'!$A$218&gt;35,FE31+FD32-FM31,IF(A32&lt;'Données projet'!$A$218,$FB$205^A32,IF(A32='Données projet'!$A$218,'Données projet'!$B$218,FE31+FD32-FM31)))</f>
        <v>109.20000000000002</v>
      </c>
      <c r="FF32" s="18">
        <f>FE32*VLOOKUP('Données projet'!$B$16,Paramètres!$A$1:$I$89,3,0)*VLOOKUP('Données projet'!$B$16,Paramètres!$A$1:$I$89,5,0)</f>
        <v>105.61824000000001</v>
      </c>
      <c r="FG32" s="14">
        <f t="shared" si="47"/>
        <v>28.296178084029062</v>
      </c>
      <c r="FH32" s="22">
        <f t="shared" si="22"/>
        <v>233.23427816301728</v>
      </c>
      <c r="FI32" s="62">
        <f t="shared" si="23"/>
        <v>526.56761149635054</v>
      </c>
      <c r="FJ32" s="62">
        <f ca="1">AVERAGE(OFFSET($FI$3,0,0,'Données projet'!$E$16+1,1))-AVERAGE(OFFSET($H$3,0,0,'Données projet'!$E$16+1,1))</f>
        <v>425.00152674093977</v>
      </c>
      <c r="FK32" s="62">
        <f t="shared" si="48"/>
        <v>214.96884469274687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112</v>
      </c>
      <c r="L33" s="13">
        <f>VLOOKUP(A33,'Données projet'!$A$35:$I$55,9,0)</f>
        <v>3.7333333333333334</v>
      </c>
      <c r="M33" s="13">
        <f t="array" ref="M33">INDEX(L:L,MIN(IF(ISNUMBER(L33:L229),ROW(L33:L229),"")))</f>
        <v>3.7333333333333334</v>
      </c>
      <c r="N33" s="14">
        <f>IF('Données projet'!$A$36&gt;35,N32+M33-V32,IF(A33&lt;'Données projet'!$A$36,$K$205^A33,IF(A33='Données projet'!$A$36,'Données projet'!$B$36,N32+M33-V32)))</f>
        <v>112</v>
      </c>
      <c r="O33" s="14">
        <f>N33*VLOOKUP('Données projet'!$B$9,Paramètres!$A$1:$I$89,3,0)*VLOOKUP('Données projet'!$B$9,Paramètres!$A$1:$I$89,5,0)</f>
        <v>53.872</v>
      </c>
      <c r="P33" s="14">
        <f t="shared" si="33"/>
        <v>15.609338516941918</v>
      </c>
      <c r="Q33" s="22">
        <f t="shared" si="2"/>
        <v>121.0133312503405</v>
      </c>
      <c r="R33" s="62">
        <f t="shared" si="0"/>
        <v>414.34666458367383</v>
      </c>
      <c r="S33" s="62">
        <f ca="1">AVERAGE(OFFSET($R$3,0,0,'Données projet'!$E$9+1,1))-AVERAGE(OFFSET($H$3,0,0,'Données projet'!$E$9+1,1))</f>
        <v>179.22241276165141</v>
      </c>
      <c r="T33" s="62">
        <f t="shared" si="34"/>
        <v>86.510654589692876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123.35384615384616</v>
      </c>
      <c r="AG33" s="13">
        <f>VLOOKUP(A33,'Données projet'!$A$61:$I$81,9,0)</f>
        <v>10.670769230769233</v>
      </c>
      <c r="AH33" s="13">
        <f t="array" ref="AH33">INDEX(AG:AG,MIN(IF(ISNUMBER(AG33:AG229),ROW(AG33:AG229),"")))</f>
        <v>10.670769230769233</v>
      </c>
      <c r="AI33" s="14">
        <f>IF('Données projet'!$A$62&gt;35,AI32+AH33-AQ32,IF(A33&lt;'Données projet'!$A$62,$AF$205^A33,IF(A33='Données projet'!$A$62,'Données projet'!$B$62,AI32+AH33-AQ32)))</f>
        <v>123.35384615384618</v>
      </c>
      <c r="AJ33" s="14">
        <f>AI33*VLOOKUP('Données projet'!$B$10,Paramètres!$A$1:$I$89,3,0)*VLOOKUP('Données projet'!$B$10,Paramètres!$A$1:$I$89,5,0)</f>
        <v>73.76560000000002</v>
      </c>
      <c r="AK33" s="14">
        <f t="shared" si="35"/>
        <v>20.605718028460643</v>
      </c>
      <c r="AL33" s="22">
        <f t="shared" si="4"/>
        <v>164.36337889956897</v>
      </c>
      <c r="AM33" s="62">
        <f t="shared" si="5"/>
        <v>457.69671223290231</v>
      </c>
      <c r="AN33" s="62">
        <f ca="1">AVERAGE(OFFSET($AM$3,0,0,'Données projet'!$E$10+1,1))-AVERAGE(OFFSET($H$3,0,0,'Données projet'!$E$10+1,1))</f>
        <v>157.42757749057949</v>
      </c>
      <c r="AO33" s="62">
        <f t="shared" si="36"/>
        <v>129.86070223892136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3.0788224913226259</v>
      </c>
      <c r="AX33" s="23">
        <f t="shared" si="6"/>
        <v>3.0788224913226259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117</v>
      </c>
      <c r="BB33" s="13">
        <f>VLOOKUP(A33,'Données projet'!$A$87:$I$107,9,0)</f>
        <v>7.8</v>
      </c>
      <c r="BC33" s="13">
        <f t="array" ref="BC33">INDEX(BB:BB,MIN(IF(ISNUMBER(BB33:BB229),ROW(BB33:BB229),"")))</f>
        <v>7.8</v>
      </c>
      <c r="BD33" s="13">
        <f>IF('Données projet'!$A$88&gt;35,BD32+BC33-BL32,IF(A33&lt;'Données projet'!$A$88,$BA$205^A33,IF(A33='Données projet'!$A$88,'Données projet'!$B$88,BD32+BC33-BL32)))</f>
        <v>117.00000000000001</v>
      </c>
      <c r="BE33" s="14">
        <f>BD33*VLOOKUP('Données projet'!$B$11,Paramètres!$A$1:$I$89,3,0)*VLOOKUP('Données projet'!$B$11,Paramètres!$A$1:$I$89,5,0)</f>
        <v>122.28840000000002</v>
      </c>
      <c r="BF33" s="14">
        <f t="shared" si="37"/>
        <v>32.20814280128868</v>
      </c>
      <c r="BG33" s="22">
        <f t="shared" si="7"/>
        <v>269.08147871224452</v>
      </c>
      <c r="BH33" s="62">
        <f t="shared" si="8"/>
        <v>562.41481204557783</v>
      </c>
      <c r="BI33" s="62">
        <f ca="1">AVERAGE(OFFSET($BH$3,0,0,'Données projet'!$E$11+1,1))-AVERAGE(OFFSET($H$3,0,0,'Données projet'!$E$11+1,1))</f>
        <v>464.21202287459482</v>
      </c>
      <c r="BJ33" s="62">
        <f t="shared" si="38"/>
        <v>234.57880205159688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113.5</v>
      </c>
      <c r="BW33" s="13">
        <f>VLOOKUP(A33,'Données projet'!$A$113:$I$133,9,0)</f>
        <v>9.64</v>
      </c>
      <c r="BX33" s="13">
        <f t="array" ref="BX33">INDEX(BW:BW,MIN(IF(ISNUMBER(BW33:BW229),ROW(BW33:BW229),"")))</f>
        <v>9.64</v>
      </c>
      <c r="BY33" s="13">
        <f>IF('Données projet'!$A$114&gt;35,BY32+BX33-CG32,IF(A33&lt;'Données projet'!$A$114,$BV$205^A33,IF(A33='Données projet'!$A$114,'Données projet'!$B$114,BY32+BX33-CG32)))</f>
        <v>113.50000000000003</v>
      </c>
      <c r="BZ33" s="14">
        <f>BY33*VLOOKUP('Données projet'!$B$12,Paramètres!$A$1:$I$89,3,0)*VLOOKUP('Données projet'!$B$12,Paramètres!$A$1:$I$89,5,0)</f>
        <v>90.300600000000017</v>
      </c>
      <c r="CA33" s="14">
        <f t="shared" si="39"/>
        <v>24.637708400321639</v>
      </c>
      <c r="CB33" s="22">
        <f t="shared" si="10"/>
        <v>200.18422046389355</v>
      </c>
      <c r="CC33" s="62">
        <f t="shared" si="11"/>
        <v>493.51755379722687</v>
      </c>
      <c r="CD33" s="62">
        <f ca="1">AVERAGE(OFFSET($CC$3,0,0,'Données projet'!$E$12+1,1))-AVERAGE(OFFSET($H$3,0,0,'Données projet'!$E$12+1,1))</f>
        <v>177.99876437322689</v>
      </c>
      <c r="CE33" s="62">
        <f t="shared" si="40"/>
        <v>165.68154380324592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195.90769230769232</v>
      </c>
      <c r="CR33" s="13">
        <f>VLOOKUP(A33,'Données projet'!$A$139:$I$159,9,0)</f>
        <v>11.249230769230769</v>
      </c>
      <c r="CS33" s="13">
        <f t="array" ref="CS33">INDEX(CR:CR,MIN(IF(ISNUMBER(CR33:CR229),ROW(CR33:CR229),"")))</f>
        <v>11.249230769230769</v>
      </c>
      <c r="CT33" s="13">
        <f>IF('Données projet'!$A$140&gt;35,CT32+CS33-DB32,IF(A33&lt;'Données projet'!$A$140,$CQ$205^A33,IF(A33='Données projet'!$A$140,'Données projet'!$B$140,CT32+CS33-DB32)))</f>
        <v>195.90769230769229</v>
      </c>
      <c r="CU33" s="18">
        <f>CT33*VLOOKUP('Données projet'!$B$13,Paramètres!$A$1:$I$89,3,0)*VLOOKUP('Données projet'!$B$13,Paramètres!$A$1:$I$89,5,0)</f>
        <v>109.51239999999999</v>
      </c>
      <c r="CV33" s="14">
        <f t="shared" si="41"/>
        <v>29.216072522519749</v>
      </c>
      <c r="CW33" s="22">
        <f t="shared" si="13"/>
        <v>241.6187563100552</v>
      </c>
      <c r="CX33" s="62">
        <f t="shared" si="14"/>
        <v>534.95208964338849</v>
      </c>
      <c r="CY33" s="62">
        <f ca="1">AVERAGE(OFFSET($CX$3,0,0,'Données projet'!$E$13+1,1))-AVERAGE(OFFSET($H$3,0,0,'Données projet'!$E$13+1,1))</f>
        <v>242.07451379051349</v>
      </c>
      <c r="CZ33" s="62">
        <f t="shared" si="42"/>
        <v>207.11607964940754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224</v>
      </c>
      <c r="DM33" s="13">
        <f>VLOOKUP(A33,'Données projet'!$A$165:$I$185,9,0)</f>
        <v>14.166666666666666</v>
      </c>
      <c r="DN33" s="13">
        <f t="array" ref="DN33">INDEX(DM:DM,MIN(IF(ISNUMBER(DM33:DM229),ROW(DM33:DM229),"")))</f>
        <v>14.166666666666666</v>
      </c>
      <c r="DO33" s="13">
        <f>IF('Données projet'!$A$166&gt;35,DO32+DN33-DW32,IF(A33&lt;'Données projet'!$A$166,$DL$205^A33,IF(A33='Données projet'!$A$166,'Données projet'!$B$166,DO32+DN33-DW32)))</f>
        <v>223.99999999999994</v>
      </c>
      <c r="DP33" s="18">
        <f>DO33*VLOOKUP('Données projet'!$B$14,Paramètres!$A$1:$I$89,3,0)*VLOOKUP('Données projet'!$B$14,Paramètres!$A$1:$I$89,5,0)</f>
        <v>139.77599999999995</v>
      </c>
      <c r="DQ33" s="14">
        <f t="shared" si="43"/>
        <v>36.245685459195258</v>
      </c>
      <c r="DR33" s="22">
        <f t="shared" si="16"/>
        <v>306.57110217476503</v>
      </c>
      <c r="DS33" s="62">
        <f t="shared" si="17"/>
        <v>599.90443550809835</v>
      </c>
      <c r="DT33" s="62">
        <f ca="1">AVERAGE(OFFSET($DS$3,0,0,'Données projet'!$E$14+1,1))-AVERAGE(OFFSET($H$3,0,0,'Données projet'!$E$14+1,1))</f>
        <v>178.56320966726986</v>
      </c>
      <c r="DU33" s="62">
        <f t="shared" si="44"/>
        <v>272.06842551411739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53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0.12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7.6735102012804948</v>
      </c>
      <c r="EC33" s="23">
        <f>EXP(-LN(2)/2)*EC32+(1-EXP(-LN(2)/2))/(LN(2)/2)*DW33*DZ33*VLOOKUP('Données projet'!$B$14,Paramètres!$A$1:$I$89,3,0)*0.475*44/12</f>
        <v>16.518819881006799</v>
      </c>
      <c r="ED33" s="24">
        <f t="shared" si="18"/>
        <v>24.192330082287292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117</v>
      </c>
      <c r="EH33" s="13">
        <f>VLOOKUP(A33,'Données projet'!$A$191:$I$211,9,0)</f>
        <v>7.8</v>
      </c>
      <c r="EI33" s="13">
        <f t="array" ref="EI33">INDEX(EH:EH,MIN(IF(ISNUMBER(EH33:EH229),ROW(EH33:EH229),"")))</f>
        <v>7.8</v>
      </c>
      <c r="EJ33" s="13">
        <f>IF('Données projet'!$A$192&gt;35,EJ32+EI33-ER32,IF(A33&lt;'Données projet'!$A$192,$EG$205^A33,IF(A33='Données projet'!$A$192,'Données projet'!$B$192,EJ32+EI33-ER32)))</f>
        <v>117.00000000000001</v>
      </c>
      <c r="EK33" s="18">
        <f>EJ33*VLOOKUP('Données projet'!$B$15,Paramètres!$A$1:$I$89,3,0)*VLOOKUP('Données projet'!$B$15,Paramètres!$A$1:$I$89,5,0)</f>
        <v>125.93880000000001</v>
      </c>
      <c r="EL33" s="14">
        <f t="shared" si="45"/>
        <v>33.056208869615254</v>
      </c>
      <c r="EM33" s="22">
        <f t="shared" si="19"/>
        <v>276.91630711457992</v>
      </c>
      <c r="EN33" s="62">
        <f t="shared" si="20"/>
        <v>570.24964044791318</v>
      </c>
      <c r="EO33" s="62">
        <f ca="1">AVERAGE(OFFSET($EN$3,0,0,'Données projet'!$E$15+1,1))-AVERAGE(OFFSET($H$3,0,0,'Données projet'!$E$15+1,1))</f>
        <v>479.87943647026646</v>
      </c>
      <c r="EP33" s="62">
        <f t="shared" si="46"/>
        <v>242.41363045393223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117</v>
      </c>
      <c r="FC33" s="13">
        <f>VLOOKUP(A33,'Données projet'!$A$217:$I$237,9,0)</f>
        <v>7.8</v>
      </c>
      <c r="FD33" s="13">
        <f t="array" ref="FD33">INDEX(FC:FC,MIN(IF(ISNUMBER(FC33:FC229),ROW(FC33:FC229),"")))</f>
        <v>7.8</v>
      </c>
      <c r="FE33" s="13">
        <f>IF('Données projet'!$A$218&gt;35,FE32+FD33-FM32,IF(A33&lt;'Données projet'!$A$218,$FB$205^A33,IF(A33='Données projet'!$A$218,'Données projet'!$B$218,FE32+FD33-FM32)))</f>
        <v>117.00000000000001</v>
      </c>
      <c r="FF33" s="18">
        <f>FE33*VLOOKUP('Données projet'!$B$16,Paramètres!$A$1:$I$89,3,0)*VLOOKUP('Données projet'!$B$16,Paramètres!$A$1:$I$89,5,0)</f>
        <v>113.16240000000002</v>
      </c>
      <c r="FG33" s="14">
        <f t="shared" si="47"/>
        <v>30.074837140704965</v>
      </c>
      <c r="FH33" s="22">
        <f t="shared" si="22"/>
        <v>249.47152135339448</v>
      </c>
      <c r="FI33" s="62">
        <f t="shared" si="23"/>
        <v>542.80485468672782</v>
      </c>
      <c r="FJ33" s="62">
        <f ca="1">AVERAGE(OFFSET($FI$3,0,0,'Données projet'!$E$16+1,1))-AVERAGE(OFFSET($H$3,0,0,'Données projet'!$E$16+1,1))</f>
        <v>425.00152674093977</v>
      </c>
      <c r="FK33" s="62">
        <f t="shared" si="48"/>
        <v>214.96884469274687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</v>
      </c>
      <c r="N34" s="14">
        <f>IF('Données projet'!$A$36&gt;35,N33+M34-V33,IF(A34&lt;'Données projet'!$A$36,$K$205^A34,IF(A34='Données projet'!$A$36,'Données projet'!$B$36,N33+M34-V33)))</f>
        <v>121</v>
      </c>
      <c r="O34" s="14">
        <f>N34*VLOOKUP('Données projet'!$B$9,Paramètres!$A$1:$I$89,3,0)*VLOOKUP('Données projet'!$B$9,Paramètres!$A$1:$I$89,5,0)</f>
        <v>58.200999999999993</v>
      </c>
      <c r="P34" s="14">
        <f t="shared" si="33"/>
        <v>16.712622653789289</v>
      </c>
      <c r="Q34" s="22">
        <f t="shared" si="2"/>
        <v>130.47455945534963</v>
      </c>
      <c r="R34" s="62">
        <f t="shared" si="0"/>
        <v>423.80789278868292</v>
      </c>
      <c r="S34" s="62">
        <f ca="1">AVERAGE(OFFSET($R$3,0,0,'Données projet'!$E$9+1,1))-AVERAGE(OFFSET($H$3,0,0,'Données projet'!$E$9+1,1))</f>
        <v>179.22241276165141</v>
      </c>
      <c r="T34" s="62">
        <f t="shared" si="34"/>
        <v>86.510654589692876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10.669230769230758</v>
      </c>
      <c r="AI34" s="14">
        <f>IF('Données projet'!$A$62&gt;35,AI33+AH34-AQ33,IF(A34&lt;'Données projet'!$A$62,$AF$205^A34,IF(A34='Données projet'!$A$62,'Données projet'!$B$62,AI33+AH34-AQ33)))</f>
        <v>134.02307692307693</v>
      </c>
      <c r="AJ34" s="14">
        <f>AI34*VLOOKUP('Données projet'!$B$10,Paramètres!$A$1:$I$89,3,0)*VLOOKUP('Données projet'!$B$10,Paramètres!$A$1:$I$89,5,0)</f>
        <v>80.145800000000008</v>
      </c>
      <c r="AK34" s="14">
        <f t="shared" si="35"/>
        <v>22.17282920793744</v>
      </c>
      <c r="AL34" s="22">
        <f t="shared" si="4"/>
        <v>178.20494587049106</v>
      </c>
      <c r="AM34" s="62">
        <f t="shared" si="5"/>
        <v>471.53827920382435</v>
      </c>
      <c r="AN34" s="62">
        <f ca="1">AVERAGE(OFFSET($AM$3,0,0,'Données projet'!$E$10+1,1))-AVERAGE(OFFSET($H$3,0,0,'Données projet'!$E$10+1,1))</f>
        <v>157.42757749057949</v>
      </c>
      <c r="AO34" s="62">
        <f t="shared" si="36"/>
        <v>129.86070223892136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2.1770562616838891</v>
      </c>
      <c r="AX34" s="23">
        <f t="shared" si="6"/>
        <v>2.1770562616838891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125.00000000000001</v>
      </c>
      <c r="BE34" s="14">
        <f>BD34*VLOOKUP('Données projet'!$B$11,Paramètres!$A$1:$I$89,3,0)*VLOOKUP('Données projet'!$B$11,Paramètres!$A$1:$I$89,5,0)</f>
        <v>130.65000000000003</v>
      </c>
      <c r="BF34" s="14">
        <f t="shared" si="37"/>
        <v>34.146511621978362</v>
      </c>
      <c r="BG34" s="22">
        <f t="shared" si="7"/>
        <v>287.02059107494568</v>
      </c>
      <c r="BH34" s="62">
        <f t="shared" si="8"/>
        <v>580.353924408279</v>
      </c>
      <c r="BI34" s="62">
        <f ca="1">AVERAGE(OFFSET($BH$3,0,0,'Données projet'!$E$11+1,1))-AVERAGE(OFFSET($H$3,0,0,'Données projet'!$E$11+1,1))</f>
        <v>464.21202287459482</v>
      </c>
      <c r="BJ34" s="62">
        <f t="shared" si="38"/>
        <v>234.57880205159688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8.7199999999999989</v>
      </c>
      <c r="BY34" s="13">
        <f>IF('Données projet'!$A$114&gt;35,BY33+BX34-CG33,IF(A34&lt;'Données projet'!$A$114,$BV$205^A34,IF(A34='Données projet'!$A$114,'Données projet'!$B$114,BY33+BX34-CG33)))</f>
        <v>122.22000000000003</v>
      </c>
      <c r="BZ34" s="14">
        <f>BY34*VLOOKUP('Données projet'!$B$12,Paramètres!$A$1:$I$89,3,0)*VLOOKUP('Données projet'!$B$12,Paramètres!$A$1:$I$89,5,0)</f>
        <v>97.238232000000025</v>
      </c>
      <c r="CA34" s="14">
        <f t="shared" si="39"/>
        <v>26.302975815247304</v>
      </c>
      <c r="CB34" s="22">
        <f t="shared" si="10"/>
        <v>215.16760361155573</v>
      </c>
      <c r="CC34" s="62">
        <f t="shared" si="11"/>
        <v>508.50093694488908</v>
      </c>
      <c r="CD34" s="62">
        <f ca="1">AVERAGE(OFFSET($CC$3,0,0,'Données projet'!$E$12+1,1))-AVERAGE(OFFSET($H$3,0,0,'Données projet'!$E$12+1,1))</f>
        <v>177.99876437322689</v>
      </c>
      <c r="CE34" s="62">
        <f t="shared" si="40"/>
        <v>165.68154380324592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11.25</v>
      </c>
      <c r="CT34" s="13">
        <f>IF('Données projet'!$A$140&gt;35,CT33+CS34-DB33,IF(A34&lt;'Données projet'!$A$140,$CQ$205^A34,IF(A34='Données projet'!$A$140,'Données projet'!$B$140,CT33+CS34-DB33)))</f>
        <v>207.15769230769229</v>
      </c>
      <c r="CU34" s="18">
        <f>CT34*VLOOKUP('Données projet'!$B$13,Paramètres!$A$1:$I$89,3,0)*VLOOKUP('Données projet'!$B$13,Paramètres!$A$1:$I$89,5,0)</f>
        <v>115.80114999999999</v>
      </c>
      <c r="CV34" s="14">
        <f t="shared" si="41"/>
        <v>30.693665710921096</v>
      </c>
      <c r="CW34" s="22">
        <f t="shared" si="13"/>
        <v>255.14513736318759</v>
      </c>
      <c r="CX34" s="62">
        <f t="shared" si="14"/>
        <v>548.47847069652084</v>
      </c>
      <c r="CY34" s="62">
        <f ca="1">AVERAGE(OFFSET($CX$3,0,0,'Données projet'!$E$13+1,1))-AVERAGE(OFFSET($H$3,0,0,'Données projet'!$E$13+1,1))</f>
        <v>242.07451379051349</v>
      </c>
      <c r="CZ34" s="62">
        <f t="shared" si="42"/>
        <v>207.11607964940754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12.833333333333334</v>
      </c>
      <c r="DO34" s="13">
        <f>IF('Données projet'!$A$166&gt;35,DO33+DN34-DW33,IF(A34&lt;'Données projet'!$A$166,$DL$205^A34,IF(A34='Données projet'!$A$166,'Données projet'!$B$166,DO33+DN34-DW33)))</f>
        <v>183.83333333333329</v>
      </c>
      <c r="DP34" s="18">
        <f>DO34*VLOOKUP('Données projet'!$B$14,Paramètres!$A$1:$I$89,3,0)*VLOOKUP('Données projet'!$B$14,Paramètres!$A$1:$I$89,5,0)</f>
        <v>114.71199999999997</v>
      </c>
      <c r="DQ34" s="14">
        <f t="shared" si="43"/>
        <v>30.438443898016164</v>
      </c>
      <c r="DR34" s="22">
        <f t="shared" si="16"/>
        <v>252.80368978904474</v>
      </c>
      <c r="DS34" s="62">
        <f t="shared" si="17"/>
        <v>546.13702312237808</v>
      </c>
      <c r="DT34" s="62">
        <f ca="1">AVERAGE(OFFSET($DS$3,0,0,'Données projet'!$E$14+1,1))-AVERAGE(OFFSET($H$3,0,0,'Données projet'!$E$14+1,1))</f>
        <v>178.56320966726986</v>
      </c>
      <c r="DU34" s="62">
        <f t="shared" si="44"/>
        <v>272.06842551411739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7.463677661294116</v>
      </c>
      <c r="EC34" s="23">
        <f>EXP(-LN(2)/2)*EC33+(1-EXP(-LN(2)/2))/(LN(2)/2)*DW34*DZ34*VLOOKUP('Données projet'!$B$14,Paramètres!$A$1:$I$89,3,0)*0.475*44/12</f>
        <v>11.680569555059066</v>
      </c>
      <c r="ED34" s="24">
        <f t="shared" si="18"/>
        <v>19.144247216353182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125.00000000000001</v>
      </c>
      <c r="EK34" s="18">
        <f>EJ34*VLOOKUP('Données projet'!$B$15,Paramètres!$A$1:$I$89,3,0)*VLOOKUP('Données projet'!$B$15,Paramètres!$A$1:$I$89,5,0)</f>
        <v>134.55000000000001</v>
      </c>
      <c r="EL34" s="14">
        <f t="shared" si="45"/>
        <v>35.045616486142094</v>
      </c>
      <c r="EM34" s="22">
        <f t="shared" si="19"/>
        <v>295.37903204669743</v>
      </c>
      <c r="EN34" s="62">
        <f t="shared" si="20"/>
        <v>588.71236538003075</v>
      </c>
      <c r="EO34" s="62">
        <f ca="1">AVERAGE(OFFSET($EN$3,0,0,'Données projet'!$E$15+1,1))-AVERAGE(OFFSET($H$3,0,0,'Données projet'!$E$15+1,1))</f>
        <v>479.87943647026646</v>
      </c>
      <c r="EP34" s="62">
        <f t="shared" si="46"/>
        <v>242.41363045393223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125.00000000000001</v>
      </c>
      <c r="FF34" s="18">
        <f>FE34*VLOOKUP('Données projet'!$B$16,Paramètres!$A$1:$I$89,3,0)*VLOOKUP('Données projet'!$B$16,Paramètres!$A$1:$I$89,5,0)</f>
        <v>120.90000000000002</v>
      </c>
      <c r="FG34" s="14">
        <f t="shared" si="47"/>
        <v>31.884818143351627</v>
      </c>
      <c r="FH34" s="22">
        <f t="shared" si="22"/>
        <v>266.10022493300409</v>
      </c>
      <c r="FI34" s="62">
        <f t="shared" si="23"/>
        <v>559.4335582663374</v>
      </c>
      <c r="FJ34" s="62">
        <f ca="1">AVERAGE(OFFSET($FI$3,0,0,'Données projet'!$E$16+1,1))-AVERAGE(OFFSET($H$3,0,0,'Données projet'!$E$16+1,1))</f>
        <v>425.00152674093977</v>
      </c>
      <c r="FK34" s="62">
        <f t="shared" si="48"/>
        <v>214.96884469274687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</v>
      </c>
      <c r="N35" s="14">
        <f>IF('Données projet'!$A$36&gt;35,N34+M35-V34,IF(A35&lt;'Données projet'!$A$36,$K$205^A35,IF(A35='Données projet'!$A$36,'Données projet'!$B$36,N34+M35-V34)))</f>
        <v>130</v>
      </c>
      <c r="O35" s="14">
        <f>N35*VLOOKUP('Données projet'!$B$9,Paramètres!$A$1:$I$89,3,0)*VLOOKUP('Données projet'!$B$9,Paramètres!$A$1:$I$89,5,0)</f>
        <v>62.53</v>
      </c>
      <c r="P35" s="14">
        <f t="shared" si="33"/>
        <v>17.806386690475314</v>
      </c>
      <c r="Q35" s="22">
        <f t="shared" ref="Q35:Q66" si="53">(O35+P35)*0.475*44/12</f>
        <v>139.91920681924447</v>
      </c>
      <c r="R35" s="62">
        <f t="shared" si="0"/>
        <v>433.25254015257781</v>
      </c>
      <c r="S35" s="62">
        <f ca="1">AVERAGE(OFFSET($R$3,0,0,'Données projet'!$E$9+1,1))-AVERAGE(OFFSET($H$3,0,0,'Données projet'!$E$9+1,1))</f>
        <v>179.22241276165141</v>
      </c>
      <c r="T35" s="62">
        <f t="shared" si="34"/>
        <v>86.510654589692876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>
        <f>VLOOKUP(A35,'Données projet'!$A$61:$I$81,2,0)</f>
        <v>144.69230769230768</v>
      </c>
      <c r="AG35" s="13">
        <f>VLOOKUP(A35,'Données projet'!$A$61:$I$81,9,0)</f>
        <v>10.669230769230758</v>
      </c>
      <c r="AH35" s="13">
        <f t="array" ref="AH35">INDEX(AG:AG,MIN(IF(ISNUMBER(AG35:AG231),ROW(AG35:AG231),"")))</f>
        <v>10.669230769230758</v>
      </c>
      <c r="AI35" s="14">
        <f>IF('Données projet'!$A$62&gt;35,AI34+AH35-AQ34,IF(A35&lt;'Données projet'!$A$62,$AF$205^A35,IF(A35='Données projet'!$A$62,'Données projet'!$B$62,AI34+AH35-AQ34)))</f>
        <v>144.69230769230768</v>
      </c>
      <c r="AJ35" s="14">
        <f>AI35*VLOOKUP('Données projet'!$B$10,Paramètres!$A$1:$I$89,3,0)*VLOOKUP('Données projet'!$B$10,Paramètres!$A$1:$I$89,5,0)</f>
        <v>86.525999999999996</v>
      </c>
      <c r="AK35" s="14">
        <f t="shared" si="35"/>
        <v>23.725470008852188</v>
      </c>
      <c r="AL35" s="22">
        <f t="shared" si="4"/>
        <v>192.02131026541755</v>
      </c>
      <c r="AM35" s="62">
        <f t="shared" si="5"/>
        <v>485.35464359875084</v>
      </c>
      <c r="AN35" s="62">
        <f ca="1">AVERAGE(OFFSET($AM$3,0,0,'Données projet'!$E$10+1,1))-AVERAGE(OFFSET($H$3,0,0,'Données projet'!$E$10+1,1))</f>
        <v>157.42757749057949</v>
      </c>
      <c r="AO35" s="62">
        <f t="shared" si="36"/>
        <v>129.86070223892136</v>
      </c>
      <c r="AP35" s="16">
        <f>IF(ISNA(VLOOKUP(A35,'Données projet'!$A$61:$I$81,3,0)),0,VLOOKUP(A35,'Données projet'!$A$61:$I$81,3,0))</f>
        <v>2</v>
      </c>
      <c r="AQ35" s="16">
        <f>IF(ISNA(VLOOKUP(A35,'Données projet'!$A$61:$I$81,4,0)),0,VLOOKUP(A35,'Données projet'!$A$61:$I$81,4,0))</f>
        <v>41.469230769230762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1.5394112456613129</v>
      </c>
      <c r="AX35" s="23">
        <f t="shared" si="6"/>
        <v>1.5394112456613129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133</v>
      </c>
      <c r="BE35" s="14">
        <f>BD35*VLOOKUP('Données projet'!$B$11,Paramètres!$A$1:$I$89,3,0)*VLOOKUP('Données projet'!$B$11,Paramètres!$A$1:$I$89,5,0)</f>
        <v>139.01160000000002</v>
      </c>
      <c r="BF35" s="14">
        <f t="shared" si="37"/>
        <v>36.070483651541458</v>
      </c>
      <c r="BG35" s="22">
        <f t="shared" si="7"/>
        <v>304.93462902643472</v>
      </c>
      <c r="BH35" s="62">
        <f t="shared" si="8"/>
        <v>598.26796235976803</v>
      </c>
      <c r="BI35" s="62">
        <f ca="1">AVERAGE(OFFSET($BH$3,0,0,'Données projet'!$E$11+1,1))-AVERAGE(OFFSET($H$3,0,0,'Données projet'!$E$11+1,1))</f>
        <v>464.21202287459482</v>
      </c>
      <c r="BJ35" s="62">
        <f t="shared" si="38"/>
        <v>234.57880205159688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8.7199999999999989</v>
      </c>
      <c r="BY35" s="13">
        <f>IF('Données projet'!$A$114&gt;35,BY34+BX35-CG34,IF(A35&lt;'Données projet'!$A$114,$BV$205^A35,IF(A35='Données projet'!$A$114,'Données projet'!$B$114,BY34+BX35-CG34)))</f>
        <v>130.94000000000003</v>
      </c>
      <c r="BZ35" s="14">
        <f>BY35*VLOOKUP('Données projet'!$B$12,Paramètres!$A$1:$I$89,3,0)*VLOOKUP('Données projet'!$B$12,Paramètres!$A$1:$I$89,5,0)</f>
        <v>104.17586400000002</v>
      </c>
      <c r="CA35" s="14">
        <f t="shared" si="39"/>
        <v>27.954458508686308</v>
      </c>
      <c r="CB35" s="22">
        <f t="shared" si="10"/>
        <v>230.12697836929533</v>
      </c>
      <c r="CC35" s="62">
        <f t="shared" si="11"/>
        <v>523.46031170262859</v>
      </c>
      <c r="CD35" s="62">
        <f ca="1">AVERAGE(OFFSET($CC$3,0,0,'Données projet'!$E$12+1,1))-AVERAGE(OFFSET($H$3,0,0,'Données projet'!$E$12+1,1))</f>
        <v>177.99876437322689</v>
      </c>
      <c r="CE35" s="62">
        <f t="shared" si="40"/>
        <v>165.68154380324592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11.25</v>
      </c>
      <c r="CT35" s="13">
        <f>IF('Données projet'!$A$140&gt;35,CT34+CS35-DB34,IF(A35&lt;'Données projet'!$A$140,$CQ$205^A35,IF(A35='Données projet'!$A$140,'Données projet'!$B$140,CT34+CS35-DB34)))</f>
        <v>218.40769230769229</v>
      </c>
      <c r="CU35" s="18">
        <f>CT35*VLOOKUP('Données projet'!$B$13,Paramètres!$A$1:$I$89,3,0)*VLOOKUP('Données projet'!$B$13,Paramètres!$A$1:$I$89,5,0)</f>
        <v>122.08989999999999</v>
      </c>
      <c r="CV35" s="14">
        <f t="shared" si="41"/>
        <v>32.161943257218681</v>
      </c>
      <c r="CW35" s="22">
        <f t="shared" si="13"/>
        <v>268.65529367298916</v>
      </c>
      <c r="CX35" s="62">
        <f t="shared" si="14"/>
        <v>561.98862700632253</v>
      </c>
      <c r="CY35" s="62">
        <f ca="1">AVERAGE(OFFSET($CX$3,0,0,'Données projet'!$E$13+1,1))-AVERAGE(OFFSET($H$3,0,0,'Données projet'!$E$13+1,1))</f>
        <v>242.07451379051349</v>
      </c>
      <c r="CZ35" s="62">
        <f t="shared" si="42"/>
        <v>207.11607964940754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12.833333333333334</v>
      </c>
      <c r="DO35" s="13">
        <f>IF('Données projet'!$A$166&gt;35,DO34+DN35-DW34,IF(A35&lt;'Données projet'!$A$166,$DL$205^A35,IF(A35='Données projet'!$A$166,'Données projet'!$B$166,DO34+DN35-DW34)))</f>
        <v>196.66666666666663</v>
      </c>
      <c r="DP35" s="18">
        <f>DO35*VLOOKUP('Données projet'!$B$14,Paramètres!$A$1:$I$89,3,0)*VLOOKUP('Données projet'!$B$14,Paramètres!$A$1:$I$89,5,0)</f>
        <v>122.71999999999997</v>
      </c>
      <c r="DQ35" s="14">
        <f t="shared" si="43"/>
        <v>32.308564708068729</v>
      </c>
      <c r="DR35" s="22">
        <f t="shared" si="16"/>
        <v>270.00808353321963</v>
      </c>
      <c r="DS35" s="62">
        <f t="shared" si="17"/>
        <v>563.34141686655289</v>
      </c>
      <c r="DT35" s="62">
        <f ca="1">AVERAGE(OFFSET($DS$3,0,0,'Données projet'!$E$14+1,1))-AVERAGE(OFFSET($H$3,0,0,'Données projet'!$E$14+1,1))</f>
        <v>178.56320966726986</v>
      </c>
      <c r="DU35" s="62">
        <f t="shared" si="44"/>
        <v>272.06842551411739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7.2595830031482791</v>
      </c>
      <c r="EC35" s="23">
        <f>EXP(-LN(2)/2)*EC34+(1-EXP(-LN(2)/2))/(LN(2)/2)*DW35*DZ35*VLOOKUP('Données projet'!$B$14,Paramètres!$A$1:$I$89,3,0)*0.475*44/12</f>
        <v>8.2594099405033994</v>
      </c>
      <c r="ED35" s="24">
        <f t="shared" si="18"/>
        <v>15.518992943651678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133</v>
      </c>
      <c r="EK35" s="18">
        <f>EJ35*VLOOKUP('Données projet'!$B$15,Paramètres!$A$1:$I$89,3,0)*VLOOKUP('Données projet'!$B$15,Paramètres!$A$1:$I$89,5,0)</f>
        <v>143.16120000000001</v>
      </c>
      <c r="EL35" s="14">
        <f t="shared" si="45"/>
        <v>37.020248232558458</v>
      </c>
      <c r="EM35" s="22">
        <f t="shared" si="19"/>
        <v>313.81602233837265</v>
      </c>
      <c r="EN35" s="62">
        <f t="shared" si="20"/>
        <v>607.14935567170596</v>
      </c>
      <c r="EO35" s="62">
        <f ca="1">AVERAGE(OFFSET($EN$3,0,0,'Données projet'!$E$15+1,1))-AVERAGE(OFFSET($H$3,0,0,'Données projet'!$E$15+1,1))</f>
        <v>479.87943647026646</v>
      </c>
      <c r="EP35" s="62">
        <f t="shared" si="46"/>
        <v>242.41363045393223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133</v>
      </c>
      <c r="FF35" s="18">
        <f>FE35*VLOOKUP('Données projet'!$B$16,Paramètres!$A$1:$I$89,3,0)*VLOOKUP('Données projet'!$B$16,Paramètres!$A$1:$I$89,5,0)</f>
        <v>128.63759999999999</v>
      </c>
      <c r="FG35" s="14">
        <f t="shared" si="47"/>
        <v>33.681355926028921</v>
      </c>
      <c r="FH35" s="22">
        <f t="shared" si="22"/>
        <v>282.70551490450038</v>
      </c>
      <c r="FI35" s="62">
        <f t="shared" si="23"/>
        <v>576.03884823783369</v>
      </c>
      <c r="FJ35" s="62">
        <f ca="1">AVERAGE(OFFSET($FI$3,0,0,'Données projet'!$E$16+1,1))-AVERAGE(OFFSET($H$3,0,0,'Données projet'!$E$16+1,1))</f>
        <v>425.00152674093977</v>
      </c>
      <c r="FK35" s="62">
        <f t="shared" si="48"/>
        <v>214.96884469274687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</v>
      </c>
      <c r="N36" s="14">
        <f>IF('Données projet'!$A$36&gt;35,N35+M36-V35,IF(A36&lt;'Données projet'!$A$36,$K$205^A36,IF(A36='Données projet'!$A$36,'Données projet'!$B$36,N35+M36-V35)))</f>
        <v>139</v>
      </c>
      <c r="O36" s="14">
        <f>N36*VLOOKUP('Données projet'!$B$9,Paramètres!$A$1:$I$89,3,0)*VLOOKUP('Données projet'!$B$9,Paramètres!$A$1:$I$89,5,0)</f>
        <v>66.859000000000009</v>
      </c>
      <c r="P36" s="14">
        <f t="shared" si="33"/>
        <v>18.89136468476147</v>
      </c>
      <c r="Q36" s="22">
        <f t="shared" si="53"/>
        <v>149.34855182595956</v>
      </c>
      <c r="R36" s="62">
        <f t="shared" si="0"/>
        <v>442.68188515929285</v>
      </c>
      <c r="S36" s="62">
        <f ca="1">AVERAGE(OFFSET($R$3,0,0,'Données projet'!$E$9+1,1))-AVERAGE(OFFSET($H$3,0,0,'Données projet'!$E$9+1,1))</f>
        <v>179.22241276165141</v>
      </c>
      <c r="T36" s="62">
        <f t="shared" si="34"/>
        <v>86.510654589692876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112.09230769230768</v>
      </c>
      <c r="AG36" s="13">
        <f>VLOOKUP(A36,'Données projet'!$A$61:$I$81,9,0)</f>
        <v>8.8692307692307679</v>
      </c>
      <c r="AH36" s="13">
        <f t="array" ref="AH36">INDEX(AG:AG,MIN(IF(ISNUMBER(AG36:AG232),ROW(AG36:AG232),"")))</f>
        <v>8.8692307692307679</v>
      </c>
      <c r="AI36" s="14">
        <f>IF('Données projet'!$A$62&gt;35,AI35+AH36-AQ35,IF(A36&lt;'Données projet'!$A$62,$AF$205^A36,IF(A36='Données projet'!$A$62,'Données projet'!$B$62,AI35+AH36-AQ35)))</f>
        <v>112.09230769230768</v>
      </c>
      <c r="AJ36" s="14">
        <f>AI36*VLOOKUP('Données projet'!$B$10,Paramètres!$A$1:$I$89,3,0)*VLOOKUP('Données projet'!$B$10,Paramètres!$A$1:$I$89,5,0)</f>
        <v>67.031199999999998</v>
      </c>
      <c r="AK36" s="14">
        <f t="shared" si="35"/>
        <v>18.934350707793648</v>
      </c>
      <c r="AL36" s="22">
        <f t="shared" si="4"/>
        <v>149.72333414940726</v>
      </c>
      <c r="AM36" s="62">
        <f t="shared" si="5"/>
        <v>443.05666748274058</v>
      </c>
      <c r="AN36" s="62">
        <f ca="1">AVERAGE(OFFSET($AM$3,0,0,'Données projet'!$E$10+1,1))-AVERAGE(OFFSET($H$3,0,0,'Données projet'!$E$10+1,1))</f>
        <v>157.42757749057949</v>
      </c>
      <c r="AO36" s="62">
        <f t="shared" si="36"/>
        <v>129.86070223892136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1.0885281308419446</v>
      </c>
      <c r="AX36" s="23">
        <f t="shared" si="6"/>
        <v>1.0885281308419446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141</v>
      </c>
      <c r="BE36" s="14">
        <f>BD36*VLOOKUP('Données projet'!$B$11,Paramètres!$A$1:$I$89,3,0)*VLOOKUP('Données projet'!$B$11,Paramètres!$A$1:$I$89,5,0)</f>
        <v>147.3732</v>
      </c>
      <c r="BF36" s="14">
        <f t="shared" si="37"/>
        <v>37.981023482703954</v>
      </c>
      <c r="BG36" s="22">
        <f t="shared" si="7"/>
        <v>322.82527256570938</v>
      </c>
      <c r="BH36" s="62">
        <f t="shared" si="8"/>
        <v>616.15860589904264</v>
      </c>
      <c r="BI36" s="62">
        <f ca="1">AVERAGE(OFFSET($BH$3,0,0,'Données projet'!$E$11+1,1))-AVERAGE(OFFSET($H$3,0,0,'Données projet'!$E$11+1,1))</f>
        <v>464.21202287459482</v>
      </c>
      <c r="BJ36" s="62">
        <f t="shared" si="38"/>
        <v>234.57880205159688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8.7199999999999989</v>
      </c>
      <c r="BY36" s="13">
        <f>IF('Données projet'!$A$114&gt;35,BY35+BX36-CG35,IF(A36&lt;'Données projet'!$A$114,$BV$205^A36,IF(A36='Données projet'!$A$114,'Données projet'!$B$114,BY35+BX36-CG35)))</f>
        <v>139.66000000000003</v>
      </c>
      <c r="BZ36" s="14">
        <f>BY36*VLOOKUP('Données projet'!$B$12,Paramètres!$A$1:$I$89,3,0)*VLOOKUP('Données projet'!$B$12,Paramètres!$A$1:$I$89,5,0)</f>
        <v>111.11349600000004</v>
      </c>
      <c r="CA36" s="14">
        <f t="shared" si="39"/>
        <v>29.593178934171796</v>
      </c>
      <c r="CB36" s="22">
        <f t="shared" si="10"/>
        <v>245.06412551034927</v>
      </c>
      <c r="CC36" s="62">
        <f t="shared" si="11"/>
        <v>538.39745884368256</v>
      </c>
      <c r="CD36" s="62">
        <f ca="1">AVERAGE(OFFSET($CC$3,0,0,'Données projet'!$E$12+1,1))-AVERAGE(OFFSET($H$3,0,0,'Données projet'!$E$12+1,1))</f>
        <v>177.99876437322689</v>
      </c>
      <c r="CE36" s="62">
        <f t="shared" si="40"/>
        <v>165.68154380324592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11.25</v>
      </c>
      <c r="CT36" s="13">
        <f>IF('Données projet'!$A$140&gt;35,CT35+CS36-DB35,IF(A36&lt;'Données projet'!$A$140,$CQ$205^A36,IF(A36='Données projet'!$A$140,'Données projet'!$B$140,CT35+CS36-DB35)))</f>
        <v>229.65769230769229</v>
      </c>
      <c r="CU36" s="18">
        <f>CT36*VLOOKUP('Données projet'!$B$13,Paramètres!$A$1:$I$89,3,0)*VLOOKUP('Données projet'!$B$13,Paramètres!$A$1:$I$89,5,0)</f>
        <v>128.37864999999999</v>
      </c>
      <c r="CV36" s="14">
        <f t="shared" si="41"/>
        <v>33.621439737775056</v>
      </c>
      <c r="CW36" s="22">
        <f t="shared" si="13"/>
        <v>282.15015629329156</v>
      </c>
      <c r="CX36" s="62">
        <f t="shared" si="14"/>
        <v>575.48348962662487</v>
      </c>
      <c r="CY36" s="62">
        <f ca="1">AVERAGE(OFFSET($CX$3,0,0,'Données projet'!$E$13+1,1))-AVERAGE(OFFSET($H$3,0,0,'Données projet'!$E$13+1,1))</f>
        <v>242.07451379051349</v>
      </c>
      <c r="CZ36" s="62">
        <f t="shared" si="42"/>
        <v>207.11607964940754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12.833333333333334</v>
      </c>
      <c r="DO36" s="13">
        <f>IF('Données projet'!$A$166&gt;35,DO35+DN36-DW35,IF(A36&lt;'Données projet'!$A$166,$DL$205^A36,IF(A36='Données projet'!$A$166,'Données projet'!$B$166,DO35+DN36-DW35)))</f>
        <v>209.49999999999997</v>
      </c>
      <c r="DP36" s="18">
        <f>DO36*VLOOKUP('Données projet'!$B$14,Paramètres!$A$1:$I$89,3,0)*VLOOKUP('Données projet'!$B$14,Paramètres!$A$1:$I$89,5,0)</f>
        <v>130.72799999999998</v>
      </c>
      <c r="DQ36" s="14">
        <f t="shared" si="43"/>
        <v>34.164524045585857</v>
      </c>
      <c r="DR36" s="22">
        <f t="shared" si="16"/>
        <v>287.18781271272866</v>
      </c>
      <c r="DS36" s="62">
        <f t="shared" si="17"/>
        <v>580.52114604606197</v>
      </c>
      <c r="DT36" s="62">
        <f ca="1">AVERAGE(OFFSET($DS$3,0,0,'Données projet'!$E$14+1,1))-AVERAGE(OFFSET($H$3,0,0,'Données projet'!$E$14+1,1))</f>
        <v>178.56320966726986</v>
      </c>
      <c r="DU36" s="62">
        <f t="shared" si="44"/>
        <v>272.06842551411739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7.061069324162311</v>
      </c>
      <c r="EC36" s="23">
        <f>EXP(-LN(2)/2)*EC35+(1-EXP(-LN(2)/2))/(LN(2)/2)*DW36*DZ36*VLOOKUP('Données projet'!$B$14,Paramètres!$A$1:$I$89,3,0)*0.475*44/12</f>
        <v>5.8402847775295328</v>
      </c>
      <c r="ED36" s="24">
        <f t="shared" si="18"/>
        <v>12.901354101691844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141</v>
      </c>
      <c r="EK36" s="18">
        <f>EJ36*VLOOKUP('Données projet'!$B$15,Paramètres!$A$1:$I$89,3,0)*VLOOKUP('Données projet'!$B$15,Paramètres!$A$1:$I$89,5,0)</f>
        <v>151.7724</v>
      </c>
      <c r="EL36" s="14">
        <f t="shared" si="45"/>
        <v>38.981094100085407</v>
      </c>
      <c r="EM36" s="22">
        <f t="shared" si="19"/>
        <v>332.22900222431537</v>
      </c>
      <c r="EN36" s="62">
        <f t="shared" si="20"/>
        <v>625.56233555764868</v>
      </c>
      <c r="EO36" s="62">
        <f ca="1">AVERAGE(OFFSET($EN$3,0,0,'Données projet'!$E$15+1,1))-AVERAGE(OFFSET($H$3,0,0,'Données projet'!$E$15+1,1))</f>
        <v>479.87943647026646</v>
      </c>
      <c r="EP36" s="62">
        <f t="shared" si="46"/>
        <v>242.41363045393223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141</v>
      </c>
      <c r="FF36" s="18">
        <f>FE36*VLOOKUP('Données projet'!$B$16,Paramètres!$A$1:$I$89,3,0)*VLOOKUP('Données projet'!$B$16,Paramètres!$A$1:$I$89,5,0)</f>
        <v>136.37520000000001</v>
      </c>
      <c r="FG36" s="14">
        <f t="shared" si="47"/>
        <v>35.465351191684015</v>
      </c>
      <c r="FH36" s="22">
        <f t="shared" si="22"/>
        <v>299.28895999218298</v>
      </c>
      <c r="FI36" s="62">
        <f t="shared" si="23"/>
        <v>592.62229332551624</v>
      </c>
      <c r="FJ36" s="62">
        <f ca="1">AVERAGE(OFFSET($FI$3,0,0,'Données projet'!$E$16+1,1))-AVERAGE(OFFSET($H$3,0,0,'Données projet'!$E$16+1,1))</f>
        <v>425.00152674093977</v>
      </c>
      <c r="FK36" s="62">
        <f t="shared" si="48"/>
        <v>214.96884469274687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</v>
      </c>
      <c r="N37" s="14">
        <f>IF('Données projet'!$A$36&gt;35,N36+M37-V36,IF(A37&lt;'Données projet'!$A$36,$K$205^A37,IF(A37='Données projet'!$A$36,'Données projet'!$B$36,N36+M37-V36)))</f>
        <v>148</v>
      </c>
      <c r="O37" s="14">
        <f>N37*VLOOKUP('Données projet'!$B$9,Paramètres!$A$1:$I$89,3,0)*VLOOKUP('Données projet'!$B$9,Paramètres!$A$1:$I$89,5,0)</f>
        <v>71.188000000000002</v>
      </c>
      <c r="P37" s="14">
        <f t="shared" si="33"/>
        <v>19.968190261357641</v>
      </c>
      <c r="Q37" s="22">
        <f t="shared" si="53"/>
        <v>158.7636980385312</v>
      </c>
      <c r="R37" s="62">
        <f t="shared" si="0"/>
        <v>452.09703137186455</v>
      </c>
      <c r="S37" s="62">
        <f ca="1">AVERAGE(OFFSET($R$3,0,0,'Données projet'!$E$9+1,1))-AVERAGE(OFFSET($H$3,0,0,'Données projet'!$E$9+1,1))</f>
        <v>179.22241276165141</v>
      </c>
      <c r="T37" s="62">
        <f t="shared" si="34"/>
        <v>86.510654589692876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10.974725274725277</v>
      </c>
      <c r="AI37" s="14">
        <f>IF('Données projet'!$A$62&gt;35,AI36+AH37-AQ36,IF(A37&lt;'Données projet'!$A$62,$AF$205^A37,IF(A37='Données projet'!$A$62,'Données projet'!$B$62,AI36+AH37-AQ36)))</f>
        <v>123.06703296703296</v>
      </c>
      <c r="AJ37" s="14">
        <f>AI37*VLOOKUP('Données projet'!$B$10,Paramètres!$A$1:$I$89,3,0)*VLOOKUP('Données projet'!$B$10,Paramètres!$A$1:$I$89,5,0)</f>
        <v>73.594085714285711</v>
      </c>
      <c r="AK37" s="14">
        <f t="shared" si="35"/>
        <v>20.563378238797089</v>
      </c>
      <c r="AL37" s="22">
        <f t="shared" si="4"/>
        <v>163.99091638495256</v>
      </c>
      <c r="AM37" s="62">
        <f t="shared" si="5"/>
        <v>457.32424971828584</v>
      </c>
      <c r="AN37" s="62">
        <f ca="1">AVERAGE(OFFSET($AM$3,0,0,'Données projet'!$E$10+1,1))-AVERAGE(OFFSET($H$3,0,0,'Données projet'!$E$10+1,1))</f>
        <v>157.42757749057949</v>
      </c>
      <c r="AO37" s="62">
        <f t="shared" si="36"/>
        <v>129.86070223892136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0.76970562283065647</v>
      </c>
      <c r="AX37" s="23">
        <f t="shared" si="6"/>
        <v>0.76970562283065647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149</v>
      </c>
      <c r="BE37" s="14">
        <f>BD37*VLOOKUP('Données projet'!$B$11,Paramètres!$A$1:$I$89,3,0)*VLOOKUP('Données projet'!$B$11,Paramètres!$A$1:$I$89,5,0)</f>
        <v>155.73480000000004</v>
      </c>
      <c r="BF37" s="14">
        <f t="shared" si="37"/>
        <v>39.878980068529806</v>
      </c>
      <c r="BG37" s="22">
        <f t="shared" si="7"/>
        <v>340.6940002860228</v>
      </c>
      <c r="BH37" s="62">
        <f t="shared" si="8"/>
        <v>634.02733361935611</v>
      </c>
      <c r="BI37" s="62">
        <f ca="1">AVERAGE(OFFSET($BH$3,0,0,'Données projet'!$E$11+1,1))-AVERAGE(OFFSET($H$3,0,0,'Données projet'!$E$11+1,1))</f>
        <v>464.21202287459482</v>
      </c>
      <c r="BJ37" s="62">
        <f t="shared" si="38"/>
        <v>234.57880205159688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8.7199999999999989</v>
      </c>
      <c r="BY37" s="13">
        <f>IF('Données projet'!$A$114&gt;35,BY36+BX37-CG36,IF(A37&lt;'Données projet'!$A$114,$BV$205^A37,IF(A37='Données projet'!$A$114,'Données projet'!$B$114,BY36+BX37-CG36)))</f>
        <v>148.38000000000002</v>
      </c>
      <c r="BZ37" s="14">
        <f>BY37*VLOOKUP('Données projet'!$B$12,Paramètres!$A$1:$I$89,3,0)*VLOOKUP('Données projet'!$B$12,Paramètres!$A$1:$I$89,5,0)</f>
        <v>118.05112800000002</v>
      </c>
      <c r="CA37" s="14">
        <f t="shared" si="39"/>
        <v>31.220024650329545</v>
      </c>
      <c r="CB37" s="22">
        <f t="shared" si="10"/>
        <v>259.98059086599062</v>
      </c>
      <c r="CC37" s="62">
        <f t="shared" si="11"/>
        <v>553.31392419932399</v>
      </c>
      <c r="CD37" s="62">
        <f ca="1">AVERAGE(OFFSET($CC$3,0,0,'Données projet'!$E$12+1,1))-AVERAGE(OFFSET($H$3,0,0,'Données projet'!$E$12+1,1))</f>
        <v>177.99876437322689</v>
      </c>
      <c r="CE37" s="62">
        <f t="shared" si="40"/>
        <v>165.68154380324592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240.90769230769232</v>
      </c>
      <c r="CR37" s="13">
        <f>VLOOKUP(A37,'Données projet'!$A$139:$I$159,9,0)</f>
        <v>11.25</v>
      </c>
      <c r="CS37" s="13">
        <f t="array" ref="CS37">INDEX(CR:CR,MIN(IF(ISNUMBER(CR37:CR233),ROW(CR37:CR233),"")))</f>
        <v>11.25</v>
      </c>
      <c r="CT37" s="13">
        <f>IF('Données projet'!$A$140&gt;35,CT36+CS37-DB36,IF(A37&lt;'Données projet'!$A$140,$CQ$205^A37,IF(A37='Données projet'!$A$140,'Données projet'!$B$140,CT36+CS37-DB36)))</f>
        <v>240.90769230769229</v>
      </c>
      <c r="CU37" s="18">
        <f>CT37*VLOOKUP('Données projet'!$B$13,Paramètres!$A$1:$I$89,3,0)*VLOOKUP('Données projet'!$B$13,Paramètres!$A$1:$I$89,5,0)</f>
        <v>134.66739999999999</v>
      </c>
      <c r="CV37" s="14">
        <f t="shared" si="41"/>
        <v>35.072634396625773</v>
      </c>
      <c r="CW37" s="22">
        <f t="shared" si="13"/>
        <v>295.63055990745653</v>
      </c>
      <c r="CX37" s="62">
        <f t="shared" si="14"/>
        <v>588.96389324078984</v>
      </c>
      <c r="CY37" s="62">
        <f ca="1">AVERAGE(OFFSET($CX$3,0,0,'Données projet'!$E$13+1,1))-AVERAGE(OFFSET($H$3,0,0,'Données projet'!$E$13+1,1))</f>
        <v>242.07451379051349</v>
      </c>
      <c r="CZ37" s="62">
        <f t="shared" si="42"/>
        <v>207.11607964940754</v>
      </c>
      <c r="DA37" s="16">
        <f>IF(ISNA(VLOOKUP(A37,'Données projet'!$A$139:$I$159,3,0)),0,VLOOKUP(A37,'Données projet'!$A$139:$I$159,3,0))</f>
        <v>1</v>
      </c>
      <c r="DB37" s="16">
        <f>IF(ISNA(VLOOKUP(A37,'Données projet'!$A$139:$I$159,4,0)),0,VLOOKUP(A37,'Données projet'!$A$139:$I$159,4,0))</f>
        <v>83.969230769230762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12.833333333333334</v>
      </c>
      <c r="DO37" s="13">
        <f>IF('Données projet'!$A$166&gt;35,DO36+DN37-DW36,IF(A37&lt;'Données projet'!$A$166,$DL$205^A37,IF(A37='Données projet'!$A$166,'Données projet'!$B$166,DO36+DN37-DW36)))</f>
        <v>222.33333333333331</v>
      </c>
      <c r="DP37" s="18">
        <f>DO37*VLOOKUP('Données projet'!$B$14,Paramètres!$A$1:$I$89,3,0)*VLOOKUP('Données projet'!$B$14,Paramètres!$A$1:$I$89,5,0)</f>
        <v>138.73599999999999</v>
      </c>
      <c r="DQ37" s="14">
        <f t="shared" si="43"/>
        <v>36.007288175538044</v>
      </c>
      <c r="DR37" s="22">
        <f t="shared" si="16"/>
        <v>304.34456023906205</v>
      </c>
      <c r="DS37" s="62">
        <f t="shared" si="17"/>
        <v>597.67789357239531</v>
      </c>
      <c r="DT37" s="62">
        <f ca="1">AVERAGE(OFFSET($DS$3,0,0,'Données projet'!$E$14+1,1))-AVERAGE(OFFSET($H$3,0,0,'Données projet'!$E$14+1,1))</f>
        <v>178.56320966726986</v>
      </c>
      <c r="DU37" s="62">
        <f t="shared" si="44"/>
        <v>272.06842551411739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6.8679840121675948</v>
      </c>
      <c r="EC37" s="23">
        <f>EXP(-LN(2)/2)*EC36+(1-EXP(-LN(2)/2))/(LN(2)/2)*DW37*DZ37*VLOOKUP('Données projet'!$B$14,Paramètres!$A$1:$I$89,3,0)*0.475*44/12</f>
        <v>4.1297049702516997</v>
      </c>
      <c r="ED37" s="24">
        <f t="shared" si="18"/>
        <v>10.997688982419294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149</v>
      </c>
      <c r="EK37" s="18">
        <f>EJ37*VLOOKUP('Données projet'!$B$15,Paramètres!$A$1:$I$89,3,0)*VLOOKUP('Données projet'!$B$15,Paramètres!$A$1:$I$89,5,0)</f>
        <v>160.38359999999997</v>
      </c>
      <c r="EL37" s="14">
        <f t="shared" si="45"/>
        <v>40.929025395397851</v>
      </c>
      <c r="EM37" s="22">
        <f t="shared" si="19"/>
        <v>350.61948923031787</v>
      </c>
      <c r="EN37" s="62">
        <f t="shared" si="20"/>
        <v>643.95282256365113</v>
      </c>
      <c r="EO37" s="62">
        <f ca="1">AVERAGE(OFFSET($EN$3,0,0,'Données projet'!$E$15+1,1))-AVERAGE(OFFSET($H$3,0,0,'Données projet'!$E$15+1,1))</f>
        <v>479.87943647026646</v>
      </c>
      <c r="EP37" s="62">
        <f t="shared" si="46"/>
        <v>242.41363045393223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149</v>
      </c>
      <c r="FF37" s="18">
        <f>FE37*VLOOKUP('Données projet'!$B$16,Paramètres!$A$1:$I$89,3,0)*VLOOKUP('Données projet'!$B$16,Paramètres!$A$1:$I$89,5,0)</f>
        <v>144.11279999999999</v>
      </c>
      <c r="FG37" s="14">
        <f t="shared" si="47"/>
        <v>37.237596662992502</v>
      </c>
      <c r="FH37" s="22">
        <f t="shared" si="22"/>
        <v>315.85194085471193</v>
      </c>
      <c r="FI37" s="62">
        <f t="shared" si="23"/>
        <v>609.18527418804524</v>
      </c>
      <c r="FJ37" s="62">
        <f ca="1">AVERAGE(OFFSET($FI$3,0,0,'Données projet'!$E$16+1,1))-AVERAGE(OFFSET($H$3,0,0,'Données projet'!$E$16+1,1))</f>
        <v>425.00152674093977</v>
      </c>
      <c r="FK37" s="62">
        <f t="shared" si="48"/>
        <v>214.96884469274687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9</v>
      </c>
      <c r="N38" s="14">
        <f>IF('Données projet'!$A$36&gt;35,N37+M38-V37,IF(A38&lt;'Données projet'!$A$36,$K$205^A38,IF(A38='Données projet'!$A$36,'Données projet'!$B$36,N37+M38-V37)))</f>
        <v>157</v>
      </c>
      <c r="O38" s="14">
        <f>N38*VLOOKUP('Données projet'!$B$9,Paramètres!$A$1:$I$89,3,0)*VLOOKUP('Données projet'!$B$9,Paramètres!$A$1:$I$89,5,0)</f>
        <v>75.516999999999996</v>
      </c>
      <c r="P38" s="14">
        <f t="shared" si="33"/>
        <v>21.037415628132575</v>
      </c>
      <c r="Q38" s="22">
        <f t="shared" si="53"/>
        <v>168.16560721899756</v>
      </c>
      <c r="R38" s="62">
        <f t="shared" si="0"/>
        <v>461.49894055233085</v>
      </c>
      <c r="S38" s="62">
        <f ca="1">AVERAGE(OFFSET($R$3,0,0,'Données projet'!$E$9+1,1))-AVERAGE(OFFSET($H$3,0,0,'Données projet'!$E$9+1,1))</f>
        <v>179.22241276165141</v>
      </c>
      <c r="T38" s="62">
        <f t="shared" si="34"/>
        <v>86.510654589692876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10.974725274725277</v>
      </c>
      <c r="AI38" s="14">
        <f>IF('Données projet'!$A$62&gt;35,AI37+AH38-AQ37,IF(A38&lt;'Données projet'!$A$62,$AF$205^A38,IF(A38='Données projet'!$A$62,'Données projet'!$B$62,AI37+AH38-AQ37)))</f>
        <v>134.04175824175823</v>
      </c>
      <c r="AJ38" s="14">
        <f>AI38*VLOOKUP('Données projet'!$B$10,Paramètres!$A$1:$I$89,3,0)*VLOOKUP('Données projet'!$B$10,Paramètres!$A$1:$I$89,5,0)</f>
        <v>80.156971428571424</v>
      </c>
      <c r="AK38" s="14">
        <f t="shared" si="35"/>
        <v>22.175560079283958</v>
      </c>
      <c r="AL38" s="22">
        <f t="shared" si="4"/>
        <v>178.2291590428481</v>
      </c>
      <c r="AM38" s="62">
        <f t="shared" si="5"/>
        <v>471.56249237618141</v>
      </c>
      <c r="AN38" s="62">
        <f ca="1">AVERAGE(OFFSET($AM$3,0,0,'Données projet'!$E$10+1,1))-AVERAGE(OFFSET($H$3,0,0,'Données projet'!$E$10+1,1))</f>
        <v>157.42757749057949</v>
      </c>
      <c r="AO38" s="62">
        <f t="shared" si="36"/>
        <v>129.86070223892136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0.54426406542097228</v>
      </c>
      <c r="AX38" s="23">
        <f t="shared" si="6"/>
        <v>0.54426406542097228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157</v>
      </c>
      <c r="BE38" s="14">
        <f>BD38*VLOOKUP('Données projet'!$B$11,Paramètres!$A$1:$I$89,3,0)*VLOOKUP('Données projet'!$B$11,Paramètres!$A$1:$I$89,5,0)</f>
        <v>164.09640000000002</v>
      </c>
      <c r="BF38" s="14">
        <f t="shared" si="37"/>
        <v>41.765106050628262</v>
      </c>
      <c r="BG38" s="22">
        <f t="shared" si="7"/>
        <v>358.54212303817758</v>
      </c>
      <c r="BH38" s="62">
        <f t="shared" si="8"/>
        <v>651.87545637151084</v>
      </c>
      <c r="BI38" s="62">
        <f ca="1">AVERAGE(OFFSET($BH$3,0,0,'Données projet'!$E$11+1,1))-AVERAGE(OFFSET($H$3,0,0,'Données projet'!$E$11+1,1))</f>
        <v>464.21202287459482</v>
      </c>
      <c r="BJ38" s="62">
        <f t="shared" si="38"/>
        <v>234.57880205159688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157.1</v>
      </c>
      <c r="BW38" s="13">
        <f>VLOOKUP(A38,'Données projet'!$A$113:$I$133,9,0)</f>
        <v>8.7199999999999989</v>
      </c>
      <c r="BX38" s="13">
        <f t="array" ref="BX38">INDEX(BW:BW,MIN(IF(ISNUMBER(BW38:BW234),ROW(BW38:BW234),"")))</f>
        <v>8.7199999999999989</v>
      </c>
      <c r="BY38" s="13">
        <f>IF('Données projet'!$A$114&gt;35,BY37+BX38-CG37,IF(A38&lt;'Données projet'!$A$114,$BV$205^A38,IF(A38='Données projet'!$A$114,'Données projet'!$B$114,BY37+BX38-CG37)))</f>
        <v>157.10000000000002</v>
      </c>
      <c r="BZ38" s="14">
        <f>BY38*VLOOKUP('Données projet'!$B$12,Paramètres!$A$1:$I$89,3,0)*VLOOKUP('Données projet'!$B$12,Paramètres!$A$1:$I$89,5,0)</f>
        <v>124.98876000000001</v>
      </c>
      <c r="CA38" s="14">
        <f t="shared" si="39"/>
        <v>32.835773002556742</v>
      </c>
      <c r="CB38" s="22">
        <f t="shared" si="10"/>
        <v>274.87772831278636</v>
      </c>
      <c r="CC38" s="62">
        <f t="shared" si="11"/>
        <v>568.21106164611967</v>
      </c>
      <c r="CD38" s="62">
        <f ca="1">AVERAGE(OFFSET($CC$3,0,0,'Données projet'!$E$12+1,1))-AVERAGE(OFFSET($H$3,0,0,'Données projet'!$E$12+1,1))</f>
        <v>177.99876437322689</v>
      </c>
      <c r="CE38" s="62">
        <f t="shared" si="40"/>
        <v>165.68154380324592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10.952991452991451</v>
      </c>
      <c r="CT38" s="13">
        <f>IF('Données projet'!$A$140&gt;35,CT37+CS38-DB37,IF(A38&lt;'Données projet'!$A$140,$CQ$205^A38,IF(A38='Données projet'!$A$140,'Données projet'!$B$140,CT37+CS38-DB37)))</f>
        <v>167.89145299145298</v>
      </c>
      <c r="CU38" s="18">
        <f>CT38*VLOOKUP('Données projet'!$B$13,Paramètres!$A$1:$I$89,3,0)*VLOOKUP('Données projet'!$B$13,Paramètres!$A$1:$I$89,5,0)</f>
        <v>93.851322222222223</v>
      </c>
      <c r="CV38" s="14">
        <f t="shared" si="41"/>
        <v>25.491793888573941</v>
      </c>
      <c r="CW38" s="22">
        <f t="shared" si="13"/>
        <v>207.85592722630329</v>
      </c>
      <c r="CX38" s="62">
        <f t="shared" si="14"/>
        <v>501.18926055963664</v>
      </c>
      <c r="CY38" s="62">
        <f ca="1">AVERAGE(OFFSET($CX$3,0,0,'Données projet'!$E$13+1,1))-AVERAGE(OFFSET($H$3,0,0,'Données projet'!$E$13+1,1))</f>
        <v>242.07451379051349</v>
      </c>
      <c r="CZ38" s="62">
        <f t="shared" si="42"/>
        <v>207.11607964940754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12.833333333333334</v>
      </c>
      <c r="DO38" s="13">
        <f>IF('Données projet'!$A$166&gt;35,DO37+DN38-DW37,IF(A38&lt;'Données projet'!$A$166,$DL$205^A38,IF(A38='Données projet'!$A$166,'Données projet'!$B$166,DO37+DN38-DW37)))</f>
        <v>235.16666666666666</v>
      </c>
      <c r="DP38" s="18">
        <f>DO38*VLOOKUP('Données projet'!$B$14,Paramètres!$A$1:$I$89,3,0)*VLOOKUP('Données projet'!$B$14,Paramètres!$A$1:$I$89,5,0)</f>
        <v>146.744</v>
      </c>
      <c r="DQ38" s="14">
        <f t="shared" si="43"/>
        <v>37.837705514258651</v>
      </c>
      <c r="DR38" s="22">
        <f t="shared" si="16"/>
        <v>321.47980377066716</v>
      </c>
      <c r="DS38" s="62">
        <f t="shared" si="17"/>
        <v>614.81313710400048</v>
      </c>
      <c r="DT38" s="62">
        <f ca="1">AVERAGE(OFFSET($DS$3,0,0,'Données projet'!$E$14+1,1))-AVERAGE(OFFSET($H$3,0,0,'Données projet'!$E$14+1,1))</f>
        <v>178.56320966726986</v>
      </c>
      <c r="DU38" s="62">
        <f t="shared" si="44"/>
        <v>272.06842551411739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6.68017862818329</v>
      </c>
      <c r="EC38" s="23">
        <f>EXP(-LN(2)/2)*EC37+(1-EXP(-LN(2)/2))/(LN(2)/2)*DW38*DZ38*VLOOKUP('Données projet'!$B$14,Paramètres!$A$1:$I$89,3,0)*0.475*44/12</f>
        <v>2.9201423887647664</v>
      </c>
      <c r="ED38" s="24">
        <f t="shared" si="18"/>
        <v>9.6003210169480564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157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157</v>
      </c>
      <c r="EK38" s="18">
        <f>EJ38*VLOOKUP('Données projet'!$B$15,Paramètres!$A$1:$I$89,3,0)*VLOOKUP('Données projet'!$B$15,Paramètres!$A$1:$I$89,5,0)</f>
        <v>168.9948</v>
      </c>
      <c r="EL38" s="14">
        <f t="shared" si="45"/>
        <v>42.864814577758281</v>
      </c>
      <c r="EM38" s="22">
        <f t="shared" si="19"/>
        <v>368.98882872292899</v>
      </c>
      <c r="EN38" s="62">
        <f t="shared" si="20"/>
        <v>662.3221620562623</v>
      </c>
      <c r="EO38" s="62">
        <f ca="1">AVERAGE(OFFSET($EN$3,0,0,'Données projet'!$E$15+1,1))-AVERAGE(OFFSET($H$3,0,0,'Données projet'!$E$15+1,1))</f>
        <v>479.87943647026646</v>
      </c>
      <c r="EP38" s="62">
        <f t="shared" si="46"/>
        <v>242.41363045393223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24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157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157</v>
      </c>
      <c r="FF38" s="18">
        <f>FE38*VLOOKUP('Données projet'!$B$16,Paramètres!$A$1:$I$89,3,0)*VLOOKUP('Données projet'!$B$16,Paramètres!$A$1:$I$89,5,0)</f>
        <v>151.85040000000001</v>
      </c>
      <c r="FG38" s="14">
        <f t="shared" si="47"/>
        <v>38.998795130362446</v>
      </c>
      <c r="FH38" s="22">
        <f t="shared" si="22"/>
        <v>332.39568151871464</v>
      </c>
      <c r="FI38" s="62">
        <f t="shared" si="23"/>
        <v>625.72901485204795</v>
      </c>
      <c r="FJ38" s="62">
        <f ca="1">AVERAGE(OFFSET($FI$3,0,0,'Données projet'!$E$16+1,1))-AVERAGE(OFFSET($H$3,0,0,'Données projet'!$E$16+1,1))</f>
        <v>425.00152674093977</v>
      </c>
      <c r="FK38" s="62">
        <f t="shared" si="48"/>
        <v>214.96884469274687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24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</v>
      </c>
      <c r="N39" s="14">
        <f>IF('Données projet'!$A$36&gt;35,N38+M39-V38,IF(A39&lt;'Données projet'!$A$36,$K$205^A39,IF(A39='Données projet'!$A$36,'Données projet'!$B$36,N38+M39-V38)))</f>
        <v>166</v>
      </c>
      <c r="O39" s="14">
        <f>N39*VLOOKUP('Données projet'!$B$9,Paramètres!$A$1:$I$89,3,0)*VLOOKUP('Données projet'!$B$9,Paramètres!$A$1:$I$89,5,0)</f>
        <v>79.846000000000004</v>
      </c>
      <c r="P39" s="14">
        <f t="shared" si="33"/>
        <v>22.099526106492764</v>
      </c>
      <c r="Q39" s="22">
        <f t="shared" si="53"/>
        <v>177.55512463547487</v>
      </c>
      <c r="R39" s="62">
        <f t="shared" si="0"/>
        <v>470.88845796880821</v>
      </c>
      <c r="S39" s="62">
        <f ca="1">AVERAGE(OFFSET($R$3,0,0,'Données projet'!$E$9+1,1))-AVERAGE(OFFSET($H$3,0,0,'Données projet'!$E$9+1,1))</f>
        <v>179.22241276165141</v>
      </c>
      <c r="T39" s="62">
        <f t="shared" si="34"/>
        <v>86.510654589692876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10.974725274725277</v>
      </c>
      <c r="AI39" s="14">
        <f>IF('Données projet'!$A$62&gt;35,AI38+AH39-AQ38,IF(A39&lt;'Données projet'!$A$62,$AF$205^A39,IF(A39='Données projet'!$A$62,'Données projet'!$B$62,AI38+AH39-AQ38)))</f>
        <v>145.0164835164835</v>
      </c>
      <c r="AJ39" s="14">
        <f>AI39*VLOOKUP('Données projet'!$B$10,Paramètres!$A$1:$I$89,3,0)*VLOOKUP('Données projet'!$B$10,Paramètres!$A$1:$I$89,5,0)</f>
        <v>86.719857142857137</v>
      </c>
      <c r="AK39" s="14">
        <f t="shared" si="35"/>
        <v>23.772432283741118</v>
      </c>
      <c r="AL39" s="22">
        <f t="shared" si="4"/>
        <v>192.44073741799198</v>
      </c>
      <c r="AM39" s="62">
        <f t="shared" si="5"/>
        <v>485.77407075132533</v>
      </c>
      <c r="AN39" s="62">
        <f ca="1">AVERAGE(OFFSET($AM$3,0,0,'Données projet'!$E$10+1,1))-AVERAGE(OFFSET($H$3,0,0,'Données projet'!$E$10+1,1))</f>
        <v>157.42757749057949</v>
      </c>
      <c r="AO39" s="62">
        <f t="shared" si="36"/>
        <v>129.86070223892136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0.38485281141532823</v>
      </c>
      <c r="AX39" s="23">
        <f t="shared" si="6"/>
        <v>0.38485281141532823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</v>
      </c>
      <c r="BD39" s="13">
        <f>IF('Données projet'!$A$88&gt;35,BD38+BC39-BL38,IF(A39&lt;'Données projet'!$A$88,$BA$205^A39,IF(A39='Données projet'!$A$88,'Données projet'!$B$88,BD38+BC39-BL38)))</f>
        <v>141</v>
      </c>
      <c r="BE39" s="14">
        <f>BD39*VLOOKUP('Données projet'!$B$11,Paramètres!$A$1:$I$89,3,0)*VLOOKUP('Données projet'!$B$11,Paramètres!$A$1:$I$89,5,0)</f>
        <v>147.3732</v>
      </c>
      <c r="BF39" s="14">
        <f t="shared" si="37"/>
        <v>37.981023482703954</v>
      </c>
      <c r="BG39" s="22">
        <f t="shared" si="7"/>
        <v>322.82527256570938</v>
      </c>
      <c r="BH39" s="62">
        <f t="shared" si="8"/>
        <v>616.15860589904264</v>
      </c>
      <c r="BI39" s="62">
        <f ca="1">AVERAGE(OFFSET($BH$3,0,0,'Données projet'!$E$11+1,1))-AVERAGE(OFFSET($H$3,0,0,'Données projet'!$E$11+1,1))</f>
        <v>464.21202287459482</v>
      </c>
      <c r="BJ39" s="62">
        <f t="shared" si="38"/>
        <v>234.57880205159688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7.580000000000001</v>
      </c>
      <c r="BY39" s="13">
        <f>IF('Données projet'!$A$114&gt;35,BY38+BX39-CG38,IF(A39&lt;'Données projet'!$A$114,$BV$205^A39,IF(A39='Données projet'!$A$114,'Données projet'!$B$114,BY38+BX39-CG38)))</f>
        <v>122.68000000000004</v>
      </c>
      <c r="BZ39" s="14">
        <f>BY39*VLOOKUP('Données projet'!$B$12,Paramètres!$A$1:$I$89,3,0)*VLOOKUP('Données projet'!$B$12,Paramètres!$A$1:$I$89,5,0)</f>
        <v>97.604208000000042</v>
      </c>
      <c r="CA39" s="14">
        <f t="shared" si="39"/>
        <v>26.390430108921169</v>
      </c>
      <c r="CB39" s="22">
        <f t="shared" si="10"/>
        <v>215.95732803970441</v>
      </c>
      <c r="CC39" s="62">
        <f t="shared" si="11"/>
        <v>509.29066137303772</v>
      </c>
      <c r="CD39" s="62">
        <f ca="1">AVERAGE(OFFSET($CC$3,0,0,'Données projet'!$E$12+1,1))-AVERAGE(OFFSET($H$3,0,0,'Données projet'!$E$12+1,1))</f>
        <v>177.99876437322689</v>
      </c>
      <c r="CE39" s="62">
        <f t="shared" si="40"/>
        <v>165.68154380324592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10.952991452991451</v>
      </c>
      <c r="CT39" s="13">
        <f>IF('Données projet'!$A$140&gt;35,CT38+CS39-DB38,IF(A39&lt;'Données projet'!$A$140,$CQ$205^A39,IF(A39='Données projet'!$A$140,'Données projet'!$B$140,CT38+CS39-DB38)))</f>
        <v>178.84444444444443</v>
      </c>
      <c r="CU39" s="18">
        <f>CT39*VLOOKUP('Données projet'!$B$13,Paramètres!$A$1:$I$89,3,0)*VLOOKUP('Données projet'!$B$13,Paramètres!$A$1:$I$89,5,0)</f>
        <v>99.974044444444431</v>
      </c>
      <c r="CV39" s="14">
        <f t="shared" si="41"/>
        <v>26.955813901739628</v>
      </c>
      <c r="CW39" s="22">
        <f t="shared" si="13"/>
        <v>221.06950328627056</v>
      </c>
      <c r="CX39" s="62">
        <f t="shared" si="14"/>
        <v>514.40283661960393</v>
      </c>
      <c r="CY39" s="62">
        <f ca="1">AVERAGE(OFFSET($CX$3,0,0,'Données projet'!$E$13+1,1))-AVERAGE(OFFSET($H$3,0,0,'Données projet'!$E$13+1,1))</f>
        <v>242.07451379051349</v>
      </c>
      <c r="CZ39" s="62">
        <f t="shared" si="42"/>
        <v>207.11607964940754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>
        <f>VLOOKUP(A39,'Données projet'!$A$165:$I$185,2,0)</f>
        <v>248</v>
      </c>
      <c r="DM39" s="13">
        <f>VLOOKUP(A39,'Données projet'!$A$165:$I$185,9,0)</f>
        <v>12.833333333333334</v>
      </c>
      <c r="DN39" s="13">
        <f t="array" ref="DN39">INDEX(DM:DM,MIN(IF(ISNUMBER(DM39:DM235),ROW(DM39:DM235),"")))</f>
        <v>12.833333333333334</v>
      </c>
      <c r="DO39" s="13">
        <f>IF('Données projet'!$A$166&gt;35,DO38+DN39-DW38,IF(A39&lt;'Données projet'!$A$166,$DL$205^A39,IF(A39='Données projet'!$A$166,'Données projet'!$B$166,DO38+DN39-DW38)))</f>
        <v>248</v>
      </c>
      <c r="DP39" s="18">
        <f>DO39*VLOOKUP('Données projet'!$B$14,Paramètres!$A$1:$I$89,3,0)*VLOOKUP('Données projet'!$B$14,Paramètres!$A$1:$I$89,5,0)</f>
        <v>154.75199999999998</v>
      </c>
      <c r="DQ39" s="14">
        <f t="shared" si="43"/>
        <v>39.656526650076415</v>
      </c>
      <c r="DR39" s="22">
        <f t="shared" si="16"/>
        <v>338.5948505822164</v>
      </c>
      <c r="DS39" s="62">
        <f t="shared" si="17"/>
        <v>631.92818391554965</v>
      </c>
      <c r="DT39" s="62">
        <f ca="1">AVERAGE(OFFSET($DS$3,0,0,'Données projet'!$E$14+1,1))-AVERAGE(OFFSET($H$3,0,0,'Données projet'!$E$14+1,1))</f>
        <v>178.56320966726986</v>
      </c>
      <c r="DU39" s="62">
        <f t="shared" si="44"/>
        <v>272.06842551411739</v>
      </c>
      <c r="DV39" s="16">
        <f>IF(ISNA(VLOOKUP(A39,'Données projet'!$A$165:$I$185,3,0)),0,VLOOKUP(A39,'Données projet'!$A$165:$I$185,3,0))</f>
        <v>5</v>
      </c>
      <c r="DW39" s="16">
        <f>IF(ISNA(VLOOKUP(A39,'Données projet'!$A$165:$I$185,4,0)),0,VLOOKUP(A39,'Données projet'!$A$165:$I$185,4,0))</f>
        <v>62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6.4975087923002919</v>
      </c>
      <c r="EC39" s="23">
        <f>EXP(-LN(2)/2)*EC38+(1-EXP(-LN(2)/2))/(LN(2)/2)*DW39*DZ39*VLOOKUP('Données projet'!$B$14,Paramètres!$A$1:$I$89,3,0)*0.475*44/12</f>
        <v>2.0648524851258498</v>
      </c>
      <c r="ED39" s="24">
        <f t="shared" si="18"/>
        <v>8.5623612774261417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</v>
      </c>
      <c r="EJ39" s="13">
        <f>IF('Données projet'!$A$192&gt;35,EJ38+EI39-ER38,IF(A39&lt;'Données projet'!$A$192,$EG$205^A39,IF(A39='Données projet'!$A$192,'Données projet'!$B$192,EJ38+EI39-ER38)))</f>
        <v>141</v>
      </c>
      <c r="EK39" s="18">
        <f>EJ39*VLOOKUP('Données projet'!$B$15,Paramètres!$A$1:$I$89,3,0)*VLOOKUP('Données projet'!$B$15,Paramètres!$A$1:$I$89,5,0)</f>
        <v>151.7724</v>
      </c>
      <c r="EL39" s="14">
        <f t="shared" si="45"/>
        <v>38.981094100085407</v>
      </c>
      <c r="EM39" s="22">
        <f t="shared" si="19"/>
        <v>332.22900222431537</v>
      </c>
      <c r="EN39" s="62">
        <f t="shared" si="20"/>
        <v>625.56233555764868</v>
      </c>
      <c r="EO39" s="62">
        <f ca="1">AVERAGE(OFFSET($EN$3,0,0,'Données projet'!$E$15+1,1))-AVERAGE(OFFSET($H$3,0,0,'Données projet'!$E$15+1,1))</f>
        <v>479.87943647026646</v>
      </c>
      <c r="EP39" s="62">
        <f t="shared" si="46"/>
        <v>242.41363045393223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</v>
      </c>
      <c r="FE39" s="13">
        <f>IF('Données projet'!$A$218&gt;35,FE38+FD39-FM38,IF(A39&lt;'Données projet'!$A$218,$FB$205^A39,IF(A39='Données projet'!$A$218,'Données projet'!$B$218,FE38+FD39-FM38)))</f>
        <v>141</v>
      </c>
      <c r="FF39" s="18">
        <f>FE39*VLOOKUP('Données projet'!$B$16,Paramètres!$A$1:$I$89,3,0)*VLOOKUP('Données projet'!$B$16,Paramètres!$A$1:$I$89,5,0)</f>
        <v>136.37520000000001</v>
      </c>
      <c r="FG39" s="14">
        <f t="shared" si="47"/>
        <v>35.465351191684015</v>
      </c>
      <c r="FH39" s="22">
        <f t="shared" si="22"/>
        <v>299.28895999218298</v>
      </c>
      <c r="FI39" s="62">
        <f t="shared" si="23"/>
        <v>592.62229332551624</v>
      </c>
      <c r="FJ39" s="62">
        <f ca="1">AVERAGE(OFFSET($FI$3,0,0,'Données projet'!$E$16+1,1))-AVERAGE(OFFSET($H$3,0,0,'Données projet'!$E$16+1,1))</f>
        <v>425.00152674093977</v>
      </c>
      <c r="FK39" s="62">
        <f t="shared" si="48"/>
        <v>214.96884469274687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</v>
      </c>
      <c r="N40" s="14">
        <f>IF('Données projet'!$A$36&gt;35,N39+M40-V39,IF(A40&lt;'Données projet'!$A$36,$K$205^A40,IF(A40='Données projet'!$A$36,'Données projet'!$B$36,N39+M40-V39)))</f>
        <v>175</v>
      </c>
      <c r="O40" s="14">
        <f>N40*VLOOKUP('Données projet'!$B$9,Paramètres!$A$1:$I$89,3,0)*VLOOKUP('Données projet'!$B$9,Paramètres!$A$1:$I$89,5,0)</f>
        <v>84.174999999999997</v>
      </c>
      <c r="P40" s="14">
        <f t="shared" si="33"/>
        <v>23.154951420465835</v>
      </c>
      <c r="Q40" s="22">
        <f t="shared" si="53"/>
        <v>186.93299872397799</v>
      </c>
      <c r="R40" s="62">
        <f t="shared" si="0"/>
        <v>480.26633205731127</v>
      </c>
      <c r="S40" s="62">
        <f ca="1">AVERAGE(OFFSET($R$3,0,0,'Données projet'!$E$9+1,1))-AVERAGE(OFFSET($H$3,0,0,'Données projet'!$E$9+1,1))</f>
        <v>179.22241276165141</v>
      </c>
      <c r="T40" s="62">
        <f t="shared" si="34"/>
        <v>86.510654589692876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10.974725274725277</v>
      </c>
      <c r="AI40" s="14">
        <f>IF('Données projet'!$A$62&gt;35,AI39+AH40-AQ39,IF(A40&lt;'Données projet'!$A$62,$AF$205^A40,IF(A40='Données projet'!$A$62,'Données projet'!$B$62,AI39+AH40-AQ39)))</f>
        <v>155.99120879120878</v>
      </c>
      <c r="AJ40" s="14">
        <f>AI40*VLOOKUP('Données projet'!$B$10,Paramètres!$A$1:$I$89,3,0)*VLOOKUP('Données projet'!$B$10,Paramètres!$A$1:$I$89,5,0)</f>
        <v>93.282742857142864</v>
      </c>
      <c r="AK40" s="14">
        <f t="shared" si="35"/>
        <v>25.355285213140871</v>
      </c>
      <c r="AL40" s="22">
        <f t="shared" si="4"/>
        <v>206.6278988890775</v>
      </c>
      <c r="AM40" s="62">
        <f t="shared" si="5"/>
        <v>499.96123222241079</v>
      </c>
      <c r="AN40" s="62">
        <f ca="1">AVERAGE(OFFSET($AM$3,0,0,'Données projet'!$E$10+1,1))-AVERAGE(OFFSET($H$3,0,0,'Données projet'!$E$10+1,1))</f>
        <v>157.42757749057949</v>
      </c>
      <c r="AO40" s="62">
        <f t="shared" si="36"/>
        <v>129.86070223892136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0.27213203271048614</v>
      </c>
      <c r="AX40" s="23">
        <f t="shared" si="6"/>
        <v>0.27213203271048614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</v>
      </c>
      <c r="BD40" s="13">
        <f>IF('Données projet'!$A$88&gt;35,BD39+BC40-BL39,IF(A40&lt;'Données projet'!$A$88,$BA$205^A40,IF(A40='Données projet'!$A$88,'Données projet'!$B$88,BD39+BC40-BL39)))</f>
        <v>149</v>
      </c>
      <c r="BE40" s="14">
        <f>BD40*VLOOKUP('Données projet'!$B$11,Paramètres!$A$1:$I$89,3,0)*VLOOKUP('Données projet'!$B$11,Paramètres!$A$1:$I$89,5,0)</f>
        <v>155.73480000000004</v>
      </c>
      <c r="BF40" s="14">
        <f t="shared" si="37"/>
        <v>39.878980068529806</v>
      </c>
      <c r="BG40" s="22">
        <f t="shared" si="7"/>
        <v>340.6940002860228</v>
      </c>
      <c r="BH40" s="62">
        <f t="shared" si="8"/>
        <v>634.02733361935611</v>
      </c>
      <c r="BI40" s="62">
        <f ca="1">AVERAGE(OFFSET($BH$3,0,0,'Données projet'!$E$11+1,1))-AVERAGE(OFFSET($H$3,0,0,'Données projet'!$E$11+1,1))</f>
        <v>464.21202287459482</v>
      </c>
      <c r="BJ40" s="62">
        <f t="shared" si="38"/>
        <v>234.57880205159688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7.580000000000001</v>
      </c>
      <c r="BY40" s="13">
        <f>IF('Données projet'!$A$114&gt;35,BY39+BX40-CG39,IF(A40&lt;'Données projet'!$A$114,$BV$205^A40,IF(A40='Données projet'!$A$114,'Données projet'!$B$114,BY39+BX40-CG39)))</f>
        <v>130.26000000000005</v>
      </c>
      <c r="BZ40" s="14">
        <f>BY40*VLOOKUP('Données projet'!$B$12,Paramètres!$A$1:$I$89,3,0)*VLOOKUP('Données projet'!$B$12,Paramètres!$A$1:$I$89,5,0)</f>
        <v>103.63485600000004</v>
      </c>
      <c r="CA40" s="14">
        <f t="shared" si="39"/>
        <v>27.826144265894797</v>
      </c>
      <c r="CB40" s="22">
        <f t="shared" si="10"/>
        <v>228.96124212976682</v>
      </c>
      <c r="CC40" s="62">
        <f t="shared" si="11"/>
        <v>522.29457546310016</v>
      </c>
      <c r="CD40" s="62">
        <f ca="1">AVERAGE(OFFSET($CC$3,0,0,'Données projet'!$E$12+1,1))-AVERAGE(OFFSET($H$3,0,0,'Données projet'!$E$12+1,1))</f>
        <v>177.99876437322689</v>
      </c>
      <c r="CE40" s="62">
        <f t="shared" si="40"/>
        <v>165.68154380324592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10.952991452991451</v>
      </c>
      <c r="CT40" s="13">
        <f>IF('Données projet'!$A$140&gt;35,CT39+CS40-DB39,IF(A40&lt;'Données projet'!$A$140,$CQ$205^A40,IF(A40='Données projet'!$A$140,'Données projet'!$B$140,CT39+CS40-DB39)))</f>
        <v>189.79743589743589</v>
      </c>
      <c r="CU40" s="18">
        <f>CT40*VLOOKUP('Données projet'!$B$13,Paramètres!$A$1:$I$89,3,0)*VLOOKUP('Données projet'!$B$13,Paramètres!$A$1:$I$89,5,0)</f>
        <v>106.09676666666667</v>
      </c>
      <c r="CV40" s="14">
        <f t="shared" si="41"/>
        <v>28.409427602727192</v>
      </c>
      <c r="CW40" s="22">
        <f t="shared" si="13"/>
        <v>234.2649550191943</v>
      </c>
      <c r="CX40" s="62">
        <f t="shared" si="14"/>
        <v>527.59828835252756</v>
      </c>
      <c r="CY40" s="62">
        <f ca="1">AVERAGE(OFFSET($CX$3,0,0,'Données projet'!$E$13+1,1))-AVERAGE(OFFSET($H$3,0,0,'Données projet'!$E$13+1,1))</f>
        <v>242.07451379051349</v>
      </c>
      <c r="CZ40" s="62">
        <f t="shared" si="42"/>
        <v>207.11607964940754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197.5</v>
      </c>
      <c r="DP40" s="18">
        <f>DO40*VLOOKUP('Données projet'!$B$14,Paramètres!$A$1:$I$89,3,0)*VLOOKUP('Données projet'!$B$14,Paramètres!$A$1:$I$89,5,0)</f>
        <v>123.24</v>
      </c>
      <c r="DQ40" s="14">
        <f t="shared" si="43"/>
        <v>32.429500380369056</v>
      </c>
      <c r="DR40" s="22">
        <f t="shared" si="16"/>
        <v>271.12437982914275</v>
      </c>
      <c r="DS40" s="62">
        <f t="shared" si="17"/>
        <v>564.45771316247601</v>
      </c>
      <c r="DT40" s="62">
        <f ca="1">AVERAGE(OFFSET($DS$3,0,0,'Données projet'!$E$14+1,1))-AVERAGE(OFFSET($H$3,0,0,'Données projet'!$E$14+1,1))</f>
        <v>178.56320966726986</v>
      </c>
      <c r="DU40" s="62">
        <f t="shared" si="44"/>
        <v>272.06842551411739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6.319834072685703</v>
      </c>
      <c r="EC40" s="23">
        <f>EXP(-LN(2)/2)*EC39+(1-EXP(-LN(2)/2))/(LN(2)/2)*DW40*DZ40*VLOOKUP('Données projet'!$B$14,Paramètres!$A$1:$I$89,3,0)*0.475*44/12</f>
        <v>1.4600711943823832</v>
      </c>
      <c r="ED40" s="24">
        <f t="shared" si="18"/>
        <v>7.7799052670680862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</v>
      </c>
      <c r="EJ40" s="13">
        <f>IF('Données projet'!$A$192&gt;35,EJ39+EI40-ER39,IF(A40&lt;'Données projet'!$A$192,$EG$205^A40,IF(A40='Données projet'!$A$192,'Données projet'!$B$192,EJ39+EI40-ER39)))</f>
        <v>149</v>
      </c>
      <c r="EK40" s="18">
        <f>EJ40*VLOOKUP('Données projet'!$B$15,Paramètres!$A$1:$I$89,3,0)*VLOOKUP('Données projet'!$B$15,Paramètres!$A$1:$I$89,5,0)</f>
        <v>160.38359999999997</v>
      </c>
      <c r="EL40" s="14">
        <f t="shared" si="45"/>
        <v>40.929025395397851</v>
      </c>
      <c r="EM40" s="22">
        <f t="shared" si="19"/>
        <v>350.61948923031787</v>
      </c>
      <c r="EN40" s="62">
        <f t="shared" si="20"/>
        <v>643.95282256365113</v>
      </c>
      <c r="EO40" s="62">
        <f ca="1">AVERAGE(OFFSET($EN$3,0,0,'Données projet'!$E$15+1,1))-AVERAGE(OFFSET($H$3,0,0,'Données projet'!$E$15+1,1))</f>
        <v>479.87943647026646</v>
      </c>
      <c r="EP40" s="62">
        <f t="shared" si="46"/>
        <v>242.41363045393223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</v>
      </c>
      <c r="FE40" s="13">
        <f>IF('Données projet'!$A$218&gt;35,FE39+FD40-FM39,IF(A40&lt;'Données projet'!$A$218,$FB$205^A40,IF(A40='Données projet'!$A$218,'Données projet'!$B$218,FE39+FD40-FM39)))</f>
        <v>149</v>
      </c>
      <c r="FF40" s="18">
        <f>FE40*VLOOKUP('Données projet'!$B$16,Paramètres!$A$1:$I$89,3,0)*VLOOKUP('Données projet'!$B$16,Paramètres!$A$1:$I$89,5,0)</f>
        <v>144.11279999999999</v>
      </c>
      <c r="FG40" s="14">
        <f t="shared" si="47"/>
        <v>37.237596662992502</v>
      </c>
      <c r="FH40" s="22">
        <f t="shared" si="22"/>
        <v>315.85194085471193</v>
      </c>
      <c r="FI40" s="62">
        <f t="shared" si="23"/>
        <v>609.18527418804524</v>
      </c>
      <c r="FJ40" s="62">
        <f ca="1">AVERAGE(OFFSET($FI$3,0,0,'Données projet'!$E$16+1,1))-AVERAGE(OFFSET($H$3,0,0,'Données projet'!$E$16+1,1))</f>
        <v>425.00152674093977</v>
      </c>
      <c r="FK40" s="62">
        <f t="shared" si="48"/>
        <v>214.96884469274687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</v>
      </c>
      <c r="N41" s="14">
        <f>IF('Données projet'!$A$36&gt;35,N40+M41-V40,IF(A41&lt;'Données projet'!$A$36,$K$205^A41,IF(A41='Données projet'!$A$36,'Données projet'!$B$36,N40+M41-V40)))</f>
        <v>184</v>
      </c>
      <c r="O41" s="14">
        <f>N41*VLOOKUP('Données projet'!$B$9,Paramètres!$A$1:$I$89,3,0)*VLOOKUP('Données projet'!$B$9,Paramètres!$A$1:$I$89,5,0)</f>
        <v>88.504000000000005</v>
      </c>
      <c r="P41" s="14">
        <f t="shared" si="33"/>
        <v>24.204074597328468</v>
      </c>
      <c r="Q41" s="22">
        <f t="shared" si="53"/>
        <v>196.29989659034709</v>
      </c>
      <c r="R41" s="62">
        <f t="shared" si="0"/>
        <v>489.6332299236804</v>
      </c>
      <c r="S41" s="62">
        <f ca="1">AVERAGE(OFFSET($R$3,0,0,'Données projet'!$E$9+1,1))-AVERAGE(OFFSET($H$3,0,0,'Données projet'!$E$9+1,1))</f>
        <v>179.22241276165141</v>
      </c>
      <c r="T41" s="62">
        <f t="shared" si="34"/>
        <v>86.510654589692876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10.974725274725277</v>
      </c>
      <c r="AI41" s="14">
        <f>IF('Données projet'!$A$62&gt;35,AI40+AH41-AQ40,IF(A41&lt;'Données projet'!$A$62,$AF$205^A41,IF(A41='Données projet'!$A$62,'Données projet'!$B$62,AI40+AH41-AQ40)))</f>
        <v>166.96593406593405</v>
      </c>
      <c r="AJ41" s="14">
        <f>AI41*VLOOKUP('Données projet'!$B$10,Paramètres!$A$1:$I$89,3,0)*VLOOKUP('Données projet'!$B$10,Paramètres!$A$1:$I$89,5,0)</f>
        <v>99.845628571428563</v>
      </c>
      <c r="AK41" s="14">
        <f t="shared" si="35"/>
        <v>26.925217378137209</v>
      </c>
      <c r="AL41" s="22">
        <f t="shared" si="4"/>
        <v>220.79255669549369</v>
      </c>
      <c r="AM41" s="62">
        <f t="shared" si="5"/>
        <v>514.12589002882703</v>
      </c>
      <c r="AN41" s="62">
        <f ca="1">AVERAGE(OFFSET($AM$3,0,0,'Données projet'!$E$10+1,1))-AVERAGE(OFFSET($H$3,0,0,'Données projet'!$E$10+1,1))</f>
        <v>157.42757749057949</v>
      </c>
      <c r="AO41" s="62">
        <f t="shared" si="36"/>
        <v>129.86070223892136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0.19242640570766412</v>
      </c>
      <c r="AX41" s="23">
        <f t="shared" si="6"/>
        <v>0.19242640570766412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</v>
      </c>
      <c r="BD41" s="13">
        <f>IF('Données projet'!$A$88&gt;35,BD40+BC41-BL40,IF(A41&lt;'Données projet'!$A$88,$BA$205^A41,IF(A41='Données projet'!$A$88,'Données projet'!$B$88,BD40+BC41-BL40)))</f>
        <v>157</v>
      </c>
      <c r="BE41" s="14">
        <f>BD41*VLOOKUP('Données projet'!$B$11,Paramètres!$A$1:$I$89,3,0)*VLOOKUP('Données projet'!$B$11,Paramètres!$A$1:$I$89,5,0)</f>
        <v>164.09640000000002</v>
      </c>
      <c r="BF41" s="14">
        <f t="shared" si="37"/>
        <v>41.765106050628262</v>
      </c>
      <c r="BG41" s="22">
        <f t="shared" si="7"/>
        <v>358.54212303817758</v>
      </c>
      <c r="BH41" s="62">
        <f t="shared" si="8"/>
        <v>651.87545637151084</v>
      </c>
      <c r="BI41" s="62">
        <f ca="1">AVERAGE(OFFSET($BH$3,0,0,'Données projet'!$E$11+1,1))-AVERAGE(OFFSET($H$3,0,0,'Données projet'!$E$11+1,1))</f>
        <v>464.21202287459482</v>
      </c>
      <c r="BJ41" s="62">
        <f t="shared" si="38"/>
        <v>234.57880205159688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7.580000000000001</v>
      </c>
      <c r="BY41" s="13">
        <f>IF('Données projet'!$A$114&gt;35,BY40+BX41-CG40,IF(A41&lt;'Données projet'!$A$114,$BV$205^A41,IF(A41='Données projet'!$A$114,'Données projet'!$B$114,BY40+BX41-CG40)))</f>
        <v>137.84000000000006</v>
      </c>
      <c r="BZ41" s="14">
        <f>BY41*VLOOKUP('Données projet'!$B$12,Paramètres!$A$1:$I$89,3,0)*VLOOKUP('Données projet'!$B$12,Paramètres!$A$1:$I$89,5,0)</f>
        <v>109.66550400000006</v>
      </c>
      <c r="CA41" s="14">
        <f t="shared" si="39"/>
        <v>29.252160742502774</v>
      </c>
      <c r="CB41" s="22">
        <f t="shared" si="10"/>
        <v>241.94826609319242</v>
      </c>
      <c r="CC41" s="62">
        <f t="shared" si="11"/>
        <v>535.28159942652576</v>
      </c>
      <c r="CD41" s="62">
        <f ca="1">AVERAGE(OFFSET($CC$3,0,0,'Données projet'!$E$12+1,1))-AVERAGE(OFFSET($H$3,0,0,'Données projet'!$E$12+1,1))</f>
        <v>177.99876437322689</v>
      </c>
      <c r="CE41" s="62">
        <f t="shared" si="40"/>
        <v>165.68154380324592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10.952991452991451</v>
      </c>
      <c r="CT41" s="13">
        <f>IF('Données projet'!$A$140&gt;35,CT40+CS41-DB40,IF(A41&lt;'Données projet'!$A$140,$CQ$205^A41,IF(A41='Données projet'!$A$140,'Données projet'!$B$140,CT40+CS41-DB40)))</f>
        <v>200.75042735042734</v>
      </c>
      <c r="CU41" s="18">
        <f>CT41*VLOOKUP('Données projet'!$B$13,Paramètres!$A$1:$I$89,3,0)*VLOOKUP('Données projet'!$B$13,Paramètres!$A$1:$I$89,5,0)</f>
        <v>112.21948888888889</v>
      </c>
      <c r="CV41" s="14">
        <f t="shared" si="41"/>
        <v>29.853303947073364</v>
      </c>
      <c r="CW41" s="22">
        <f t="shared" si="13"/>
        <v>247.44344752263427</v>
      </c>
      <c r="CX41" s="62">
        <f t="shared" si="14"/>
        <v>540.77678085596756</v>
      </c>
      <c r="CY41" s="62">
        <f ca="1">AVERAGE(OFFSET($CX$3,0,0,'Données projet'!$E$13+1,1))-AVERAGE(OFFSET($H$3,0,0,'Données projet'!$E$13+1,1))</f>
        <v>242.07451379051349</v>
      </c>
      <c r="CZ41" s="62">
        <f t="shared" si="42"/>
        <v>207.11607964940754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11.5</v>
      </c>
      <c r="DO41" s="13">
        <f>IF('Données projet'!$A$166&gt;35,DO40+DN41-DW40,IF(A41&lt;'Données projet'!$A$166,$DL$205^A41,IF(A41='Données projet'!$A$166,'Données projet'!$B$166,DO40+DN41-DW40)))</f>
        <v>209</v>
      </c>
      <c r="DP41" s="18">
        <f>DO41*VLOOKUP('Données projet'!$B$14,Paramètres!$A$1:$I$89,3,0)*VLOOKUP('Données projet'!$B$14,Paramètres!$A$1:$I$89,5,0)</f>
        <v>130.416</v>
      </c>
      <c r="DQ41" s="14">
        <f t="shared" si="43"/>
        <v>34.092466837179941</v>
      </c>
      <c r="DR41" s="22">
        <f t="shared" si="16"/>
        <v>286.51891307475506</v>
      </c>
      <c r="DS41" s="62">
        <f t="shared" si="17"/>
        <v>579.85224640808838</v>
      </c>
      <c r="DT41" s="62">
        <f ca="1">AVERAGE(OFFSET($DS$3,0,0,'Données projet'!$E$14+1,1))-AVERAGE(OFFSET($H$3,0,0,'Données projet'!$E$14+1,1))</f>
        <v>178.56320966726986</v>
      </c>
      <c r="DU41" s="62">
        <f t="shared" si="44"/>
        <v>272.06842551411739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6.1470178776224831</v>
      </c>
      <c r="EC41" s="23">
        <f>EXP(-LN(2)/2)*EC40+(1-EXP(-LN(2)/2))/(LN(2)/2)*DW41*DZ41*VLOOKUP('Données projet'!$B$14,Paramètres!$A$1:$I$89,3,0)*0.475*44/12</f>
        <v>1.0324262425629249</v>
      </c>
      <c r="ED41" s="24">
        <f t="shared" si="18"/>
        <v>7.1794441201854085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</v>
      </c>
      <c r="EJ41" s="13">
        <f>IF('Données projet'!$A$192&gt;35,EJ40+EI41-ER40,IF(A41&lt;'Données projet'!$A$192,$EG$205^A41,IF(A41='Données projet'!$A$192,'Données projet'!$B$192,EJ40+EI41-ER40)))</f>
        <v>157</v>
      </c>
      <c r="EK41" s="18">
        <f>EJ41*VLOOKUP('Données projet'!$B$15,Paramètres!$A$1:$I$89,3,0)*VLOOKUP('Données projet'!$B$15,Paramètres!$A$1:$I$89,5,0)</f>
        <v>168.9948</v>
      </c>
      <c r="EL41" s="14">
        <f t="shared" si="45"/>
        <v>42.864814577758281</v>
      </c>
      <c r="EM41" s="22">
        <f t="shared" si="19"/>
        <v>368.98882872292899</v>
      </c>
      <c r="EN41" s="62">
        <f t="shared" si="20"/>
        <v>662.3221620562623</v>
      </c>
      <c r="EO41" s="62">
        <f ca="1">AVERAGE(OFFSET($EN$3,0,0,'Données projet'!$E$15+1,1))-AVERAGE(OFFSET($H$3,0,0,'Données projet'!$E$15+1,1))</f>
        <v>479.87943647026646</v>
      </c>
      <c r="EP41" s="62">
        <f t="shared" si="46"/>
        <v>242.41363045393223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</v>
      </c>
      <c r="FE41" s="13">
        <f>IF('Données projet'!$A$218&gt;35,FE40+FD41-FM40,IF(A41&lt;'Données projet'!$A$218,$FB$205^A41,IF(A41='Données projet'!$A$218,'Données projet'!$B$218,FE40+FD41-FM40)))</f>
        <v>157</v>
      </c>
      <c r="FF41" s="18">
        <f>FE41*VLOOKUP('Données projet'!$B$16,Paramètres!$A$1:$I$89,3,0)*VLOOKUP('Données projet'!$B$16,Paramètres!$A$1:$I$89,5,0)</f>
        <v>151.85040000000001</v>
      </c>
      <c r="FG41" s="14">
        <f t="shared" si="47"/>
        <v>38.998795130362446</v>
      </c>
      <c r="FH41" s="22">
        <f t="shared" si="22"/>
        <v>332.39568151871464</v>
      </c>
      <c r="FI41" s="62">
        <f t="shared" si="23"/>
        <v>625.72901485204795</v>
      </c>
      <c r="FJ41" s="62">
        <f ca="1">AVERAGE(OFFSET($FI$3,0,0,'Données projet'!$E$16+1,1))-AVERAGE(OFFSET($H$3,0,0,'Données projet'!$E$16+1,1))</f>
        <v>425.00152674093977</v>
      </c>
      <c r="FK41" s="62">
        <f t="shared" si="48"/>
        <v>214.96884469274687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</v>
      </c>
      <c r="N42" s="14">
        <f>IF('Données projet'!$A$36&gt;35,N41+M42-V41,IF(A42&lt;'Données projet'!$A$36,$K$205^A42,IF(A42='Données projet'!$A$36,'Données projet'!$B$36,N41+M42-V41)))</f>
        <v>193</v>
      </c>
      <c r="O42" s="14">
        <f>N42*VLOOKUP('Données projet'!$B$9,Paramètres!$A$1:$I$89,3,0)*VLOOKUP('Données projet'!$B$9,Paramètres!$A$1:$I$89,5,0)</f>
        <v>92.832999999999998</v>
      </c>
      <c r="P42" s="14">
        <f t="shared" si="33"/>
        <v>25.247239077388961</v>
      </c>
      <c r="Q42" s="22">
        <f t="shared" si="53"/>
        <v>205.65641639311912</v>
      </c>
      <c r="R42" s="62">
        <f t="shared" si="0"/>
        <v>498.98974972645243</v>
      </c>
      <c r="S42" s="62">
        <f ca="1">AVERAGE(OFFSET($R$3,0,0,'Données projet'!$E$9+1,1))-AVERAGE(OFFSET($H$3,0,0,'Données projet'!$E$9+1,1))</f>
        <v>179.22241276165141</v>
      </c>
      <c r="T42" s="62">
        <f t="shared" si="34"/>
        <v>86.510654589692876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10.974725274725277</v>
      </c>
      <c r="AI42" s="14">
        <f>IF('Données projet'!$A$62&gt;35,AI41+AH42-AQ41,IF(A42&lt;'Données projet'!$A$62,$AF$205^A42,IF(A42='Données projet'!$A$62,'Données projet'!$B$62,AI41+AH42-AQ41)))</f>
        <v>177.94065934065932</v>
      </c>
      <c r="AJ42" s="14">
        <f>AI42*VLOOKUP('Données projet'!$B$10,Paramètres!$A$1:$I$89,3,0)*VLOOKUP('Données projet'!$B$10,Paramètres!$A$1:$I$89,5,0)</f>
        <v>106.40851428571429</v>
      </c>
      <c r="AK42" s="14">
        <f t="shared" si="35"/>
        <v>28.483174710515186</v>
      </c>
      <c r="AL42" s="22">
        <f t="shared" si="4"/>
        <v>234.9363583350997</v>
      </c>
      <c r="AM42" s="62">
        <f t="shared" si="5"/>
        <v>528.26969166843298</v>
      </c>
      <c r="AN42" s="62">
        <f ca="1">AVERAGE(OFFSET($AM$3,0,0,'Données projet'!$E$10+1,1))-AVERAGE(OFFSET($H$3,0,0,'Données projet'!$E$10+1,1))</f>
        <v>157.42757749057949</v>
      </c>
      <c r="AO42" s="62">
        <f t="shared" si="36"/>
        <v>129.86070223892136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0.13606601635524307</v>
      </c>
      <c r="AX42" s="23">
        <f t="shared" si="6"/>
        <v>0.13606601635524307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</v>
      </c>
      <c r="BD42" s="13">
        <f>IF('Données projet'!$A$88&gt;35,BD41+BC42-BL41,IF(A42&lt;'Données projet'!$A$88,$BA$205^A42,IF(A42='Données projet'!$A$88,'Données projet'!$B$88,BD41+BC42-BL41)))</f>
        <v>165</v>
      </c>
      <c r="BE42" s="14">
        <f>BD42*VLOOKUP('Données projet'!$B$11,Paramètres!$A$1:$I$89,3,0)*VLOOKUP('Données projet'!$B$11,Paramètres!$A$1:$I$89,5,0)</f>
        <v>172.45800000000003</v>
      </c>
      <c r="BF42" s="14">
        <f t="shared" si="37"/>
        <v>43.640073035750284</v>
      </c>
      <c r="BG42" s="22">
        <f t="shared" si="7"/>
        <v>376.37081053726507</v>
      </c>
      <c r="BH42" s="62">
        <f t="shared" si="8"/>
        <v>669.70414387059839</v>
      </c>
      <c r="BI42" s="62">
        <f ca="1">AVERAGE(OFFSET($BH$3,0,0,'Données projet'!$E$11+1,1))-AVERAGE(OFFSET($H$3,0,0,'Données projet'!$E$11+1,1))</f>
        <v>464.21202287459482</v>
      </c>
      <c r="BJ42" s="62">
        <f t="shared" si="38"/>
        <v>234.57880205159688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7.580000000000001</v>
      </c>
      <c r="BY42" s="13">
        <f>IF('Données projet'!$A$114&gt;35,BY41+BX42-CG41,IF(A42&lt;'Données projet'!$A$114,$BV$205^A42,IF(A42='Données projet'!$A$114,'Données projet'!$B$114,BY41+BX42-CG41)))</f>
        <v>145.42000000000007</v>
      </c>
      <c r="BZ42" s="14">
        <f>BY42*VLOOKUP('Données projet'!$B$12,Paramètres!$A$1:$I$89,3,0)*VLOOKUP('Données projet'!$B$12,Paramètres!$A$1:$I$89,5,0)</f>
        <v>115.69615200000005</v>
      </c>
      <c r="CA42" s="14">
        <f t="shared" si="39"/>
        <v>30.669073614921089</v>
      </c>
      <c r="CB42" s="22">
        <f t="shared" si="10"/>
        <v>254.9194346126543</v>
      </c>
      <c r="CC42" s="62">
        <f t="shared" si="11"/>
        <v>548.25276794598767</v>
      </c>
      <c r="CD42" s="62">
        <f ca="1">AVERAGE(OFFSET($CC$3,0,0,'Données projet'!$E$12+1,1))-AVERAGE(OFFSET($H$3,0,0,'Données projet'!$E$12+1,1))</f>
        <v>177.99876437322689</v>
      </c>
      <c r="CE42" s="62">
        <f t="shared" si="40"/>
        <v>165.68154380324592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10.952991452991451</v>
      </c>
      <c r="CT42" s="13">
        <f>IF('Données projet'!$A$140&gt;35,CT41+CS42-DB41,IF(A42&lt;'Données projet'!$A$140,$CQ$205^A42,IF(A42='Données projet'!$A$140,'Données projet'!$B$140,CT41+CS42-DB41)))</f>
        <v>211.7034188034188</v>
      </c>
      <c r="CU42" s="18">
        <f>CT42*VLOOKUP('Données projet'!$B$13,Paramètres!$A$1:$I$89,3,0)*VLOOKUP('Données projet'!$B$13,Paramètres!$A$1:$I$89,5,0)</f>
        <v>118.34221111111111</v>
      </c>
      <c r="CV42" s="14">
        <f t="shared" si="41"/>
        <v>31.288034770853997</v>
      </c>
      <c r="CW42" s="22">
        <f t="shared" si="13"/>
        <v>260.60601157775585</v>
      </c>
      <c r="CX42" s="62">
        <f t="shared" si="14"/>
        <v>553.93934491108917</v>
      </c>
      <c r="CY42" s="62">
        <f ca="1">AVERAGE(OFFSET($CX$3,0,0,'Données projet'!$E$13+1,1))-AVERAGE(OFFSET($H$3,0,0,'Données projet'!$E$13+1,1))</f>
        <v>242.07451379051349</v>
      </c>
      <c r="CZ42" s="62">
        <f t="shared" si="42"/>
        <v>207.11607964940754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11.5</v>
      </c>
      <c r="DO42" s="13">
        <f>IF('Données projet'!$A$166&gt;35,DO41+DN42-DW41,IF(A42&lt;'Données projet'!$A$166,$DL$205^A42,IF(A42='Données projet'!$A$166,'Données projet'!$B$166,DO41+DN42-DW41)))</f>
        <v>220.5</v>
      </c>
      <c r="DP42" s="18">
        <f>DO42*VLOOKUP('Données projet'!$B$14,Paramètres!$A$1:$I$89,3,0)*VLOOKUP('Données projet'!$B$14,Paramètres!$A$1:$I$89,5,0)</f>
        <v>137.59199999999998</v>
      </c>
      <c r="DQ42" s="14">
        <f t="shared" si="43"/>
        <v>35.744810729505772</v>
      </c>
      <c r="DR42" s="22">
        <f t="shared" si="16"/>
        <v>301.89494535388923</v>
      </c>
      <c r="DS42" s="62">
        <f t="shared" si="17"/>
        <v>595.22827868722254</v>
      </c>
      <c r="DT42" s="62">
        <f ca="1">AVERAGE(OFFSET($DS$3,0,0,'Données projet'!$E$14+1,1))-AVERAGE(OFFSET($H$3,0,0,'Données projet'!$E$14+1,1))</f>
        <v>178.56320966726986</v>
      </c>
      <c r="DU42" s="62">
        <f t="shared" si="44"/>
        <v>272.06842551411739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5.9789273505012757</v>
      </c>
      <c r="EC42" s="23">
        <f>EXP(-LN(2)/2)*EC41+(1-EXP(-LN(2)/2))/(LN(2)/2)*DW42*DZ42*VLOOKUP('Données projet'!$B$14,Paramètres!$A$1:$I$89,3,0)*0.475*44/12</f>
        <v>0.7300355971911916</v>
      </c>
      <c r="ED42" s="24">
        <f t="shared" si="18"/>
        <v>6.7089629476924673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</v>
      </c>
      <c r="EJ42" s="13">
        <f>IF('Données projet'!$A$192&gt;35,EJ41+EI42-ER41,IF(A42&lt;'Données projet'!$A$192,$EG$205^A42,IF(A42='Données projet'!$A$192,'Données projet'!$B$192,EJ41+EI42-ER41)))</f>
        <v>165</v>
      </c>
      <c r="EK42" s="18">
        <f>EJ42*VLOOKUP('Données projet'!$B$15,Paramètres!$A$1:$I$89,3,0)*VLOOKUP('Données projet'!$B$15,Paramètres!$A$1:$I$89,5,0)</f>
        <v>177.60599999999999</v>
      </c>
      <c r="EL42" s="14">
        <f t="shared" si="45"/>
        <v>44.789150937858665</v>
      </c>
      <c r="EM42" s="22">
        <f t="shared" si="19"/>
        <v>387.33822121677048</v>
      </c>
      <c r="EN42" s="62">
        <f t="shared" si="20"/>
        <v>680.67155455010379</v>
      </c>
      <c r="EO42" s="62">
        <f ca="1">AVERAGE(OFFSET($EN$3,0,0,'Données projet'!$E$15+1,1))-AVERAGE(OFFSET($H$3,0,0,'Données projet'!$E$15+1,1))</f>
        <v>479.87943647026646</v>
      </c>
      <c r="EP42" s="62">
        <f t="shared" si="46"/>
        <v>242.41363045393223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</v>
      </c>
      <c r="FE42" s="13">
        <f>IF('Données projet'!$A$218&gt;35,FE41+FD42-FM41,IF(A42&lt;'Données projet'!$A$218,$FB$205^A42,IF(A42='Données projet'!$A$218,'Données projet'!$B$218,FE41+FD42-FM41)))</f>
        <v>165</v>
      </c>
      <c r="FF42" s="18">
        <f>FE42*VLOOKUP('Données projet'!$B$16,Paramètres!$A$1:$I$89,3,0)*VLOOKUP('Données projet'!$B$16,Paramètres!$A$1:$I$89,5,0)</f>
        <v>159.58799999999999</v>
      </c>
      <c r="FG42" s="14">
        <f t="shared" si="47"/>
        <v>40.74957371668588</v>
      </c>
      <c r="FH42" s="22">
        <f t="shared" si="22"/>
        <v>348.92127422322784</v>
      </c>
      <c r="FI42" s="62">
        <f t="shared" si="23"/>
        <v>642.25460755656115</v>
      </c>
      <c r="FJ42" s="62">
        <f ca="1">AVERAGE(OFFSET($FI$3,0,0,'Données projet'!$E$16+1,1))-AVERAGE(OFFSET($H$3,0,0,'Données projet'!$E$16+1,1))</f>
        <v>425.00152674093977</v>
      </c>
      <c r="FK42" s="62">
        <f t="shared" si="48"/>
        <v>214.96884469274687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202</v>
      </c>
      <c r="L43" s="13">
        <f>VLOOKUP(A43,'Données projet'!$A$35:$I$55,9,0)</f>
        <v>9</v>
      </c>
      <c r="M43" s="13">
        <f t="array" ref="M43">INDEX(L:L,MIN(IF(ISNUMBER(L43:L239),ROW(L43:L239),"")))</f>
        <v>9</v>
      </c>
      <c r="N43" s="14">
        <f>IF('Données projet'!$A$36&gt;35,N42+M43-V42,IF(A43&lt;'Données projet'!$A$36,$K$205^A43,IF(A43='Données projet'!$A$36,'Données projet'!$B$36,N42+M43-V42)))</f>
        <v>202</v>
      </c>
      <c r="O43" s="14">
        <f>N43*VLOOKUP('Données projet'!$B$9,Paramètres!$A$1:$I$89,3,0)*VLOOKUP('Données projet'!$B$9,Paramètres!$A$1:$I$89,5,0)</f>
        <v>97.161999999999992</v>
      </c>
      <c r="P43" s="14">
        <f t="shared" si="33"/>
        <v>26.284754460059258</v>
      </c>
      <c r="Q43" s="22">
        <f t="shared" si="53"/>
        <v>215.00309735126984</v>
      </c>
      <c r="R43" s="62">
        <f t="shared" si="0"/>
        <v>508.33643068460316</v>
      </c>
      <c r="S43" s="62">
        <f ca="1">AVERAGE(OFFSET($R$3,0,0,'Données projet'!$E$9+1,1))-AVERAGE(OFFSET($H$3,0,0,'Données projet'!$E$9+1,1))</f>
        <v>179.22241276165141</v>
      </c>
      <c r="T43" s="62">
        <f t="shared" si="34"/>
        <v>86.510654589692876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188.91538461538462</v>
      </c>
      <c r="AG43" s="13">
        <f>VLOOKUP(A43,'Données projet'!$A$61:$I$81,9,0)</f>
        <v>10.974725274725277</v>
      </c>
      <c r="AH43" s="13">
        <f t="array" ref="AH43">INDEX(AG:AG,MIN(IF(ISNUMBER(AG43:AG239),ROW(AG43:AG239),"")))</f>
        <v>10.974725274725277</v>
      </c>
      <c r="AI43" s="14">
        <f>IF('Données projet'!$A$62&gt;35,AI42+AH43-AQ42,IF(A43&lt;'Données projet'!$A$62,$AF$205^A43,IF(A43='Données projet'!$A$62,'Données projet'!$B$62,AI42+AH43-AQ42)))</f>
        <v>188.9153846153846</v>
      </c>
      <c r="AJ43" s="14">
        <f>AI43*VLOOKUP('Données projet'!$B$10,Paramètres!$A$1:$I$89,3,0)*VLOOKUP('Données projet'!$B$10,Paramètres!$A$1:$I$89,5,0)</f>
        <v>112.97139999999999</v>
      </c>
      <c r="AK43" s="14">
        <f t="shared" si="35"/>
        <v>30.029979864864952</v>
      </c>
      <c r="AL43" s="22">
        <f t="shared" si="4"/>
        <v>249.06073659797309</v>
      </c>
      <c r="AM43" s="62">
        <f t="shared" si="5"/>
        <v>542.39406993130638</v>
      </c>
      <c r="AN43" s="62">
        <f ca="1">AVERAGE(OFFSET($AM$3,0,0,'Données projet'!$E$10+1,1))-AVERAGE(OFFSET($H$3,0,0,'Données projet'!$E$10+1,1))</f>
        <v>157.42757749057949</v>
      </c>
      <c r="AO43" s="62">
        <f t="shared" si="36"/>
        <v>129.86070223892136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48.323076923076918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9.6213202853832058E-2</v>
      </c>
      <c r="AX43" s="23">
        <f t="shared" si="6"/>
        <v>9.6213202853832058E-2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173</v>
      </c>
      <c r="BB43" s="13">
        <f>VLOOKUP(A43,'Données projet'!$A$87:$I$107,9,0)</f>
        <v>8</v>
      </c>
      <c r="BC43" s="13">
        <f t="array" ref="BC43">INDEX(BB:BB,MIN(IF(ISNUMBER(BB43:BB239),ROW(BB43:BB239),"")))</f>
        <v>8</v>
      </c>
      <c r="BD43" s="13">
        <f>IF('Données projet'!$A$88&gt;35,BD42+BC43-BL42,IF(A43&lt;'Données projet'!$A$88,$BA$205^A43,IF(A43='Données projet'!$A$88,'Données projet'!$B$88,BD42+BC43-BL42)))</f>
        <v>173</v>
      </c>
      <c r="BE43" s="14">
        <f>BD43*VLOOKUP('Données projet'!$B$11,Paramètres!$A$1:$I$89,3,0)*VLOOKUP('Données projet'!$B$11,Paramètres!$A$1:$I$89,5,0)</f>
        <v>180.81960000000004</v>
      </c>
      <c r="BF43" s="14">
        <f t="shared" si="37"/>
        <v>45.504483825620213</v>
      </c>
      <c r="BG43" s="22">
        <f t="shared" si="7"/>
        <v>394.18111266295523</v>
      </c>
      <c r="BH43" s="62">
        <f t="shared" si="8"/>
        <v>687.51444599628849</v>
      </c>
      <c r="BI43" s="62">
        <f ca="1">AVERAGE(OFFSET($BH$3,0,0,'Données projet'!$E$11+1,1))-AVERAGE(OFFSET($H$3,0,0,'Données projet'!$E$11+1,1))</f>
        <v>464.21202287459482</v>
      </c>
      <c r="BJ43" s="62">
        <f t="shared" si="38"/>
        <v>234.57880205159688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</v>
      </c>
      <c r="BW43" s="13">
        <f>VLOOKUP(A43,'Données projet'!$A$113:$I$133,9,0)</f>
        <v>7.580000000000001</v>
      </c>
      <c r="BX43" s="13">
        <f t="array" ref="BX43">INDEX(BW:BW,MIN(IF(ISNUMBER(BW43:BW239),ROW(BW43:BW239),"")))</f>
        <v>7.580000000000001</v>
      </c>
      <c r="BY43" s="13">
        <f>IF('Données projet'!$A$114&gt;35,BY42+BX43-CG42,IF(A43&lt;'Données projet'!$A$114,$BV$205^A43,IF(A43='Données projet'!$A$114,'Données projet'!$B$114,BY42+BX43-CG42)))</f>
        <v>153.00000000000009</v>
      </c>
      <c r="BZ43" s="14">
        <f>BY43*VLOOKUP('Données projet'!$B$12,Paramètres!$A$1:$I$89,3,0)*VLOOKUP('Données projet'!$B$12,Paramètres!$A$1:$I$89,5,0)</f>
        <v>121.72680000000007</v>
      </c>
      <c r="CA43" s="14">
        <f t="shared" si="39"/>
        <v>32.077411529031998</v>
      </c>
      <c r="CB43" s="22">
        <f t="shared" si="10"/>
        <v>267.87566841306415</v>
      </c>
      <c r="CC43" s="62">
        <f t="shared" si="11"/>
        <v>561.20900174639746</v>
      </c>
      <c r="CD43" s="62">
        <f ca="1">AVERAGE(OFFSET($CC$3,0,0,'Données projet'!$E$12+1,1))-AVERAGE(OFFSET($H$3,0,0,'Données projet'!$E$12+1,1))</f>
        <v>177.99876437322689</v>
      </c>
      <c r="CE43" s="62">
        <f t="shared" si="40"/>
        <v>165.68154380324592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10.952991452991451</v>
      </c>
      <c r="CT43" s="13">
        <f>IF('Données projet'!$A$140&gt;35,CT42+CS43-DB42,IF(A43&lt;'Données projet'!$A$140,$CQ$205^A43,IF(A43='Données projet'!$A$140,'Données projet'!$B$140,CT42+CS43-DB42)))</f>
        <v>222.65641025641025</v>
      </c>
      <c r="CU43" s="18">
        <f>CT43*VLOOKUP('Données projet'!$B$13,Paramètres!$A$1:$I$89,3,0)*VLOOKUP('Données projet'!$B$13,Paramètres!$A$1:$I$89,5,0)</f>
        <v>124.46493333333332</v>
      </c>
      <c r="CV43" s="14">
        <f t="shared" si="41"/>
        <v>32.714147211013774</v>
      </c>
      <c r="CW43" s="22">
        <f t="shared" si="13"/>
        <v>273.75356528140452</v>
      </c>
      <c r="CX43" s="62">
        <f t="shared" si="14"/>
        <v>567.08689861473783</v>
      </c>
      <c r="CY43" s="62">
        <f ca="1">AVERAGE(OFFSET($CX$3,0,0,'Données projet'!$E$13+1,1))-AVERAGE(OFFSET($H$3,0,0,'Données projet'!$E$13+1,1))</f>
        <v>242.07451379051349</v>
      </c>
      <c r="CZ43" s="62">
        <f t="shared" si="42"/>
        <v>207.11607964940754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11.5</v>
      </c>
      <c r="DO43" s="13">
        <f>IF('Données projet'!$A$166&gt;35,DO42+DN43-DW42,IF(A43&lt;'Données projet'!$A$166,$DL$205^A43,IF(A43='Données projet'!$A$166,'Données projet'!$B$166,DO42+DN43-DW42)))</f>
        <v>232</v>
      </c>
      <c r="DP43" s="18">
        <f>DO43*VLOOKUP('Données projet'!$B$14,Paramètres!$A$1:$I$89,3,0)*VLOOKUP('Données projet'!$B$14,Paramètres!$A$1:$I$89,5,0)</f>
        <v>144.768</v>
      </c>
      <c r="DQ43" s="14">
        <f t="shared" si="43"/>
        <v>37.387149255707826</v>
      </c>
      <c r="DR43" s="22">
        <f t="shared" si="16"/>
        <v>317.25355162035777</v>
      </c>
      <c r="DS43" s="62">
        <f t="shared" si="17"/>
        <v>610.58688495369108</v>
      </c>
      <c r="DT43" s="62">
        <f ca="1">AVERAGE(OFFSET($DS$3,0,0,'Données projet'!$E$14+1,1))-AVERAGE(OFFSET($H$3,0,0,'Données projet'!$E$14+1,1))</f>
        <v>178.56320966726986</v>
      </c>
      <c r="DU43" s="62">
        <f t="shared" si="44"/>
        <v>272.06842551411739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5.8154332676836935</v>
      </c>
      <c r="EC43" s="23">
        <f>EXP(-LN(2)/2)*EC42+(1-EXP(-LN(2)/2))/(LN(2)/2)*DW43*DZ43*VLOOKUP('Données projet'!$B$14,Paramètres!$A$1:$I$89,3,0)*0.475*44/12</f>
        <v>0.51621312128146246</v>
      </c>
      <c r="ED43" s="24">
        <f t="shared" si="18"/>
        <v>6.3316463889651562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173</v>
      </c>
      <c r="EH43" s="13">
        <f>VLOOKUP(A43,'Données projet'!$A$191:$I$211,9,0)</f>
        <v>8</v>
      </c>
      <c r="EI43" s="13">
        <f t="array" ref="EI43">INDEX(EH:EH,MIN(IF(ISNUMBER(EH43:EH239),ROW(EH43:EH239),"")))</f>
        <v>8</v>
      </c>
      <c r="EJ43" s="13">
        <f>IF('Données projet'!$A$192&gt;35,EJ42+EI43-ER42,IF(A43&lt;'Données projet'!$A$192,$EG$205^A43,IF(A43='Données projet'!$A$192,'Données projet'!$B$192,EJ42+EI43-ER42)))</f>
        <v>173</v>
      </c>
      <c r="EK43" s="18">
        <f>EJ43*VLOOKUP('Données projet'!$B$15,Paramètres!$A$1:$I$89,3,0)*VLOOKUP('Données projet'!$B$15,Paramètres!$A$1:$I$89,5,0)</f>
        <v>186.21719999999999</v>
      </c>
      <c r="EL43" s="14">
        <f t="shared" si="45"/>
        <v>46.702653149673253</v>
      </c>
      <c r="EM43" s="22">
        <f t="shared" si="19"/>
        <v>405.66874423568089</v>
      </c>
      <c r="EN43" s="62">
        <f t="shared" si="20"/>
        <v>699.0020775690142</v>
      </c>
      <c r="EO43" s="62">
        <f ca="1">AVERAGE(OFFSET($EN$3,0,0,'Données projet'!$E$15+1,1))-AVERAGE(OFFSET($H$3,0,0,'Données projet'!$E$15+1,1))</f>
        <v>479.87943647026646</v>
      </c>
      <c r="EP43" s="62">
        <f t="shared" si="46"/>
        <v>242.41363045393223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173</v>
      </c>
      <c r="FC43" s="13">
        <f>VLOOKUP(A43,'Données projet'!$A$217:$I$237,9,0)</f>
        <v>8</v>
      </c>
      <c r="FD43" s="13">
        <f t="array" ref="FD43">INDEX(FC:FC,MIN(IF(ISNUMBER(FC43:FC239),ROW(FC43:FC239),"")))</f>
        <v>8</v>
      </c>
      <c r="FE43" s="13">
        <f>IF('Données projet'!$A$218&gt;35,FE42+FD43-FM42,IF(A43&lt;'Données projet'!$A$218,$FB$205^A43,IF(A43='Données projet'!$A$218,'Données projet'!$B$218,FE42+FD43-FM42)))</f>
        <v>173</v>
      </c>
      <c r="FF43" s="18">
        <f>FE43*VLOOKUP('Données projet'!$B$16,Paramètres!$A$1:$I$89,3,0)*VLOOKUP('Données projet'!$B$16,Paramètres!$A$1:$I$89,5,0)</f>
        <v>167.32560000000001</v>
      </c>
      <c r="FG43" s="14">
        <f t="shared" si="47"/>
        <v>42.490495297127609</v>
      </c>
      <c r="FH43" s="22">
        <f t="shared" si="22"/>
        <v>365.42969930916388</v>
      </c>
      <c r="FI43" s="62">
        <f t="shared" si="23"/>
        <v>658.76303264249714</v>
      </c>
      <c r="FJ43" s="62">
        <f ca="1">AVERAGE(OFFSET($FI$3,0,0,'Données projet'!$E$16+1,1))-AVERAGE(OFFSET($H$3,0,0,'Données projet'!$E$16+1,1))</f>
        <v>425.00152674093977</v>
      </c>
      <c r="FK43" s="62">
        <f t="shared" si="48"/>
        <v>214.96884469274687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121.5</v>
      </c>
      <c r="O44" s="14">
        <f>N44*VLOOKUP('Données projet'!$B$9,Paramètres!$A$1:$I$89,3,0)*VLOOKUP('Données projet'!$B$9,Paramètres!$A$1:$I$89,5,0)</f>
        <v>58.441499999999998</v>
      </c>
      <c r="P44" s="14">
        <f t="shared" si="33"/>
        <v>16.773629791632231</v>
      </c>
      <c r="Q44" s="22">
        <f t="shared" si="53"/>
        <v>130.9996843870928</v>
      </c>
      <c r="R44" s="62">
        <f t="shared" si="0"/>
        <v>424.33301772042614</v>
      </c>
      <c r="S44" s="62">
        <f ca="1">AVERAGE(OFFSET($R$3,0,0,'Données projet'!$E$9+1,1))-AVERAGE(OFFSET($H$3,0,0,'Données projet'!$E$9+1,1))</f>
        <v>179.22241276165141</v>
      </c>
      <c r="T44" s="62">
        <f t="shared" si="34"/>
        <v>86.510654589692876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9.1461538461538368</v>
      </c>
      <c r="AI44" s="14">
        <f>IF('Données projet'!$A$62&gt;35,AI43+AH44-AQ43,IF(A44&lt;'Données projet'!$A$62,$AF$205^A44,IF(A44='Données projet'!$A$62,'Données projet'!$B$62,AI43+AH44-AQ43)))</f>
        <v>149.73846153846151</v>
      </c>
      <c r="AJ44" s="14">
        <f>AI44*VLOOKUP('Données projet'!$B$10,Paramètres!$A$1:$I$89,3,0)*VLOOKUP('Données projet'!$B$10,Paramètres!$A$1:$I$89,5,0)</f>
        <v>89.543599999999984</v>
      </c>
      <c r="AK44" s="14">
        <f t="shared" si="35"/>
        <v>24.455119755819442</v>
      </c>
      <c r="AL44" s="22">
        <f t="shared" si="4"/>
        <v>198.54777024138548</v>
      </c>
      <c r="AM44" s="62">
        <f t="shared" si="5"/>
        <v>491.88110357471879</v>
      </c>
      <c r="AN44" s="62">
        <f ca="1">AVERAGE(OFFSET($AM$3,0,0,'Données projet'!$E$10+1,1))-AVERAGE(OFFSET($H$3,0,0,'Données projet'!$E$10+1,1))</f>
        <v>157.42757749057949</v>
      </c>
      <c r="AO44" s="62">
        <f t="shared" si="36"/>
        <v>129.86070223892136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6.8033008177621535E-2</v>
      </c>
      <c r="AX44" s="23">
        <f t="shared" si="6"/>
        <v>6.8033008177621535E-2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7.6</v>
      </c>
      <c r="BD44" s="13">
        <f>IF('Données projet'!$A$88&gt;35,BD43+BC44-BL43,IF(A44&lt;'Données projet'!$A$88,$BA$205^A44,IF(A44='Données projet'!$A$88,'Données projet'!$B$88,BD43+BC44-BL43)))</f>
        <v>180.6</v>
      </c>
      <c r="BE44" s="14">
        <f>BD44*VLOOKUP('Données projet'!$B$11,Paramètres!$A$1:$I$89,3,0)*VLOOKUP('Données projet'!$B$11,Paramètres!$A$1:$I$89,5,0)</f>
        <v>188.76312000000001</v>
      </c>
      <c r="BF44" s="14">
        <f t="shared" si="37"/>
        <v>47.266392386745366</v>
      </c>
      <c r="BG44" s="22">
        <f t="shared" si="7"/>
        <v>411.0847340735815</v>
      </c>
      <c r="BH44" s="62">
        <f t="shared" si="8"/>
        <v>704.41806740691482</v>
      </c>
      <c r="BI44" s="62">
        <f ca="1">AVERAGE(OFFSET($BH$3,0,0,'Données projet'!$E$11+1,1))-AVERAGE(OFFSET($H$3,0,0,'Données projet'!$E$11+1,1))</f>
        <v>464.21202287459482</v>
      </c>
      <c r="BJ44" s="62">
        <f t="shared" si="38"/>
        <v>234.57880205159688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6.5200000000000049</v>
      </c>
      <c r="BY44" s="13">
        <f>IF('Données projet'!$A$114&gt;35,BY43+BX44-CG43,IF(A44&lt;'Données projet'!$A$114,$BV$205^A44,IF(A44='Données projet'!$A$114,'Données projet'!$B$114,BY43+BX44-CG43)))</f>
        <v>159.5200000000001</v>
      </c>
      <c r="BZ44" s="14">
        <f>BY44*VLOOKUP('Données projet'!$B$12,Paramètres!$A$1:$I$89,3,0)*VLOOKUP('Données projet'!$B$12,Paramètres!$A$1:$I$89,5,0)</f>
        <v>126.91411200000009</v>
      </c>
      <c r="CA44" s="14">
        <f t="shared" si="39"/>
        <v>33.28230729651667</v>
      </c>
      <c r="CB44" s="22">
        <f t="shared" si="10"/>
        <v>279.00876360809997</v>
      </c>
      <c r="CC44" s="62">
        <f t="shared" si="11"/>
        <v>572.34209694143328</v>
      </c>
      <c r="CD44" s="62">
        <f ca="1">AVERAGE(OFFSET($CC$3,0,0,'Données projet'!$E$12+1,1))-AVERAGE(OFFSET($H$3,0,0,'Données projet'!$E$12+1,1))</f>
        <v>177.99876437322689</v>
      </c>
      <c r="CE44" s="62">
        <f t="shared" si="40"/>
        <v>165.68154380324592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10.952991452991451</v>
      </c>
      <c r="CT44" s="13">
        <f>IF('Données projet'!$A$140&gt;35,CT43+CS44-DB43,IF(A44&lt;'Données projet'!$A$140,$CQ$205^A44,IF(A44='Données projet'!$A$140,'Données projet'!$B$140,CT43+CS44-DB43)))</f>
        <v>233.60940170940171</v>
      </c>
      <c r="CU44" s="18">
        <f>CT44*VLOOKUP('Données projet'!$B$13,Paramètres!$A$1:$I$89,3,0)*VLOOKUP('Données projet'!$B$13,Paramètres!$A$1:$I$89,5,0)</f>
        <v>130.58765555555556</v>
      </c>
      <c r="CV44" s="14">
        <f t="shared" si="41"/>
        <v>34.132113612376557</v>
      </c>
      <c r="CW44" s="22">
        <f t="shared" si="13"/>
        <v>286.88693130081509</v>
      </c>
      <c r="CX44" s="62">
        <f t="shared" si="14"/>
        <v>580.22026463414841</v>
      </c>
      <c r="CY44" s="62">
        <f ca="1">AVERAGE(OFFSET($CX$3,0,0,'Données projet'!$E$13+1,1))-AVERAGE(OFFSET($H$3,0,0,'Données projet'!$E$13+1,1))</f>
        <v>242.07451379051349</v>
      </c>
      <c r="CZ44" s="62">
        <f t="shared" si="42"/>
        <v>207.11607964940754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11.5</v>
      </c>
      <c r="DO44" s="13">
        <f>IF('Données projet'!$A$166&gt;35,DO43+DN44-DW43,IF(A44&lt;'Données projet'!$A$166,$DL$205^A44,IF(A44='Données projet'!$A$166,'Données projet'!$B$166,DO43+DN44-DW43)))</f>
        <v>243.5</v>
      </c>
      <c r="DP44" s="18">
        <f>DO44*VLOOKUP('Données projet'!$B$14,Paramètres!$A$1:$I$89,3,0)*VLOOKUP('Données projet'!$B$14,Paramètres!$A$1:$I$89,5,0)</f>
        <v>151.94399999999999</v>
      </c>
      <c r="DQ44" s="14">
        <f t="shared" si="43"/>
        <v>39.02003496976517</v>
      </c>
      <c r="DR44" s="22">
        <f t="shared" si="16"/>
        <v>332.59569423900763</v>
      </c>
      <c r="DS44" s="62">
        <f t="shared" si="17"/>
        <v>625.92902757234094</v>
      </c>
      <c r="DT44" s="62">
        <f ca="1">AVERAGE(OFFSET($DS$3,0,0,'Données projet'!$E$14+1,1))-AVERAGE(OFFSET($H$3,0,0,'Données projet'!$E$14+1,1))</f>
        <v>178.56320966726986</v>
      </c>
      <c r="DU44" s="62">
        <f t="shared" si="44"/>
        <v>272.06842551411739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5.6564099391585385</v>
      </c>
      <c r="EC44" s="23">
        <f>EXP(-LN(2)/2)*EC43+(1-EXP(-LN(2)/2))/(LN(2)/2)*DW44*DZ44*VLOOKUP('Données projet'!$B$14,Paramètres!$A$1:$I$89,3,0)*0.475*44/12</f>
        <v>0.3650177985955958</v>
      </c>
      <c r="ED44" s="24">
        <f t="shared" si="18"/>
        <v>6.0214277377541343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7.6</v>
      </c>
      <c r="EJ44" s="13">
        <f>IF('Données projet'!$A$192&gt;35,EJ43+EI44-ER43,IF(A44&lt;'Données projet'!$A$192,$EG$205^A44,IF(A44='Données projet'!$A$192,'Données projet'!$B$192,EJ43+EI44-ER43)))</f>
        <v>180.6</v>
      </c>
      <c r="EK44" s="18">
        <f>EJ44*VLOOKUP('Données projet'!$B$15,Paramètres!$A$1:$I$89,3,0)*VLOOKUP('Données projet'!$B$15,Paramètres!$A$1:$I$89,5,0)</f>
        <v>194.39784</v>
      </c>
      <c r="EL44" s="14">
        <f t="shared" si="45"/>
        <v>48.510954167370699</v>
      </c>
      <c r="EM44" s="22">
        <f t="shared" si="19"/>
        <v>423.066149841504</v>
      </c>
      <c r="EN44" s="62">
        <f t="shared" si="20"/>
        <v>716.39948317483731</v>
      </c>
      <c r="EO44" s="62">
        <f ca="1">AVERAGE(OFFSET($EN$3,0,0,'Données projet'!$E$15+1,1))-AVERAGE(OFFSET($H$3,0,0,'Données projet'!$E$15+1,1))</f>
        <v>479.87943647026646</v>
      </c>
      <c r="EP44" s="62">
        <f t="shared" si="46"/>
        <v>242.41363045393223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7.6</v>
      </c>
      <c r="FE44" s="13">
        <f>IF('Données projet'!$A$218&gt;35,FE43+FD44-FM43,IF(A44&lt;'Données projet'!$A$218,$FB$205^A44,IF(A44='Données projet'!$A$218,'Données projet'!$B$218,FE43+FD44-FM43)))</f>
        <v>180.6</v>
      </c>
      <c r="FF44" s="18">
        <f>FE44*VLOOKUP('Données projet'!$B$16,Paramètres!$A$1:$I$89,3,0)*VLOOKUP('Données projet'!$B$16,Paramètres!$A$1:$I$89,5,0)</f>
        <v>174.67632</v>
      </c>
      <c r="FG44" s="14">
        <f t="shared" si="47"/>
        <v>44.13570388178811</v>
      </c>
      <c r="FH44" s="22">
        <f t="shared" si="22"/>
        <v>381.09760826078099</v>
      </c>
      <c r="FI44" s="62">
        <f t="shared" si="23"/>
        <v>674.4309415941143</v>
      </c>
      <c r="FJ44" s="62">
        <f ca="1">AVERAGE(OFFSET($FI$3,0,0,'Données projet'!$E$16+1,1))-AVERAGE(OFFSET($H$3,0,0,'Données projet'!$E$16+1,1))</f>
        <v>425.00152674093977</v>
      </c>
      <c r="FK44" s="62">
        <f t="shared" si="48"/>
        <v>214.96884469274687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133</v>
      </c>
      <c r="O45" s="14">
        <f>N45*VLOOKUP('Données projet'!$B$9,Paramètres!$A$1:$I$89,3,0)*VLOOKUP('Données projet'!$B$9,Paramètres!$A$1:$I$89,5,0)</f>
        <v>63.973000000000006</v>
      </c>
      <c r="P45" s="14">
        <f t="shared" si="33"/>
        <v>18.168989097390895</v>
      </c>
      <c r="Q45" s="22">
        <f t="shared" si="53"/>
        <v>143.06396434462246</v>
      </c>
      <c r="R45" s="62">
        <f t="shared" si="0"/>
        <v>436.39729767795575</v>
      </c>
      <c r="S45" s="62">
        <f ca="1">AVERAGE(OFFSET($R$3,0,0,'Données projet'!$E$9+1,1))-AVERAGE(OFFSET($H$3,0,0,'Données projet'!$E$9+1,1))</f>
        <v>179.22241276165141</v>
      </c>
      <c r="T45" s="62">
        <f t="shared" si="34"/>
        <v>86.510654589692876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158.88461538461539</v>
      </c>
      <c r="AG45" s="13">
        <f>VLOOKUP(A45,'Données projet'!$A$61:$I$81,9,0)</f>
        <v>9.1461538461538368</v>
      </c>
      <c r="AH45" s="13">
        <f t="array" ref="AH45">INDEX(AG:AG,MIN(IF(ISNUMBER(AG45:AG241),ROW(AG45:AG241),"")))</f>
        <v>9.1461538461538368</v>
      </c>
      <c r="AI45" s="14">
        <f>IF('Données projet'!$A$62&gt;35,AI44+AH45-AQ44,IF(A45&lt;'Données projet'!$A$62,$AF$205^A45,IF(A45='Données projet'!$A$62,'Données projet'!$B$62,AI44+AH45-AQ44)))</f>
        <v>158.88461538461536</v>
      </c>
      <c r="AJ45" s="14">
        <f>AI45*VLOOKUP('Données projet'!$B$10,Paramètres!$A$1:$I$89,3,0)*VLOOKUP('Données projet'!$B$10,Paramètres!$A$1:$I$89,5,0)</f>
        <v>95.012999999999991</v>
      </c>
      <c r="AK45" s="14">
        <f t="shared" si="35"/>
        <v>25.770399493911441</v>
      </c>
      <c r="AL45" s="22">
        <f t="shared" si="4"/>
        <v>210.36442078522907</v>
      </c>
      <c r="AM45" s="62">
        <f t="shared" si="5"/>
        <v>503.69775411856239</v>
      </c>
      <c r="AN45" s="62">
        <f ca="1">AVERAGE(OFFSET($AM$3,0,0,'Données projet'!$E$10+1,1))-AVERAGE(OFFSET($H$3,0,0,'Données projet'!$E$10+1,1))</f>
        <v>157.42757749057949</v>
      </c>
      <c r="AO45" s="62">
        <f t="shared" si="36"/>
        <v>129.86070223892136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4.8106601426916029E-2</v>
      </c>
      <c r="AX45" s="23">
        <f t="shared" si="6"/>
        <v>4.8106601426916029E-2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7.6</v>
      </c>
      <c r="BD45" s="13">
        <f>IF('Données projet'!$A$88&gt;35,BD44+BC45-BL44,IF(A45&lt;'Données projet'!$A$88,$BA$205^A45,IF(A45='Données projet'!$A$88,'Données projet'!$B$88,BD44+BC45-BL44)))</f>
        <v>188.2</v>
      </c>
      <c r="BE45" s="14">
        <f>BD45*VLOOKUP('Données projet'!$B$11,Paramètres!$A$1:$I$89,3,0)*VLOOKUP('Données projet'!$B$11,Paramètres!$A$1:$I$89,5,0)</f>
        <v>196.70663999999999</v>
      </c>
      <c r="BF45" s="14">
        <f t="shared" si="37"/>
        <v>49.01968894125816</v>
      </c>
      <c r="BG45" s="22">
        <f t="shared" si="7"/>
        <v>427.97335623935788</v>
      </c>
      <c r="BH45" s="62">
        <f t="shared" si="8"/>
        <v>721.3066895726912</v>
      </c>
      <c r="BI45" s="62">
        <f ca="1">AVERAGE(OFFSET($BH$3,0,0,'Données projet'!$E$11+1,1))-AVERAGE(OFFSET($H$3,0,0,'Données projet'!$E$11+1,1))</f>
        <v>464.21202287459482</v>
      </c>
      <c r="BJ45" s="62">
        <f t="shared" si="38"/>
        <v>234.57880205159688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6.5200000000000049</v>
      </c>
      <c r="BY45" s="13">
        <f>IF('Données projet'!$A$114&gt;35,BY44+BX45-CG44,IF(A45&lt;'Données projet'!$A$114,$BV$205^A45,IF(A45='Données projet'!$A$114,'Données projet'!$B$114,BY44+BX45-CG44)))</f>
        <v>166.04000000000011</v>
      </c>
      <c r="BZ45" s="14">
        <f>BY45*VLOOKUP('Données projet'!$B$12,Paramètres!$A$1:$I$89,3,0)*VLOOKUP('Données projet'!$B$12,Paramètres!$A$1:$I$89,5,0)</f>
        <v>132.10142400000009</v>
      </c>
      <c r="CA45" s="14">
        <f t="shared" si="39"/>
        <v>34.481482617168254</v>
      </c>
      <c r="CB45" s="22">
        <f t="shared" si="10"/>
        <v>290.13189569156822</v>
      </c>
      <c r="CC45" s="62">
        <f t="shared" si="11"/>
        <v>583.46522902490153</v>
      </c>
      <c r="CD45" s="62">
        <f ca="1">AVERAGE(OFFSET($CC$3,0,0,'Données projet'!$E$12+1,1))-AVERAGE(OFFSET($H$3,0,0,'Données projet'!$E$12+1,1))</f>
        <v>177.99876437322689</v>
      </c>
      <c r="CE45" s="62">
        <f t="shared" si="40"/>
        <v>165.68154380324592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10.952991452991451</v>
      </c>
      <c r="CT45" s="13">
        <f>IF('Données projet'!$A$140&gt;35,CT44+CS45-DB44,IF(A45&lt;'Données projet'!$A$140,$CQ$205^A45,IF(A45='Données projet'!$A$140,'Données projet'!$B$140,CT44+CS45-DB44)))</f>
        <v>244.56239316239316</v>
      </c>
      <c r="CU45" s="18">
        <f>CT45*VLOOKUP('Données projet'!$B$13,Paramètres!$A$1:$I$89,3,0)*VLOOKUP('Données projet'!$B$13,Paramètres!$A$1:$I$89,5,0)</f>
        <v>136.71037777777778</v>
      </c>
      <c r="CV45" s="14">
        <f t="shared" si="41"/>
        <v>35.542359524058604</v>
      </c>
      <c r="CW45" s="22">
        <f t="shared" si="13"/>
        <v>300.00685080069837</v>
      </c>
      <c r="CX45" s="62">
        <f t="shared" si="14"/>
        <v>593.34018413403169</v>
      </c>
      <c r="CY45" s="62">
        <f ca="1">AVERAGE(OFFSET($CX$3,0,0,'Données projet'!$E$13+1,1))-AVERAGE(OFFSET($H$3,0,0,'Données projet'!$E$13+1,1))</f>
        <v>242.07451379051349</v>
      </c>
      <c r="CZ45" s="62">
        <f t="shared" si="42"/>
        <v>207.11607964940754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255</v>
      </c>
      <c r="DM45" s="13">
        <f>VLOOKUP(A45,'Données projet'!$A$165:$I$185,9,0)</f>
        <v>11.5</v>
      </c>
      <c r="DN45" s="13">
        <f t="array" ref="DN45">INDEX(DM:DM,MIN(IF(ISNUMBER(DM45:DM241),ROW(DM45:DM241),"")))</f>
        <v>11.5</v>
      </c>
      <c r="DO45" s="13">
        <f>IF('Données projet'!$A$166&gt;35,DO44+DN45-DW44,IF(A45&lt;'Données projet'!$A$166,$DL$205^A45,IF(A45='Données projet'!$A$166,'Données projet'!$B$166,DO44+DN45-DW44)))</f>
        <v>255</v>
      </c>
      <c r="DP45" s="18">
        <f>DO45*VLOOKUP('Données projet'!$B$14,Paramètres!$A$1:$I$89,3,0)*VLOOKUP('Données projet'!$B$14,Paramètres!$A$1:$I$89,5,0)</f>
        <v>159.12</v>
      </c>
      <c r="DQ45" s="14">
        <f t="shared" si="43"/>
        <v>40.643965284387697</v>
      </c>
      <c r="DR45" s="22">
        <f t="shared" si="16"/>
        <v>347.92223953697521</v>
      </c>
      <c r="DS45" s="62">
        <f t="shared" si="17"/>
        <v>641.25557287030847</v>
      </c>
      <c r="DT45" s="62">
        <f ca="1">AVERAGE(OFFSET($DS$3,0,0,'Données projet'!$E$14+1,1))-AVERAGE(OFFSET($H$3,0,0,'Données projet'!$E$14+1,1))</f>
        <v>178.56320966726986</v>
      </c>
      <c r="DU45" s="62">
        <f t="shared" si="44"/>
        <v>272.06842551411739</v>
      </c>
      <c r="DV45" s="16">
        <f>IF(ISNA(VLOOKUP(A45,'Données projet'!$A$165:$I$185,3,0)),0,VLOOKUP(A45,'Données projet'!$A$165:$I$185,3,0))</f>
        <v>6</v>
      </c>
      <c r="DW45" s="16">
        <f>IF(ISNA(VLOOKUP(A45,'Données projet'!$A$165:$I$185,4,0)),0,VLOOKUP(A45,'Données projet'!$A$165:$I$185,4,0))</f>
        <v>67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5.5017351119145772</v>
      </c>
      <c r="EC45" s="23">
        <f>EXP(-LN(2)/2)*EC44+(1-EXP(-LN(2)/2))/(LN(2)/2)*DW45*DZ45*VLOOKUP('Données projet'!$B$14,Paramètres!$A$1:$I$89,3,0)*0.475*44/12</f>
        <v>0.25810656064073123</v>
      </c>
      <c r="ED45" s="24">
        <f t="shared" si="18"/>
        <v>5.7598416725553081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7.6</v>
      </c>
      <c r="EJ45" s="13">
        <f>IF('Données projet'!$A$192&gt;35,EJ44+EI45-ER44,IF(A45&lt;'Données projet'!$A$192,$EG$205^A45,IF(A45='Données projet'!$A$192,'Données projet'!$B$192,EJ44+EI45-ER44)))</f>
        <v>188.2</v>
      </c>
      <c r="EK45" s="18">
        <f>EJ45*VLOOKUP('Données projet'!$B$15,Paramètres!$A$1:$I$89,3,0)*VLOOKUP('Données projet'!$B$15,Paramètres!$A$1:$I$89,5,0)</f>
        <v>202.57847999999996</v>
      </c>
      <c r="EL45" s="14">
        <f t="shared" si="45"/>
        <v>50.310416417458363</v>
      </c>
      <c r="EM45" s="22">
        <f t="shared" si="19"/>
        <v>440.44816126040655</v>
      </c>
      <c r="EN45" s="62">
        <f t="shared" si="20"/>
        <v>733.78149459373981</v>
      </c>
      <c r="EO45" s="62">
        <f ca="1">AVERAGE(OFFSET($EN$3,0,0,'Données projet'!$E$15+1,1))-AVERAGE(OFFSET($H$3,0,0,'Données projet'!$E$15+1,1))</f>
        <v>479.87943647026646</v>
      </c>
      <c r="EP45" s="62">
        <f t="shared" si="46"/>
        <v>242.41363045393223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7.6</v>
      </c>
      <c r="FE45" s="13">
        <f>IF('Données projet'!$A$218&gt;35,FE44+FD45-FM44,IF(A45&lt;'Données projet'!$A$218,$FB$205^A45,IF(A45='Données projet'!$A$218,'Données projet'!$B$218,FE44+FD45-FM44)))</f>
        <v>188.2</v>
      </c>
      <c r="FF45" s="18">
        <f>FE45*VLOOKUP('Données projet'!$B$16,Paramètres!$A$1:$I$89,3,0)*VLOOKUP('Données projet'!$B$16,Paramètres!$A$1:$I$89,5,0)</f>
        <v>182.02704</v>
      </c>
      <c r="FG45" s="14">
        <f t="shared" si="47"/>
        <v>45.772870875913014</v>
      </c>
      <c r="FH45" s="22">
        <f t="shared" si="22"/>
        <v>396.75151144221513</v>
      </c>
      <c r="FI45" s="62">
        <f t="shared" si="23"/>
        <v>690.08484477554839</v>
      </c>
      <c r="FJ45" s="62">
        <f ca="1">AVERAGE(OFFSET($FI$3,0,0,'Données projet'!$E$16+1,1))-AVERAGE(OFFSET($H$3,0,0,'Données projet'!$E$16+1,1))</f>
        <v>425.00152674093977</v>
      </c>
      <c r="FK45" s="62">
        <f t="shared" si="48"/>
        <v>214.96884469274687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144.5</v>
      </c>
      <c r="O46" s="14">
        <f>N46*VLOOKUP('Données projet'!$B$9,Paramètres!$A$1:$I$89,3,0)*VLOOKUP('Données projet'!$B$9,Paramètres!$A$1:$I$89,5,0)</f>
        <v>69.504499999999993</v>
      </c>
      <c r="P46" s="14">
        <f t="shared" si="33"/>
        <v>19.550356630420044</v>
      </c>
      <c r="Q46" s="22">
        <f t="shared" si="53"/>
        <v>155.10387529798155</v>
      </c>
      <c r="R46" s="62">
        <f t="shared" si="0"/>
        <v>448.43720863131489</v>
      </c>
      <c r="S46" s="62">
        <f ca="1">AVERAGE(OFFSET($R$3,0,0,'Données projet'!$E$9+1,1))-AVERAGE(OFFSET($H$3,0,0,'Données projet'!$E$9+1,1))</f>
        <v>179.22241276165141</v>
      </c>
      <c r="T46" s="62">
        <f t="shared" si="34"/>
        <v>86.510654589692876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10.340384615384611</v>
      </c>
      <c r="AI46" s="14">
        <f>IF('Données projet'!$A$62&gt;35,AI45+AH46-AQ45,IF(A46&lt;'Données projet'!$A$62,$AF$205^A46,IF(A46='Données projet'!$A$62,'Données projet'!$B$62,AI45+AH46-AQ45)))</f>
        <v>169.22499999999997</v>
      </c>
      <c r="AJ46" s="14">
        <f>AI46*VLOOKUP('Données projet'!$B$10,Paramètres!$A$1:$I$89,3,0)*VLOOKUP('Données projet'!$B$10,Paramètres!$A$1:$I$89,5,0)</f>
        <v>101.19654999999999</v>
      </c>
      <c r="AK46" s="14">
        <f t="shared" si="35"/>
        <v>27.24686144961067</v>
      </c>
      <c r="AL46" s="22">
        <f t="shared" si="4"/>
        <v>223.70560827473855</v>
      </c>
      <c r="AM46" s="62">
        <f t="shared" si="5"/>
        <v>517.03894160807181</v>
      </c>
      <c r="AN46" s="62">
        <f ca="1">AVERAGE(OFFSET($AM$3,0,0,'Données projet'!$E$10+1,1))-AVERAGE(OFFSET($H$3,0,0,'Données projet'!$E$10+1,1))</f>
        <v>157.42757749057949</v>
      </c>
      <c r="AO46" s="62">
        <f t="shared" si="36"/>
        <v>129.86070223892136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3.4016504088810767E-2</v>
      </c>
      <c r="AX46" s="23">
        <f t="shared" si="6"/>
        <v>3.4016504088810767E-2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7.6</v>
      </c>
      <c r="BD46" s="13">
        <f>IF('Données projet'!$A$88&gt;35,BD45+BC46-BL45,IF(A46&lt;'Données projet'!$A$88,$BA$205^A46,IF(A46='Données projet'!$A$88,'Données projet'!$B$88,BD45+BC46-BL45)))</f>
        <v>195.79999999999998</v>
      </c>
      <c r="BE46" s="14">
        <f>BD46*VLOOKUP('Données projet'!$B$11,Paramètres!$A$1:$I$89,3,0)*VLOOKUP('Données projet'!$B$11,Paramètres!$A$1:$I$89,5,0)</f>
        <v>204.65016000000003</v>
      </c>
      <c r="BF46" s="14">
        <f t="shared" si="37"/>
        <v>50.764761048762935</v>
      </c>
      <c r="BG46" s="22">
        <f t="shared" si="7"/>
        <v>444.84765415992871</v>
      </c>
      <c r="BH46" s="62">
        <f t="shared" si="8"/>
        <v>738.18098749326202</v>
      </c>
      <c r="BI46" s="62">
        <f ca="1">AVERAGE(OFFSET($BH$3,0,0,'Données projet'!$E$11+1,1))-AVERAGE(OFFSET($H$3,0,0,'Données projet'!$E$11+1,1))</f>
        <v>464.21202287459482</v>
      </c>
      <c r="BJ46" s="62">
        <f t="shared" si="38"/>
        <v>234.57880205159688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6.5200000000000049</v>
      </c>
      <c r="BY46" s="13">
        <f>IF('Données projet'!$A$114&gt;35,BY45+BX46-CG45,IF(A46&lt;'Données projet'!$A$114,$BV$205^A46,IF(A46='Données projet'!$A$114,'Données projet'!$B$114,BY45+BX46-CG45)))</f>
        <v>172.56000000000012</v>
      </c>
      <c r="BZ46" s="14">
        <f>BY46*VLOOKUP('Données projet'!$B$12,Paramètres!$A$1:$I$89,3,0)*VLOOKUP('Données projet'!$B$12,Paramètres!$A$1:$I$89,5,0)</f>
        <v>137.28873600000009</v>
      </c>
      <c r="CA46" s="14">
        <f t="shared" si="39"/>
        <v>35.675187825036161</v>
      </c>
      <c r="CB46" s="22">
        <f t="shared" si="10"/>
        <v>301.24550066193814</v>
      </c>
      <c r="CC46" s="62">
        <f t="shared" si="11"/>
        <v>594.57883399527145</v>
      </c>
      <c r="CD46" s="62">
        <f ca="1">AVERAGE(OFFSET($CC$3,0,0,'Données projet'!$E$12+1,1))-AVERAGE(OFFSET($H$3,0,0,'Données projet'!$E$12+1,1))</f>
        <v>177.99876437322689</v>
      </c>
      <c r="CE46" s="62">
        <f t="shared" si="40"/>
        <v>165.68154380324592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>
        <f>VLOOKUP(A46,'Données projet'!$A$139:$I$159,2,0)</f>
        <v>255.51538461538462</v>
      </c>
      <c r="CR46" s="13">
        <f>VLOOKUP(A46,'Données projet'!$A$139:$I$159,9,0)</f>
        <v>10.952991452991451</v>
      </c>
      <c r="CS46" s="13">
        <f t="array" ref="CS46">INDEX(CR:CR,MIN(IF(ISNUMBER(CR46:CR242),ROW(CR46:CR242),"")))</f>
        <v>10.952991452991451</v>
      </c>
      <c r="CT46" s="13">
        <f>IF('Données projet'!$A$140&gt;35,CT45+CS46-DB45,IF(A46&lt;'Données projet'!$A$140,$CQ$205^A46,IF(A46='Données projet'!$A$140,'Données projet'!$B$140,CT45+CS46-DB45)))</f>
        <v>255.51538461538462</v>
      </c>
      <c r="CU46" s="18">
        <f>CT46*VLOOKUP('Données projet'!$B$13,Paramètres!$A$1:$I$89,3,0)*VLOOKUP('Données projet'!$B$13,Paramètres!$A$1:$I$89,5,0)</f>
        <v>142.8331</v>
      </c>
      <c r="CV46" s="14">
        <f t="shared" si="41"/>
        <v>36.945270222902437</v>
      </c>
      <c r="CW46" s="22">
        <f t="shared" si="13"/>
        <v>313.11399480488836</v>
      </c>
      <c r="CX46" s="62">
        <f t="shared" si="14"/>
        <v>606.44732813822168</v>
      </c>
      <c r="CY46" s="62">
        <f ca="1">AVERAGE(OFFSET($CX$3,0,0,'Données projet'!$E$13+1,1))-AVERAGE(OFFSET($H$3,0,0,'Données projet'!$E$13+1,1))</f>
        <v>242.07451379051349</v>
      </c>
      <c r="CZ46" s="62">
        <f t="shared" si="42"/>
        <v>207.11607964940754</v>
      </c>
      <c r="DA46" s="16">
        <f>IF(ISNA(VLOOKUP(A46,'Données projet'!$A$139:$I$159,3,0)),0,VLOOKUP(A46,'Données projet'!$A$139:$I$159,3,0))</f>
        <v>2</v>
      </c>
      <c r="DB46" s="16">
        <f>IF(ISNA(VLOOKUP(A46,'Données projet'!$A$139:$I$159,4,0)),0,VLOOKUP(A46,'Données projet'!$A$139:$I$159,4,0))</f>
        <v>60.638461538461534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10.666666666666666</v>
      </c>
      <c r="DO46" s="13">
        <f>IF('Données projet'!$A$166&gt;35,DO45+DN46-DW45,IF(A46&lt;'Données projet'!$A$166,$DL$205^A46,IF(A46='Données projet'!$A$166,'Données projet'!$B$166,DO45+DN46-DW45)))</f>
        <v>198.66666666666669</v>
      </c>
      <c r="DP46" s="18">
        <f>DO46*VLOOKUP('Données projet'!$B$14,Paramètres!$A$1:$I$89,3,0)*VLOOKUP('Données projet'!$B$14,Paramètres!$A$1:$I$89,5,0)</f>
        <v>123.968</v>
      </c>
      <c r="DQ46" s="14">
        <f t="shared" si="43"/>
        <v>32.598710622532096</v>
      </c>
      <c r="DR46" s="22">
        <f t="shared" si="16"/>
        <v>272.68702100091008</v>
      </c>
      <c r="DS46" s="62">
        <f t="shared" si="17"/>
        <v>566.02035433424339</v>
      </c>
      <c r="DT46" s="62">
        <f ca="1">AVERAGE(OFFSET($DS$3,0,0,'Données projet'!$E$14+1,1))-AVERAGE(OFFSET($H$3,0,0,'Données projet'!$E$14+1,1))</f>
        <v>178.56320966726986</v>
      </c>
      <c r="DU46" s="62">
        <f t="shared" si="44"/>
        <v>272.06842551411739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5.3512898759555982</v>
      </c>
      <c r="EC46" s="23">
        <f>EXP(-LN(2)/2)*EC45+(1-EXP(-LN(2)/2))/(LN(2)/2)*DW46*DZ46*VLOOKUP('Données projet'!$B$14,Paramètres!$A$1:$I$89,3,0)*0.475*44/12</f>
        <v>0.1825088992977979</v>
      </c>
      <c r="ED46" s="24">
        <f t="shared" si="18"/>
        <v>5.5337987752533966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7.6</v>
      </c>
      <c r="EJ46" s="13">
        <f>IF('Données projet'!$A$192&gt;35,EJ45+EI46-ER45,IF(A46&lt;'Données projet'!$A$192,$EG$205^A46,IF(A46='Données projet'!$A$192,'Données projet'!$B$192,EJ45+EI46-ER45)))</f>
        <v>195.79999999999998</v>
      </c>
      <c r="EK46" s="18">
        <f>EJ46*VLOOKUP('Données projet'!$B$15,Paramètres!$A$1:$I$89,3,0)*VLOOKUP('Données projet'!$B$15,Paramètres!$A$1:$I$89,5,0)</f>
        <v>210.75911999999997</v>
      </c>
      <c r="EL46" s="14">
        <f t="shared" si="45"/>
        <v>52.101437664293833</v>
      </c>
      <c r="EM46" s="22">
        <f t="shared" si="19"/>
        <v>457.81547126531171</v>
      </c>
      <c r="EN46" s="62">
        <f t="shared" si="20"/>
        <v>751.14880459864503</v>
      </c>
      <c r="EO46" s="62">
        <f ca="1">AVERAGE(OFFSET($EN$3,0,0,'Données projet'!$E$15+1,1))-AVERAGE(OFFSET($H$3,0,0,'Données projet'!$E$15+1,1))</f>
        <v>479.87943647026646</v>
      </c>
      <c r="EP46" s="62">
        <f t="shared" si="46"/>
        <v>242.41363045393223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7.6</v>
      </c>
      <c r="FE46" s="13">
        <f>IF('Données projet'!$A$218&gt;35,FE45+FD46-FM45,IF(A46&lt;'Données projet'!$A$218,$FB$205^A46,IF(A46='Données projet'!$A$218,'Données projet'!$B$218,FE45+FD46-FM45)))</f>
        <v>195.79999999999998</v>
      </c>
      <c r="FF46" s="18">
        <f>FE46*VLOOKUP('Données projet'!$B$16,Paramètres!$A$1:$I$89,3,0)*VLOOKUP('Données projet'!$B$16,Paramètres!$A$1:$I$89,5,0)</f>
        <v>189.37775999999999</v>
      </c>
      <c r="FG46" s="14">
        <f t="shared" si="47"/>
        <v>47.402358169104382</v>
      </c>
      <c r="FH46" s="22">
        <f t="shared" si="22"/>
        <v>412.39203914452349</v>
      </c>
      <c r="FI46" s="62">
        <f t="shared" si="23"/>
        <v>705.72537247785681</v>
      </c>
      <c r="FJ46" s="62">
        <f ca="1">AVERAGE(OFFSET($FI$3,0,0,'Données projet'!$E$16+1,1))-AVERAGE(OFFSET($H$3,0,0,'Données projet'!$E$16+1,1))</f>
        <v>425.00152674093977</v>
      </c>
      <c r="FK46" s="62">
        <f t="shared" si="48"/>
        <v>214.96884469274687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156</v>
      </c>
      <c r="O47" s="14">
        <f>N47*VLOOKUP('Données projet'!$B$9,Paramètres!$A$1:$I$89,3,0)*VLOOKUP('Données projet'!$B$9,Paramètres!$A$1:$I$89,5,0)</f>
        <v>75.036000000000001</v>
      </c>
      <c r="P47" s="14">
        <f t="shared" si="33"/>
        <v>20.918972521981534</v>
      </c>
      <c r="Q47" s="22">
        <f t="shared" si="53"/>
        <v>167.12157714245117</v>
      </c>
      <c r="R47" s="62">
        <f t="shared" si="0"/>
        <v>460.45491047578446</v>
      </c>
      <c r="S47" s="62">
        <f ca="1">AVERAGE(OFFSET($R$3,0,0,'Données projet'!$E$9+1,1))-AVERAGE(OFFSET($H$3,0,0,'Données projet'!$E$9+1,1))</f>
        <v>179.22241276165141</v>
      </c>
      <c r="T47" s="62">
        <f t="shared" si="34"/>
        <v>86.510654589692876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10.340384615384611</v>
      </c>
      <c r="AI47" s="14">
        <f>IF('Données projet'!$A$62&gt;35,AI46+AH47-AQ46,IF(A47&lt;'Données projet'!$A$62,$AF$205^A47,IF(A47='Données projet'!$A$62,'Données projet'!$B$62,AI46+AH47-AQ46)))</f>
        <v>179.56538461538457</v>
      </c>
      <c r="AJ47" s="14">
        <f>AI47*VLOOKUP('Données projet'!$B$10,Paramètres!$A$1:$I$89,3,0)*VLOOKUP('Données projet'!$B$10,Paramètres!$A$1:$I$89,5,0)</f>
        <v>107.38009999999998</v>
      </c>
      <c r="AK47" s="14">
        <f t="shared" si="35"/>
        <v>28.712852380726414</v>
      </c>
      <c r="AL47" s="22">
        <f t="shared" si="4"/>
        <v>237.02855872976511</v>
      </c>
      <c r="AM47" s="62">
        <f t="shared" si="5"/>
        <v>530.36189206309837</v>
      </c>
      <c r="AN47" s="62">
        <f ca="1">AVERAGE(OFFSET($AM$3,0,0,'Données projet'!$E$10+1,1))-AVERAGE(OFFSET($H$3,0,0,'Données projet'!$E$10+1,1))</f>
        <v>157.42757749057949</v>
      </c>
      <c r="AO47" s="62">
        <f t="shared" si="36"/>
        <v>129.86070223892136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2.4053300713458015E-2</v>
      </c>
      <c r="AX47" s="23">
        <f t="shared" si="6"/>
        <v>2.4053300713458015E-2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7.6</v>
      </c>
      <c r="BD47" s="13">
        <f>IF('Données projet'!$A$88&gt;35,BD46+BC47-BL46,IF(A47&lt;'Données projet'!$A$88,$BA$205^A47,IF(A47='Données projet'!$A$88,'Données projet'!$B$88,BD46+BC47-BL46)))</f>
        <v>203.39999999999998</v>
      </c>
      <c r="BE47" s="14">
        <f>BD47*VLOOKUP('Données projet'!$B$11,Paramètres!$A$1:$I$89,3,0)*VLOOKUP('Données projet'!$B$11,Paramètres!$A$1:$I$89,5,0)</f>
        <v>212.59368000000001</v>
      </c>
      <c r="BF47" s="14">
        <f t="shared" si="37"/>
        <v>52.5019644788946</v>
      </c>
      <c r="BG47" s="22">
        <f t="shared" si="7"/>
        <v>461.70824746740806</v>
      </c>
      <c r="BH47" s="62">
        <f t="shared" si="8"/>
        <v>755.04158080074137</v>
      </c>
      <c r="BI47" s="62">
        <f ca="1">AVERAGE(OFFSET($BH$3,0,0,'Données projet'!$E$11+1,1))-AVERAGE(OFFSET($H$3,0,0,'Données projet'!$E$11+1,1))</f>
        <v>464.21202287459482</v>
      </c>
      <c r="BJ47" s="62">
        <f t="shared" si="38"/>
        <v>234.57880205159688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6.5200000000000049</v>
      </c>
      <c r="BY47" s="13">
        <f>IF('Données projet'!$A$114&gt;35,BY46+BX47-CG46,IF(A47&lt;'Données projet'!$A$114,$BV$205^A47,IF(A47='Données projet'!$A$114,'Données projet'!$B$114,BY46+BX47-CG46)))</f>
        <v>179.08000000000013</v>
      </c>
      <c r="BZ47" s="14">
        <f>BY47*VLOOKUP('Données projet'!$B$12,Paramètres!$A$1:$I$89,3,0)*VLOOKUP('Données projet'!$B$12,Paramètres!$A$1:$I$89,5,0)</f>
        <v>142.47604800000011</v>
      </c>
      <c r="CA47" s="14">
        <f t="shared" si="39"/>
        <v>36.863653265390013</v>
      </c>
      <c r="CB47" s="22">
        <f t="shared" si="10"/>
        <v>312.34997970388781</v>
      </c>
      <c r="CC47" s="62">
        <f t="shared" si="11"/>
        <v>605.68331303722107</v>
      </c>
      <c r="CD47" s="62">
        <f ca="1">AVERAGE(OFFSET($CC$3,0,0,'Données projet'!$E$12+1,1))-AVERAGE(OFFSET($H$3,0,0,'Données projet'!$E$12+1,1))</f>
        <v>177.99876437322689</v>
      </c>
      <c r="CE47" s="62">
        <f t="shared" si="40"/>
        <v>165.68154380324592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10.423076923076922</v>
      </c>
      <c r="CT47" s="13">
        <f>IF('Données projet'!$A$140&gt;35,CT46+CS47-DB46,IF(A47&lt;'Données projet'!$A$140,$CQ$205^A47,IF(A47='Données projet'!$A$140,'Données projet'!$B$140,CT46+CS47-DB46)))</f>
        <v>205.29999999999998</v>
      </c>
      <c r="CU47" s="18">
        <f>CT47*VLOOKUP('Données projet'!$B$13,Paramètres!$A$1:$I$89,3,0)*VLOOKUP('Données projet'!$B$13,Paramètres!$A$1:$I$89,5,0)</f>
        <v>114.7627</v>
      </c>
      <c r="CV47" s="14">
        <f t="shared" si="41"/>
        <v>30.450330729103193</v>
      </c>
      <c r="CW47" s="22">
        <f t="shared" si="13"/>
        <v>252.9126951865214</v>
      </c>
      <c r="CX47" s="62">
        <f t="shared" si="14"/>
        <v>546.24602851985469</v>
      </c>
      <c r="CY47" s="62">
        <f ca="1">AVERAGE(OFFSET($CX$3,0,0,'Données projet'!$E$13+1,1))-AVERAGE(OFFSET($H$3,0,0,'Données projet'!$E$13+1,1))</f>
        <v>242.07451379051349</v>
      </c>
      <c r="CZ47" s="62">
        <f t="shared" si="42"/>
        <v>207.11607964940754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10.666666666666666</v>
      </c>
      <c r="DO47" s="13">
        <f>IF('Données projet'!$A$166&gt;35,DO46+DN47-DW46,IF(A47&lt;'Données projet'!$A$166,$DL$205^A47,IF(A47='Données projet'!$A$166,'Données projet'!$B$166,DO46+DN47-DW46)))</f>
        <v>209.33333333333334</v>
      </c>
      <c r="DP47" s="18">
        <f>DO47*VLOOKUP('Données projet'!$B$14,Paramètres!$A$1:$I$89,3,0)*VLOOKUP('Données projet'!$B$14,Paramètres!$A$1:$I$89,5,0)</f>
        <v>130.62400000000002</v>
      </c>
      <c r="DQ47" s="14">
        <f t="shared" si="43"/>
        <v>34.140507202645395</v>
      </c>
      <c r="DR47" s="22">
        <f t="shared" si="16"/>
        <v>286.96485004460743</v>
      </c>
      <c r="DS47" s="62">
        <f t="shared" si="17"/>
        <v>580.29818337794075</v>
      </c>
      <c r="DT47" s="62">
        <f ca="1">AVERAGE(OFFSET($DS$3,0,0,'Données projet'!$E$14+1,1))-AVERAGE(OFFSET($H$3,0,0,'Données projet'!$E$14+1,1))</f>
        <v>178.56320966726986</v>
      </c>
      <c r="DU47" s="62">
        <f t="shared" si="44"/>
        <v>272.06842551411739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5.2049585728854888</v>
      </c>
      <c r="EC47" s="23">
        <f>EXP(-LN(2)/2)*EC46+(1-EXP(-LN(2)/2))/(LN(2)/2)*DW47*DZ47*VLOOKUP('Données projet'!$B$14,Paramètres!$A$1:$I$89,3,0)*0.475*44/12</f>
        <v>0.12905328032036562</v>
      </c>
      <c r="ED47" s="24">
        <f t="shared" si="18"/>
        <v>5.3340118532058547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7.6</v>
      </c>
      <c r="EJ47" s="13">
        <f>IF('Données projet'!$A$192&gt;35,EJ46+EI47-ER46,IF(A47&lt;'Données projet'!$A$192,$EG$205^A47,IF(A47='Données projet'!$A$192,'Données projet'!$B$192,EJ46+EI47-ER46)))</f>
        <v>203.39999999999998</v>
      </c>
      <c r="EK47" s="18">
        <f>EJ47*VLOOKUP('Données projet'!$B$15,Paramètres!$A$1:$I$89,3,0)*VLOOKUP('Données projet'!$B$15,Paramètres!$A$1:$I$89,5,0)</f>
        <v>218.93975999999998</v>
      </c>
      <c r="EL47" s="14">
        <f t="shared" si="45"/>
        <v>53.884383045210001</v>
      </c>
      <c r="EM47" s="22">
        <f t="shared" si="19"/>
        <v>475.16871580374072</v>
      </c>
      <c r="EN47" s="62">
        <f t="shared" si="20"/>
        <v>768.50204913707398</v>
      </c>
      <c r="EO47" s="62">
        <f ca="1">AVERAGE(OFFSET($EN$3,0,0,'Données projet'!$E$15+1,1))-AVERAGE(OFFSET($H$3,0,0,'Données projet'!$E$15+1,1))</f>
        <v>479.87943647026646</v>
      </c>
      <c r="EP47" s="62">
        <f t="shared" si="46"/>
        <v>242.41363045393223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7.6</v>
      </c>
      <c r="FE47" s="13">
        <f>IF('Données projet'!$A$218&gt;35,FE46+FD47-FM46,IF(A47&lt;'Données projet'!$A$218,$FB$205^A47,IF(A47='Données projet'!$A$218,'Données projet'!$B$218,FE46+FD47-FM46)))</f>
        <v>203.39999999999998</v>
      </c>
      <c r="FF47" s="18">
        <f>FE47*VLOOKUP('Données projet'!$B$16,Paramètres!$A$1:$I$89,3,0)*VLOOKUP('Données projet'!$B$16,Paramètres!$A$1:$I$89,5,0)</f>
        <v>196.72847999999999</v>
      </c>
      <c r="FG47" s="14">
        <f t="shared" si="47"/>
        <v>49.02449796660288</v>
      </c>
      <c r="FH47" s="22">
        <f t="shared" si="22"/>
        <v>428.01976995850004</v>
      </c>
      <c r="FI47" s="62">
        <f t="shared" si="23"/>
        <v>721.35310329183335</v>
      </c>
      <c r="FJ47" s="62">
        <f ca="1">AVERAGE(OFFSET($FI$3,0,0,'Données projet'!$E$16+1,1))-AVERAGE(OFFSET($H$3,0,0,'Données projet'!$E$16+1,1))</f>
        <v>425.00152674093977</v>
      </c>
      <c r="FK47" s="62">
        <f t="shared" si="48"/>
        <v>214.96884469274687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167.5</v>
      </c>
      <c r="O48" s="14">
        <f>N48*VLOOKUP('Données projet'!$B$9,Paramètres!$A$1:$I$89,3,0)*VLOOKUP('Données projet'!$B$9,Paramètres!$A$1:$I$89,5,0)</f>
        <v>80.56750000000001</v>
      </c>
      <c r="P48" s="14">
        <f t="shared" si="33"/>
        <v>22.27588369301445</v>
      </c>
      <c r="Q48" s="22">
        <f t="shared" si="53"/>
        <v>179.11889326533353</v>
      </c>
      <c r="R48" s="62">
        <f t="shared" si="0"/>
        <v>472.45222659866681</v>
      </c>
      <c r="S48" s="62">
        <f ca="1">AVERAGE(OFFSET($R$3,0,0,'Données projet'!$E$9+1,1))-AVERAGE(OFFSET($H$3,0,0,'Données projet'!$E$9+1,1))</f>
        <v>179.22241276165141</v>
      </c>
      <c r="T48" s="62">
        <f t="shared" si="34"/>
        <v>86.510654589692876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10.340384615384611</v>
      </c>
      <c r="AI48" s="14">
        <f>IF('Données projet'!$A$62&gt;35,AI47+AH48-AQ47,IF(A48&lt;'Données projet'!$A$62,$AF$205^A48,IF(A48='Données projet'!$A$62,'Données projet'!$B$62,AI47+AH48-AQ47)))</f>
        <v>189.90576923076918</v>
      </c>
      <c r="AJ48" s="14">
        <f>AI48*VLOOKUP('Données projet'!$B$10,Paramètres!$A$1:$I$89,3,0)*VLOOKUP('Données projet'!$B$10,Paramètres!$A$1:$I$89,5,0)</f>
        <v>113.56364999999998</v>
      </c>
      <c r="AK48" s="14">
        <f t="shared" si="35"/>
        <v>30.16904396693641</v>
      </c>
      <c r="AL48" s="22">
        <f t="shared" si="4"/>
        <v>250.33444199241418</v>
      </c>
      <c r="AM48" s="62">
        <f t="shared" si="5"/>
        <v>543.66777532574747</v>
      </c>
      <c r="AN48" s="62">
        <f ca="1">AVERAGE(OFFSET($AM$3,0,0,'Données projet'!$E$10+1,1))-AVERAGE(OFFSET($H$3,0,0,'Données projet'!$E$10+1,1))</f>
        <v>157.42757749057949</v>
      </c>
      <c r="AO48" s="62">
        <f t="shared" si="36"/>
        <v>129.86070223892136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1.7008252044405384E-2</v>
      </c>
      <c r="AX48" s="23">
        <f t="shared" si="6"/>
        <v>1.7008252044405384E-2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211</v>
      </c>
      <c r="BB48" s="13">
        <f>VLOOKUP(A48,'Données projet'!$A$87:$I$107,9,0)</f>
        <v>7.6</v>
      </c>
      <c r="BC48" s="13">
        <f t="array" ref="BC48">INDEX(BB:BB,MIN(IF(ISNUMBER(BB48:BB244),ROW(BB48:BB244),"")))</f>
        <v>7.6</v>
      </c>
      <c r="BD48" s="13">
        <f>IF('Données projet'!$A$88&gt;35,BD47+BC48-BL47,IF(A48&lt;'Données projet'!$A$88,$BA$205^A48,IF(A48='Données projet'!$A$88,'Données projet'!$B$88,BD47+BC48-BL47)))</f>
        <v>210.99999999999997</v>
      </c>
      <c r="BE48" s="14">
        <f>BD48*VLOOKUP('Données projet'!$B$11,Paramètres!$A$1:$I$89,3,0)*VLOOKUP('Données projet'!$B$11,Paramètres!$A$1:$I$89,5,0)</f>
        <v>220.53719999999998</v>
      </c>
      <c r="BF48" s="14">
        <f t="shared" si="37"/>
        <v>54.23162690856141</v>
      </c>
      <c r="BG48" s="22">
        <f t="shared" si="7"/>
        <v>478.5557068657443</v>
      </c>
      <c r="BH48" s="62">
        <f t="shared" si="8"/>
        <v>771.88904019907761</v>
      </c>
      <c r="BI48" s="62">
        <f ca="1">AVERAGE(OFFSET($BH$3,0,0,'Données projet'!$E$11+1,1))-AVERAGE(OFFSET($H$3,0,0,'Données projet'!$E$11+1,1))</f>
        <v>464.21202287459482</v>
      </c>
      <c r="BJ48" s="62">
        <f t="shared" si="38"/>
        <v>234.57880205159688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185.60000000000002</v>
      </c>
      <c r="BW48" s="13">
        <f>VLOOKUP(A48,'Données projet'!$A$113:$I$133,9,0)</f>
        <v>6.5200000000000049</v>
      </c>
      <c r="BX48" s="13">
        <f t="array" ref="BX48">INDEX(BW:BW,MIN(IF(ISNUMBER(BW48:BW244),ROW(BW48:BW244),"")))</f>
        <v>6.5200000000000049</v>
      </c>
      <c r="BY48" s="13">
        <f>IF('Données projet'!$A$114&gt;35,BY47+BX48-CG47,IF(A48&lt;'Données projet'!$A$114,$BV$205^A48,IF(A48='Données projet'!$A$114,'Données projet'!$B$114,BY47+BX48-CG47)))</f>
        <v>185.60000000000014</v>
      </c>
      <c r="BZ48" s="14">
        <f>BY48*VLOOKUP('Données projet'!$B$12,Paramètres!$A$1:$I$89,3,0)*VLOOKUP('Données projet'!$B$12,Paramètres!$A$1:$I$89,5,0)</f>
        <v>147.66336000000013</v>
      </c>
      <c r="CA48" s="14">
        <f t="shared" si="39"/>
        <v>38.047091559960762</v>
      </c>
      <c r="CB48" s="22">
        <f t="shared" si="10"/>
        <v>323.44570313359856</v>
      </c>
      <c r="CC48" s="62">
        <f t="shared" si="11"/>
        <v>616.77903646693187</v>
      </c>
      <c r="CD48" s="62">
        <f ca="1">AVERAGE(OFFSET($CC$3,0,0,'Données projet'!$E$12+1,1))-AVERAGE(OFFSET($H$3,0,0,'Données projet'!$E$12+1,1))</f>
        <v>177.99876437322689</v>
      </c>
      <c r="CE48" s="62">
        <f t="shared" si="40"/>
        <v>165.68154380324592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39.299999999999997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10.423076923076922</v>
      </c>
      <c r="CT48" s="13">
        <f>IF('Données projet'!$A$140&gt;35,CT47+CS48-DB47,IF(A48&lt;'Données projet'!$A$140,$CQ$205^A48,IF(A48='Données projet'!$A$140,'Données projet'!$B$140,CT47+CS48-DB47)))</f>
        <v>215.72307692307692</v>
      </c>
      <c r="CU48" s="18">
        <f>CT48*VLOOKUP('Données projet'!$B$13,Paramètres!$A$1:$I$89,3,0)*VLOOKUP('Données projet'!$B$13,Paramètres!$A$1:$I$89,5,0)</f>
        <v>120.58920000000001</v>
      </c>
      <c r="CV48" s="14">
        <f t="shared" si="41"/>
        <v>31.812381320163617</v>
      </c>
      <c r="CW48" s="22">
        <f t="shared" si="13"/>
        <v>265.4327541326183</v>
      </c>
      <c r="CX48" s="62">
        <f t="shared" si="14"/>
        <v>558.76608746595161</v>
      </c>
      <c r="CY48" s="62">
        <f ca="1">AVERAGE(OFFSET($CX$3,0,0,'Données projet'!$E$13+1,1))-AVERAGE(OFFSET($H$3,0,0,'Données projet'!$E$13+1,1))</f>
        <v>242.07451379051349</v>
      </c>
      <c r="CZ48" s="62">
        <f t="shared" si="42"/>
        <v>207.11607964940754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10.666666666666666</v>
      </c>
      <c r="DO48" s="13">
        <f>IF('Données projet'!$A$166&gt;35,DO47+DN48-DW47,IF(A48&lt;'Données projet'!$A$166,$DL$205^A48,IF(A48='Données projet'!$A$166,'Données projet'!$B$166,DO47+DN48-DW47)))</f>
        <v>220</v>
      </c>
      <c r="DP48" s="18">
        <f>DO48*VLOOKUP('Données projet'!$B$14,Paramètres!$A$1:$I$89,3,0)*VLOOKUP('Données projet'!$B$14,Paramètres!$A$1:$I$89,5,0)</f>
        <v>137.28</v>
      </c>
      <c r="DQ48" s="14">
        <f t="shared" si="43"/>
        <v>35.673181961873446</v>
      </c>
      <c r="DR48" s="22">
        <f t="shared" si="16"/>
        <v>301.22679191692959</v>
      </c>
      <c r="DS48" s="62">
        <f t="shared" si="17"/>
        <v>594.5601252502629</v>
      </c>
      <c r="DT48" s="62">
        <f ca="1">AVERAGE(OFFSET($DS$3,0,0,'Données projet'!$E$14+1,1))-AVERAGE(OFFSET($H$3,0,0,'Données projet'!$E$14+1,1))</f>
        <v>178.56320966726986</v>
      </c>
      <c r="DU48" s="62">
        <f t="shared" si="44"/>
        <v>272.06842551411739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5.0626287069930598</v>
      </c>
      <c r="EC48" s="23">
        <f>EXP(-LN(2)/2)*EC47+(1-EXP(-LN(2)/2))/(LN(2)/2)*DW48*DZ48*VLOOKUP('Données projet'!$B$14,Paramètres!$A$1:$I$89,3,0)*0.475*44/12</f>
        <v>9.125444964889895E-2</v>
      </c>
      <c r="ED48" s="24">
        <f t="shared" si="18"/>
        <v>5.1538831566419585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211</v>
      </c>
      <c r="EH48" s="13">
        <f>VLOOKUP(A48,'Données projet'!$A$191:$I$211,9,0)</f>
        <v>7.6</v>
      </c>
      <c r="EI48" s="13">
        <f t="array" ref="EI48">INDEX(EH:EH,MIN(IF(ISNUMBER(EH48:EH244),ROW(EH48:EH244),"")))</f>
        <v>7.6</v>
      </c>
      <c r="EJ48" s="13">
        <f>IF('Données projet'!$A$192&gt;35,EJ47+EI48-ER47,IF(A48&lt;'Données projet'!$A$192,$EG$205^A48,IF(A48='Données projet'!$A$192,'Données projet'!$B$192,EJ47+EI48-ER47)))</f>
        <v>210.99999999999997</v>
      </c>
      <c r="EK48" s="18">
        <f>EJ48*VLOOKUP('Données projet'!$B$15,Paramètres!$A$1:$I$89,3,0)*VLOOKUP('Données projet'!$B$15,Paramètres!$A$1:$I$89,5,0)</f>
        <v>227.12039999999996</v>
      </c>
      <c r="EL48" s="14">
        <f t="shared" si="45"/>
        <v>55.65958886510915</v>
      </c>
      <c r="EM48" s="22">
        <f t="shared" si="19"/>
        <v>492.50848060673167</v>
      </c>
      <c r="EN48" s="62">
        <f t="shared" si="20"/>
        <v>785.84181394006498</v>
      </c>
      <c r="EO48" s="62">
        <f ca="1">AVERAGE(OFFSET($EN$3,0,0,'Données projet'!$E$15+1,1))-AVERAGE(OFFSET($H$3,0,0,'Données projet'!$E$15+1,1))</f>
        <v>479.87943647026646</v>
      </c>
      <c r="EP48" s="62">
        <f t="shared" si="46"/>
        <v>242.41363045393223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211</v>
      </c>
      <c r="FC48" s="13">
        <f>VLOOKUP(A48,'Données projet'!$A$217:$I$237,9,0)</f>
        <v>7.6</v>
      </c>
      <c r="FD48" s="13">
        <f t="array" ref="FD48">INDEX(FC:FC,MIN(IF(ISNUMBER(FC48:FC244),ROW(FC48:FC244),"")))</f>
        <v>7.6</v>
      </c>
      <c r="FE48" s="13">
        <f>IF('Données projet'!$A$218&gt;35,FE47+FD48-FM47,IF(A48&lt;'Données projet'!$A$218,$FB$205^A48,IF(A48='Données projet'!$A$218,'Données projet'!$B$218,FE47+FD48-FM47)))</f>
        <v>210.99999999999997</v>
      </c>
      <c r="FF48" s="18">
        <f>FE48*VLOOKUP('Données projet'!$B$16,Paramètres!$A$1:$I$89,3,0)*VLOOKUP('Données projet'!$B$16,Paramètres!$A$1:$I$89,5,0)</f>
        <v>204.07919999999999</v>
      </c>
      <c r="FG48" s="14">
        <f t="shared" si="47"/>
        <v>50.639596241643567</v>
      </c>
      <c r="FH48" s="22">
        <f t="shared" si="22"/>
        <v>443.63523678752921</v>
      </c>
      <c r="FI48" s="62">
        <f t="shared" si="23"/>
        <v>736.96857012086252</v>
      </c>
      <c r="FJ48" s="62">
        <f ca="1">AVERAGE(OFFSET($FI$3,0,0,'Données projet'!$E$16+1,1))-AVERAGE(OFFSET($H$3,0,0,'Données projet'!$E$16+1,1))</f>
        <v>425.00152674093977</v>
      </c>
      <c r="FK48" s="62">
        <f t="shared" si="48"/>
        <v>214.96884469274687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28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179</v>
      </c>
      <c r="O49" s="14">
        <f>N49*VLOOKUP('Données projet'!$B$9,Paramètres!$A$1:$I$89,3,0)*VLOOKUP('Données projet'!$B$9,Paramètres!$A$1:$I$89,5,0)</f>
        <v>86.099000000000004</v>
      </c>
      <c r="P49" s="14">
        <f t="shared" si="33"/>
        <v>23.621985170303688</v>
      </c>
      <c r="Q49" s="22">
        <f t="shared" si="53"/>
        <v>191.09738250494559</v>
      </c>
      <c r="R49" s="62">
        <f t="shared" si="0"/>
        <v>484.4307158382789</v>
      </c>
      <c r="S49" s="62">
        <f ca="1">AVERAGE(OFFSET($R$3,0,0,'Données projet'!$E$9+1,1))-AVERAGE(OFFSET($H$3,0,0,'Données projet'!$E$9+1,1))</f>
        <v>179.22241276165141</v>
      </c>
      <c r="T49" s="62">
        <f t="shared" si="34"/>
        <v>86.510654589692876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10.340384615384611</v>
      </c>
      <c r="AI49" s="14">
        <f>IF('Données projet'!$A$62&gt;35,AI48+AH49-AQ48,IF(A49&lt;'Données projet'!$A$62,$AF$205^A49,IF(A49='Données projet'!$A$62,'Données projet'!$B$62,AI48+AH49-AQ48)))</f>
        <v>200.24615384615379</v>
      </c>
      <c r="AJ49" s="14">
        <f>AI49*VLOOKUP('Données projet'!$B$10,Paramètres!$A$1:$I$89,3,0)*VLOOKUP('Données projet'!$B$10,Paramètres!$A$1:$I$89,5,0)</f>
        <v>119.74719999999998</v>
      </c>
      <c r="AK49" s="14">
        <f t="shared" si="35"/>
        <v>31.616030610751356</v>
      </c>
      <c r="AL49" s="22">
        <f t="shared" si="4"/>
        <v>263.62429331372527</v>
      </c>
      <c r="AM49" s="62">
        <f t="shared" si="5"/>
        <v>556.95762664705853</v>
      </c>
      <c r="AN49" s="62">
        <f ca="1">AVERAGE(OFFSET($AM$3,0,0,'Données projet'!$E$10+1,1))-AVERAGE(OFFSET($H$3,0,0,'Données projet'!$E$10+1,1))</f>
        <v>157.42757749057949</v>
      </c>
      <c r="AO49" s="62">
        <f t="shared" si="36"/>
        <v>129.86070223892136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1.2026650356729007E-2</v>
      </c>
      <c r="AX49" s="23">
        <f t="shared" si="6"/>
        <v>1.2026650356729007E-2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7.2</v>
      </c>
      <c r="BD49" s="13">
        <f>IF('Données projet'!$A$88&gt;35,BD48+BC49-BL48,IF(A49&lt;'Données projet'!$A$88,$BA$205^A49,IF(A49='Données projet'!$A$88,'Données projet'!$B$88,BD48+BC49-BL48)))</f>
        <v>190.19999999999996</v>
      </c>
      <c r="BE49" s="14">
        <f>BD49*VLOOKUP('Données projet'!$B$11,Paramètres!$A$1:$I$89,3,0)*VLOOKUP('Données projet'!$B$11,Paramètres!$A$1:$I$89,5,0)</f>
        <v>198.79703999999998</v>
      </c>
      <c r="BF49" s="14">
        <f t="shared" si="37"/>
        <v>49.479700772358441</v>
      </c>
      <c r="BG49" s="22">
        <f t="shared" si="7"/>
        <v>432.41532351185759</v>
      </c>
      <c r="BH49" s="62">
        <f t="shared" si="8"/>
        <v>725.74865684519091</v>
      </c>
      <c r="BI49" s="62">
        <f ca="1">AVERAGE(OFFSET($BH$3,0,0,'Données projet'!$E$11+1,1))-AVERAGE(OFFSET($H$3,0,0,'Données projet'!$E$11+1,1))</f>
        <v>464.21202287459482</v>
      </c>
      <c r="BJ49" s="62">
        <f t="shared" si="38"/>
        <v>234.57880205159688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5.580000000000001</v>
      </c>
      <c r="BY49" s="13">
        <f>IF('Données projet'!$A$114&gt;35,BY48+BX49-CG48,IF(A49&lt;'Données projet'!$A$114,$BV$205^A49,IF(A49='Données projet'!$A$114,'Données projet'!$B$114,BY48+BX49-CG48)))</f>
        <v>151.88000000000017</v>
      </c>
      <c r="BZ49" s="14">
        <f>BY49*VLOOKUP('Données projet'!$B$12,Paramètres!$A$1:$I$89,3,0)*VLOOKUP('Données projet'!$B$12,Paramètres!$A$1:$I$89,5,0)</f>
        <v>120.83572800000013</v>
      </c>
      <c r="CA49" s="14">
        <f t="shared" si="39"/>
        <v>31.869840323438812</v>
      </c>
      <c r="CB49" s="22">
        <f t="shared" si="10"/>
        <v>265.9621981633228</v>
      </c>
      <c r="CC49" s="62">
        <f t="shared" si="11"/>
        <v>559.29553149665617</v>
      </c>
      <c r="CD49" s="62">
        <f ca="1">AVERAGE(OFFSET($CC$3,0,0,'Données projet'!$E$12+1,1))-AVERAGE(OFFSET($H$3,0,0,'Données projet'!$E$12+1,1))</f>
        <v>177.99876437322689</v>
      </c>
      <c r="CE49" s="62">
        <f t="shared" si="40"/>
        <v>165.68154380324592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10.423076923076922</v>
      </c>
      <c r="CT49" s="13">
        <f>IF('Données projet'!$A$140&gt;35,CT48+CS49-DB48,IF(A49&lt;'Données projet'!$A$140,$CQ$205^A49,IF(A49='Données projet'!$A$140,'Données projet'!$B$140,CT48+CS49-DB48)))</f>
        <v>226.14615384615385</v>
      </c>
      <c r="CU49" s="18">
        <f>CT49*VLOOKUP('Données projet'!$B$13,Paramètres!$A$1:$I$89,3,0)*VLOOKUP('Données projet'!$B$13,Paramètres!$A$1:$I$89,5,0)</f>
        <v>126.41570000000002</v>
      </c>
      <c r="CV49" s="14">
        <f t="shared" si="41"/>
        <v>33.166789976544962</v>
      </c>
      <c r="CW49" s="22">
        <f t="shared" si="13"/>
        <v>277.93950337581583</v>
      </c>
      <c r="CX49" s="62">
        <f t="shared" si="14"/>
        <v>571.27283670914915</v>
      </c>
      <c r="CY49" s="62">
        <f ca="1">AVERAGE(OFFSET($CX$3,0,0,'Données projet'!$E$13+1,1))-AVERAGE(OFFSET($H$3,0,0,'Données projet'!$E$13+1,1))</f>
        <v>242.07451379051349</v>
      </c>
      <c r="CZ49" s="62">
        <f t="shared" si="42"/>
        <v>207.11607964940754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10.666666666666666</v>
      </c>
      <c r="DO49" s="13">
        <f>IF('Données projet'!$A$166&gt;35,DO48+DN49-DW48,IF(A49&lt;'Données projet'!$A$166,$DL$205^A49,IF(A49='Données projet'!$A$166,'Données projet'!$B$166,DO48+DN49-DW48)))</f>
        <v>230.66666666666666</v>
      </c>
      <c r="DP49" s="18">
        <f>DO49*VLOOKUP('Données projet'!$B$14,Paramètres!$A$1:$I$89,3,0)*VLOOKUP('Données projet'!$B$14,Paramètres!$A$1:$I$89,5,0)</f>
        <v>143.93599999999998</v>
      </c>
      <c r="DQ49" s="14">
        <f t="shared" si="43"/>
        <v>37.197227655019397</v>
      </c>
      <c r="DR49" s="22">
        <f t="shared" si="16"/>
        <v>315.47370483249205</v>
      </c>
      <c r="DS49" s="62">
        <f t="shared" si="17"/>
        <v>608.80703816582536</v>
      </c>
      <c r="DT49" s="62">
        <f ca="1">AVERAGE(OFFSET($DS$3,0,0,'Données projet'!$E$14+1,1))-AVERAGE(OFFSET($H$3,0,0,'Données projet'!$E$14+1,1))</f>
        <v>178.56320966726986</v>
      </c>
      <c r="DU49" s="62">
        <f t="shared" si="44"/>
        <v>272.06842551411739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4.9241908587682612</v>
      </c>
      <c r="EC49" s="23">
        <f>EXP(-LN(2)/2)*EC48+(1-EXP(-LN(2)/2))/(LN(2)/2)*DW49*DZ49*VLOOKUP('Données projet'!$B$14,Paramètres!$A$1:$I$89,3,0)*0.475*44/12</f>
        <v>6.4526640160182808E-2</v>
      </c>
      <c r="ED49" s="24">
        <f t="shared" si="18"/>
        <v>4.9887174989284437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7.2</v>
      </c>
      <c r="EJ49" s="13">
        <f>IF('Données projet'!$A$192&gt;35,EJ48+EI49-ER48,IF(A49&lt;'Données projet'!$A$192,$EG$205^A49,IF(A49='Données projet'!$A$192,'Données projet'!$B$192,EJ48+EI49-ER48)))</f>
        <v>190.19999999999996</v>
      </c>
      <c r="EK49" s="18">
        <f>EJ49*VLOOKUP('Données projet'!$B$15,Paramètres!$A$1:$I$89,3,0)*VLOOKUP('Données projet'!$B$15,Paramètres!$A$1:$I$89,5,0)</f>
        <v>204.73127999999997</v>
      </c>
      <c r="EL49" s="14">
        <f t="shared" si="45"/>
        <v>50.782540726679308</v>
      </c>
      <c r="EM49" s="22">
        <f t="shared" si="19"/>
        <v>445.01990443229971</v>
      </c>
      <c r="EN49" s="62">
        <f t="shared" si="20"/>
        <v>738.35323776563303</v>
      </c>
      <c r="EO49" s="62">
        <f ca="1">AVERAGE(OFFSET($EN$3,0,0,'Données projet'!$E$15+1,1))-AVERAGE(OFFSET($H$3,0,0,'Données projet'!$E$15+1,1))</f>
        <v>479.87943647026646</v>
      </c>
      <c r="EP49" s="62">
        <f t="shared" si="46"/>
        <v>242.41363045393223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7.2</v>
      </c>
      <c r="FE49" s="13">
        <f>IF('Données projet'!$A$218&gt;35,FE48+FD49-FM48,IF(A49&lt;'Données projet'!$A$218,$FB$205^A49,IF(A49='Données projet'!$A$218,'Données projet'!$B$218,FE48+FD49-FM48)))</f>
        <v>190.19999999999996</v>
      </c>
      <c r="FF49" s="18">
        <f>FE49*VLOOKUP('Données projet'!$B$16,Paramètres!$A$1:$I$89,3,0)*VLOOKUP('Données projet'!$B$16,Paramètres!$A$1:$I$89,5,0)</f>
        <v>183.96143999999998</v>
      </c>
      <c r="FG49" s="14">
        <f t="shared" si="47"/>
        <v>46.202413833061925</v>
      </c>
      <c r="FH49" s="22">
        <f t="shared" si="22"/>
        <v>400.86871209258283</v>
      </c>
      <c r="FI49" s="62">
        <f t="shared" si="23"/>
        <v>694.20204542591614</v>
      </c>
      <c r="FJ49" s="62">
        <f ca="1">AVERAGE(OFFSET($FI$3,0,0,'Données projet'!$E$16+1,1))-AVERAGE(OFFSET($H$3,0,0,'Données projet'!$E$16+1,1))</f>
        <v>425.00152674093977</v>
      </c>
      <c r="FK49" s="62">
        <f t="shared" si="48"/>
        <v>214.96884469274687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190.5</v>
      </c>
      <c r="O50" s="14">
        <f>N50*VLOOKUP('Données projet'!$B$9,Paramètres!$A$1:$I$89,3,0)*VLOOKUP('Données projet'!$B$9,Paramètres!$A$1:$I$89,5,0)</f>
        <v>91.630499999999998</v>
      </c>
      <c r="P50" s="14">
        <f t="shared" si="33"/>
        <v>24.95805047486958</v>
      </c>
      <c r="Q50" s="22">
        <f t="shared" si="53"/>
        <v>203.0583920770645</v>
      </c>
      <c r="R50" s="62">
        <f t="shared" si="0"/>
        <v>496.39172541039784</v>
      </c>
      <c r="S50" s="62">
        <f ca="1">AVERAGE(OFFSET($R$3,0,0,'Données projet'!$E$9+1,1))-AVERAGE(OFFSET($H$3,0,0,'Données projet'!$E$9+1,1))</f>
        <v>179.22241276165141</v>
      </c>
      <c r="T50" s="62">
        <f t="shared" si="34"/>
        <v>86.510654589692876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10.340384615384611</v>
      </c>
      <c r="AI50" s="14">
        <f>IF('Données projet'!$A$62&gt;35,AI49+AH50-AQ49,IF(A50&lt;'Données projet'!$A$62,$AF$205^A50,IF(A50='Données projet'!$A$62,'Données projet'!$B$62,AI49+AH50-AQ49)))</f>
        <v>210.5865384615384</v>
      </c>
      <c r="AJ50" s="14">
        <f>AI50*VLOOKUP('Données projet'!$B$10,Paramètres!$A$1:$I$89,3,0)*VLOOKUP('Données projet'!$B$10,Paramètres!$A$1:$I$89,5,0)</f>
        <v>125.93074999999996</v>
      </c>
      <c r="AK50" s="14">
        <f t="shared" si="35"/>
        <v>33.054341859390462</v>
      </c>
      <c r="AL50" s="22">
        <f t="shared" si="4"/>
        <v>276.8990349884383</v>
      </c>
      <c r="AM50" s="62">
        <f t="shared" si="5"/>
        <v>570.23236832177167</v>
      </c>
      <c r="AN50" s="62">
        <f ca="1">AVERAGE(OFFSET($AM$3,0,0,'Données projet'!$E$10+1,1))-AVERAGE(OFFSET($H$3,0,0,'Données projet'!$E$10+1,1))</f>
        <v>157.42757749057949</v>
      </c>
      <c r="AO50" s="62">
        <f t="shared" si="36"/>
        <v>129.86070223892136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8.5041260222026918E-3</v>
      </c>
      <c r="AX50" s="23">
        <f t="shared" si="6"/>
        <v>8.5041260222026918E-3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7.2</v>
      </c>
      <c r="BD50" s="13">
        <f>IF('Données projet'!$A$88&gt;35,BD49+BC50-BL49,IF(A50&lt;'Données projet'!$A$88,$BA$205^A50,IF(A50='Données projet'!$A$88,'Données projet'!$B$88,BD49+BC50-BL49)))</f>
        <v>197.39999999999995</v>
      </c>
      <c r="BE50" s="14">
        <f>BD50*VLOOKUP('Données projet'!$B$11,Paramètres!$A$1:$I$89,3,0)*VLOOKUP('Données projet'!$B$11,Paramètres!$A$1:$I$89,5,0)</f>
        <v>206.32247999999998</v>
      </c>
      <c r="BF50" s="14">
        <f t="shared" si="37"/>
        <v>51.131130606532089</v>
      </c>
      <c r="BG50" s="22">
        <f t="shared" si="7"/>
        <v>448.3983718063767</v>
      </c>
      <c r="BH50" s="62">
        <f t="shared" si="8"/>
        <v>741.73170513971002</v>
      </c>
      <c r="BI50" s="62">
        <f ca="1">AVERAGE(OFFSET($BH$3,0,0,'Données projet'!$E$11+1,1))-AVERAGE(OFFSET($H$3,0,0,'Données projet'!$E$11+1,1))</f>
        <v>464.21202287459482</v>
      </c>
      <c r="BJ50" s="62">
        <f t="shared" si="38"/>
        <v>234.57880205159688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5.580000000000001</v>
      </c>
      <c r="BY50" s="13">
        <f>IF('Données projet'!$A$114&gt;35,BY49+BX50-CG49,IF(A50&lt;'Données projet'!$A$114,$BV$205^A50,IF(A50='Données projet'!$A$114,'Données projet'!$B$114,BY49+BX50-CG49)))</f>
        <v>157.46000000000018</v>
      </c>
      <c r="BZ50" s="14">
        <f>BY50*VLOOKUP('Données projet'!$B$12,Paramètres!$A$1:$I$89,3,0)*VLOOKUP('Données projet'!$B$12,Paramètres!$A$1:$I$89,5,0)</f>
        <v>125.27517600000014</v>
      </c>
      <c r="CA50" s="14">
        <f t="shared" si="39"/>
        <v>32.902249999525701</v>
      </c>
      <c r="CB50" s="22">
        <f t="shared" si="10"/>
        <v>275.49235028250746</v>
      </c>
      <c r="CC50" s="62">
        <f t="shared" si="11"/>
        <v>568.82568361584072</v>
      </c>
      <c r="CD50" s="62">
        <f ca="1">AVERAGE(OFFSET($CC$3,0,0,'Données projet'!$E$12+1,1))-AVERAGE(OFFSET($H$3,0,0,'Données projet'!$E$12+1,1))</f>
        <v>177.99876437322689</v>
      </c>
      <c r="CE50" s="62">
        <f t="shared" si="40"/>
        <v>165.68154380324592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10.423076923076922</v>
      </c>
      <c r="CT50" s="13">
        <f>IF('Données projet'!$A$140&gt;35,CT49+CS50-DB49,IF(A50&lt;'Données projet'!$A$140,$CQ$205^A50,IF(A50='Données projet'!$A$140,'Données projet'!$B$140,CT49+CS50-DB49)))</f>
        <v>236.56923076923078</v>
      </c>
      <c r="CU50" s="18">
        <f>CT50*VLOOKUP('Données projet'!$B$13,Paramètres!$A$1:$I$89,3,0)*VLOOKUP('Données projet'!$B$13,Paramètres!$A$1:$I$89,5,0)</f>
        <v>132.24220000000003</v>
      </c>
      <c r="CV50" s="14">
        <f t="shared" si="41"/>
        <v>34.513949144201142</v>
      </c>
      <c r="CW50" s="22">
        <f t="shared" si="13"/>
        <v>290.4336264261504</v>
      </c>
      <c r="CX50" s="62">
        <f t="shared" si="14"/>
        <v>583.76695975948371</v>
      </c>
      <c r="CY50" s="62">
        <f ca="1">AVERAGE(OFFSET($CX$3,0,0,'Données projet'!$E$13+1,1))-AVERAGE(OFFSET($H$3,0,0,'Données projet'!$E$13+1,1))</f>
        <v>242.07451379051349</v>
      </c>
      <c r="CZ50" s="62">
        <f t="shared" si="42"/>
        <v>207.11607964940754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10.666666666666666</v>
      </c>
      <c r="DO50" s="13">
        <f>IF('Données projet'!$A$166&gt;35,DO49+DN50-DW49,IF(A50&lt;'Données projet'!$A$166,$DL$205^A50,IF(A50='Données projet'!$A$166,'Données projet'!$B$166,DO49+DN50-DW49)))</f>
        <v>241.33333333333331</v>
      </c>
      <c r="DP50" s="18">
        <f>DO50*VLOOKUP('Données projet'!$B$14,Paramètres!$A$1:$I$89,3,0)*VLOOKUP('Données projet'!$B$14,Paramètres!$A$1:$I$89,5,0)</f>
        <v>150.59199999999998</v>
      </c>
      <c r="DQ50" s="14">
        <f t="shared" si="43"/>
        <v>38.713088888505631</v>
      </c>
      <c r="DR50" s="22">
        <f t="shared" si="16"/>
        <v>329.70636314748066</v>
      </c>
      <c r="DS50" s="62">
        <f t="shared" si="17"/>
        <v>623.03969648081397</v>
      </c>
      <c r="DT50" s="62">
        <f ca="1">AVERAGE(OFFSET($DS$3,0,0,'Données projet'!$E$14+1,1))-AVERAGE(OFFSET($H$3,0,0,'Données projet'!$E$14+1,1))</f>
        <v>178.56320966726986</v>
      </c>
      <c r="DU50" s="62">
        <f t="shared" si="44"/>
        <v>272.06842551411739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4.7895386007832998</v>
      </c>
      <c r="EC50" s="23">
        <f>EXP(-LN(2)/2)*EC49+(1-EXP(-LN(2)/2))/(LN(2)/2)*DW50*DZ50*VLOOKUP('Données projet'!$B$14,Paramètres!$A$1:$I$89,3,0)*0.475*44/12</f>
        <v>4.5627224824449475E-2</v>
      </c>
      <c r="ED50" s="24">
        <f t="shared" si="18"/>
        <v>4.8351658256077492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7.2</v>
      </c>
      <c r="EJ50" s="13">
        <f>IF('Données projet'!$A$192&gt;35,EJ49+EI50-ER49,IF(A50&lt;'Données projet'!$A$192,$EG$205^A50,IF(A50='Données projet'!$A$192,'Données projet'!$B$192,EJ49+EI50-ER49)))</f>
        <v>197.39999999999995</v>
      </c>
      <c r="EK50" s="18">
        <f>EJ50*VLOOKUP('Données projet'!$B$15,Paramètres!$A$1:$I$89,3,0)*VLOOKUP('Données projet'!$B$15,Paramètres!$A$1:$I$89,5,0)</f>
        <v>212.48135999999994</v>
      </c>
      <c r="EL50" s="14">
        <f t="shared" si="45"/>
        <v>52.477454024498286</v>
      </c>
      <c r="EM50" s="22">
        <f t="shared" si="19"/>
        <v>461.46993442600098</v>
      </c>
      <c r="EN50" s="62">
        <f t="shared" si="20"/>
        <v>754.80326775933429</v>
      </c>
      <c r="EO50" s="62">
        <f ca="1">AVERAGE(OFFSET($EN$3,0,0,'Données projet'!$E$15+1,1))-AVERAGE(OFFSET($H$3,0,0,'Données projet'!$E$15+1,1))</f>
        <v>479.87943647026646</v>
      </c>
      <c r="EP50" s="62">
        <f t="shared" si="46"/>
        <v>242.41363045393223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7.2</v>
      </c>
      <c r="FE50" s="13">
        <f>IF('Données projet'!$A$218&gt;35,FE49+FD50-FM49,IF(A50&lt;'Données projet'!$A$218,$FB$205^A50,IF(A50='Données projet'!$A$218,'Données projet'!$B$218,FE49+FD50-FM49)))</f>
        <v>197.39999999999995</v>
      </c>
      <c r="FF50" s="18">
        <f>FE50*VLOOKUP('Données projet'!$B$16,Paramètres!$A$1:$I$89,3,0)*VLOOKUP('Données projet'!$B$16,Paramètres!$A$1:$I$89,5,0)</f>
        <v>190.92527999999996</v>
      </c>
      <c r="FG50" s="14">
        <f t="shared" si="47"/>
        <v>47.74446124692539</v>
      </c>
      <c r="FH50" s="22">
        <f t="shared" si="22"/>
        <v>415.68313267172834</v>
      </c>
      <c r="FI50" s="62">
        <f t="shared" si="23"/>
        <v>709.0164660050616</v>
      </c>
      <c r="FJ50" s="62">
        <f ca="1">AVERAGE(OFFSET($FI$3,0,0,'Données projet'!$E$16+1,1))-AVERAGE(OFFSET($H$3,0,0,'Données projet'!$E$16+1,1))</f>
        <v>425.00152674093977</v>
      </c>
      <c r="FK50" s="62">
        <f t="shared" si="48"/>
        <v>214.96884469274687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202</v>
      </c>
      <c r="O51" s="14">
        <f>N51*VLOOKUP('Données projet'!$B$9,Paramètres!$A$1:$I$89,3,0)*VLOOKUP('Données projet'!$B$9,Paramètres!$A$1:$I$89,5,0)</f>
        <v>97.161999999999992</v>
      </c>
      <c r="P51" s="14">
        <f t="shared" si="33"/>
        <v>26.284754460059258</v>
      </c>
      <c r="Q51" s="22">
        <f t="shared" si="53"/>
        <v>215.00309735126984</v>
      </c>
      <c r="R51" s="62">
        <f t="shared" si="0"/>
        <v>508.33643068460316</v>
      </c>
      <c r="S51" s="62">
        <f ca="1">AVERAGE(OFFSET($R$3,0,0,'Données projet'!$E$9+1,1))-AVERAGE(OFFSET($H$3,0,0,'Données projet'!$E$9+1,1))</f>
        <v>179.22241276165141</v>
      </c>
      <c r="T51" s="62">
        <f t="shared" si="34"/>
        <v>86.510654589692876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10.340384615384611</v>
      </c>
      <c r="AI51" s="14">
        <f>IF('Données projet'!$A$62&gt;35,AI50+AH51-AQ50,IF(A51&lt;'Données projet'!$A$62,$AF$205^A51,IF(A51='Données projet'!$A$62,'Données projet'!$B$62,AI50+AH51-AQ50)))</f>
        <v>220.926923076923</v>
      </c>
      <c r="AJ51" s="14">
        <f>AI51*VLOOKUP('Données projet'!$B$10,Paramètres!$A$1:$I$89,3,0)*VLOOKUP('Données projet'!$B$10,Paramètres!$A$1:$I$89,5,0)</f>
        <v>132.11429999999996</v>
      </c>
      <c r="AK51" s="14">
        <f t="shared" si="35"/>
        <v>34.484452317610163</v>
      </c>
      <c r="AL51" s="22">
        <f t="shared" si="4"/>
        <v>290.15949361983763</v>
      </c>
      <c r="AM51" s="62">
        <f t="shared" si="5"/>
        <v>583.49282695317095</v>
      </c>
      <c r="AN51" s="62">
        <f ca="1">AVERAGE(OFFSET($AM$3,0,0,'Données projet'!$E$10+1,1))-AVERAGE(OFFSET($H$3,0,0,'Données projet'!$E$10+1,1))</f>
        <v>157.42757749057949</v>
      </c>
      <c r="AO51" s="62">
        <f t="shared" si="36"/>
        <v>129.86070223892136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6.0133251783645036E-3</v>
      </c>
      <c r="AX51" s="23">
        <f t="shared" si="6"/>
        <v>6.0133251783645036E-3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7.2</v>
      </c>
      <c r="BD51" s="13">
        <f>IF('Données projet'!$A$88&gt;35,BD50+BC51-BL50,IF(A51&lt;'Données projet'!$A$88,$BA$205^A51,IF(A51='Données projet'!$A$88,'Données projet'!$B$88,BD50+BC51-BL50)))</f>
        <v>204.59999999999994</v>
      </c>
      <c r="BE51" s="14">
        <f>BD51*VLOOKUP('Données projet'!$B$11,Paramètres!$A$1:$I$89,3,0)*VLOOKUP('Données projet'!$B$11,Paramètres!$A$1:$I$89,5,0)</f>
        <v>213.84791999999996</v>
      </c>
      <c r="BF51" s="14">
        <f t="shared" si="37"/>
        <v>52.77556236574889</v>
      </c>
      <c r="BG51" s="22">
        <f t="shared" si="7"/>
        <v>464.3692317870125</v>
      </c>
      <c r="BH51" s="62">
        <f t="shared" si="8"/>
        <v>757.70256512034575</v>
      </c>
      <c r="BI51" s="62">
        <f ca="1">AVERAGE(OFFSET($BH$3,0,0,'Données projet'!$E$11+1,1))-AVERAGE(OFFSET($H$3,0,0,'Données projet'!$E$11+1,1))</f>
        <v>464.21202287459482</v>
      </c>
      <c r="BJ51" s="62">
        <f t="shared" si="38"/>
        <v>234.57880205159688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5.580000000000001</v>
      </c>
      <c r="BY51" s="13">
        <f>IF('Données projet'!$A$114&gt;35,BY50+BX51-CG50,IF(A51&lt;'Données projet'!$A$114,$BV$205^A51,IF(A51='Données projet'!$A$114,'Données projet'!$B$114,BY50+BX51-CG50)))</f>
        <v>163.04000000000019</v>
      </c>
      <c r="BZ51" s="14">
        <f>BY51*VLOOKUP('Données projet'!$B$12,Paramètres!$A$1:$I$89,3,0)*VLOOKUP('Données projet'!$B$12,Paramètres!$A$1:$I$89,5,0)</f>
        <v>129.71462400000016</v>
      </c>
      <c r="CA51" s="14">
        <f t="shared" si="39"/>
        <v>33.930408885911085</v>
      </c>
      <c r="CB51" s="22">
        <f t="shared" si="10"/>
        <v>285.01509894296203</v>
      </c>
      <c r="CC51" s="62">
        <f t="shared" si="11"/>
        <v>578.3484322762954</v>
      </c>
      <c r="CD51" s="62">
        <f ca="1">AVERAGE(OFFSET($CC$3,0,0,'Données projet'!$E$12+1,1))-AVERAGE(OFFSET($H$3,0,0,'Données projet'!$E$12+1,1))</f>
        <v>177.99876437322689</v>
      </c>
      <c r="CE51" s="62">
        <f t="shared" si="40"/>
        <v>165.68154380324592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10.423076923076922</v>
      </c>
      <c r="CT51" s="13">
        <f>IF('Données projet'!$A$140&gt;35,CT50+CS51-DB50,IF(A51&lt;'Données projet'!$A$140,$CQ$205^A51,IF(A51='Données projet'!$A$140,'Données projet'!$B$140,CT50+CS51-DB50)))</f>
        <v>246.99230769230772</v>
      </c>
      <c r="CU51" s="18">
        <f>CT51*VLOOKUP('Données projet'!$B$13,Paramètres!$A$1:$I$89,3,0)*VLOOKUP('Données projet'!$B$13,Paramètres!$A$1:$I$89,5,0)</f>
        <v>138.06870000000004</v>
      </c>
      <c r="CV51" s="14">
        <f t="shared" si="41"/>
        <v>35.854214731947266</v>
      </c>
      <c r="CW51" s="22">
        <f t="shared" si="13"/>
        <v>302.91574315814154</v>
      </c>
      <c r="CX51" s="62">
        <f t="shared" si="14"/>
        <v>596.24907649147485</v>
      </c>
      <c r="CY51" s="62">
        <f ca="1">AVERAGE(OFFSET($CX$3,0,0,'Données projet'!$E$13+1,1))-AVERAGE(OFFSET($H$3,0,0,'Données projet'!$E$13+1,1))</f>
        <v>242.07451379051349</v>
      </c>
      <c r="CZ51" s="62">
        <f t="shared" si="42"/>
        <v>207.11607964940754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>
        <f>VLOOKUP(A51,'Données projet'!$A$165:$I$185,2,0)</f>
        <v>252</v>
      </c>
      <c r="DM51" s="13">
        <f>VLOOKUP(A51,'Données projet'!$A$165:$I$185,9,0)</f>
        <v>10.666666666666666</v>
      </c>
      <c r="DN51" s="13">
        <f t="array" ref="DN51">INDEX(DM:DM,MIN(IF(ISNUMBER(DM51:DM247),ROW(DM51:DM247),"")))</f>
        <v>10.666666666666666</v>
      </c>
      <c r="DO51" s="13">
        <f>IF('Données projet'!$A$166&gt;35,DO50+DN51-DW50,IF(A51&lt;'Données projet'!$A$166,$DL$205^A51,IF(A51='Données projet'!$A$166,'Données projet'!$B$166,DO50+DN51-DW50)))</f>
        <v>251.99999999999997</v>
      </c>
      <c r="DP51" s="18">
        <f>DO51*VLOOKUP('Données projet'!$B$14,Paramètres!$A$1:$I$89,3,0)*VLOOKUP('Données projet'!$B$14,Paramètres!$A$1:$I$89,5,0)</f>
        <v>157.24799999999999</v>
      </c>
      <c r="DQ51" s="14">
        <f t="shared" si="43"/>
        <v>40.22116874434861</v>
      </c>
      <c r="DR51" s="22">
        <f t="shared" si="16"/>
        <v>343.92546889640715</v>
      </c>
      <c r="DS51" s="62">
        <f t="shared" si="17"/>
        <v>637.25880222974047</v>
      </c>
      <c r="DT51" s="62">
        <f ca="1">AVERAGE(OFFSET($DS$3,0,0,'Données projet'!$E$14+1,1))-AVERAGE(OFFSET($H$3,0,0,'Données projet'!$E$14+1,1))</f>
        <v>178.56320966726986</v>
      </c>
      <c r="DU51" s="62">
        <f t="shared" si="44"/>
        <v>272.06842551411739</v>
      </c>
      <c r="DV51" s="16">
        <f>IF(ISNA(VLOOKUP(A51,'Données projet'!$A$165:$I$185,3,0)),0,VLOOKUP(A51,'Données projet'!$A$165:$I$185,3,0))</f>
        <v>7</v>
      </c>
      <c r="DW51" s="16">
        <f>IF(ISNA(VLOOKUP(A51,'Données projet'!$A$165:$I$185,4,0)),0,VLOOKUP(A51,'Données projet'!$A$165:$I$185,4,0))</f>
        <v>65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4.658568415873992</v>
      </c>
      <c r="EC51" s="23">
        <f>EXP(-LN(2)/2)*EC50+(1-EXP(-LN(2)/2))/(LN(2)/2)*DW51*DZ51*VLOOKUP('Données projet'!$B$14,Paramètres!$A$1:$I$89,3,0)*0.475*44/12</f>
        <v>3.2263320080091404E-2</v>
      </c>
      <c r="ED51" s="24">
        <f t="shared" si="18"/>
        <v>4.6908317359540836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7.2</v>
      </c>
      <c r="EJ51" s="13">
        <f>IF('Données projet'!$A$192&gt;35,EJ50+EI51-ER50,IF(A51&lt;'Données projet'!$A$192,$EG$205^A51,IF(A51='Données projet'!$A$192,'Données projet'!$B$192,EJ50+EI51-ER50)))</f>
        <v>204.59999999999994</v>
      </c>
      <c r="EK51" s="18">
        <f>EJ51*VLOOKUP('Données projet'!$B$15,Paramètres!$A$1:$I$89,3,0)*VLOOKUP('Données projet'!$B$15,Paramètres!$A$1:$I$89,5,0)</f>
        <v>220.23143999999994</v>
      </c>
      <c r="EL51" s="14">
        <f t="shared" si="45"/>
        <v>54.165184982469711</v>
      </c>
      <c r="EM51" s="22">
        <f t="shared" si="19"/>
        <v>477.90745517780124</v>
      </c>
      <c r="EN51" s="62">
        <f t="shared" si="20"/>
        <v>771.2407885111345</v>
      </c>
      <c r="EO51" s="62">
        <f ca="1">AVERAGE(OFFSET($EN$3,0,0,'Données projet'!$E$15+1,1))-AVERAGE(OFFSET($H$3,0,0,'Données projet'!$E$15+1,1))</f>
        <v>479.87943647026646</v>
      </c>
      <c r="EP51" s="62">
        <f t="shared" si="46"/>
        <v>242.41363045393223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7.2</v>
      </c>
      <c r="FE51" s="13">
        <f>IF('Données projet'!$A$218&gt;35,FE50+FD51-FM50,IF(A51&lt;'Données projet'!$A$218,$FB$205^A51,IF(A51='Données projet'!$A$218,'Données projet'!$B$218,FE50+FD51-FM50)))</f>
        <v>204.59999999999994</v>
      </c>
      <c r="FF51" s="18">
        <f>FE51*VLOOKUP('Données projet'!$B$16,Paramètres!$A$1:$I$89,3,0)*VLOOKUP('Données projet'!$B$16,Paramètres!$A$1:$I$89,5,0)</f>
        <v>197.88911999999993</v>
      </c>
      <c r="FG51" s="14">
        <f t="shared" si="47"/>
        <v>49.279974103179534</v>
      </c>
      <c r="FH51" s="22">
        <f t="shared" si="22"/>
        <v>430.48617222970421</v>
      </c>
      <c r="FI51" s="62">
        <f t="shared" si="23"/>
        <v>723.81950556303752</v>
      </c>
      <c r="FJ51" s="62">
        <f ca="1">AVERAGE(OFFSET($FI$3,0,0,'Données projet'!$E$16+1,1))-AVERAGE(OFFSET($H$3,0,0,'Données projet'!$E$16+1,1))</f>
        <v>425.00152674093977</v>
      </c>
      <c r="FK51" s="62">
        <f t="shared" si="48"/>
        <v>214.96884469274687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213.5</v>
      </c>
      <c r="O52" s="14">
        <f>N52*VLOOKUP('Données projet'!$B$9,Paramètres!$A$1:$I$89,3,0)*VLOOKUP('Données projet'!$B$9,Paramètres!$A$1:$I$89,5,0)</f>
        <v>102.69350000000001</v>
      </c>
      <c r="P52" s="14">
        <f t="shared" si="33"/>
        <v>27.602690799399966</v>
      </c>
      <c r="Q52" s="22">
        <f t="shared" si="53"/>
        <v>226.93253230895496</v>
      </c>
      <c r="R52" s="62">
        <f t="shared" si="0"/>
        <v>520.2658656422883</v>
      </c>
      <c r="S52" s="62">
        <f ca="1">AVERAGE(OFFSET($R$3,0,0,'Données projet'!$E$9+1,1))-AVERAGE(OFFSET($H$3,0,0,'Données projet'!$E$9+1,1))</f>
        <v>179.22241276165141</v>
      </c>
      <c r="T52" s="62">
        <f t="shared" si="34"/>
        <v>86.510654589692876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10.340384615384611</v>
      </c>
      <c r="AI52" s="14">
        <f>IF('Données projet'!$A$62&gt;35,AI51+AH52-AQ51,IF(A52&lt;'Données projet'!$A$62,$AF$205^A52,IF(A52='Données projet'!$A$62,'Données projet'!$B$62,AI51+AH52-AQ51)))</f>
        <v>231.26730769230761</v>
      </c>
      <c r="AJ52" s="14">
        <f>AI52*VLOOKUP('Données projet'!$B$10,Paramètres!$A$1:$I$89,3,0)*VLOOKUP('Données projet'!$B$10,Paramètres!$A$1:$I$89,5,0)</f>
        <v>138.29784999999995</v>
      </c>
      <c r="AK52" s="14">
        <f t="shared" si="35"/>
        <v>35.906789652135956</v>
      </c>
      <c r="AL52" s="22">
        <f t="shared" si="4"/>
        <v>303.40641406080334</v>
      </c>
      <c r="AM52" s="62">
        <f t="shared" si="5"/>
        <v>596.73974739413666</v>
      </c>
      <c r="AN52" s="62">
        <f ca="1">AVERAGE(OFFSET($AM$3,0,0,'Données projet'!$E$10+1,1))-AVERAGE(OFFSET($H$3,0,0,'Données projet'!$E$10+1,1))</f>
        <v>157.42757749057949</v>
      </c>
      <c r="AO52" s="62">
        <f t="shared" si="36"/>
        <v>129.86070223892136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4.2520630111013459E-3</v>
      </c>
      <c r="AX52" s="23">
        <f t="shared" si="6"/>
        <v>4.2520630111013459E-3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7.2</v>
      </c>
      <c r="BD52" s="13">
        <f>IF('Données projet'!$A$88&gt;35,BD51+BC52-BL51,IF(A52&lt;'Données projet'!$A$88,$BA$205^A52,IF(A52='Données projet'!$A$88,'Données projet'!$B$88,BD51+BC52-BL51)))</f>
        <v>211.79999999999993</v>
      </c>
      <c r="BE52" s="14">
        <f>BD52*VLOOKUP('Données projet'!$B$11,Paramètres!$A$1:$I$89,3,0)*VLOOKUP('Données projet'!$B$11,Paramètres!$A$1:$I$89,5,0)</f>
        <v>221.37335999999993</v>
      </c>
      <c r="BF52" s="14">
        <f t="shared" si="37"/>
        <v>54.413270534861574</v>
      </c>
      <c r="BG52" s="22">
        <f t="shared" si="7"/>
        <v>480.3283815148838</v>
      </c>
      <c r="BH52" s="62">
        <f t="shared" si="8"/>
        <v>773.66171484821712</v>
      </c>
      <c r="BI52" s="62">
        <f ca="1">AVERAGE(OFFSET($BH$3,0,0,'Données projet'!$E$11+1,1))-AVERAGE(OFFSET($H$3,0,0,'Données projet'!$E$11+1,1))</f>
        <v>464.21202287459482</v>
      </c>
      <c r="BJ52" s="62">
        <f t="shared" si="38"/>
        <v>234.57880205159688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5.580000000000001</v>
      </c>
      <c r="BY52" s="13">
        <f>IF('Données projet'!$A$114&gt;35,BY51+BX52-CG51,IF(A52&lt;'Données projet'!$A$114,$BV$205^A52,IF(A52='Données projet'!$A$114,'Données projet'!$B$114,BY51+BX52-CG51)))</f>
        <v>168.6200000000002</v>
      </c>
      <c r="BZ52" s="14">
        <f>BY52*VLOOKUP('Données projet'!$B$12,Paramètres!$A$1:$I$89,3,0)*VLOOKUP('Données projet'!$B$12,Paramètres!$A$1:$I$89,5,0)</f>
        <v>134.15407200000016</v>
      </c>
      <c r="CA52" s="14">
        <f t="shared" si="39"/>
        <v>34.954479140088715</v>
      </c>
      <c r="CB52" s="22">
        <f t="shared" si="10"/>
        <v>294.53072656898814</v>
      </c>
      <c r="CC52" s="62">
        <f t="shared" si="11"/>
        <v>587.86405990232151</v>
      </c>
      <c r="CD52" s="62">
        <f ca="1">AVERAGE(OFFSET($CC$3,0,0,'Données projet'!$E$12+1,1))-AVERAGE(OFFSET($H$3,0,0,'Données projet'!$E$12+1,1))</f>
        <v>177.99876437322689</v>
      </c>
      <c r="CE52" s="62">
        <f t="shared" si="40"/>
        <v>165.68154380324592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10.423076923076922</v>
      </c>
      <c r="CT52" s="13">
        <f>IF('Données projet'!$A$140&gt;35,CT51+CS52-DB51,IF(A52&lt;'Données projet'!$A$140,$CQ$205^A52,IF(A52='Données projet'!$A$140,'Données projet'!$B$140,CT51+CS52-DB51)))</f>
        <v>257.41538461538465</v>
      </c>
      <c r="CU52" s="18">
        <f>CT52*VLOOKUP('Données projet'!$B$13,Paramètres!$A$1:$I$89,3,0)*VLOOKUP('Données projet'!$B$13,Paramètres!$A$1:$I$89,5,0)</f>
        <v>143.89520000000002</v>
      </c>
      <c r="CV52" s="14">
        <f t="shared" si="41"/>
        <v>37.187910910663184</v>
      </c>
      <c r="CW52" s="22">
        <f t="shared" si="13"/>
        <v>315.38641816940509</v>
      </c>
      <c r="CX52" s="62">
        <f t="shared" si="14"/>
        <v>608.7197515027384</v>
      </c>
      <c r="CY52" s="62">
        <f ca="1">AVERAGE(OFFSET($CX$3,0,0,'Données projet'!$E$13+1,1))-AVERAGE(OFFSET($H$3,0,0,'Données projet'!$E$13+1,1))</f>
        <v>242.07451379051349</v>
      </c>
      <c r="CZ52" s="62">
        <f t="shared" si="42"/>
        <v>207.11607964940754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9.75</v>
      </c>
      <c r="DO52" s="13">
        <f>IF('Données projet'!$A$166&gt;35,DO51+DN52-DW51,IF(A52&lt;'Données projet'!$A$166,$DL$205^A52,IF(A52='Données projet'!$A$166,'Données projet'!$B$166,DO51+DN52-DW51)))</f>
        <v>196.75</v>
      </c>
      <c r="DP52" s="18">
        <f>DO52*VLOOKUP('Données projet'!$B$14,Paramètres!$A$1:$I$89,3,0)*VLOOKUP('Données projet'!$B$14,Paramètres!$A$1:$I$89,5,0)</f>
        <v>122.77200000000001</v>
      </c>
      <c r="DQ52" s="14">
        <f t="shared" si="43"/>
        <v>32.320660955470466</v>
      </c>
      <c r="DR52" s="22">
        <f t="shared" si="16"/>
        <v>270.11971783077774</v>
      </c>
      <c r="DS52" s="62">
        <f t="shared" si="17"/>
        <v>563.453051164111</v>
      </c>
      <c r="DT52" s="62">
        <f ca="1">AVERAGE(OFFSET($DS$3,0,0,'Données projet'!$E$14+1,1))-AVERAGE(OFFSET($H$3,0,0,'Données projet'!$E$14+1,1))</f>
        <v>178.56320966726986</v>
      </c>
      <c r="DU52" s="62">
        <f t="shared" si="44"/>
        <v>272.06842551411739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4.5311796175584522</v>
      </c>
      <c r="EC52" s="23">
        <f>EXP(-LN(2)/2)*EC51+(1-EXP(-LN(2)/2))/(LN(2)/2)*DW52*DZ52*VLOOKUP('Données projet'!$B$14,Paramètres!$A$1:$I$89,3,0)*0.475*44/12</f>
        <v>2.2813612412224737E-2</v>
      </c>
      <c r="ED52" s="24">
        <f t="shared" si="18"/>
        <v>4.5539932299706773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7.2</v>
      </c>
      <c r="EJ52" s="13">
        <f>IF('Données projet'!$A$192&gt;35,EJ51+EI52-ER51,IF(A52&lt;'Données projet'!$A$192,$EG$205^A52,IF(A52='Données projet'!$A$192,'Données projet'!$B$192,EJ51+EI52-ER51)))</f>
        <v>211.79999999999993</v>
      </c>
      <c r="EK52" s="18">
        <f>EJ52*VLOOKUP('Données projet'!$B$15,Paramètres!$A$1:$I$89,3,0)*VLOOKUP('Données projet'!$B$15,Paramètres!$A$1:$I$89,5,0)</f>
        <v>227.9815199999999</v>
      </c>
      <c r="EL52" s="14">
        <f t="shared" si="45"/>
        <v>55.846015312851193</v>
      </c>
      <c r="EM52" s="22">
        <f t="shared" si="19"/>
        <v>494.33295733654887</v>
      </c>
      <c r="EN52" s="62">
        <f t="shared" si="20"/>
        <v>787.66629066988219</v>
      </c>
      <c r="EO52" s="62">
        <f ca="1">AVERAGE(OFFSET($EN$3,0,0,'Données projet'!$E$15+1,1))-AVERAGE(OFFSET($H$3,0,0,'Données projet'!$E$15+1,1))</f>
        <v>479.87943647026646</v>
      </c>
      <c r="EP52" s="62">
        <f t="shared" si="46"/>
        <v>242.41363045393223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7.2</v>
      </c>
      <c r="FE52" s="13">
        <f>IF('Données projet'!$A$218&gt;35,FE51+FD52-FM51,IF(A52&lt;'Données projet'!$A$218,$FB$205^A52,IF(A52='Données projet'!$A$218,'Données projet'!$B$218,FE51+FD52-FM51)))</f>
        <v>211.79999999999993</v>
      </c>
      <c r="FF52" s="18">
        <f>FE52*VLOOKUP('Données projet'!$B$16,Paramètres!$A$1:$I$89,3,0)*VLOOKUP('Données projet'!$B$16,Paramètres!$A$1:$I$89,5,0)</f>
        <v>204.85295999999991</v>
      </c>
      <c r="FG52" s="14">
        <f t="shared" si="47"/>
        <v>50.809208706178609</v>
      </c>
      <c r="FH52" s="22">
        <f t="shared" si="22"/>
        <v>445.27827716326095</v>
      </c>
      <c r="FI52" s="62">
        <f t="shared" si="23"/>
        <v>738.61161049659427</v>
      </c>
      <c r="FJ52" s="62">
        <f ca="1">AVERAGE(OFFSET($FI$3,0,0,'Données projet'!$E$16+1,1))-AVERAGE(OFFSET($H$3,0,0,'Données projet'!$E$16+1,1))</f>
        <v>425.00152674093977</v>
      </c>
      <c r="FK52" s="62">
        <f t="shared" si="48"/>
        <v>214.96884469274687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225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225</v>
      </c>
      <c r="O53" s="14">
        <f>N53*VLOOKUP('Données projet'!$B$9,Paramètres!$A$1:$I$89,3,0)*VLOOKUP('Données projet'!$B$9,Paramètres!$A$1:$I$89,5,0)</f>
        <v>108.22500000000001</v>
      </c>
      <c r="P53" s="14">
        <f t="shared" si="33"/>
        <v>28.912385598873438</v>
      </c>
      <c r="Q53" s="22">
        <f t="shared" si="53"/>
        <v>238.8476132513712</v>
      </c>
      <c r="R53" s="62">
        <f t="shared" si="0"/>
        <v>532.18094658470454</v>
      </c>
      <c r="S53" s="62">
        <f ca="1">AVERAGE(OFFSET($R$3,0,0,'Données projet'!$E$9+1,1))-AVERAGE(OFFSET($H$3,0,0,'Données projet'!$E$9+1,1))</f>
        <v>179.22241276165141</v>
      </c>
      <c r="T53" s="62">
        <f t="shared" si="34"/>
        <v>86.510654589692876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58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241.60769230769228</v>
      </c>
      <c r="AG53" s="13">
        <f>VLOOKUP(A53,'Données projet'!$A$61:$I$81,9,0)</f>
        <v>10.340384615384611</v>
      </c>
      <c r="AH53" s="13">
        <f t="array" ref="AH53">INDEX(AG:AG,MIN(IF(ISNUMBER(AG53:AG249),ROW(AG53:AG249),"")))</f>
        <v>10.340384615384611</v>
      </c>
      <c r="AI53" s="14">
        <f>IF('Données projet'!$A$62&gt;35,AI52+AH53-AQ52,IF(A53&lt;'Données projet'!$A$62,$AF$205^A53,IF(A53='Données projet'!$A$62,'Données projet'!$B$62,AI52+AH53-AQ52)))</f>
        <v>241.60769230769222</v>
      </c>
      <c r="AJ53" s="14">
        <f>AI53*VLOOKUP('Données projet'!$B$10,Paramètres!$A$1:$I$89,3,0)*VLOOKUP('Données projet'!$B$10,Paramètres!$A$1:$I$89,5,0)</f>
        <v>144.48139999999995</v>
      </c>
      <c r="AK53" s="14">
        <f t="shared" si="35"/>
        <v>37.321741124084639</v>
      </c>
      <c r="AL53" s="22">
        <f t="shared" si="4"/>
        <v>316.64047079111396</v>
      </c>
      <c r="AM53" s="62">
        <f t="shared" si="5"/>
        <v>609.97380412444727</v>
      </c>
      <c r="AN53" s="62">
        <f ca="1">AVERAGE(OFFSET($AM$3,0,0,'Données projet'!$E$10+1,1))-AVERAGE(OFFSET($H$3,0,0,'Données projet'!$E$10+1,1))</f>
        <v>157.42757749057949</v>
      </c>
      <c r="AO53" s="62">
        <f t="shared" si="36"/>
        <v>129.86070223892136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55.676923076923075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3.0066625891822518E-3</v>
      </c>
      <c r="AX53" s="23">
        <f t="shared" si="6"/>
        <v>3.0066625891822518E-3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219</v>
      </c>
      <c r="BB53" s="13">
        <f>VLOOKUP(A53,'Données projet'!$A$87:$I$107,9,0)</f>
        <v>7.2</v>
      </c>
      <c r="BC53" s="13">
        <f t="array" ref="BC53">INDEX(BB:BB,MIN(IF(ISNUMBER(BB53:BB249),ROW(BB53:BB249),"")))</f>
        <v>7.2</v>
      </c>
      <c r="BD53" s="13">
        <f>IF('Données projet'!$A$88&gt;35,BD52+BC53-BL52,IF(A53&lt;'Données projet'!$A$88,$BA$205^A53,IF(A53='Données projet'!$A$88,'Données projet'!$B$88,BD52+BC53-BL52)))</f>
        <v>218.99999999999991</v>
      </c>
      <c r="BE53" s="14">
        <f>BD53*VLOOKUP('Données projet'!$B$11,Paramètres!$A$1:$I$89,3,0)*VLOOKUP('Données projet'!$B$11,Paramètres!$A$1:$I$89,5,0)</f>
        <v>228.89879999999994</v>
      </c>
      <c r="BF53" s="14">
        <f t="shared" si="37"/>
        <v>56.044509878204664</v>
      </c>
      <c r="BG53" s="22">
        <f t="shared" si="7"/>
        <v>496.2762647045397</v>
      </c>
      <c r="BH53" s="62">
        <f t="shared" si="8"/>
        <v>789.60959803787296</v>
      </c>
      <c r="BI53" s="62">
        <f ca="1">AVERAGE(OFFSET($BH$3,0,0,'Données projet'!$E$11+1,1))-AVERAGE(OFFSET($H$3,0,0,'Données projet'!$E$11+1,1))</f>
        <v>464.21202287459482</v>
      </c>
      <c r="BJ53" s="62">
        <f t="shared" si="38"/>
        <v>234.57880205159688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174.20000000000002</v>
      </c>
      <c r="BW53" s="13">
        <f>VLOOKUP(A53,'Données projet'!$A$113:$I$133,9,0)</f>
        <v>5.580000000000001</v>
      </c>
      <c r="BX53" s="13">
        <f t="array" ref="BX53">INDEX(BW:BW,MIN(IF(ISNUMBER(BW53:BW249),ROW(BW53:BW249),"")))</f>
        <v>5.580000000000001</v>
      </c>
      <c r="BY53" s="13">
        <f>IF('Données projet'!$A$114&gt;35,BY52+BX53-CG52,IF(A53&lt;'Données projet'!$A$114,$BV$205^A53,IF(A53='Données projet'!$A$114,'Données projet'!$B$114,BY52+BX53-CG52)))</f>
        <v>174.20000000000022</v>
      </c>
      <c r="BZ53" s="14">
        <f>BY53*VLOOKUP('Données projet'!$B$12,Paramètres!$A$1:$I$89,3,0)*VLOOKUP('Données projet'!$B$12,Paramètres!$A$1:$I$89,5,0)</f>
        <v>138.59352000000018</v>
      </c>
      <c r="CA53" s="14">
        <f t="shared" si="39"/>
        <v>35.974611578202314</v>
      </c>
      <c r="CB53" s="22">
        <f t="shared" si="10"/>
        <v>304.03949583203604</v>
      </c>
      <c r="CC53" s="62">
        <f t="shared" si="11"/>
        <v>597.37282916536935</v>
      </c>
      <c r="CD53" s="62">
        <f ca="1">AVERAGE(OFFSET($CC$3,0,0,'Données projet'!$E$12+1,1))-AVERAGE(OFFSET($H$3,0,0,'Données projet'!$E$12+1,1))</f>
        <v>177.99876437322689</v>
      </c>
      <c r="CE53" s="62">
        <f t="shared" si="40"/>
        <v>165.68154380324592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10.423076923076922</v>
      </c>
      <c r="CT53" s="13">
        <f>IF('Données projet'!$A$140&gt;35,CT52+CS53-DB52,IF(A53&lt;'Données projet'!$A$140,$CQ$205^A53,IF(A53='Données projet'!$A$140,'Données projet'!$B$140,CT52+CS53-DB52)))</f>
        <v>267.83846153846156</v>
      </c>
      <c r="CU53" s="18">
        <f>CT53*VLOOKUP('Données projet'!$B$13,Paramètres!$A$1:$I$89,3,0)*VLOOKUP('Données projet'!$B$13,Paramètres!$A$1:$I$89,5,0)</f>
        <v>149.72170000000003</v>
      </c>
      <c r="CV53" s="14">
        <f t="shared" si="41"/>
        <v>38.515334113307127</v>
      </c>
      <c r="CW53" s="22">
        <f t="shared" si="13"/>
        <v>327.84616774734326</v>
      </c>
      <c r="CX53" s="62">
        <f t="shared" si="14"/>
        <v>621.17950108067657</v>
      </c>
      <c r="CY53" s="62">
        <f ca="1">AVERAGE(OFFSET($CX$3,0,0,'Données projet'!$E$13+1,1))-AVERAGE(OFFSET($H$3,0,0,'Données projet'!$E$13+1,1))</f>
        <v>242.07451379051349</v>
      </c>
      <c r="CZ53" s="62">
        <f t="shared" si="42"/>
        <v>207.11607964940754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9.75</v>
      </c>
      <c r="DO53" s="13">
        <f>IF('Données projet'!$A$166&gt;35,DO52+DN53-DW52,IF(A53&lt;'Données projet'!$A$166,$DL$205^A53,IF(A53='Données projet'!$A$166,'Données projet'!$B$166,DO52+DN53-DW52)))</f>
        <v>206.5</v>
      </c>
      <c r="DP53" s="18">
        <f>DO53*VLOOKUP('Données projet'!$B$14,Paramètres!$A$1:$I$89,3,0)*VLOOKUP('Données projet'!$B$14,Paramètres!$A$1:$I$89,5,0)</f>
        <v>128.85599999999999</v>
      </c>
      <c r="DQ53" s="14">
        <f t="shared" si="43"/>
        <v>33.731878688740906</v>
      </c>
      <c r="DR53" s="22">
        <f t="shared" si="16"/>
        <v>283.1738887162237</v>
      </c>
      <c r="DS53" s="62">
        <f t="shared" si="17"/>
        <v>576.50722204955696</v>
      </c>
      <c r="DT53" s="62">
        <f ca="1">AVERAGE(OFFSET($DS$3,0,0,'Données projet'!$E$14+1,1))-AVERAGE(OFFSET($H$3,0,0,'Données projet'!$E$14+1,1))</f>
        <v>178.56320966726986</v>
      </c>
      <c r="DU53" s="62">
        <f t="shared" si="44"/>
        <v>272.06842551411739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4.4072742726319367</v>
      </c>
      <c r="EC53" s="23">
        <f>EXP(-LN(2)/2)*EC52+(1-EXP(-LN(2)/2))/(LN(2)/2)*DW53*DZ53*VLOOKUP('Données projet'!$B$14,Paramètres!$A$1:$I$89,3,0)*0.475*44/12</f>
        <v>1.6131660040045702E-2</v>
      </c>
      <c r="ED53" s="24">
        <f t="shared" si="18"/>
        <v>4.4234059326719821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219</v>
      </c>
      <c r="EH53" s="13">
        <f>VLOOKUP(A53,'Données projet'!$A$191:$I$211,9,0)</f>
        <v>7.2</v>
      </c>
      <c r="EI53" s="13">
        <f t="array" ref="EI53">INDEX(EH:EH,MIN(IF(ISNUMBER(EH53:EH249),ROW(EH53:EH249),"")))</f>
        <v>7.2</v>
      </c>
      <c r="EJ53" s="13">
        <f>IF('Données projet'!$A$192&gt;35,EJ52+EI53-ER52,IF(A53&lt;'Données projet'!$A$192,$EG$205^A53,IF(A53='Données projet'!$A$192,'Données projet'!$B$192,EJ52+EI53-ER52)))</f>
        <v>218.99999999999991</v>
      </c>
      <c r="EK53" s="18">
        <f>EJ53*VLOOKUP('Données projet'!$B$15,Paramètres!$A$1:$I$89,3,0)*VLOOKUP('Données projet'!$B$15,Paramètres!$A$1:$I$89,5,0)</f>
        <v>235.7315999999999</v>
      </c>
      <c r="EL53" s="14">
        <f t="shared" si="45"/>
        <v>57.520206488125218</v>
      </c>
      <c r="EM53" s="22">
        <f t="shared" si="19"/>
        <v>510.74689630015126</v>
      </c>
      <c r="EN53" s="62">
        <f t="shared" si="20"/>
        <v>804.08022963348458</v>
      </c>
      <c r="EO53" s="62">
        <f ca="1">AVERAGE(OFFSET($EN$3,0,0,'Données projet'!$E$15+1,1))-AVERAGE(OFFSET($H$3,0,0,'Données projet'!$E$15+1,1))</f>
        <v>479.87943647026646</v>
      </c>
      <c r="EP53" s="62">
        <f t="shared" si="46"/>
        <v>242.41363045393223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219</v>
      </c>
      <c r="FC53" s="13">
        <f>VLOOKUP(A53,'Données projet'!$A$217:$I$237,9,0)</f>
        <v>7.2</v>
      </c>
      <c r="FD53" s="13">
        <f t="array" ref="FD53">INDEX(FC:FC,MIN(IF(ISNUMBER(FC53:FC249),ROW(FC53:FC249),"")))</f>
        <v>7.2</v>
      </c>
      <c r="FE53" s="13">
        <f>IF('Données projet'!$A$218&gt;35,FE52+FD53-FM52,IF(A53&lt;'Données projet'!$A$218,$FB$205^A53,IF(A53='Données projet'!$A$218,'Données projet'!$B$218,FE52+FD53-FM52)))</f>
        <v>218.99999999999991</v>
      </c>
      <c r="FF53" s="18">
        <f>FE53*VLOOKUP('Données projet'!$B$16,Paramètres!$A$1:$I$89,3,0)*VLOOKUP('Données projet'!$B$16,Paramètres!$A$1:$I$89,5,0)</f>
        <v>211.81679999999992</v>
      </c>
      <c r="FG53" s="14">
        <f t="shared" si="47"/>
        <v>52.332402945946782</v>
      </c>
      <c r="FH53" s="22">
        <f t="shared" si="22"/>
        <v>460.05986179752381</v>
      </c>
      <c r="FI53" s="62">
        <f t="shared" si="23"/>
        <v>753.39319513085707</v>
      </c>
      <c r="FJ53" s="62">
        <f ca="1">AVERAGE(OFFSET($FI$3,0,0,'Données projet'!$E$16+1,1))-AVERAGE(OFFSET($H$3,0,0,'Données projet'!$E$16+1,1))</f>
        <v>425.00152674093977</v>
      </c>
      <c r="FK53" s="62">
        <f t="shared" si="48"/>
        <v>214.96884469274687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9.4</v>
      </c>
      <c r="N54" s="14">
        <f>IF('Données projet'!$A$36&gt;35,N53+M54-V53,IF(A54&lt;'Données projet'!$A$36,$K$205^A54,IF(A54='Données projet'!$A$36,'Données projet'!$B$36,N53+M54-V53)))</f>
        <v>176.4</v>
      </c>
      <c r="O54" s="14">
        <f>N54*VLOOKUP('Données projet'!$B$9,Paramètres!$A$1:$I$89,3,0)*VLOOKUP('Données projet'!$B$9,Paramètres!$A$1:$I$89,5,0)</f>
        <v>84.848399999999998</v>
      </c>
      <c r="P54" s="14">
        <f t="shared" si="33"/>
        <v>23.318553158641894</v>
      </c>
      <c r="Q54" s="22">
        <f t="shared" si="53"/>
        <v>188.39077675130127</v>
      </c>
      <c r="R54" s="62">
        <f t="shared" si="0"/>
        <v>481.72411008463462</v>
      </c>
      <c r="S54" s="62">
        <f ca="1">AVERAGE(OFFSET($R$3,0,0,'Données projet'!$E$9+1,1))-AVERAGE(OFFSET($H$3,0,0,'Données projet'!$E$9+1,1))</f>
        <v>179.22241276165141</v>
      </c>
      <c r="T54" s="62">
        <f t="shared" si="34"/>
        <v>86.510654589692876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8.9376923076923056</v>
      </c>
      <c r="AI54" s="14">
        <f>IF('Données projet'!$A$62&gt;35,AI53+AH54-AQ53,IF(A54&lt;'Données projet'!$A$62,$AF$205^A54,IF(A54='Données projet'!$A$62,'Données projet'!$B$62,AI53+AH54-AQ53)))</f>
        <v>194.86846153846147</v>
      </c>
      <c r="AJ54" s="14">
        <f>AI54*VLOOKUP('Données projet'!$B$10,Paramètres!$A$1:$I$89,3,0)*VLOOKUP('Données projet'!$B$10,Paramètres!$A$1:$I$89,5,0)</f>
        <v>116.53133999999997</v>
      </c>
      <c r="AK54" s="14">
        <f t="shared" si="35"/>
        <v>30.864615448954051</v>
      </c>
      <c r="AL54" s="22">
        <f t="shared" si="4"/>
        <v>256.7146224069283</v>
      </c>
      <c r="AM54" s="62">
        <f t="shared" si="5"/>
        <v>550.04795574026161</v>
      </c>
      <c r="AN54" s="62">
        <f ca="1">AVERAGE(OFFSET($AM$3,0,0,'Données projet'!$E$10+1,1))-AVERAGE(OFFSET($H$3,0,0,'Données projet'!$E$10+1,1))</f>
        <v>157.42757749057949</v>
      </c>
      <c r="AO54" s="62">
        <f t="shared" si="36"/>
        <v>129.86070223892136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2.126031505550673E-3</v>
      </c>
      <c r="AX54" s="23">
        <f t="shared" si="6"/>
        <v>2.126031505550673E-3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</v>
      </c>
      <c r="BD54" s="13">
        <f>IF('Données projet'!$A$88&gt;35,BD53+BC54-BL53,IF(A54&lt;'Données projet'!$A$88,$BA$205^A54,IF(A54='Données projet'!$A$88,'Données projet'!$B$88,BD53+BC54-BL53)))</f>
        <v>225.99999999999991</v>
      </c>
      <c r="BE54" s="14">
        <f>BD54*VLOOKUP('Données projet'!$B$11,Paramètres!$A$1:$I$89,3,0)*VLOOKUP('Données projet'!$B$11,Paramètres!$A$1:$I$89,5,0)</f>
        <v>236.21519999999995</v>
      </c>
      <c r="BF54" s="14">
        <f t="shared" si="37"/>
        <v>57.624460509298522</v>
      </c>
      <c r="BG54" s="22">
        <f t="shared" si="7"/>
        <v>511.77074205369485</v>
      </c>
      <c r="BH54" s="62">
        <f t="shared" si="8"/>
        <v>805.10407538702816</v>
      </c>
      <c r="BI54" s="62">
        <f ca="1">AVERAGE(OFFSET($BH$3,0,0,'Données projet'!$E$11+1,1))-AVERAGE(OFFSET($H$3,0,0,'Données projet'!$E$11+1,1))</f>
        <v>464.21202287459482</v>
      </c>
      <c r="BJ54" s="62">
        <f t="shared" si="38"/>
        <v>234.57880205159688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4.7599999999999962</v>
      </c>
      <c r="BY54" s="13">
        <f>IF('Données projet'!$A$114&gt;35,BY53+BX54-CG53,IF(A54&lt;'Données projet'!$A$114,$BV$205^A54,IF(A54='Données projet'!$A$114,'Données projet'!$B$114,BY53+BX54-CG53)))</f>
        <v>178.96000000000021</v>
      </c>
      <c r="BZ54" s="14">
        <f>BY54*VLOOKUP('Données projet'!$B$12,Paramètres!$A$1:$I$89,3,0)*VLOOKUP('Données projet'!$B$12,Paramètres!$A$1:$I$89,5,0)</f>
        <v>142.38057600000019</v>
      </c>
      <c r="CA54" s="14">
        <f t="shared" si="39"/>
        <v>36.841825705870335</v>
      </c>
      <c r="CB54" s="22">
        <f t="shared" si="10"/>
        <v>312.14568297105785</v>
      </c>
      <c r="CC54" s="62">
        <f t="shared" si="11"/>
        <v>605.47901630439117</v>
      </c>
      <c r="CD54" s="62">
        <f ca="1">AVERAGE(OFFSET($CC$3,0,0,'Données projet'!$E$12+1,1))-AVERAGE(OFFSET($H$3,0,0,'Données projet'!$E$12+1,1))</f>
        <v>177.99876437322689</v>
      </c>
      <c r="CE54" s="62">
        <f t="shared" si="40"/>
        <v>165.68154380324592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10.423076923076922</v>
      </c>
      <c r="CT54" s="13">
        <f>IF('Données projet'!$A$140&gt;35,CT53+CS54-DB53,IF(A54&lt;'Données projet'!$A$140,$CQ$205^A54,IF(A54='Données projet'!$A$140,'Données projet'!$B$140,CT53+CS54-DB53)))</f>
        <v>278.26153846153846</v>
      </c>
      <c r="CU54" s="18">
        <f>CT54*VLOOKUP('Données projet'!$B$13,Paramètres!$A$1:$I$89,3,0)*VLOOKUP('Données projet'!$B$13,Paramètres!$A$1:$I$89,5,0)</f>
        <v>155.54820000000001</v>
      </c>
      <c r="CV54" s="14">
        <f t="shared" si="41"/>
        <v>39.836756394761977</v>
      </c>
      <c r="CW54" s="22">
        <f t="shared" si="13"/>
        <v>340.29546572087713</v>
      </c>
      <c r="CX54" s="62">
        <f t="shared" si="14"/>
        <v>633.6287990542105</v>
      </c>
      <c r="CY54" s="62">
        <f ca="1">AVERAGE(OFFSET($CX$3,0,0,'Données projet'!$E$13+1,1))-AVERAGE(OFFSET($H$3,0,0,'Données projet'!$E$13+1,1))</f>
        <v>242.07451379051349</v>
      </c>
      <c r="CZ54" s="62">
        <f t="shared" si="42"/>
        <v>207.11607964940754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9.75</v>
      </c>
      <c r="DO54" s="13">
        <f>IF('Données projet'!$A$166&gt;35,DO53+DN54-DW53,IF(A54&lt;'Données projet'!$A$166,$DL$205^A54,IF(A54='Données projet'!$A$166,'Données projet'!$B$166,DO53+DN54-DW53)))</f>
        <v>216.25</v>
      </c>
      <c r="DP54" s="18">
        <f>DO54*VLOOKUP('Données projet'!$B$14,Paramètres!$A$1:$I$89,3,0)*VLOOKUP('Données projet'!$B$14,Paramètres!$A$1:$I$89,5,0)</f>
        <v>134.94</v>
      </c>
      <c r="DQ54" s="14">
        <f t="shared" si="43"/>
        <v>35.135358771568036</v>
      </c>
      <c r="DR54" s="22">
        <f t="shared" si="16"/>
        <v>296.21458319381429</v>
      </c>
      <c r="DS54" s="62">
        <f t="shared" si="17"/>
        <v>589.54791652714766</v>
      </c>
      <c r="DT54" s="62">
        <f ca="1">AVERAGE(OFFSET($DS$3,0,0,'Données projet'!$E$14+1,1))-AVERAGE(OFFSET($H$3,0,0,'Données projet'!$E$14+1,1))</f>
        <v>178.56320966726986</v>
      </c>
      <c r="DU54" s="62">
        <f t="shared" si="44"/>
        <v>272.06842551411739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4.286757125878335</v>
      </c>
      <c r="EC54" s="23">
        <f>EXP(-LN(2)/2)*EC53+(1-EXP(-LN(2)/2))/(LN(2)/2)*DW54*DZ54*VLOOKUP('Données projet'!$B$14,Paramètres!$A$1:$I$89,3,0)*0.475*44/12</f>
        <v>1.1406806206112369E-2</v>
      </c>
      <c r="ED54" s="24">
        <f t="shared" si="18"/>
        <v>4.2981639320844476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</v>
      </c>
      <c r="EJ54" s="13">
        <f>IF('Données projet'!$A$192&gt;35,EJ53+EI54-ER53,IF(A54&lt;'Données projet'!$A$192,$EG$205^A54,IF(A54='Données projet'!$A$192,'Données projet'!$B$192,EJ53+EI54-ER53)))</f>
        <v>225.99999999999991</v>
      </c>
      <c r="EK54" s="18">
        <f>EJ54*VLOOKUP('Données projet'!$B$15,Paramètres!$A$1:$I$89,3,0)*VLOOKUP('Données projet'!$B$15,Paramètres!$A$1:$I$89,5,0)</f>
        <v>243.26639999999992</v>
      </c>
      <c r="EL54" s="14">
        <f t="shared" si="45"/>
        <v>59.141758478481812</v>
      </c>
      <c r="EM54" s="22">
        <f t="shared" si="19"/>
        <v>526.69420935002222</v>
      </c>
      <c r="EN54" s="62">
        <f t="shared" si="20"/>
        <v>820.02754268335548</v>
      </c>
      <c r="EO54" s="62">
        <f ca="1">AVERAGE(OFFSET($EN$3,0,0,'Données projet'!$E$15+1,1))-AVERAGE(OFFSET($H$3,0,0,'Données projet'!$E$15+1,1))</f>
        <v>479.87943647026646</v>
      </c>
      <c r="EP54" s="62">
        <f t="shared" si="46"/>
        <v>242.41363045393223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</v>
      </c>
      <c r="FE54" s="13">
        <f>IF('Données projet'!$A$218&gt;35,FE53+FD54-FM53,IF(A54&lt;'Données projet'!$A$218,$FB$205^A54,IF(A54='Données projet'!$A$218,'Données projet'!$B$218,FE53+FD54-FM53)))</f>
        <v>225.99999999999991</v>
      </c>
      <c r="FF54" s="18">
        <f>FE54*VLOOKUP('Données projet'!$B$16,Paramètres!$A$1:$I$89,3,0)*VLOOKUP('Données projet'!$B$16,Paramètres!$A$1:$I$89,5,0)</f>
        <v>218.58719999999994</v>
      </c>
      <c r="FG54" s="14">
        <f t="shared" si="47"/>
        <v>53.807705580242128</v>
      </c>
      <c r="FH54" s="22">
        <f t="shared" si="22"/>
        <v>474.42112721892153</v>
      </c>
      <c r="FI54" s="62">
        <f t="shared" si="23"/>
        <v>767.75446055225484</v>
      </c>
      <c r="FJ54" s="62">
        <f ca="1">AVERAGE(OFFSET($FI$3,0,0,'Données projet'!$E$16+1,1))-AVERAGE(OFFSET($H$3,0,0,'Données projet'!$E$16+1,1))</f>
        <v>425.00152674093977</v>
      </c>
      <c r="FK54" s="62">
        <f t="shared" si="48"/>
        <v>214.96884469274687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9.4</v>
      </c>
      <c r="N55" s="14">
        <f>IF('Données projet'!$A$36&gt;35,N54+M55-V54,IF(A55&lt;'Données projet'!$A$36,$K$205^A55,IF(A55='Données projet'!$A$36,'Données projet'!$B$36,N54+M55-V54)))</f>
        <v>185.8</v>
      </c>
      <c r="O55" s="14">
        <f>N55*VLOOKUP('Données projet'!$B$9,Paramètres!$A$1:$I$89,3,0)*VLOOKUP('Données projet'!$B$9,Paramètres!$A$1:$I$89,5,0)</f>
        <v>89.369800000000012</v>
      </c>
      <c r="P55" s="14">
        <f t="shared" si="33"/>
        <v>24.413173827089459</v>
      </c>
      <c r="Q55" s="22">
        <f t="shared" si="53"/>
        <v>198.17201274884749</v>
      </c>
      <c r="R55" s="62">
        <f t="shared" si="0"/>
        <v>491.50534608218084</v>
      </c>
      <c r="S55" s="62">
        <f ca="1">AVERAGE(OFFSET($R$3,0,0,'Données projet'!$E$9+1,1))-AVERAGE(OFFSET($H$3,0,0,'Données projet'!$E$9+1,1))</f>
        <v>179.22241276165141</v>
      </c>
      <c r="T55" s="62">
        <f t="shared" si="34"/>
        <v>86.510654589692876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8.9376923076923056</v>
      </c>
      <c r="AI55" s="14">
        <f>IF('Données projet'!$A$62&gt;35,AI54+AH55-AQ54,IF(A55&lt;'Données projet'!$A$62,$AF$205^A55,IF(A55='Données projet'!$A$62,'Données projet'!$B$62,AI54+AH55-AQ54)))</f>
        <v>203.80615384615379</v>
      </c>
      <c r="AJ55" s="14">
        <f>AI55*VLOOKUP('Données projet'!$B$10,Paramètres!$A$1:$I$89,3,0)*VLOOKUP('Données projet'!$B$10,Paramètres!$A$1:$I$89,5,0)</f>
        <v>121.87607999999997</v>
      </c>
      <c r="AK55" s="14">
        <f t="shared" si="35"/>
        <v>32.112168303032924</v>
      </c>
      <c r="AL55" s="22">
        <f t="shared" si="4"/>
        <v>268.19619912778228</v>
      </c>
      <c r="AM55" s="62">
        <f t="shared" si="5"/>
        <v>561.52953246111565</v>
      </c>
      <c r="AN55" s="62">
        <f ca="1">AVERAGE(OFFSET($AM$3,0,0,'Données projet'!$E$10+1,1))-AVERAGE(OFFSET($H$3,0,0,'Données projet'!$E$10+1,1))</f>
        <v>157.42757749057949</v>
      </c>
      <c r="AO55" s="62">
        <f t="shared" si="36"/>
        <v>129.86070223892136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1.5033312945911259E-3</v>
      </c>
      <c r="AX55" s="23">
        <f t="shared" si="6"/>
        <v>1.5033312945911259E-3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</v>
      </c>
      <c r="BD55" s="13">
        <f>IF('Données projet'!$A$88&gt;35,BD54+BC55-BL54,IF(A55&lt;'Données projet'!$A$88,$BA$205^A55,IF(A55='Données projet'!$A$88,'Données projet'!$B$88,BD54+BC55-BL54)))</f>
        <v>232.99999999999991</v>
      </c>
      <c r="BE55" s="14">
        <f>BD55*VLOOKUP('Données projet'!$B$11,Paramètres!$A$1:$I$89,3,0)*VLOOKUP('Données projet'!$B$11,Paramètres!$A$1:$I$89,5,0)</f>
        <v>243.53159999999994</v>
      </c>
      <c r="BF55" s="14">
        <f t="shared" si="37"/>
        <v>59.198724224270357</v>
      </c>
      <c r="BG55" s="22">
        <f t="shared" si="7"/>
        <v>527.25531469060411</v>
      </c>
      <c r="BH55" s="62">
        <f t="shared" si="8"/>
        <v>820.58864802393737</v>
      </c>
      <c r="BI55" s="62">
        <f ca="1">AVERAGE(OFFSET($BH$3,0,0,'Données projet'!$E$11+1,1))-AVERAGE(OFFSET($H$3,0,0,'Données projet'!$E$11+1,1))</f>
        <v>464.21202287459482</v>
      </c>
      <c r="BJ55" s="62">
        <f t="shared" si="38"/>
        <v>234.57880205159688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4.7599999999999962</v>
      </c>
      <c r="BY55" s="13">
        <f>IF('Données projet'!$A$114&gt;35,BY54+BX55-CG54,IF(A55&lt;'Données projet'!$A$114,$BV$205^A55,IF(A55='Données projet'!$A$114,'Données projet'!$B$114,BY54+BX55-CG54)))</f>
        <v>183.7200000000002</v>
      </c>
      <c r="BZ55" s="14">
        <f>BY55*VLOOKUP('Données projet'!$B$12,Paramètres!$A$1:$I$89,3,0)*VLOOKUP('Données projet'!$B$12,Paramètres!$A$1:$I$89,5,0)</f>
        <v>146.16763200000017</v>
      </c>
      <c r="CA55" s="14">
        <f t="shared" si="39"/>
        <v>37.706358737913568</v>
      </c>
      <c r="CB55" s="22">
        <f t="shared" si="10"/>
        <v>320.24720053519974</v>
      </c>
      <c r="CC55" s="62">
        <f t="shared" si="11"/>
        <v>613.58053386853305</v>
      </c>
      <c r="CD55" s="62">
        <f ca="1">AVERAGE(OFFSET($CC$3,0,0,'Données projet'!$E$12+1,1))-AVERAGE(OFFSET($H$3,0,0,'Données projet'!$E$12+1,1))</f>
        <v>177.99876437322689</v>
      </c>
      <c r="CE55" s="62">
        <f t="shared" si="40"/>
        <v>165.68154380324592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288.68461538461537</v>
      </c>
      <c r="CR55" s="13">
        <f>VLOOKUP(A55,'Données projet'!$A$139:$I$159,9,0)</f>
        <v>10.423076923076922</v>
      </c>
      <c r="CS55" s="13">
        <f t="array" ref="CS55">INDEX(CR:CR,MIN(IF(ISNUMBER(CR55:CR251),ROW(CR55:CR251),"")))</f>
        <v>10.423076923076922</v>
      </c>
      <c r="CT55" s="13">
        <f>IF('Données projet'!$A$140&gt;35,CT54+CS55-DB54,IF(A55&lt;'Données projet'!$A$140,$CQ$205^A55,IF(A55='Données projet'!$A$140,'Données projet'!$B$140,CT54+CS55-DB54)))</f>
        <v>288.68461538461537</v>
      </c>
      <c r="CU55" s="18">
        <f>CT55*VLOOKUP('Données projet'!$B$13,Paramètres!$A$1:$I$89,3,0)*VLOOKUP('Données projet'!$B$13,Paramètres!$A$1:$I$89,5,0)</f>
        <v>161.37469999999999</v>
      </c>
      <c r="CV55" s="14">
        <f t="shared" si="41"/>
        <v>41.152428274116858</v>
      </c>
      <c r="CW55" s="22">
        <f t="shared" si="13"/>
        <v>352.73474841075353</v>
      </c>
      <c r="CX55" s="62">
        <f t="shared" si="14"/>
        <v>646.06808174408684</v>
      </c>
      <c r="CY55" s="62">
        <f ca="1">AVERAGE(OFFSET($CX$3,0,0,'Données projet'!$E$13+1,1))-AVERAGE(OFFSET($H$3,0,0,'Données projet'!$E$13+1,1))</f>
        <v>242.07451379051349</v>
      </c>
      <c r="CZ55" s="62">
        <f t="shared" si="42"/>
        <v>207.11607964940754</v>
      </c>
      <c r="DA55" s="16">
        <f>IF(ISNA(VLOOKUP(A55,'Données projet'!$A$139:$I$159,3,0)),0,VLOOKUP(A55,'Données projet'!$A$139:$I$159,3,0))</f>
        <v>3</v>
      </c>
      <c r="DB55" s="16">
        <f>IF(ISNA(VLOOKUP(A55,'Données projet'!$A$139:$I$159,4,0)),0,VLOOKUP(A55,'Données projet'!$A$139:$I$159,4,0))</f>
        <v>50.353846153846149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9.75</v>
      </c>
      <c r="DO55" s="13">
        <f>IF('Données projet'!$A$166&gt;35,DO54+DN55-DW54,IF(A55&lt;'Données projet'!$A$166,$DL$205^A55,IF(A55='Données projet'!$A$166,'Données projet'!$B$166,DO54+DN55-DW54)))</f>
        <v>226</v>
      </c>
      <c r="DP55" s="18">
        <f>DO55*VLOOKUP('Données projet'!$B$14,Paramètres!$A$1:$I$89,3,0)*VLOOKUP('Données projet'!$B$14,Paramètres!$A$1:$I$89,5,0)</f>
        <v>141.024</v>
      </c>
      <c r="DQ55" s="14">
        <f t="shared" si="43"/>
        <v>36.531489925882461</v>
      </c>
      <c r="DR55" s="22">
        <f t="shared" si="16"/>
        <v>309.24247828757859</v>
      </c>
      <c r="DS55" s="62">
        <f t="shared" si="17"/>
        <v>602.57581162091196</v>
      </c>
      <c r="DT55" s="62">
        <f ca="1">AVERAGE(OFFSET($DS$3,0,0,'Données projet'!$E$14+1,1))-AVERAGE(OFFSET($H$3,0,0,'Données projet'!$E$14+1,1))</f>
        <v>178.56320966726986</v>
      </c>
      <c r="DU55" s="62">
        <f t="shared" si="44"/>
        <v>272.06842551411739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4.1695355268404324</v>
      </c>
      <c r="EC55" s="23">
        <f>EXP(-LN(2)/2)*EC54+(1-EXP(-LN(2)/2))/(LN(2)/2)*DW55*DZ55*VLOOKUP('Données projet'!$B$14,Paramètres!$A$1:$I$89,3,0)*0.475*44/12</f>
        <v>8.065830020022851E-3</v>
      </c>
      <c r="ED55" s="24">
        <f t="shared" si="18"/>
        <v>4.1776013568604551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</v>
      </c>
      <c r="EJ55" s="13">
        <f>IF('Données projet'!$A$192&gt;35,EJ54+EI55-ER54,IF(A55&lt;'Données projet'!$A$192,$EG$205^A55,IF(A55='Données projet'!$A$192,'Données projet'!$B$192,EJ54+EI55-ER54)))</f>
        <v>232.99999999999991</v>
      </c>
      <c r="EK55" s="18">
        <f>EJ55*VLOOKUP('Données projet'!$B$15,Paramètres!$A$1:$I$89,3,0)*VLOOKUP('Données projet'!$B$15,Paramètres!$A$1:$I$89,5,0)</f>
        <v>250.80119999999988</v>
      </c>
      <c r="EL55" s="14">
        <f t="shared" si="45"/>
        <v>60.757473811682686</v>
      </c>
      <c r="EM55" s="22">
        <f t="shared" si="19"/>
        <v>542.63135688868044</v>
      </c>
      <c r="EN55" s="62">
        <f t="shared" si="20"/>
        <v>835.96469022201381</v>
      </c>
      <c r="EO55" s="62">
        <f ca="1">AVERAGE(OFFSET($EN$3,0,0,'Données projet'!$E$15+1,1))-AVERAGE(OFFSET($H$3,0,0,'Données projet'!$E$15+1,1))</f>
        <v>479.87943647026646</v>
      </c>
      <c r="EP55" s="62">
        <f t="shared" si="46"/>
        <v>242.41363045393223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</v>
      </c>
      <c r="FE55" s="13">
        <f>IF('Données projet'!$A$218&gt;35,FE54+FD55-FM54,IF(A55&lt;'Données projet'!$A$218,$FB$205^A55,IF(A55='Données projet'!$A$218,'Données projet'!$B$218,FE54+FD55-FM54)))</f>
        <v>232.99999999999991</v>
      </c>
      <c r="FF55" s="18">
        <f>FE55*VLOOKUP('Données projet'!$B$16,Paramètres!$A$1:$I$89,3,0)*VLOOKUP('Données projet'!$B$16,Paramètres!$A$1:$I$89,5,0)</f>
        <v>225.35759999999993</v>
      </c>
      <c r="FG55" s="14">
        <f t="shared" si="47"/>
        <v>55.277697971185155</v>
      </c>
      <c r="FH55" s="22">
        <f t="shared" si="22"/>
        <v>488.77314396648063</v>
      </c>
      <c r="FI55" s="62">
        <f t="shared" si="23"/>
        <v>782.10647729981395</v>
      </c>
      <c r="FJ55" s="62">
        <f ca="1">AVERAGE(OFFSET($FI$3,0,0,'Données projet'!$E$16+1,1))-AVERAGE(OFFSET($H$3,0,0,'Données projet'!$E$16+1,1))</f>
        <v>425.00152674093977</v>
      </c>
      <c r="FK55" s="62">
        <f t="shared" si="48"/>
        <v>214.96884469274687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9.4</v>
      </c>
      <c r="N56" s="14">
        <f>IF('Données projet'!$A$36&gt;35,N55+M56-V55,IF(A56&lt;'Données projet'!$A$36,$K$205^A56,IF(A56='Données projet'!$A$36,'Données projet'!$B$36,N55+M56-V55)))</f>
        <v>195.20000000000002</v>
      </c>
      <c r="O56" s="14">
        <f>N56*VLOOKUP('Données projet'!$B$9,Paramètres!$A$1:$I$89,3,0)*VLOOKUP('Données projet'!$B$9,Paramètres!$A$1:$I$89,5,0)</f>
        <v>93.891200000000012</v>
      </c>
      <c r="P56" s="14">
        <f t="shared" si="33"/>
        <v>25.501364417068771</v>
      </c>
      <c r="Q56" s="22">
        <f t="shared" si="53"/>
        <v>207.94204969306145</v>
      </c>
      <c r="R56" s="62">
        <f t="shared" si="0"/>
        <v>501.27538302639476</v>
      </c>
      <c r="S56" s="62">
        <f ca="1">AVERAGE(OFFSET($R$3,0,0,'Données projet'!$E$9+1,1))-AVERAGE(OFFSET($H$3,0,0,'Données projet'!$E$9+1,1))</f>
        <v>179.22241276165141</v>
      </c>
      <c r="T56" s="62">
        <f t="shared" si="34"/>
        <v>86.510654589692876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8.9376923076923056</v>
      </c>
      <c r="AI56" s="14">
        <f>IF('Données projet'!$A$62&gt;35,AI55+AH56-AQ55,IF(A56&lt;'Données projet'!$A$62,$AF$205^A56,IF(A56='Données projet'!$A$62,'Données projet'!$B$62,AI55+AH56-AQ55)))</f>
        <v>212.74384615384611</v>
      </c>
      <c r="AJ56" s="14">
        <f>AI56*VLOOKUP('Données projet'!$B$10,Paramètres!$A$1:$I$89,3,0)*VLOOKUP('Données projet'!$B$10,Paramètres!$A$1:$I$89,5,0)</f>
        <v>127.22081999999997</v>
      </c>
      <c r="AK56" s="14">
        <f t="shared" si="35"/>
        <v>33.353366983355436</v>
      </c>
      <c r="AL56" s="22">
        <f t="shared" si="4"/>
        <v>279.6667089960107</v>
      </c>
      <c r="AM56" s="62">
        <f t="shared" si="5"/>
        <v>573.00004232934407</v>
      </c>
      <c r="AN56" s="62">
        <f ca="1">AVERAGE(OFFSET($AM$3,0,0,'Données projet'!$E$10+1,1))-AVERAGE(OFFSET($H$3,0,0,'Données projet'!$E$10+1,1))</f>
        <v>157.42757749057949</v>
      </c>
      <c r="AO56" s="62">
        <f t="shared" si="36"/>
        <v>129.86070223892136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1.0630157527753365E-3</v>
      </c>
      <c r="AX56" s="23">
        <f t="shared" si="6"/>
        <v>1.0630157527753365E-3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</v>
      </c>
      <c r="BD56" s="13">
        <f>IF('Données projet'!$A$88&gt;35,BD55+BC56-BL55,IF(A56&lt;'Données projet'!$A$88,$BA$205^A56,IF(A56='Données projet'!$A$88,'Données projet'!$B$88,BD55+BC56-BL55)))</f>
        <v>239.99999999999991</v>
      </c>
      <c r="BE56" s="14">
        <f>BD56*VLOOKUP('Données projet'!$B$11,Paramètres!$A$1:$I$89,3,0)*VLOOKUP('Données projet'!$B$11,Paramètres!$A$1:$I$89,5,0)</f>
        <v>250.84799999999993</v>
      </c>
      <c r="BF56" s="14">
        <f t="shared" si="37"/>
        <v>60.767491486783541</v>
      </c>
      <c r="BG56" s="22">
        <f t="shared" si="7"/>
        <v>542.7303143394812</v>
      </c>
      <c r="BH56" s="62">
        <f t="shared" si="8"/>
        <v>836.06364767281457</v>
      </c>
      <c r="BI56" s="62">
        <f ca="1">AVERAGE(OFFSET($BH$3,0,0,'Données projet'!$E$11+1,1))-AVERAGE(OFFSET($H$3,0,0,'Données projet'!$E$11+1,1))</f>
        <v>464.21202287459482</v>
      </c>
      <c r="BJ56" s="62">
        <f t="shared" si="38"/>
        <v>234.57880205159688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4.7599999999999962</v>
      </c>
      <c r="BY56" s="13">
        <f>IF('Données projet'!$A$114&gt;35,BY55+BX56-CG55,IF(A56&lt;'Données projet'!$A$114,$BV$205^A56,IF(A56='Données projet'!$A$114,'Données projet'!$B$114,BY55+BX56-CG55)))</f>
        <v>188.48000000000019</v>
      </c>
      <c r="BZ56" s="14">
        <f>BY56*VLOOKUP('Données projet'!$B$12,Paramètres!$A$1:$I$89,3,0)*VLOOKUP('Données projet'!$B$12,Paramètres!$A$1:$I$89,5,0)</f>
        <v>149.95468800000015</v>
      </c>
      <c r="CA56" s="14">
        <f t="shared" si="39"/>
        <v>38.568288125199764</v>
      </c>
      <c r="CB56" s="22">
        <f t="shared" si="10"/>
        <v>328.34418341805645</v>
      </c>
      <c r="CC56" s="62">
        <f t="shared" si="11"/>
        <v>621.6775167513897</v>
      </c>
      <c r="CD56" s="62">
        <f ca="1">AVERAGE(OFFSET($CC$3,0,0,'Données projet'!$E$12+1,1))-AVERAGE(OFFSET($H$3,0,0,'Données projet'!$E$12+1,1))</f>
        <v>177.99876437322689</v>
      </c>
      <c r="CE56" s="62">
        <f t="shared" si="40"/>
        <v>165.68154380324592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9.5646153846153847</v>
      </c>
      <c r="CT56" s="13">
        <f>IF('Données projet'!$A$140&gt;35,CT55+CS56-DB55,IF(A56&lt;'Données projet'!$A$140,$CQ$205^A56,IF(A56='Données projet'!$A$140,'Données projet'!$B$140,CT55+CS56-DB55)))</f>
        <v>247.89538461538459</v>
      </c>
      <c r="CU56" s="18">
        <f>CT56*VLOOKUP('Données projet'!$B$13,Paramètres!$A$1:$I$89,3,0)*VLOOKUP('Données projet'!$B$13,Paramètres!$A$1:$I$89,5,0)</f>
        <v>138.57351999999997</v>
      </c>
      <c r="CV56" s="14">
        <f t="shared" si="41"/>
        <v>35.970024432457706</v>
      </c>
      <c r="CW56" s="22">
        <f t="shared" si="13"/>
        <v>303.99667321986379</v>
      </c>
      <c r="CX56" s="62">
        <f t="shared" si="14"/>
        <v>597.33000655319711</v>
      </c>
      <c r="CY56" s="62">
        <f ca="1">AVERAGE(OFFSET($CX$3,0,0,'Données projet'!$E$13+1,1))-AVERAGE(OFFSET($H$3,0,0,'Données projet'!$E$13+1,1))</f>
        <v>242.07451379051349</v>
      </c>
      <c r="CZ56" s="62">
        <f t="shared" si="42"/>
        <v>207.11607964940754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9.75</v>
      </c>
      <c r="DO56" s="13">
        <f>IF('Données projet'!$A$166&gt;35,DO55+DN56-DW55,IF(A56&lt;'Données projet'!$A$166,$DL$205^A56,IF(A56='Données projet'!$A$166,'Données projet'!$B$166,DO55+DN56-DW55)))</f>
        <v>235.75</v>
      </c>
      <c r="DP56" s="18">
        <f>DO56*VLOOKUP('Données projet'!$B$14,Paramètres!$A$1:$I$89,3,0)*VLOOKUP('Données projet'!$B$14,Paramètres!$A$1:$I$89,5,0)</f>
        <v>147.108</v>
      </c>
      <c r="DQ56" s="14">
        <f t="shared" si="43"/>
        <v>37.920625436598897</v>
      </c>
      <c r="DR56" s="22">
        <f t="shared" si="16"/>
        <v>322.25818930207646</v>
      </c>
      <c r="DS56" s="62">
        <f t="shared" si="17"/>
        <v>615.59152263540977</v>
      </c>
      <c r="DT56" s="62">
        <f ca="1">AVERAGE(OFFSET($DS$3,0,0,'Données projet'!$E$14+1,1))-AVERAGE(OFFSET($H$3,0,0,'Données projet'!$E$14+1,1))</f>
        <v>178.56320966726986</v>
      </c>
      <c r="DU56" s="62">
        <f t="shared" si="44"/>
        <v>272.06842551411739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4.0555193585926368</v>
      </c>
      <c r="EC56" s="23">
        <f>EXP(-LN(2)/2)*EC55+(1-EXP(-LN(2)/2))/(LN(2)/2)*DW56*DZ56*VLOOKUP('Données projet'!$B$14,Paramètres!$A$1:$I$89,3,0)*0.475*44/12</f>
        <v>5.7034031030561844E-3</v>
      </c>
      <c r="ED56" s="24">
        <f t="shared" si="18"/>
        <v>4.0612227616956931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</v>
      </c>
      <c r="EJ56" s="13">
        <f>IF('Données projet'!$A$192&gt;35,EJ55+EI56-ER55,IF(A56&lt;'Données projet'!$A$192,$EG$205^A56,IF(A56='Données projet'!$A$192,'Données projet'!$B$192,EJ55+EI56-ER55)))</f>
        <v>239.99999999999991</v>
      </c>
      <c r="EK56" s="18">
        <f>EJ56*VLOOKUP('Données projet'!$B$15,Paramètres!$A$1:$I$89,3,0)*VLOOKUP('Données projet'!$B$15,Paramètres!$A$1:$I$89,5,0)</f>
        <v>258.3359999999999</v>
      </c>
      <c r="EL56" s="14">
        <f t="shared" si="45"/>
        <v>62.367547966451262</v>
      </c>
      <c r="EM56" s="22">
        <f t="shared" si="19"/>
        <v>558.55867937490245</v>
      </c>
      <c r="EN56" s="62">
        <f t="shared" si="20"/>
        <v>851.89201270823582</v>
      </c>
      <c r="EO56" s="62">
        <f ca="1">AVERAGE(OFFSET($EN$3,0,0,'Données projet'!$E$15+1,1))-AVERAGE(OFFSET($H$3,0,0,'Données projet'!$E$15+1,1))</f>
        <v>479.87943647026646</v>
      </c>
      <c r="EP56" s="62">
        <f t="shared" si="46"/>
        <v>242.41363045393223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</v>
      </c>
      <c r="FE56" s="13">
        <f>IF('Données projet'!$A$218&gt;35,FE55+FD56-FM55,IF(A56&lt;'Données projet'!$A$218,$FB$205^A56,IF(A56='Données projet'!$A$218,'Données projet'!$B$218,FE55+FD56-FM55)))</f>
        <v>239.99999999999991</v>
      </c>
      <c r="FF56" s="18">
        <f>FE56*VLOOKUP('Données projet'!$B$16,Paramètres!$A$1:$I$89,3,0)*VLOOKUP('Données projet'!$B$16,Paramètres!$A$1:$I$89,5,0)</f>
        <v>232.12799999999993</v>
      </c>
      <c r="FG56" s="14">
        <f t="shared" si="47"/>
        <v>56.742557967082398</v>
      </c>
      <c r="FH56" s="22">
        <f t="shared" si="22"/>
        <v>503.11622179266834</v>
      </c>
      <c r="FI56" s="62">
        <f t="shared" si="23"/>
        <v>796.44955512600166</v>
      </c>
      <c r="FJ56" s="62">
        <f ca="1">AVERAGE(OFFSET($FI$3,0,0,'Données projet'!$E$16+1,1))-AVERAGE(OFFSET($H$3,0,0,'Données projet'!$E$16+1,1))</f>
        <v>425.00152674093977</v>
      </c>
      <c r="FK56" s="62">
        <f t="shared" si="48"/>
        <v>214.96884469274687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9.4</v>
      </c>
      <c r="N57" s="14">
        <f>IF('Données projet'!$A$36&gt;35,N56+M57-V56,IF(A57&lt;'Données projet'!$A$36,$K$205^A57,IF(A57='Données projet'!$A$36,'Données projet'!$B$36,N56+M57-V56)))</f>
        <v>204.60000000000002</v>
      </c>
      <c r="O57" s="14">
        <f>N57*VLOOKUP('Données projet'!$B$9,Paramètres!$A$1:$I$89,3,0)*VLOOKUP('Données projet'!$B$9,Paramètres!$A$1:$I$89,5,0)</f>
        <v>98.412600000000026</v>
      </c>
      <c r="P57" s="14">
        <f t="shared" si="33"/>
        <v>26.583469922255617</v>
      </c>
      <c r="Q57" s="22">
        <f t="shared" si="53"/>
        <v>217.70148844792857</v>
      </c>
      <c r="R57" s="62">
        <f t="shared" si="0"/>
        <v>511.03482178126188</v>
      </c>
      <c r="S57" s="62">
        <f ca="1">AVERAGE(OFFSET($R$3,0,0,'Données projet'!$E$9+1,1))-AVERAGE(OFFSET($H$3,0,0,'Données projet'!$E$9+1,1))</f>
        <v>179.22241276165141</v>
      </c>
      <c r="T57" s="62">
        <f t="shared" si="34"/>
        <v>86.510654589692876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8.9376923076923056</v>
      </c>
      <c r="AI57" s="14">
        <f>IF('Données projet'!$A$62&gt;35,AI56+AH57-AQ56,IF(A57&lt;'Données projet'!$A$62,$AF$205^A57,IF(A57='Données projet'!$A$62,'Données projet'!$B$62,AI56+AH57-AQ56)))</f>
        <v>221.68153846153842</v>
      </c>
      <c r="AJ57" s="14">
        <f>AI57*VLOOKUP('Données projet'!$B$10,Paramètres!$A$1:$I$89,3,0)*VLOOKUP('Données projet'!$B$10,Paramètres!$A$1:$I$89,5,0)</f>
        <v>132.56555999999998</v>
      </c>
      <c r="AK57" s="14">
        <f t="shared" si="35"/>
        <v>34.588508962227628</v>
      </c>
      <c r="AL57" s="22">
        <f t="shared" si="4"/>
        <v>291.12667010921308</v>
      </c>
      <c r="AM57" s="62">
        <f t="shared" si="5"/>
        <v>584.46000344254639</v>
      </c>
      <c r="AN57" s="62">
        <f ca="1">AVERAGE(OFFSET($AM$3,0,0,'Données projet'!$E$10+1,1))-AVERAGE(OFFSET($H$3,0,0,'Données projet'!$E$10+1,1))</f>
        <v>157.42757749057949</v>
      </c>
      <c r="AO57" s="62">
        <f t="shared" si="36"/>
        <v>129.86070223892136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7.5166564729556296E-4</v>
      </c>
      <c r="AX57" s="23">
        <f t="shared" si="6"/>
        <v>7.5166564729556296E-4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</v>
      </c>
      <c r="BD57" s="13">
        <f>IF('Données projet'!$A$88&gt;35,BD56+BC57-BL56,IF(A57&lt;'Données projet'!$A$88,$BA$205^A57,IF(A57='Données projet'!$A$88,'Données projet'!$B$88,BD56+BC57-BL56)))</f>
        <v>246.99999999999991</v>
      </c>
      <c r="BE57" s="14">
        <f>BD57*VLOOKUP('Données projet'!$B$11,Paramètres!$A$1:$I$89,3,0)*VLOOKUP('Données projet'!$B$11,Paramètres!$A$1:$I$89,5,0)</f>
        <v>258.16439999999994</v>
      </c>
      <c r="BF57" s="14">
        <f t="shared" si="37"/>
        <v>62.3309410183914</v>
      </c>
      <c r="BG57" s="22">
        <f t="shared" si="7"/>
        <v>558.19605227369823</v>
      </c>
      <c r="BH57" s="62">
        <f t="shared" si="8"/>
        <v>851.5293856070316</v>
      </c>
      <c r="BI57" s="62">
        <f ca="1">AVERAGE(OFFSET($BH$3,0,0,'Données projet'!$E$11+1,1))-AVERAGE(OFFSET($H$3,0,0,'Données projet'!$E$11+1,1))</f>
        <v>464.21202287459482</v>
      </c>
      <c r="BJ57" s="62">
        <f t="shared" si="38"/>
        <v>234.57880205159688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4.7599999999999962</v>
      </c>
      <c r="BY57" s="13">
        <f>IF('Données projet'!$A$114&gt;35,BY56+BX57-CG56,IF(A57&lt;'Données projet'!$A$114,$BV$205^A57,IF(A57='Données projet'!$A$114,'Données projet'!$B$114,BY56+BX57-CG56)))</f>
        <v>193.24000000000018</v>
      </c>
      <c r="BZ57" s="14">
        <f>BY57*VLOOKUP('Données projet'!$B$12,Paramètres!$A$1:$I$89,3,0)*VLOOKUP('Données projet'!$B$12,Paramètres!$A$1:$I$89,5,0)</f>
        <v>153.74174400000015</v>
      </c>
      <c r="CA57" s="14">
        <f t="shared" si="39"/>
        <v>39.427687183679751</v>
      </c>
      <c r="CB57" s="22">
        <f t="shared" si="10"/>
        <v>336.43675931157583</v>
      </c>
      <c r="CC57" s="62">
        <f t="shared" si="11"/>
        <v>629.77009264490914</v>
      </c>
      <c r="CD57" s="62">
        <f ca="1">AVERAGE(OFFSET($CC$3,0,0,'Données projet'!$E$12+1,1))-AVERAGE(OFFSET($H$3,0,0,'Données projet'!$E$12+1,1))</f>
        <v>177.99876437322689</v>
      </c>
      <c r="CE57" s="62">
        <f t="shared" si="40"/>
        <v>165.68154380324592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9.5646153846153847</v>
      </c>
      <c r="CT57" s="13">
        <f>IF('Données projet'!$A$140&gt;35,CT56+CS57-DB56,IF(A57&lt;'Données projet'!$A$140,$CQ$205^A57,IF(A57='Données projet'!$A$140,'Données projet'!$B$140,CT56+CS57-DB56)))</f>
        <v>257.45999999999998</v>
      </c>
      <c r="CU57" s="18">
        <f>CT57*VLOOKUP('Données projet'!$B$13,Paramètres!$A$1:$I$89,3,0)*VLOOKUP('Données projet'!$B$13,Paramètres!$A$1:$I$89,5,0)</f>
        <v>143.92014</v>
      </c>
      <c r="CV57" s="14">
        <f t="shared" si="41"/>
        <v>37.193606035529477</v>
      </c>
      <c r="CW57" s="22">
        <f t="shared" si="13"/>
        <v>315.43977434521383</v>
      </c>
      <c r="CX57" s="62">
        <f t="shared" si="14"/>
        <v>608.77310767854715</v>
      </c>
      <c r="CY57" s="62">
        <f ca="1">AVERAGE(OFFSET($CX$3,0,0,'Données projet'!$E$13+1,1))-AVERAGE(OFFSET($H$3,0,0,'Données projet'!$E$13+1,1))</f>
        <v>242.07451379051349</v>
      </c>
      <c r="CZ57" s="62">
        <f t="shared" si="42"/>
        <v>207.11607964940754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9.75</v>
      </c>
      <c r="DO57" s="13">
        <f>IF('Données projet'!$A$166&gt;35,DO56+DN57-DW56,IF(A57&lt;'Données projet'!$A$166,$DL$205^A57,IF(A57='Données projet'!$A$166,'Données projet'!$B$166,DO56+DN57-DW56)))</f>
        <v>245.5</v>
      </c>
      <c r="DP57" s="18">
        <f>DO57*VLOOKUP('Données projet'!$B$14,Paramètres!$A$1:$I$89,3,0)*VLOOKUP('Données projet'!$B$14,Paramètres!$A$1:$I$89,5,0)</f>
        <v>153.19199999999998</v>
      </c>
      <c r="DQ57" s="14">
        <f t="shared" si="43"/>
        <v>39.303087713366921</v>
      </c>
      <c r="DR57" s="22">
        <f t="shared" si="16"/>
        <v>335.2622777674473</v>
      </c>
      <c r="DS57" s="62">
        <f t="shared" si="17"/>
        <v>628.59561110078062</v>
      </c>
      <c r="DT57" s="62">
        <f ca="1">AVERAGE(OFFSET($DS$3,0,0,'Données projet'!$E$14+1,1))-AVERAGE(OFFSET($H$3,0,0,'Données projet'!$E$14+1,1))</f>
        <v>178.56320966726986</v>
      </c>
      <c r="DU57" s="62">
        <f t="shared" si="44"/>
        <v>272.06842551411739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3.9446209684614271</v>
      </c>
      <c r="EC57" s="23">
        <f>EXP(-LN(2)/2)*EC56+(1-EXP(-LN(2)/2))/(LN(2)/2)*DW57*DZ57*VLOOKUP('Données projet'!$B$14,Paramètres!$A$1:$I$89,3,0)*0.475*44/12</f>
        <v>4.0329150100114255E-3</v>
      </c>
      <c r="ED57" s="24">
        <f t="shared" si="18"/>
        <v>3.9486538834714384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</v>
      </c>
      <c r="EJ57" s="13">
        <f>IF('Données projet'!$A$192&gt;35,EJ56+EI57-ER56,IF(A57&lt;'Données projet'!$A$192,$EG$205^A57,IF(A57='Données projet'!$A$192,'Données projet'!$B$192,EJ56+EI57-ER56)))</f>
        <v>246.99999999999991</v>
      </c>
      <c r="EK57" s="18">
        <f>EJ57*VLOOKUP('Données projet'!$B$15,Paramètres!$A$1:$I$89,3,0)*VLOOKUP('Données projet'!$B$15,Paramètres!$A$1:$I$89,5,0)</f>
        <v>265.87079999999986</v>
      </c>
      <c r="EL57" s="14">
        <f t="shared" si="45"/>
        <v>63.972164370221783</v>
      </c>
      <c r="EM57" s="22">
        <f t="shared" si="19"/>
        <v>574.47649627813598</v>
      </c>
      <c r="EN57" s="62">
        <f t="shared" si="20"/>
        <v>867.80982961146924</v>
      </c>
      <c r="EO57" s="62">
        <f ca="1">AVERAGE(OFFSET($EN$3,0,0,'Données projet'!$E$15+1,1))-AVERAGE(OFFSET($H$3,0,0,'Données projet'!$E$15+1,1))</f>
        <v>479.87943647026646</v>
      </c>
      <c r="EP57" s="62">
        <f t="shared" si="46"/>
        <v>242.41363045393223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</v>
      </c>
      <c r="FE57" s="13">
        <f>IF('Données projet'!$A$218&gt;35,FE56+FD57-FM56,IF(A57&lt;'Données projet'!$A$218,$FB$205^A57,IF(A57='Données projet'!$A$218,'Données projet'!$B$218,FE56+FD57-FM56)))</f>
        <v>246.99999999999991</v>
      </c>
      <c r="FF57" s="18">
        <f>FE57*VLOOKUP('Données projet'!$B$16,Paramètres!$A$1:$I$89,3,0)*VLOOKUP('Données projet'!$B$16,Paramètres!$A$1:$I$89,5,0)</f>
        <v>238.89839999999995</v>
      </c>
      <c r="FG57" s="14">
        <f t="shared" si="47"/>
        <v>58.202452451868851</v>
      </c>
      <c r="FH57" s="22">
        <f t="shared" si="22"/>
        <v>517.45065135367156</v>
      </c>
      <c r="FI57" s="62">
        <f t="shared" si="23"/>
        <v>810.78398468700493</v>
      </c>
      <c r="FJ57" s="62">
        <f ca="1">AVERAGE(OFFSET($FI$3,0,0,'Données projet'!$E$16+1,1))-AVERAGE(OFFSET($H$3,0,0,'Données projet'!$E$16+1,1))</f>
        <v>425.00152674093977</v>
      </c>
      <c r="FK57" s="62">
        <f t="shared" si="48"/>
        <v>214.96884469274687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9.4</v>
      </c>
      <c r="N58" s="14">
        <f>IF('Données projet'!$A$36&gt;35,N57+M58-V57,IF(A58&lt;'Données projet'!$A$36,$K$205^A58,IF(A58='Données projet'!$A$36,'Données projet'!$B$36,N57+M58-V57)))</f>
        <v>214.00000000000003</v>
      </c>
      <c r="O58" s="14">
        <f>N58*VLOOKUP('Données projet'!$B$9,Paramètres!$A$1:$I$89,3,0)*VLOOKUP('Données projet'!$B$9,Paramètres!$A$1:$I$89,5,0)</f>
        <v>102.93400000000001</v>
      </c>
      <c r="P58" s="14">
        <f t="shared" si="33"/>
        <v>27.65980184429084</v>
      </c>
      <c r="Q58" s="22">
        <f t="shared" si="53"/>
        <v>227.45087154547321</v>
      </c>
      <c r="R58" s="62">
        <f t="shared" si="0"/>
        <v>520.78420487880658</v>
      </c>
      <c r="S58" s="62">
        <f ca="1">AVERAGE(OFFSET($R$3,0,0,'Données projet'!$E$9+1,1))-AVERAGE(OFFSET($H$3,0,0,'Données projet'!$E$9+1,1))</f>
        <v>179.22241276165141</v>
      </c>
      <c r="T58" s="62">
        <f t="shared" si="34"/>
        <v>86.510654589692876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8.9376923076923056</v>
      </c>
      <c r="AI58" s="14">
        <f>IF('Données projet'!$A$62&gt;35,AI57+AH58-AQ57,IF(A58&lt;'Données projet'!$A$62,$AF$205^A58,IF(A58='Données projet'!$A$62,'Données projet'!$B$62,AI57+AH58-AQ57)))</f>
        <v>230.61923076923074</v>
      </c>
      <c r="AJ58" s="14">
        <f>AI58*VLOOKUP('Données projet'!$B$10,Paramètres!$A$1:$I$89,3,0)*VLOOKUP('Données projet'!$B$10,Paramètres!$A$1:$I$89,5,0)</f>
        <v>137.91029999999998</v>
      </c>
      <c r="AK58" s="14">
        <f t="shared" si="35"/>
        <v>35.81786636755119</v>
      </c>
      <c r="AL58" s="22">
        <f t="shared" si="4"/>
        <v>302.57655642348499</v>
      </c>
      <c r="AM58" s="62">
        <f t="shared" si="5"/>
        <v>595.9098897568183</v>
      </c>
      <c r="AN58" s="62">
        <f ca="1">AVERAGE(OFFSET($AM$3,0,0,'Données projet'!$E$10+1,1))-AVERAGE(OFFSET($H$3,0,0,'Données projet'!$E$10+1,1))</f>
        <v>157.42757749057949</v>
      </c>
      <c r="AO58" s="62">
        <f t="shared" si="36"/>
        <v>129.86070223892136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5.3150787638766824E-4</v>
      </c>
      <c r="AX58" s="23">
        <f t="shared" si="6"/>
        <v>5.3150787638766824E-4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7</v>
      </c>
      <c r="BC58" s="13">
        <f t="array" ref="BC58">INDEX(BB:BB,MIN(IF(ISNUMBER(BB58:BB254),ROW(BB58:BB254),"")))</f>
        <v>7</v>
      </c>
      <c r="BD58" s="13">
        <f>IF('Données projet'!$A$88&gt;35,BD57+BC58-BL57,IF(A58&lt;'Données projet'!$A$88,$BA$205^A58,IF(A58='Données projet'!$A$88,'Données projet'!$B$88,BD57+BC58-BL57)))</f>
        <v>253.99999999999991</v>
      </c>
      <c r="BE58" s="14">
        <f>BD58*VLOOKUP('Données projet'!$B$11,Paramètres!$A$1:$I$89,3,0)*VLOOKUP('Données projet'!$B$11,Paramètres!$A$1:$I$89,5,0)</f>
        <v>265.48079999999993</v>
      </c>
      <c r="BF58" s="14">
        <f t="shared" si="37"/>
        <v>63.889240834442589</v>
      </c>
      <c r="BG58" s="22">
        <f t="shared" si="7"/>
        <v>573.65282111998738</v>
      </c>
      <c r="BH58" s="62">
        <f t="shared" si="8"/>
        <v>866.98615445332075</v>
      </c>
      <c r="BI58" s="62">
        <f ca="1">AVERAGE(OFFSET($BH$3,0,0,'Données projet'!$E$11+1,1))-AVERAGE(OFFSET($H$3,0,0,'Données projet'!$E$11+1,1))</f>
        <v>464.21202287459482</v>
      </c>
      <c r="BJ58" s="62">
        <f t="shared" si="38"/>
        <v>234.57880205159688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4.7599999999999962</v>
      </c>
      <c r="BX58" s="13">
        <f t="array" ref="BX58">INDEX(BW:BW,MIN(IF(ISNUMBER(BW58:BW254),ROW(BW58:BW254),"")))</f>
        <v>4.7599999999999962</v>
      </c>
      <c r="BY58" s="13">
        <f>IF('Données projet'!$A$114&gt;35,BY57+BX58-CG57,IF(A58&lt;'Données projet'!$A$114,$BV$205^A58,IF(A58='Données projet'!$A$114,'Données projet'!$B$114,BY57+BX58-CG57)))</f>
        <v>198.00000000000017</v>
      </c>
      <c r="BZ58" s="14">
        <f>BY58*VLOOKUP('Données projet'!$B$12,Paramètres!$A$1:$I$89,3,0)*VLOOKUP('Données projet'!$B$12,Paramètres!$A$1:$I$89,5,0)</f>
        <v>157.52880000000013</v>
      </c>
      <c r="CA58" s="14">
        <f t="shared" si="39"/>
        <v>40.284625411479013</v>
      </c>
      <c r="CB58" s="22">
        <f t="shared" si="10"/>
        <v>344.52504925832619</v>
      </c>
      <c r="CC58" s="62">
        <f t="shared" si="11"/>
        <v>637.85838259165951</v>
      </c>
      <c r="CD58" s="62">
        <f ca="1">AVERAGE(OFFSET($CC$3,0,0,'Données projet'!$E$12+1,1))-AVERAGE(OFFSET($H$3,0,0,'Données projet'!$E$12+1,1))</f>
        <v>177.99876437322689</v>
      </c>
      <c r="CE58" s="62">
        <f t="shared" si="40"/>
        <v>165.68154380324592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23.8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9.5646153846153847</v>
      </c>
      <c r="CT58" s="13">
        <f>IF('Données projet'!$A$140&gt;35,CT57+CS58-DB57,IF(A58&lt;'Données projet'!$A$140,$CQ$205^A58,IF(A58='Données projet'!$A$140,'Données projet'!$B$140,CT57+CS58-DB57)))</f>
        <v>267.02461538461534</v>
      </c>
      <c r="CU58" s="18">
        <f>CT58*VLOOKUP('Données projet'!$B$13,Paramètres!$A$1:$I$89,3,0)*VLOOKUP('Données projet'!$B$13,Paramètres!$A$1:$I$89,5,0)</f>
        <v>149.26675999999998</v>
      </c>
      <c r="CV58" s="14">
        <f t="shared" si="41"/>
        <v>38.411906707102681</v>
      </c>
      <c r="CW58" s="22">
        <f t="shared" si="13"/>
        <v>326.87367784820373</v>
      </c>
      <c r="CX58" s="62">
        <f t="shared" si="14"/>
        <v>620.20701118153704</v>
      </c>
      <c r="CY58" s="62">
        <f ca="1">AVERAGE(OFFSET($CX$3,0,0,'Données projet'!$E$13+1,1))-AVERAGE(OFFSET($H$3,0,0,'Données projet'!$E$13+1,1))</f>
        <v>242.07451379051349</v>
      </c>
      <c r="CZ58" s="62">
        <f t="shared" si="42"/>
        <v>207.11607964940754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9.75</v>
      </c>
      <c r="DO58" s="13">
        <f>IF('Données projet'!$A$166&gt;35,DO57+DN58-DW57,IF(A58&lt;'Données projet'!$A$166,$DL$205^A58,IF(A58='Données projet'!$A$166,'Données projet'!$B$166,DO57+DN58-DW57)))</f>
        <v>255.25</v>
      </c>
      <c r="DP58" s="18">
        <f>DO58*VLOOKUP('Données projet'!$B$14,Paramètres!$A$1:$I$89,3,0)*VLOOKUP('Données projet'!$B$14,Paramètres!$A$1:$I$89,5,0)</f>
        <v>159.27600000000001</v>
      </c>
      <c r="DQ58" s="14">
        <f t="shared" si="43"/>
        <v>40.679172107249002</v>
      </c>
      <c r="DR58" s="22">
        <f t="shared" si="16"/>
        <v>348.25525808679203</v>
      </c>
      <c r="DS58" s="62">
        <f t="shared" si="17"/>
        <v>641.58859142012534</v>
      </c>
      <c r="DT58" s="62">
        <f ca="1">AVERAGE(OFFSET($DS$3,0,0,'Données projet'!$E$14+1,1))-AVERAGE(OFFSET($H$3,0,0,'Données projet'!$E$14+1,1))</f>
        <v>178.56320966726986</v>
      </c>
      <c r="DU58" s="62">
        <f t="shared" si="44"/>
        <v>272.06842551411739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3.8367551006402483</v>
      </c>
      <c r="EC58" s="23">
        <f>EXP(-LN(2)/2)*EC57+(1-EXP(-LN(2)/2))/(LN(2)/2)*DW58*DZ58*VLOOKUP('Données projet'!$B$14,Paramètres!$A$1:$I$89,3,0)*0.475*44/12</f>
        <v>2.8517015515280922E-3</v>
      </c>
      <c r="ED58" s="24">
        <f t="shared" si="18"/>
        <v>3.8396068021917764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7</v>
      </c>
      <c r="EI58" s="13">
        <f t="array" ref="EI58">INDEX(EH:EH,MIN(IF(ISNUMBER(EH58:EH254),ROW(EH58:EH254),"")))</f>
        <v>7</v>
      </c>
      <c r="EJ58" s="13">
        <f>IF('Données projet'!$A$192&gt;35,EJ57+EI58-ER57,IF(A58&lt;'Données projet'!$A$192,$EG$205^A58,IF(A58='Données projet'!$A$192,'Données projet'!$B$192,EJ57+EI58-ER57)))</f>
        <v>253.99999999999991</v>
      </c>
      <c r="EK58" s="18">
        <f>EJ58*VLOOKUP('Données projet'!$B$15,Paramètres!$A$1:$I$89,3,0)*VLOOKUP('Données projet'!$B$15,Paramètres!$A$1:$I$89,5,0)</f>
        <v>273.40559999999988</v>
      </c>
      <c r="EL58" s="14">
        <f t="shared" si="45"/>
        <v>65.571495462320897</v>
      </c>
      <c r="EM58" s="22">
        <f t="shared" si="19"/>
        <v>590.38510793020862</v>
      </c>
      <c r="EN58" s="62">
        <f t="shared" si="20"/>
        <v>883.71844126354199</v>
      </c>
      <c r="EO58" s="62">
        <f ca="1">AVERAGE(OFFSET($EN$3,0,0,'Données projet'!$E$15+1,1))-AVERAGE(OFFSET($H$3,0,0,'Données projet'!$E$15+1,1))</f>
        <v>479.87943647026646</v>
      </c>
      <c r="EP58" s="62">
        <f t="shared" si="46"/>
        <v>242.41363045393223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30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254</v>
      </c>
      <c r="FC58" s="13">
        <f>VLOOKUP(A58,'Données projet'!$A$217:$I$237,9,0)</f>
        <v>7</v>
      </c>
      <c r="FD58" s="13">
        <f t="array" ref="FD58">INDEX(FC:FC,MIN(IF(ISNUMBER(FC58:FC254),ROW(FC58:FC254),"")))</f>
        <v>7</v>
      </c>
      <c r="FE58" s="13">
        <f>IF('Données projet'!$A$218&gt;35,FE57+FD58-FM57,IF(A58&lt;'Données projet'!$A$218,$FB$205^A58,IF(A58='Données projet'!$A$218,'Données projet'!$B$218,FE57+FD58-FM57)))</f>
        <v>253.99999999999991</v>
      </c>
      <c r="FF58" s="18">
        <f>FE58*VLOOKUP('Données projet'!$B$16,Paramètres!$A$1:$I$89,3,0)*VLOOKUP('Données projet'!$B$16,Paramètres!$A$1:$I$89,5,0)</f>
        <v>245.66879999999989</v>
      </c>
      <c r="FG58" s="14">
        <f t="shared" si="47"/>
        <v>59.657538312400213</v>
      </c>
      <c r="FH58" s="22">
        <f t="shared" si="22"/>
        <v>531.77670589409684</v>
      </c>
      <c r="FI58" s="62">
        <f t="shared" si="23"/>
        <v>825.11003922743021</v>
      </c>
      <c r="FJ58" s="62">
        <f ca="1">AVERAGE(OFFSET($FI$3,0,0,'Données projet'!$E$16+1,1))-AVERAGE(OFFSET($H$3,0,0,'Données projet'!$E$16+1,1))</f>
        <v>425.00152674093977</v>
      </c>
      <c r="FK58" s="62">
        <f t="shared" si="48"/>
        <v>214.96884469274687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30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223.40000000000003</v>
      </c>
      <c r="O59" s="14">
        <f>N59*VLOOKUP('Données projet'!$B$9,Paramètres!$A$1:$I$89,3,0)*VLOOKUP('Données projet'!$B$9,Paramètres!$A$1:$I$89,5,0)</f>
        <v>107.45540000000003</v>
      </c>
      <c r="P59" s="14">
        <f t="shared" si="33"/>
        <v>28.730642771885091</v>
      </c>
      <c r="Q59" s="22">
        <f t="shared" si="53"/>
        <v>237.19069116103324</v>
      </c>
      <c r="R59" s="62">
        <f t="shared" si="0"/>
        <v>530.52402449436659</v>
      </c>
      <c r="S59" s="62">
        <f ca="1">AVERAGE(OFFSET($R$3,0,0,'Données projet'!$E$9+1,1))-AVERAGE(OFFSET($H$3,0,0,'Données projet'!$E$9+1,1))</f>
        <v>179.22241276165141</v>
      </c>
      <c r="T59" s="62">
        <f t="shared" si="34"/>
        <v>86.510654589692876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8.9376923076923056</v>
      </c>
      <c r="AI59" s="14">
        <f>IF('Données projet'!$A$62&gt;35,AI58+AH59-AQ58,IF(A59&lt;'Données projet'!$A$62,$AF$205^A59,IF(A59='Données projet'!$A$62,'Données projet'!$B$62,AI58+AH59-AQ58)))</f>
        <v>239.55692307692306</v>
      </c>
      <c r="AJ59" s="14">
        <f>AI59*VLOOKUP('Données projet'!$B$10,Paramètres!$A$1:$I$89,3,0)*VLOOKUP('Données projet'!$B$10,Paramètres!$A$1:$I$89,5,0)</f>
        <v>143.25504000000001</v>
      </c>
      <c r="AK59" s="14">
        <f t="shared" si="35"/>
        <v>37.041689040099591</v>
      </c>
      <c r="AL59" s="22">
        <f t="shared" si="4"/>
        <v>314.01680307817338</v>
      </c>
      <c r="AM59" s="62">
        <f t="shared" si="5"/>
        <v>607.3501364115067</v>
      </c>
      <c r="AN59" s="62">
        <f ca="1">AVERAGE(OFFSET($AM$3,0,0,'Données projet'!$E$10+1,1))-AVERAGE(OFFSET($H$3,0,0,'Données projet'!$E$10+1,1))</f>
        <v>157.42757749057949</v>
      </c>
      <c r="AO59" s="62">
        <f t="shared" si="36"/>
        <v>129.86070223892136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3.7583282364778148E-4</v>
      </c>
      <c r="AX59" s="23">
        <f t="shared" si="6"/>
        <v>3.7583282364778148E-4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6.6</v>
      </c>
      <c r="BD59" s="13">
        <f>IF('Données projet'!$A$88&gt;35,BD58+BC59-BL58,IF(A59&lt;'Données projet'!$A$88,$BA$205^A59,IF(A59='Données projet'!$A$88,'Données projet'!$B$88,BD58+BC59-BL58)))</f>
        <v>230.59999999999991</v>
      </c>
      <c r="BE59" s="14">
        <f>BD59*VLOOKUP('Données projet'!$B$11,Paramètres!$A$1:$I$89,3,0)*VLOOKUP('Données projet'!$B$11,Paramètres!$A$1:$I$89,5,0)</f>
        <v>241.02311999999992</v>
      </c>
      <c r="BF59" s="14">
        <f t="shared" si="37"/>
        <v>58.659605205160219</v>
      </c>
      <c r="BG59" s="22">
        <f t="shared" si="7"/>
        <v>521.9474130656539</v>
      </c>
      <c r="BH59" s="62">
        <f t="shared" si="8"/>
        <v>815.28074639898728</v>
      </c>
      <c r="BI59" s="62">
        <f ca="1">AVERAGE(OFFSET($BH$3,0,0,'Données projet'!$E$11+1,1))-AVERAGE(OFFSET($H$3,0,0,'Données projet'!$E$11+1,1))</f>
        <v>464.21202287459482</v>
      </c>
      <c r="BJ59" s="62">
        <f t="shared" si="38"/>
        <v>234.57880205159688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4.0600000000000023</v>
      </c>
      <c r="BY59" s="13">
        <f>IF('Données projet'!$A$114&gt;35,BY58+BX59-CG58,IF(A59&lt;'Données projet'!$A$114,$BV$205^A59,IF(A59='Données projet'!$A$114,'Données projet'!$B$114,BY58+BX59-CG58)))</f>
        <v>178.26000000000016</v>
      </c>
      <c r="BZ59" s="14">
        <f>BY59*VLOOKUP('Données projet'!$B$12,Paramètres!$A$1:$I$89,3,0)*VLOOKUP('Données projet'!$B$12,Paramètres!$A$1:$I$89,5,0)</f>
        <v>141.82365600000014</v>
      </c>
      <c r="CA59" s="14">
        <f t="shared" si="39"/>
        <v>36.714464278042257</v>
      </c>
      <c r="CB59" s="22">
        <f t="shared" si="10"/>
        <v>310.95389281759049</v>
      </c>
      <c r="CC59" s="62">
        <f t="shared" si="11"/>
        <v>604.28722615092374</v>
      </c>
      <c r="CD59" s="62">
        <f ca="1">AVERAGE(OFFSET($CC$3,0,0,'Données projet'!$E$12+1,1))-AVERAGE(OFFSET($H$3,0,0,'Données projet'!$E$12+1,1))</f>
        <v>177.99876437322689</v>
      </c>
      <c r="CE59" s="62">
        <f t="shared" si="40"/>
        <v>165.68154380324592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9.5646153846153847</v>
      </c>
      <c r="CT59" s="13">
        <f>IF('Données projet'!$A$140&gt;35,CT58+CS59-DB58,IF(A59&lt;'Données projet'!$A$140,$CQ$205^A59,IF(A59='Données projet'!$A$140,'Données projet'!$B$140,CT58+CS59-DB58)))</f>
        <v>276.58923076923071</v>
      </c>
      <c r="CU59" s="18">
        <f>CT59*VLOOKUP('Données projet'!$B$13,Paramètres!$A$1:$I$89,3,0)*VLOOKUP('Données projet'!$B$13,Paramètres!$A$1:$I$89,5,0)</f>
        <v>154.61337999999998</v>
      </c>
      <c r="CV59" s="14">
        <f t="shared" si="41"/>
        <v>39.625137276214168</v>
      </c>
      <c r="CW59" s="22">
        <f t="shared" si="13"/>
        <v>338.29875092273966</v>
      </c>
      <c r="CX59" s="62">
        <f t="shared" si="14"/>
        <v>631.63208425607297</v>
      </c>
      <c r="CY59" s="62">
        <f ca="1">AVERAGE(OFFSET($CX$3,0,0,'Données projet'!$E$13+1,1))-AVERAGE(OFFSET($H$3,0,0,'Données projet'!$E$13+1,1))</f>
        <v>242.07451379051349</v>
      </c>
      <c r="CZ59" s="62">
        <f t="shared" si="42"/>
        <v>207.11607964940754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9.75</v>
      </c>
      <c r="DO59" s="13">
        <f>IF('Données projet'!$A$166&gt;35,DO58+DN59-DW58,IF(A59&lt;'Données projet'!$A$166,$DL$205^A59,IF(A59='Données projet'!$A$166,'Données projet'!$B$166,DO58+DN59-DW58)))</f>
        <v>265</v>
      </c>
      <c r="DP59" s="18">
        <f>DO59*VLOOKUP('Données projet'!$B$14,Paramètres!$A$1:$I$89,3,0)*VLOOKUP('Données projet'!$B$14,Paramètres!$A$1:$I$89,5,0)</f>
        <v>165.35999999999999</v>
      </c>
      <c r="DQ59" s="14">
        <f t="shared" si="43"/>
        <v>42.04915012784209</v>
      </c>
      <c r="DR59" s="22">
        <f t="shared" si="16"/>
        <v>361.2376031393249</v>
      </c>
      <c r="DS59" s="62">
        <f t="shared" si="17"/>
        <v>654.57093647265822</v>
      </c>
      <c r="DT59" s="62">
        <f ca="1">AVERAGE(OFFSET($DS$3,0,0,'Données projet'!$E$14+1,1))-AVERAGE(OFFSET($H$3,0,0,'Données projet'!$E$14+1,1))</f>
        <v>178.56320966726986</v>
      </c>
      <c r="DU59" s="62">
        <f t="shared" si="44"/>
        <v>272.06842551411739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3.7318388306470589</v>
      </c>
      <c r="EC59" s="23">
        <f>EXP(-LN(2)/2)*EC58+(1-EXP(-LN(2)/2))/(LN(2)/2)*DW59*DZ59*VLOOKUP('Données projet'!$B$14,Paramètres!$A$1:$I$89,3,0)*0.475*44/12</f>
        <v>2.0164575050057127E-3</v>
      </c>
      <c r="ED59" s="24">
        <f t="shared" si="18"/>
        <v>3.7338552881520646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6.6</v>
      </c>
      <c r="EJ59" s="13">
        <f>IF('Données projet'!$A$192&gt;35,EJ58+EI59-ER58,IF(A59&lt;'Données projet'!$A$192,$EG$205^A59,IF(A59='Données projet'!$A$192,'Données projet'!$B$192,EJ58+EI59-ER58)))</f>
        <v>230.59999999999991</v>
      </c>
      <c r="EK59" s="18">
        <f>EJ59*VLOOKUP('Données projet'!$B$15,Paramètres!$A$1:$I$89,3,0)*VLOOKUP('Données projet'!$B$15,Paramètres!$A$1:$I$89,5,0)</f>
        <v>248.21783999999988</v>
      </c>
      <c r="EL59" s="14">
        <f t="shared" si="45"/>
        <v>60.204159359146978</v>
      </c>
      <c r="EM59" s="22">
        <f t="shared" si="19"/>
        <v>537.16831555051419</v>
      </c>
      <c r="EN59" s="62">
        <f t="shared" si="20"/>
        <v>830.50164888384757</v>
      </c>
      <c r="EO59" s="62">
        <f ca="1">AVERAGE(OFFSET($EN$3,0,0,'Données projet'!$E$15+1,1))-AVERAGE(OFFSET($H$3,0,0,'Données projet'!$E$15+1,1))</f>
        <v>479.87943647026646</v>
      </c>
      <c r="EP59" s="62">
        <f t="shared" si="46"/>
        <v>242.41363045393223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6.6</v>
      </c>
      <c r="FE59" s="13">
        <f>IF('Données projet'!$A$218&gt;35,FE58+FD59-FM58,IF(A59&lt;'Données projet'!$A$218,$FB$205^A59,IF(A59='Données projet'!$A$218,'Données projet'!$B$218,FE58+FD59-FM58)))</f>
        <v>230.59999999999991</v>
      </c>
      <c r="FF59" s="18">
        <f>FE59*VLOOKUP('Données projet'!$B$16,Paramètres!$A$1:$I$89,3,0)*VLOOKUP('Données projet'!$B$16,Paramètres!$A$1:$I$89,5,0)</f>
        <v>223.03631999999993</v>
      </c>
      <c r="FG59" s="14">
        <f t="shared" si="47"/>
        <v>54.774287488959352</v>
      </c>
      <c r="FH59" s="22">
        <f t="shared" si="22"/>
        <v>483.85347470993747</v>
      </c>
      <c r="FI59" s="62">
        <f t="shared" si="23"/>
        <v>777.18680804327073</v>
      </c>
      <c r="FJ59" s="62">
        <f ca="1">AVERAGE(OFFSET($FI$3,0,0,'Données projet'!$E$16+1,1))-AVERAGE(OFFSET($H$3,0,0,'Données projet'!$E$16+1,1))</f>
        <v>425.00152674093977</v>
      </c>
      <c r="FK59" s="62">
        <f t="shared" si="48"/>
        <v>214.96884469274687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232.80000000000004</v>
      </c>
      <c r="O60" s="14">
        <f>N60*VLOOKUP('Données projet'!$B$9,Paramètres!$A$1:$I$89,3,0)*VLOOKUP('Données projet'!$B$9,Paramètres!$A$1:$I$89,5,0)</f>
        <v>111.97680000000001</v>
      </c>
      <c r="P60" s="14">
        <f t="shared" si="33"/>
        <v>29.796250167500443</v>
      </c>
      <c r="Q60" s="22">
        <f t="shared" si="53"/>
        <v>246.92139570839663</v>
      </c>
      <c r="R60" s="62">
        <f t="shared" si="0"/>
        <v>540.25472904172989</v>
      </c>
      <c r="S60" s="62">
        <f ca="1">AVERAGE(OFFSET($R$3,0,0,'Données projet'!$E$9+1,1))-AVERAGE(OFFSET($H$3,0,0,'Données projet'!$E$9+1,1))</f>
        <v>179.22241276165141</v>
      </c>
      <c r="T60" s="62">
        <f t="shared" si="34"/>
        <v>86.510654589692876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8.9376923076923056</v>
      </c>
      <c r="AI60" s="14">
        <f>IF('Données projet'!$A$62&gt;35,AI59+AH60-AQ59,IF(A60&lt;'Données projet'!$A$62,$AF$205^A60,IF(A60='Données projet'!$A$62,'Données projet'!$B$62,AI59+AH60-AQ59)))</f>
        <v>248.49461538461537</v>
      </c>
      <c r="AJ60" s="14">
        <f>AI60*VLOOKUP('Données projet'!$B$10,Paramètres!$A$1:$I$89,3,0)*VLOOKUP('Données projet'!$B$10,Paramètres!$A$1:$I$89,5,0)</f>
        <v>148.59978000000001</v>
      </c>
      <c r="AK60" s="14">
        <f t="shared" si="35"/>
        <v>38.260207121707367</v>
      </c>
      <c r="AL60" s="22">
        <f t="shared" si="4"/>
        <v>325.44781090364035</v>
      </c>
      <c r="AM60" s="62">
        <f t="shared" si="5"/>
        <v>618.78114423697366</v>
      </c>
      <c r="AN60" s="62">
        <f ca="1">AVERAGE(OFFSET($AM$3,0,0,'Données projet'!$E$10+1,1))-AVERAGE(OFFSET($H$3,0,0,'Données projet'!$E$10+1,1))</f>
        <v>157.42757749057949</v>
      </c>
      <c r="AO60" s="62">
        <f t="shared" si="36"/>
        <v>129.86070223892136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2.6575393819383412E-4</v>
      </c>
      <c r="AX60" s="23">
        <f t="shared" si="6"/>
        <v>2.6575393819383412E-4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6.6</v>
      </c>
      <c r="BD60" s="13">
        <f>IF('Données projet'!$A$88&gt;35,BD59+BC60-BL59,IF(A60&lt;'Données projet'!$A$88,$BA$205^A60,IF(A60='Données projet'!$A$88,'Données projet'!$B$88,BD59+BC60-BL59)))</f>
        <v>237.1999999999999</v>
      </c>
      <c r="BE60" s="14">
        <f>BD60*VLOOKUP('Données projet'!$B$11,Paramètres!$A$1:$I$89,3,0)*VLOOKUP('Données projet'!$B$11,Paramètres!$A$1:$I$89,5,0)</f>
        <v>247.92143999999993</v>
      </c>
      <c r="BF60" s="14">
        <f t="shared" si="37"/>
        <v>60.140632467523915</v>
      </c>
      <c r="BG60" s="22">
        <f t="shared" si="7"/>
        <v>536.54144288093744</v>
      </c>
      <c r="BH60" s="62">
        <f t="shared" si="8"/>
        <v>829.8747762142707</v>
      </c>
      <c r="BI60" s="62">
        <f ca="1">AVERAGE(OFFSET($BH$3,0,0,'Données projet'!$E$11+1,1))-AVERAGE(OFFSET($H$3,0,0,'Données projet'!$E$11+1,1))</f>
        <v>464.21202287459482</v>
      </c>
      <c r="BJ60" s="62">
        <f t="shared" si="38"/>
        <v>234.57880205159688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4.0600000000000023</v>
      </c>
      <c r="BY60" s="13">
        <f>IF('Données projet'!$A$114&gt;35,BY59+BX60-CG59,IF(A60&lt;'Données projet'!$A$114,$BV$205^A60,IF(A60='Données projet'!$A$114,'Données projet'!$B$114,BY59+BX60-CG59)))</f>
        <v>182.32000000000016</v>
      </c>
      <c r="BZ60" s="14">
        <f>BY60*VLOOKUP('Données projet'!$B$12,Paramètres!$A$1:$I$89,3,0)*VLOOKUP('Données projet'!$B$12,Paramètres!$A$1:$I$89,5,0)</f>
        <v>145.05379200000013</v>
      </c>
      <c r="CA60" s="14">
        <f t="shared" si="39"/>
        <v>37.452357977545276</v>
      </c>
      <c r="CB60" s="22">
        <f t="shared" si="10"/>
        <v>317.86487787755829</v>
      </c>
      <c r="CC60" s="62">
        <f t="shared" si="11"/>
        <v>611.1982112108916</v>
      </c>
      <c r="CD60" s="62">
        <f ca="1">AVERAGE(OFFSET($CC$3,0,0,'Données projet'!$E$12+1,1))-AVERAGE(OFFSET($H$3,0,0,'Données projet'!$E$12+1,1))</f>
        <v>177.99876437322689</v>
      </c>
      <c r="CE60" s="62">
        <f t="shared" si="40"/>
        <v>165.68154380324592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9.5646153846153847</v>
      </c>
      <c r="CT60" s="13">
        <f>IF('Données projet'!$A$140&gt;35,CT59+CS60-DB59,IF(A60&lt;'Données projet'!$A$140,$CQ$205^A60,IF(A60='Données projet'!$A$140,'Données projet'!$B$140,CT59+CS60-DB59)))</f>
        <v>286.15384615384608</v>
      </c>
      <c r="CU60" s="18">
        <f>CT60*VLOOKUP('Données projet'!$B$13,Paramètres!$A$1:$I$89,3,0)*VLOOKUP('Données projet'!$B$13,Paramètres!$A$1:$I$89,5,0)</f>
        <v>159.95999999999995</v>
      </c>
      <c r="CV60" s="14">
        <f t="shared" si="41"/>
        <v>40.833493163758533</v>
      </c>
      <c r="CW60" s="22">
        <f t="shared" si="13"/>
        <v>349.71533392687934</v>
      </c>
      <c r="CX60" s="62">
        <f t="shared" si="14"/>
        <v>643.0486672602126</v>
      </c>
      <c r="CY60" s="62">
        <f ca="1">AVERAGE(OFFSET($CX$3,0,0,'Données projet'!$E$13+1,1))-AVERAGE(OFFSET($H$3,0,0,'Données projet'!$E$13+1,1))</f>
        <v>242.07451379051349</v>
      </c>
      <c r="CZ60" s="62">
        <f t="shared" si="42"/>
        <v>207.11607964940754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9.75</v>
      </c>
      <c r="DO60" s="13">
        <f>IF('Données projet'!$A$166&gt;35,DO59+DN60-DW59,IF(A60&lt;'Données projet'!$A$166,$DL$205^A60,IF(A60='Données projet'!$A$166,'Données projet'!$B$166,DO59+DN60-DW59)))</f>
        <v>274.75</v>
      </c>
      <c r="DP60" s="18">
        <f>DO60*VLOOKUP('Données projet'!$B$14,Paramètres!$A$1:$I$89,3,0)*VLOOKUP('Données projet'!$B$14,Paramètres!$A$1:$I$89,5,0)</f>
        <v>171.44399999999999</v>
      </c>
      <c r="DQ60" s="14">
        <f t="shared" si="43"/>
        <v>43.413272173627242</v>
      </c>
      <c r="DR60" s="22">
        <f t="shared" si="16"/>
        <v>374.20974903573409</v>
      </c>
      <c r="DS60" s="62">
        <f t="shared" si="17"/>
        <v>667.54308236906741</v>
      </c>
      <c r="DT60" s="62">
        <f ca="1">AVERAGE(OFFSET($DS$3,0,0,'Données projet'!$E$14+1,1))-AVERAGE(OFFSET($H$3,0,0,'Données projet'!$E$14+1,1))</f>
        <v>178.56320966726986</v>
      </c>
      <c r="DU60" s="62">
        <f t="shared" si="44"/>
        <v>272.06842551411739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3.62979150157414</v>
      </c>
      <c r="EC60" s="23">
        <f>EXP(-LN(2)/2)*EC59+(1-EXP(-LN(2)/2))/(LN(2)/2)*DW60*DZ60*VLOOKUP('Données projet'!$B$14,Paramètres!$A$1:$I$89,3,0)*0.475*44/12</f>
        <v>1.4258507757640461E-3</v>
      </c>
      <c r="ED60" s="24">
        <f t="shared" si="18"/>
        <v>3.6312173523499038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6.6</v>
      </c>
      <c r="EJ60" s="13">
        <f>IF('Données projet'!$A$192&gt;35,EJ59+EI60-ER59,IF(A60&lt;'Données projet'!$A$192,$EG$205^A60,IF(A60='Données projet'!$A$192,'Données projet'!$B$192,EJ59+EI60-ER59)))</f>
        <v>237.1999999999999</v>
      </c>
      <c r="EK60" s="18">
        <f>EJ60*VLOOKUP('Données projet'!$B$15,Paramètres!$A$1:$I$89,3,0)*VLOOKUP('Données projet'!$B$15,Paramètres!$A$1:$I$89,5,0)</f>
        <v>255.32207999999989</v>
      </c>
      <c r="EL60" s="14">
        <f t="shared" si="45"/>
        <v>61.724183249637491</v>
      </c>
      <c r="EM60" s="22">
        <f t="shared" si="19"/>
        <v>552.18890849311845</v>
      </c>
      <c r="EN60" s="62">
        <f t="shared" si="20"/>
        <v>845.52224182645182</v>
      </c>
      <c r="EO60" s="62">
        <f ca="1">AVERAGE(OFFSET($EN$3,0,0,'Données projet'!$E$15+1,1))-AVERAGE(OFFSET($H$3,0,0,'Données projet'!$E$15+1,1))</f>
        <v>479.87943647026646</v>
      </c>
      <c r="EP60" s="62">
        <f t="shared" si="46"/>
        <v>242.41363045393223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6.6</v>
      </c>
      <c r="FE60" s="13">
        <f>IF('Données projet'!$A$218&gt;35,FE59+FD60-FM59,IF(A60&lt;'Données projet'!$A$218,$FB$205^A60,IF(A60='Données projet'!$A$218,'Données projet'!$B$218,FE59+FD60-FM59)))</f>
        <v>237.1999999999999</v>
      </c>
      <c r="FF60" s="18">
        <f>FE60*VLOOKUP('Données projet'!$B$16,Paramètres!$A$1:$I$89,3,0)*VLOOKUP('Données projet'!$B$16,Paramètres!$A$1:$I$89,5,0)</f>
        <v>229.41983999999991</v>
      </c>
      <c r="FG60" s="14">
        <f t="shared" si="47"/>
        <v>56.157218941770367</v>
      </c>
      <c r="FH60" s="22">
        <f t="shared" si="22"/>
        <v>497.38004432358315</v>
      </c>
      <c r="FI60" s="62">
        <f t="shared" si="23"/>
        <v>790.71337765691646</v>
      </c>
      <c r="FJ60" s="62">
        <f ca="1">AVERAGE(OFFSET($FI$3,0,0,'Données projet'!$E$16+1,1))-AVERAGE(OFFSET($H$3,0,0,'Données projet'!$E$16+1,1))</f>
        <v>425.00152674093977</v>
      </c>
      <c r="FK60" s="62">
        <f t="shared" si="48"/>
        <v>214.96884469274687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242.20000000000005</v>
      </c>
      <c r="O61" s="14">
        <f>N61*VLOOKUP('Données projet'!$B$9,Paramètres!$A$1:$I$89,3,0)*VLOOKUP('Données projet'!$B$9,Paramètres!$A$1:$I$89,5,0)</f>
        <v>116.49820000000003</v>
      </c>
      <c r="P61" s="14">
        <f t="shared" si="33"/>
        <v>30.856859525217992</v>
      </c>
      <c r="Q61" s="22">
        <f t="shared" si="53"/>
        <v>256.6433953397547</v>
      </c>
      <c r="R61" s="62">
        <f t="shared" si="0"/>
        <v>549.97672867308802</v>
      </c>
      <c r="S61" s="62">
        <f ca="1">AVERAGE(OFFSET($R$3,0,0,'Données projet'!$E$9+1,1))-AVERAGE(OFFSET($H$3,0,0,'Données projet'!$E$9+1,1))</f>
        <v>179.22241276165141</v>
      </c>
      <c r="T61" s="62">
        <f t="shared" si="34"/>
        <v>86.510654589692876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8.9376923076923056</v>
      </c>
      <c r="AI61" s="14">
        <f>IF('Données projet'!$A$62&gt;35,AI60+AH61-AQ60,IF(A61&lt;'Données projet'!$A$62,$AF$205^A61,IF(A61='Données projet'!$A$62,'Données projet'!$B$62,AI60+AH61-AQ60)))</f>
        <v>257.43230769230769</v>
      </c>
      <c r="AJ61" s="14">
        <f>AI61*VLOOKUP('Données projet'!$B$10,Paramètres!$A$1:$I$89,3,0)*VLOOKUP('Données projet'!$B$10,Paramètres!$A$1:$I$89,5,0)</f>
        <v>153.94452000000001</v>
      </c>
      <c r="AK61" s="14">
        <f t="shared" si="35"/>
        <v>39.473633260634188</v>
      </c>
      <c r="AL61" s="22">
        <f t="shared" si="4"/>
        <v>336.86995026227117</v>
      </c>
      <c r="AM61" s="62">
        <f t="shared" si="5"/>
        <v>630.20328359560449</v>
      </c>
      <c r="AN61" s="62">
        <f ca="1">AVERAGE(OFFSET($AM$3,0,0,'Données projet'!$E$10+1,1))-AVERAGE(OFFSET($H$3,0,0,'Données projet'!$E$10+1,1))</f>
        <v>157.42757749057949</v>
      </c>
      <c r="AO61" s="62">
        <f t="shared" si="36"/>
        <v>129.86070223892136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1.8791641182389074E-4</v>
      </c>
      <c r="AX61" s="23">
        <f t="shared" si="6"/>
        <v>1.8791641182389074E-4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6.6</v>
      </c>
      <c r="BD61" s="13">
        <f>IF('Données projet'!$A$88&gt;35,BD60+BC61-BL60,IF(A61&lt;'Données projet'!$A$88,$BA$205^A61,IF(A61='Données projet'!$A$88,'Données projet'!$B$88,BD60+BC61-BL60)))</f>
        <v>243.7999999999999</v>
      </c>
      <c r="BE61" s="14">
        <f>BD61*VLOOKUP('Données projet'!$B$11,Paramètres!$A$1:$I$89,3,0)*VLOOKUP('Données projet'!$B$11,Paramètres!$A$1:$I$89,5,0)</f>
        <v>254.81975999999992</v>
      </c>
      <c r="BF61" s="14">
        <f t="shared" si="37"/>
        <v>61.616870106118789</v>
      </c>
      <c r="BG61" s="22">
        <f t="shared" si="7"/>
        <v>551.12713076815669</v>
      </c>
      <c r="BH61" s="62">
        <f t="shared" si="8"/>
        <v>844.46046410149006</v>
      </c>
      <c r="BI61" s="62">
        <f ca="1">AVERAGE(OFFSET($BH$3,0,0,'Données projet'!$E$11+1,1))-AVERAGE(OFFSET($H$3,0,0,'Données projet'!$E$11+1,1))</f>
        <v>464.21202287459482</v>
      </c>
      <c r="BJ61" s="62">
        <f t="shared" si="38"/>
        <v>234.57880205159688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4.0600000000000023</v>
      </c>
      <c r="BY61" s="13">
        <f>IF('Données projet'!$A$114&gt;35,BY60+BX61-CG60,IF(A61&lt;'Données projet'!$A$114,$BV$205^A61,IF(A61='Données projet'!$A$114,'Données projet'!$B$114,BY60+BX61-CG60)))</f>
        <v>186.38000000000017</v>
      </c>
      <c r="BZ61" s="14">
        <f>BY61*VLOOKUP('Données projet'!$B$12,Paramètres!$A$1:$I$89,3,0)*VLOOKUP('Données projet'!$B$12,Paramètres!$A$1:$I$89,5,0)</f>
        <v>148.28392800000012</v>
      </c>
      <c r="CA61" s="14">
        <f t="shared" si="39"/>
        <v>38.188341323687283</v>
      </c>
      <c r="CB61" s="22">
        <f t="shared" si="10"/>
        <v>324.77253573875549</v>
      </c>
      <c r="CC61" s="62">
        <f t="shared" si="11"/>
        <v>618.10586907208881</v>
      </c>
      <c r="CD61" s="62">
        <f ca="1">AVERAGE(OFFSET($CC$3,0,0,'Données projet'!$E$12+1,1))-AVERAGE(OFFSET($H$3,0,0,'Données projet'!$E$12+1,1))</f>
        <v>177.99876437322689</v>
      </c>
      <c r="CE61" s="62">
        <f t="shared" si="40"/>
        <v>165.68154380324592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9.5646153846153847</v>
      </c>
      <c r="CT61" s="13">
        <f>IF('Données projet'!$A$140&gt;35,CT60+CS61-DB60,IF(A61&lt;'Données projet'!$A$140,$CQ$205^A61,IF(A61='Données projet'!$A$140,'Données projet'!$B$140,CT60+CS61-DB60)))</f>
        <v>295.71846153846144</v>
      </c>
      <c r="CU61" s="18">
        <f>CT61*VLOOKUP('Données projet'!$B$13,Paramètres!$A$1:$I$89,3,0)*VLOOKUP('Données projet'!$B$13,Paramètres!$A$1:$I$89,5,0)</f>
        <v>165.30661999999995</v>
      </c>
      <c r="CV61" s="14">
        <f t="shared" si="41"/>
        <v>42.037155985576597</v>
      </c>
      <c r="CW61" s="22">
        <f t="shared" si="13"/>
        <v>361.12374317487911</v>
      </c>
      <c r="CX61" s="62">
        <f t="shared" si="14"/>
        <v>654.45707650821237</v>
      </c>
      <c r="CY61" s="62">
        <f ca="1">AVERAGE(OFFSET($CX$3,0,0,'Données projet'!$E$13+1,1))-AVERAGE(OFFSET($H$3,0,0,'Données projet'!$E$13+1,1))</f>
        <v>242.07451379051349</v>
      </c>
      <c r="CZ61" s="62">
        <f t="shared" si="42"/>
        <v>207.11607964940754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9.75</v>
      </c>
      <c r="DO61" s="13">
        <f>IF('Données projet'!$A$166&gt;35,DO60+DN61-DW60,IF(A61&lt;'Données projet'!$A$166,$DL$205^A61,IF(A61='Données projet'!$A$166,'Données projet'!$B$166,DO60+DN61-DW60)))</f>
        <v>284.5</v>
      </c>
      <c r="DP61" s="18">
        <f>DO61*VLOOKUP('Données projet'!$B$14,Paramètres!$A$1:$I$89,3,0)*VLOOKUP('Données projet'!$B$14,Paramètres!$A$1:$I$89,5,0)</f>
        <v>177.52800000000002</v>
      </c>
      <c r="DQ61" s="14">
        <f t="shared" si="43"/>
        <v>44.771769863863661</v>
      </c>
      <c r="DR61" s="22">
        <f t="shared" si="16"/>
        <v>387.17209917956257</v>
      </c>
      <c r="DS61" s="62">
        <f t="shared" si="17"/>
        <v>680.50543251289582</v>
      </c>
      <c r="DT61" s="62">
        <f ca="1">AVERAGE(OFFSET($DS$3,0,0,'Données projet'!$E$14+1,1))-AVERAGE(OFFSET($H$3,0,0,'Données projet'!$E$14+1,1))</f>
        <v>178.56320966726986</v>
      </c>
      <c r="DU61" s="62">
        <f t="shared" si="44"/>
        <v>272.06842551411739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3.530534662081156</v>
      </c>
      <c r="EC61" s="23">
        <f>EXP(-LN(2)/2)*EC60+(1-EXP(-LN(2)/2))/(LN(2)/2)*DW61*DZ61*VLOOKUP('Données projet'!$B$14,Paramètres!$A$1:$I$89,3,0)*0.475*44/12</f>
        <v>1.0082287525028564E-3</v>
      </c>
      <c r="ED61" s="24">
        <f t="shared" si="18"/>
        <v>3.5315428908336588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6.6</v>
      </c>
      <c r="EJ61" s="13">
        <f>IF('Données projet'!$A$192&gt;35,EJ60+EI61-ER60,IF(A61&lt;'Données projet'!$A$192,$EG$205^A61,IF(A61='Données projet'!$A$192,'Données projet'!$B$192,EJ60+EI61-ER60)))</f>
        <v>243.7999999999999</v>
      </c>
      <c r="EK61" s="18">
        <f>EJ61*VLOOKUP('Données projet'!$B$15,Paramètres!$A$1:$I$89,3,0)*VLOOKUP('Données projet'!$B$15,Paramètres!$A$1:$I$89,5,0)</f>
        <v>262.42631999999986</v>
      </c>
      <c r="EL61" s="14">
        <f t="shared" si="45"/>
        <v>63.239291401748304</v>
      </c>
      <c r="EM61" s="22">
        <f t="shared" si="19"/>
        <v>567.20093985804476</v>
      </c>
      <c r="EN61" s="62">
        <f t="shared" si="20"/>
        <v>860.53427319137813</v>
      </c>
      <c r="EO61" s="62">
        <f ca="1">AVERAGE(OFFSET($EN$3,0,0,'Données projet'!$E$15+1,1))-AVERAGE(OFFSET($H$3,0,0,'Données projet'!$E$15+1,1))</f>
        <v>479.87943647026646</v>
      </c>
      <c r="EP61" s="62">
        <f t="shared" si="46"/>
        <v>242.41363045393223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6.6</v>
      </c>
      <c r="FE61" s="13">
        <f>IF('Données projet'!$A$218&gt;35,FE60+FD61-FM60,IF(A61&lt;'Données projet'!$A$218,$FB$205^A61,IF(A61='Données projet'!$A$218,'Données projet'!$B$218,FE60+FD61-FM60)))</f>
        <v>243.7999999999999</v>
      </c>
      <c r="FF61" s="18">
        <f>FE61*VLOOKUP('Données projet'!$B$16,Paramètres!$A$1:$I$89,3,0)*VLOOKUP('Données projet'!$B$16,Paramètres!$A$1:$I$89,5,0)</f>
        <v>235.80335999999994</v>
      </c>
      <c r="FG61" s="14">
        <f t="shared" si="47"/>
        <v>57.53567801144218</v>
      </c>
      <c r="FH61" s="22">
        <f t="shared" si="22"/>
        <v>510.89882453659499</v>
      </c>
      <c r="FI61" s="62">
        <f t="shared" si="23"/>
        <v>804.2321578699283</v>
      </c>
      <c r="FJ61" s="62">
        <f ca="1">AVERAGE(OFFSET($FI$3,0,0,'Données projet'!$E$16+1,1))-AVERAGE(OFFSET($H$3,0,0,'Données projet'!$E$16+1,1))</f>
        <v>425.00152674093977</v>
      </c>
      <c r="FK61" s="62">
        <f t="shared" si="48"/>
        <v>214.96884469274687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251.60000000000005</v>
      </c>
      <c r="O62" s="14">
        <f>N62*VLOOKUP('Données projet'!$B$9,Paramètres!$A$1:$I$89,3,0)*VLOOKUP('Données projet'!$B$9,Paramètres!$A$1:$I$89,5,0)</f>
        <v>121.01960000000003</v>
      </c>
      <c r="P62" s="14">
        <f t="shared" si="33"/>
        <v>31.912687024575664</v>
      </c>
      <c r="Q62" s="22">
        <f t="shared" si="53"/>
        <v>266.35706656780263</v>
      </c>
      <c r="R62" s="62">
        <f t="shared" si="0"/>
        <v>559.69039990113595</v>
      </c>
      <c r="S62" s="62">
        <f ca="1">AVERAGE(OFFSET($R$3,0,0,'Données projet'!$E$9+1,1))-AVERAGE(OFFSET($H$3,0,0,'Données projet'!$E$9+1,1))</f>
        <v>179.22241276165141</v>
      </c>
      <c r="T62" s="62">
        <f t="shared" si="34"/>
        <v>86.510654589692876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8.9376923076923056</v>
      </c>
      <c r="AI62" s="14">
        <f>IF('Données projet'!$A$62&gt;35,AI61+AH62-AQ61,IF(A62&lt;'Données projet'!$A$62,$AF$205^A62,IF(A62='Données projet'!$A$62,'Données projet'!$B$62,AI61+AH62-AQ61)))</f>
        <v>266.37</v>
      </c>
      <c r="AJ62" s="14">
        <f>AI62*VLOOKUP('Données projet'!$B$10,Paramètres!$A$1:$I$89,3,0)*VLOOKUP('Données projet'!$B$10,Paramètres!$A$1:$I$89,5,0)</f>
        <v>159.28926000000001</v>
      </c>
      <c r="AK62" s="14">
        <f t="shared" si="35"/>
        <v>40.682164502055365</v>
      </c>
      <c r="AL62" s="22">
        <f t="shared" si="4"/>
        <v>348.28356434107974</v>
      </c>
      <c r="AM62" s="62">
        <f t="shared" si="5"/>
        <v>641.61689767441305</v>
      </c>
      <c r="AN62" s="62">
        <f ca="1">AVERAGE(OFFSET($AM$3,0,0,'Données projet'!$E$10+1,1))-AVERAGE(OFFSET($H$3,0,0,'Données projet'!$E$10+1,1))</f>
        <v>157.42757749057949</v>
      </c>
      <c r="AO62" s="62">
        <f t="shared" si="36"/>
        <v>129.86070223892136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1.3287696909691706E-4</v>
      </c>
      <c r="AX62" s="23">
        <f t="shared" si="6"/>
        <v>1.3287696909691706E-4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6.6</v>
      </c>
      <c r="BD62" s="13">
        <f>IF('Données projet'!$A$88&gt;35,BD61+BC62-BL61,IF(A62&lt;'Données projet'!$A$88,$BA$205^A62,IF(A62='Données projet'!$A$88,'Données projet'!$B$88,BD61+BC62-BL61)))</f>
        <v>250.39999999999989</v>
      </c>
      <c r="BE62" s="14">
        <f>BD62*VLOOKUP('Données projet'!$B$11,Paramètres!$A$1:$I$89,3,0)*VLOOKUP('Données projet'!$B$11,Paramètres!$A$1:$I$89,5,0)</f>
        <v>261.71807999999993</v>
      </c>
      <c r="BF62" s="14">
        <f t="shared" si="37"/>
        <v>63.088462683168792</v>
      </c>
      <c r="BG62" s="22">
        <f t="shared" si="7"/>
        <v>565.70472850651879</v>
      </c>
      <c r="BH62" s="62">
        <f t="shared" si="8"/>
        <v>859.03806183985216</v>
      </c>
      <c r="BI62" s="62">
        <f ca="1">AVERAGE(OFFSET($BH$3,0,0,'Données projet'!$E$11+1,1))-AVERAGE(OFFSET($H$3,0,0,'Données projet'!$E$11+1,1))</f>
        <v>464.21202287459482</v>
      </c>
      <c r="BJ62" s="62">
        <f t="shared" si="38"/>
        <v>234.57880205159688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4.0600000000000023</v>
      </c>
      <c r="BY62" s="13">
        <f>IF('Données projet'!$A$114&gt;35,BY61+BX62-CG61,IF(A62&lt;'Données projet'!$A$114,$BV$205^A62,IF(A62='Données projet'!$A$114,'Données projet'!$B$114,BY61+BX62-CG61)))</f>
        <v>190.44000000000017</v>
      </c>
      <c r="BZ62" s="14">
        <f>BY62*VLOOKUP('Données projet'!$B$12,Paramètres!$A$1:$I$89,3,0)*VLOOKUP('Données projet'!$B$12,Paramètres!$A$1:$I$89,5,0)</f>
        <v>151.51406400000016</v>
      </c>
      <c r="CA62" s="14">
        <f t="shared" si="39"/>
        <v>38.922460723005621</v>
      </c>
      <c r="CB62" s="22">
        <f t="shared" si="10"/>
        <v>331.67694722590176</v>
      </c>
      <c r="CC62" s="62">
        <f t="shared" si="11"/>
        <v>625.01028055923507</v>
      </c>
      <c r="CD62" s="62">
        <f ca="1">AVERAGE(OFFSET($CC$3,0,0,'Données projet'!$E$12+1,1))-AVERAGE(OFFSET($H$3,0,0,'Données projet'!$E$12+1,1))</f>
        <v>177.99876437322689</v>
      </c>
      <c r="CE62" s="62">
        <f t="shared" si="40"/>
        <v>165.68154380324592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9.5646153846153847</v>
      </c>
      <c r="CT62" s="13">
        <f>IF('Données projet'!$A$140&gt;35,CT61+CS62-DB61,IF(A62&lt;'Données projet'!$A$140,$CQ$205^A62,IF(A62='Données projet'!$A$140,'Données projet'!$B$140,CT61+CS62-DB61)))</f>
        <v>305.28307692307681</v>
      </c>
      <c r="CU62" s="18">
        <f>CT62*VLOOKUP('Données projet'!$B$13,Paramètres!$A$1:$I$89,3,0)*VLOOKUP('Données projet'!$B$13,Paramètres!$A$1:$I$89,5,0)</f>
        <v>170.65323999999993</v>
      </c>
      <c r="CV62" s="14">
        <f t="shared" si="41"/>
        <v>43.236294942319404</v>
      </c>
      <c r="CW62" s="22">
        <f t="shared" si="13"/>
        <v>372.5242733578728</v>
      </c>
      <c r="CX62" s="62">
        <f t="shared" si="14"/>
        <v>665.85760669120612</v>
      </c>
      <c r="CY62" s="62">
        <f ca="1">AVERAGE(OFFSET($CX$3,0,0,'Données projet'!$E$13+1,1))-AVERAGE(OFFSET($H$3,0,0,'Données projet'!$E$13+1,1))</f>
        <v>242.07451379051349</v>
      </c>
      <c r="CZ62" s="62">
        <f t="shared" si="42"/>
        <v>207.11607964940754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9.75</v>
      </c>
      <c r="DO62" s="13">
        <f>IF('Données projet'!$A$166&gt;35,DO61+DN62-DW61,IF(A62&lt;'Données projet'!$A$166,$DL$205^A62,IF(A62='Données projet'!$A$166,'Données projet'!$B$166,DO61+DN62-DW61)))</f>
        <v>294.25</v>
      </c>
      <c r="DP62" s="18">
        <f>DO62*VLOOKUP('Données projet'!$B$14,Paramètres!$A$1:$I$89,3,0)*VLOOKUP('Données projet'!$B$14,Paramètres!$A$1:$I$89,5,0)</f>
        <v>183.61199999999999</v>
      </c>
      <c r="DQ62" s="14">
        <f t="shared" si="43"/>
        <v>46.124858041839339</v>
      </c>
      <c r="DR62" s="22">
        <f t="shared" si="16"/>
        <v>400.12502775620351</v>
      </c>
      <c r="DS62" s="62">
        <f t="shared" si="17"/>
        <v>693.45836108953677</v>
      </c>
      <c r="DT62" s="62">
        <f ca="1">AVERAGE(OFFSET($DS$3,0,0,'Données projet'!$E$14+1,1))-AVERAGE(OFFSET($H$3,0,0,'Données projet'!$E$14+1,1))</f>
        <v>178.56320966726986</v>
      </c>
      <c r="DU62" s="62">
        <f t="shared" si="44"/>
        <v>272.06842551411739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3.4339920060837978</v>
      </c>
      <c r="EC62" s="23">
        <f>EXP(-LN(2)/2)*EC61+(1-EXP(-LN(2)/2))/(LN(2)/2)*DW62*DZ62*VLOOKUP('Données projet'!$B$14,Paramètres!$A$1:$I$89,3,0)*0.475*44/12</f>
        <v>7.1292538788202305E-4</v>
      </c>
      <c r="ED62" s="24">
        <f t="shared" si="18"/>
        <v>3.4347049314716798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6.6</v>
      </c>
      <c r="EJ62" s="13">
        <f>IF('Données projet'!$A$192&gt;35,EJ61+EI62-ER61,IF(A62&lt;'Données projet'!$A$192,$EG$205^A62,IF(A62='Données projet'!$A$192,'Données projet'!$B$192,EJ61+EI62-ER61)))</f>
        <v>250.39999999999989</v>
      </c>
      <c r="EK62" s="18">
        <f>EJ62*VLOOKUP('Données projet'!$B$15,Paramètres!$A$1:$I$89,3,0)*VLOOKUP('Données projet'!$B$15,Paramètres!$A$1:$I$89,5,0)</f>
        <v>269.53055999999987</v>
      </c>
      <c r="EL62" s="14">
        <f t="shared" si="45"/>
        <v>64.74963218414176</v>
      </c>
      <c r="EM62" s="22">
        <f t="shared" si="19"/>
        <v>582.20466805404669</v>
      </c>
      <c r="EN62" s="62">
        <f t="shared" si="20"/>
        <v>875.53800138738006</v>
      </c>
      <c r="EO62" s="62">
        <f ca="1">AVERAGE(OFFSET($EN$3,0,0,'Données projet'!$E$15+1,1))-AVERAGE(OFFSET($H$3,0,0,'Données projet'!$E$15+1,1))</f>
        <v>479.87943647026646</v>
      </c>
      <c r="EP62" s="62">
        <f t="shared" si="46"/>
        <v>242.41363045393223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6.6</v>
      </c>
      <c r="FE62" s="13">
        <f>IF('Données projet'!$A$218&gt;35,FE61+FD62-FM61,IF(A62&lt;'Données projet'!$A$218,$FB$205^A62,IF(A62='Données projet'!$A$218,'Données projet'!$B$218,FE61+FD62-FM61)))</f>
        <v>250.39999999999989</v>
      </c>
      <c r="FF62" s="18">
        <f>FE62*VLOOKUP('Données projet'!$B$16,Paramètres!$A$1:$I$89,3,0)*VLOOKUP('Données projet'!$B$16,Paramètres!$A$1:$I$89,5,0)</f>
        <v>242.18687999999992</v>
      </c>
      <c r="FG62" s="14">
        <f t="shared" si="47"/>
        <v>58.909799685122735</v>
      </c>
      <c r="FH62" s="22">
        <f t="shared" si="22"/>
        <v>524.41005045158852</v>
      </c>
      <c r="FI62" s="62">
        <f t="shared" si="23"/>
        <v>817.74338378492189</v>
      </c>
      <c r="FJ62" s="62">
        <f ca="1">AVERAGE(OFFSET($FI$3,0,0,'Données projet'!$E$16+1,1))-AVERAGE(OFFSET($H$3,0,0,'Données projet'!$E$16+1,1))</f>
        <v>425.00152674093977</v>
      </c>
      <c r="FK62" s="62">
        <f t="shared" si="48"/>
        <v>214.96884469274687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261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261.00000000000006</v>
      </c>
      <c r="O63" s="14">
        <f>N63*VLOOKUP('Données projet'!$B$9,Paramètres!$A$1:$I$89,3,0)*VLOOKUP('Données projet'!$B$9,Paramètres!$A$1:$I$89,5,0)</f>
        <v>125.54100000000004</v>
      </c>
      <c r="P63" s="14">
        <f t="shared" si="33"/>
        <v>32.963931776656402</v>
      </c>
      <c r="Q63" s="22">
        <f t="shared" si="53"/>
        <v>276.06275617767659</v>
      </c>
      <c r="R63" s="62">
        <f t="shared" si="0"/>
        <v>569.3960895110099</v>
      </c>
      <c r="S63" s="62">
        <f ca="1">AVERAGE(OFFSET($R$3,0,0,'Données projet'!$E$9+1,1))-AVERAGE(OFFSET($H$3,0,0,'Données projet'!$E$9+1,1))</f>
        <v>179.22241276165141</v>
      </c>
      <c r="T63" s="62">
        <f t="shared" si="34"/>
        <v>86.510654589692876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58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275.30769230769226</v>
      </c>
      <c r="AG63" s="13">
        <f>VLOOKUP(A63,'Données projet'!$A$61:$I$81,9,0)</f>
        <v>8.9376923076923056</v>
      </c>
      <c r="AH63" s="13">
        <f t="array" ref="AH63">INDEX(AG:AG,MIN(IF(ISNUMBER(AG63:AG259),ROW(AG63:AG259),"")))</f>
        <v>8.9376923076923056</v>
      </c>
      <c r="AI63" s="14">
        <f>IF('Données projet'!$A$62&gt;35,AI62+AH63-AQ62,IF(A63&lt;'Données projet'!$A$62,$AF$205^A63,IF(A63='Données projet'!$A$62,'Données projet'!$B$62,AI62+AH63-AQ62)))</f>
        <v>275.30769230769232</v>
      </c>
      <c r="AJ63" s="14">
        <f>AI63*VLOOKUP('Données projet'!$B$10,Paramètres!$A$1:$I$89,3,0)*VLOOKUP('Données projet'!$B$10,Paramètres!$A$1:$I$89,5,0)</f>
        <v>164.63400000000001</v>
      </c>
      <c r="AK63" s="14">
        <f t="shared" si="35"/>
        <v>41.885983917692833</v>
      </c>
      <c r="AL63" s="22">
        <f t="shared" si="4"/>
        <v>359.68897198998167</v>
      </c>
      <c r="AM63" s="62">
        <f t="shared" si="5"/>
        <v>653.02230532331498</v>
      </c>
      <c r="AN63" s="62">
        <f ca="1">AVERAGE(OFFSET($AM$3,0,0,'Données projet'!$E$10+1,1))-AVERAGE(OFFSET($H$3,0,0,'Données projet'!$E$10+1,1))</f>
        <v>157.42757749057949</v>
      </c>
      <c r="AO63" s="62">
        <f t="shared" si="36"/>
        <v>129.86070223892136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50.076923076923073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9.3958205911945369E-5</v>
      </c>
      <c r="AX63" s="23">
        <f t="shared" si="6"/>
        <v>9.3958205911945369E-5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257</v>
      </c>
      <c r="BB63" s="13">
        <f>VLOOKUP(A63,'Données projet'!$A$87:$I$107,9,0)</f>
        <v>6.6</v>
      </c>
      <c r="BC63" s="13">
        <f t="array" ref="BC63">INDEX(BB:BB,MIN(IF(ISNUMBER(BB63:BB259),ROW(BB63:BB259),"")))</f>
        <v>6.6</v>
      </c>
      <c r="BD63" s="13">
        <f>IF('Données projet'!$A$88&gt;35,BD62+BC63-BL62,IF(A63&lt;'Données projet'!$A$88,$BA$205^A63,IF(A63='Données projet'!$A$88,'Données projet'!$B$88,BD62+BC63-BL62)))</f>
        <v>256.99999999999989</v>
      </c>
      <c r="BE63" s="14">
        <f>BD63*VLOOKUP('Données projet'!$B$11,Paramètres!$A$1:$I$89,3,0)*VLOOKUP('Données projet'!$B$11,Paramètres!$A$1:$I$89,5,0)</f>
        <v>268.61639999999994</v>
      </c>
      <c r="BF63" s="14">
        <f t="shared" si="37"/>
        <v>64.55554670622368</v>
      </c>
      <c r="BG63" s="22">
        <f t="shared" si="7"/>
        <v>580.27447384667278</v>
      </c>
      <c r="BH63" s="62">
        <f t="shared" si="8"/>
        <v>873.60780718000615</v>
      </c>
      <c r="BI63" s="62">
        <f ca="1">AVERAGE(OFFSET($BH$3,0,0,'Données projet'!$E$11+1,1))-AVERAGE(OFFSET($H$3,0,0,'Données projet'!$E$11+1,1))</f>
        <v>464.21202287459482</v>
      </c>
      <c r="BJ63" s="62">
        <f t="shared" si="38"/>
        <v>234.57880205159688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194.5</v>
      </c>
      <c r="BW63" s="13">
        <f>VLOOKUP(A63,'Données projet'!$A$113:$I$133,9,0)</f>
        <v>4.0600000000000023</v>
      </c>
      <c r="BX63" s="13">
        <f t="array" ref="BX63">INDEX(BW:BW,MIN(IF(ISNUMBER(BW63:BW259),ROW(BW63:BW259),"")))</f>
        <v>4.0600000000000023</v>
      </c>
      <c r="BY63" s="13">
        <f>IF('Données projet'!$A$114&gt;35,BY62+BX63-CG62,IF(A63&lt;'Données projet'!$A$114,$BV$205^A63,IF(A63='Données projet'!$A$114,'Données projet'!$B$114,BY62+BX63-CG62)))</f>
        <v>194.50000000000017</v>
      </c>
      <c r="BZ63" s="14">
        <f>BY63*VLOOKUP('Données projet'!$B$12,Paramètres!$A$1:$I$89,3,0)*VLOOKUP('Données projet'!$B$12,Paramètres!$A$1:$I$89,5,0)</f>
        <v>154.74420000000015</v>
      </c>
      <c r="CA63" s="14">
        <f t="shared" si="39"/>
        <v>39.65476049031134</v>
      </c>
      <c r="CB63" s="22">
        <f t="shared" si="10"/>
        <v>338.57818952062581</v>
      </c>
      <c r="CC63" s="62">
        <f t="shared" si="11"/>
        <v>631.91152285395913</v>
      </c>
      <c r="CD63" s="62">
        <f ca="1">AVERAGE(OFFSET($CC$3,0,0,'Données projet'!$E$12+1,1))-AVERAGE(OFFSET($H$3,0,0,'Données projet'!$E$12+1,1))</f>
        <v>177.99876437322689</v>
      </c>
      <c r="CE63" s="62">
        <f t="shared" si="40"/>
        <v>165.68154380324592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9.5646153846153847</v>
      </c>
      <c r="CT63" s="13">
        <f>IF('Données projet'!$A$140&gt;35,CT62+CS63-DB62,IF(A63&lt;'Données projet'!$A$140,$CQ$205^A63,IF(A63='Données projet'!$A$140,'Données projet'!$B$140,CT62+CS63-DB62)))</f>
        <v>314.84769230769217</v>
      </c>
      <c r="CU63" s="18">
        <f>CT63*VLOOKUP('Données projet'!$B$13,Paramètres!$A$1:$I$89,3,0)*VLOOKUP('Données projet'!$B$13,Paramètres!$A$1:$I$89,5,0)</f>
        <v>175.99985999999993</v>
      </c>
      <c r="CV63" s="14">
        <f t="shared" si="41"/>
        <v>44.431068030239445</v>
      </c>
      <c r="CW63" s="22">
        <f t="shared" si="13"/>
        <v>383.91719965266685</v>
      </c>
      <c r="CX63" s="62">
        <f t="shared" si="14"/>
        <v>677.25053298600017</v>
      </c>
      <c r="CY63" s="62">
        <f ca="1">AVERAGE(OFFSET($CX$3,0,0,'Données projet'!$E$13+1,1))-AVERAGE(OFFSET($H$3,0,0,'Données projet'!$E$13+1,1))</f>
        <v>242.07451379051349</v>
      </c>
      <c r="CZ63" s="62">
        <f t="shared" si="42"/>
        <v>207.11607964940754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304</v>
      </c>
      <c r="DM63" s="13">
        <f>VLOOKUP(A63,'Données projet'!$A$165:$I$185,9,0)</f>
        <v>9.75</v>
      </c>
      <c r="DN63" s="13">
        <f t="array" ref="DN63">INDEX(DM:DM,MIN(IF(ISNUMBER(DM63:DM259),ROW(DM63:DM259),"")))</f>
        <v>9.75</v>
      </c>
      <c r="DO63" s="13">
        <f>IF('Données projet'!$A$166&gt;35,DO62+DN63-DW62,IF(A63&lt;'Données projet'!$A$166,$DL$205^A63,IF(A63='Données projet'!$A$166,'Données projet'!$B$166,DO62+DN63-DW62)))</f>
        <v>304</v>
      </c>
      <c r="DP63" s="18">
        <f>DO63*VLOOKUP('Données projet'!$B$14,Paramètres!$A$1:$I$89,3,0)*VLOOKUP('Données projet'!$B$14,Paramètres!$A$1:$I$89,5,0)</f>
        <v>189.696</v>
      </c>
      <c r="DQ63" s="14">
        <f t="shared" si="43"/>
        <v>47.472736505152469</v>
      </c>
      <c r="DR63" s="22">
        <f t="shared" si="16"/>
        <v>413.06888274647389</v>
      </c>
      <c r="DS63" s="62">
        <f t="shared" si="17"/>
        <v>706.4022160798072</v>
      </c>
      <c r="DT63" s="62">
        <f ca="1">AVERAGE(OFFSET($DS$3,0,0,'Données projet'!$E$14+1,1))-AVERAGE(OFFSET($H$3,0,0,'Données projet'!$E$14+1,1))</f>
        <v>178.56320966726986</v>
      </c>
      <c r="DU63" s="62">
        <f t="shared" si="44"/>
        <v>272.06842551411739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304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3.3400893140916454</v>
      </c>
      <c r="EC63" s="23">
        <f>EXP(-LN(2)/2)*EC62+(1-EXP(-LN(2)/2))/(LN(2)/2)*DW63*DZ63*VLOOKUP('Données projet'!$B$14,Paramètres!$A$1:$I$89,3,0)*0.475*44/12</f>
        <v>5.0411437625142819E-4</v>
      </c>
      <c r="ED63" s="24">
        <f t="shared" si="18"/>
        <v>3.3405934284678969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257</v>
      </c>
      <c r="EH63" s="13">
        <f>VLOOKUP(A63,'Données projet'!$A$191:$I$211,9,0)</f>
        <v>6.6</v>
      </c>
      <c r="EI63" s="13">
        <f t="array" ref="EI63">INDEX(EH:EH,MIN(IF(ISNUMBER(EH63:EH259),ROW(EH63:EH259),"")))</f>
        <v>6.6</v>
      </c>
      <c r="EJ63" s="13">
        <f>IF('Données projet'!$A$192&gt;35,EJ62+EI63-ER62,IF(A63&lt;'Données projet'!$A$192,$EG$205^A63,IF(A63='Données projet'!$A$192,'Données projet'!$B$192,EJ62+EI63-ER62)))</f>
        <v>256.99999999999989</v>
      </c>
      <c r="EK63" s="18">
        <f>EJ63*VLOOKUP('Données projet'!$B$15,Paramètres!$A$1:$I$89,3,0)*VLOOKUP('Données projet'!$B$15,Paramètres!$A$1:$I$89,5,0)</f>
        <v>276.63479999999987</v>
      </c>
      <c r="EL63" s="14">
        <f t="shared" si="45"/>
        <v>66.255345698720348</v>
      </c>
      <c r="EM63" s="22">
        <f t="shared" si="19"/>
        <v>597.20033709193774</v>
      </c>
      <c r="EN63" s="62">
        <f t="shared" si="20"/>
        <v>890.53367042527111</v>
      </c>
      <c r="EO63" s="62">
        <f ca="1">AVERAGE(OFFSET($EN$3,0,0,'Données projet'!$E$15+1,1))-AVERAGE(OFFSET($H$3,0,0,'Données projet'!$E$15+1,1))</f>
        <v>479.87943647026646</v>
      </c>
      <c r="EP63" s="62">
        <f t="shared" si="46"/>
        <v>242.41363045393223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257</v>
      </c>
      <c r="FC63" s="13">
        <f>VLOOKUP(A63,'Données projet'!$A$217:$I$237,9,0)</f>
        <v>6.6</v>
      </c>
      <c r="FD63" s="13">
        <f t="array" ref="FD63">INDEX(FC:FC,MIN(IF(ISNUMBER(FC63:FC259),ROW(FC63:FC259),"")))</f>
        <v>6.6</v>
      </c>
      <c r="FE63" s="13">
        <f>IF('Données projet'!$A$218&gt;35,FE62+FD63-FM62,IF(A63&lt;'Données projet'!$A$218,$FB$205^A63,IF(A63='Données projet'!$A$218,'Données projet'!$B$218,FE62+FD63-FM62)))</f>
        <v>256.99999999999989</v>
      </c>
      <c r="FF63" s="18">
        <f>FE63*VLOOKUP('Données projet'!$B$16,Paramètres!$A$1:$I$89,3,0)*VLOOKUP('Données projet'!$B$16,Paramètres!$A$1:$I$89,5,0)</f>
        <v>248.57039999999989</v>
      </c>
      <c r="FG63" s="14">
        <f t="shared" si="47"/>
        <v>60.279711428787095</v>
      </c>
      <c r="FH63" s="22">
        <f t="shared" si="22"/>
        <v>537.91394407180394</v>
      </c>
      <c r="FI63" s="62">
        <f t="shared" si="23"/>
        <v>831.24727740513731</v>
      </c>
      <c r="FJ63" s="62">
        <f ca="1">AVERAGE(OFFSET($FI$3,0,0,'Données projet'!$E$16+1,1))-AVERAGE(OFFSET($H$3,0,0,'Données projet'!$E$16+1,1))</f>
        <v>425.00152674093977</v>
      </c>
      <c r="FK63" s="62">
        <f t="shared" si="48"/>
        <v>214.96884469274687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10.7</v>
      </c>
      <c r="N64" s="14">
        <f>IF('Données projet'!$A$36&gt;35,N63+M64-V63,IF(A64&lt;'Données projet'!$A$36,$K$205^A64,IF(A64='Données projet'!$A$36,'Données projet'!$B$36,N63+M64-V63)))</f>
        <v>213.70000000000005</v>
      </c>
      <c r="O64" s="14">
        <f>N64*VLOOKUP('Données projet'!$B$9,Paramètres!$A$1:$I$89,3,0)*VLOOKUP('Données projet'!$B$9,Paramètres!$A$1:$I$89,5,0)</f>
        <v>102.78970000000002</v>
      </c>
      <c r="P64" s="14">
        <f t="shared" si="33"/>
        <v>27.625537083547467</v>
      </c>
      <c r="Q64" s="22">
        <f t="shared" si="53"/>
        <v>227.13987125384517</v>
      </c>
      <c r="R64" s="62">
        <f t="shared" si="0"/>
        <v>520.47320458717854</v>
      </c>
      <c r="S64" s="62">
        <f ca="1">AVERAGE(OFFSET($R$3,0,0,'Données projet'!$E$9+1,1))-AVERAGE(OFFSET($H$3,0,0,'Données projet'!$E$9+1,1))</f>
        <v>179.22241276165141</v>
      </c>
      <c r="T64" s="62">
        <f t="shared" si="34"/>
        <v>86.510654589692876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7.7092307692307687</v>
      </c>
      <c r="AI64" s="14">
        <f>IF('Données projet'!$A$62&gt;35,AI63+AH64-AQ63,IF(A64&lt;'Données projet'!$A$62,$AF$205^A64,IF(A64='Données projet'!$A$62,'Données projet'!$B$62,AI63+AH64-AQ63)))</f>
        <v>232.94000000000003</v>
      </c>
      <c r="AJ64" s="14">
        <f>AI64*VLOOKUP('Données projet'!$B$10,Paramètres!$A$1:$I$89,3,0)*VLOOKUP('Données projet'!$B$10,Paramètres!$A$1:$I$89,5,0)</f>
        <v>139.29812000000001</v>
      </c>
      <c r="AK64" s="14">
        <f t="shared" si="35"/>
        <v>36.13616763956604</v>
      </c>
      <c r="AL64" s="22">
        <f t="shared" si="4"/>
        <v>305.5480509722442</v>
      </c>
      <c r="AM64" s="62">
        <f t="shared" si="5"/>
        <v>598.88138430557751</v>
      </c>
      <c r="AN64" s="62">
        <f ca="1">AVERAGE(OFFSET($AM$3,0,0,'Données projet'!$E$10+1,1))-AVERAGE(OFFSET($H$3,0,0,'Données projet'!$E$10+1,1))</f>
        <v>157.42757749057949</v>
      </c>
      <c r="AO64" s="62">
        <f t="shared" si="36"/>
        <v>129.86070223892136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6.643848454845853E-5</v>
      </c>
      <c r="AX64" s="23">
        <f t="shared" si="6"/>
        <v>6.643848454845853E-5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6.2</v>
      </c>
      <c r="BD64" s="13">
        <f>IF('Données projet'!$A$88&gt;35,BD63+BC64-BL63,IF(A64&lt;'Données projet'!$A$88,$BA$205^A64,IF(A64='Données projet'!$A$88,'Données projet'!$B$88,BD63+BC64-BL63)))</f>
        <v>263.19999999999987</v>
      </c>
      <c r="BE64" s="14">
        <f>BD64*VLOOKUP('Données projet'!$B$11,Paramètres!$A$1:$I$89,3,0)*VLOOKUP('Données projet'!$B$11,Paramètres!$A$1:$I$89,5,0)</f>
        <v>275.09663999999992</v>
      </c>
      <c r="BF64" s="14">
        <f t="shared" si="37"/>
        <v>65.92972489652206</v>
      </c>
      <c r="BG64" s="22">
        <f t="shared" si="7"/>
        <v>593.95425219477568</v>
      </c>
      <c r="BH64" s="62">
        <f t="shared" si="8"/>
        <v>887.28758552810905</v>
      </c>
      <c r="BI64" s="62">
        <f ca="1">AVERAGE(OFFSET($BH$3,0,0,'Données projet'!$E$11+1,1))-AVERAGE(OFFSET($H$3,0,0,'Données projet'!$E$11+1,1))</f>
        <v>464.21202287459482</v>
      </c>
      <c r="BJ64" s="62">
        <f t="shared" si="38"/>
        <v>234.57880205159688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3.4400000000000035</v>
      </c>
      <c r="BY64" s="13">
        <f>IF('Données projet'!$A$114&gt;35,BY63+BX64-CG63,IF(A64&lt;'Données projet'!$A$114,$BV$205^A64,IF(A64='Données projet'!$A$114,'Données projet'!$B$114,BY63+BX64-CG63)))</f>
        <v>197.94000000000017</v>
      </c>
      <c r="BZ64" s="14">
        <f>BY64*VLOOKUP('Données projet'!$B$12,Paramètres!$A$1:$I$89,3,0)*VLOOKUP('Données projet'!$B$12,Paramètres!$A$1:$I$89,5,0)</f>
        <v>157.48106400000015</v>
      </c>
      <c r="CA64" s="14">
        <f t="shared" si="39"/>
        <v>40.273838707582243</v>
      </c>
      <c r="CB64" s="22">
        <f t="shared" si="10"/>
        <v>344.42312221570597</v>
      </c>
      <c r="CC64" s="62">
        <f t="shared" si="11"/>
        <v>637.75645554903929</v>
      </c>
      <c r="CD64" s="62">
        <f ca="1">AVERAGE(OFFSET($CC$3,0,0,'Données projet'!$E$12+1,1))-AVERAGE(OFFSET($H$3,0,0,'Données projet'!$E$12+1,1))</f>
        <v>177.99876437322689</v>
      </c>
      <c r="CE64" s="62">
        <f t="shared" si="40"/>
        <v>165.68154380324592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9.5646153846153847</v>
      </c>
      <c r="CT64" s="13">
        <f>IF('Données projet'!$A$140&gt;35,CT63+CS64-DB63,IF(A64&lt;'Données projet'!$A$140,$CQ$205^A64,IF(A64='Données projet'!$A$140,'Données projet'!$B$140,CT63+CS64-DB63)))</f>
        <v>324.41230769230754</v>
      </c>
      <c r="CU64" s="18">
        <f>CT64*VLOOKUP('Données projet'!$B$13,Paramètres!$A$1:$I$89,3,0)*VLOOKUP('Données projet'!$B$13,Paramètres!$A$1:$I$89,5,0)</f>
        <v>181.34647999999993</v>
      </c>
      <c r="CV64" s="14">
        <f t="shared" si="41"/>
        <v>45.62162310071988</v>
      </c>
      <c r="CW64" s="22">
        <f t="shared" si="13"/>
        <v>395.30277956708704</v>
      </c>
      <c r="CX64" s="62">
        <f t="shared" si="14"/>
        <v>688.63611290042036</v>
      </c>
      <c r="CY64" s="62">
        <f ca="1">AVERAGE(OFFSET($CX$3,0,0,'Données projet'!$E$13+1,1))-AVERAGE(OFFSET($H$3,0,0,'Données projet'!$E$13+1,1))</f>
        <v>242.07451379051349</v>
      </c>
      <c r="CZ64" s="62">
        <f t="shared" si="42"/>
        <v>207.11607964940754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178.56320966726986</v>
      </c>
      <c r="DU64" s="62">
        <f t="shared" si="44"/>
        <v>272.06842551411739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3.2487543961501464</v>
      </c>
      <c r="EC64" s="23">
        <f>EXP(-LN(2)/2)*EC63+(1-EXP(-LN(2)/2))/(LN(2)/2)*DW64*DZ64*VLOOKUP('Données projet'!$B$14,Paramètres!$A$1:$I$89,3,0)*0.475*44/12</f>
        <v>3.5646269394101152E-4</v>
      </c>
      <c r="ED64" s="24">
        <f t="shared" si="18"/>
        <v>3.2491108588440873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6.2</v>
      </c>
      <c r="EJ64" s="13">
        <f>IF('Données projet'!$A$192&gt;35,EJ63+EI64-ER63,IF(A64&lt;'Données projet'!$A$192,$EG$205^A64,IF(A64='Données projet'!$A$192,'Données projet'!$B$192,EJ63+EI64-ER63)))</f>
        <v>263.19999999999987</v>
      </c>
      <c r="EK64" s="18">
        <f>EJ64*VLOOKUP('Données projet'!$B$15,Paramètres!$A$1:$I$89,3,0)*VLOOKUP('Données projet'!$B$15,Paramètres!$A$1:$I$89,5,0)</f>
        <v>283.30847999999986</v>
      </c>
      <c r="EL64" s="14">
        <f t="shared" si="45"/>
        <v>67.665707095924404</v>
      </c>
      <c r="EM64" s="22">
        <f t="shared" si="19"/>
        <v>611.28004252540143</v>
      </c>
      <c r="EN64" s="62">
        <f t="shared" si="20"/>
        <v>904.6133758587348</v>
      </c>
      <c r="EO64" s="62">
        <f ca="1">AVERAGE(OFFSET($EN$3,0,0,'Données projet'!$E$15+1,1))-AVERAGE(OFFSET($H$3,0,0,'Données projet'!$E$15+1,1))</f>
        <v>479.87943647026646</v>
      </c>
      <c r="EP64" s="62">
        <f t="shared" si="46"/>
        <v>242.41363045393223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6.2</v>
      </c>
      <c r="FE64" s="13">
        <f>IF('Données projet'!$A$218&gt;35,FE63+FD64-FM63,IF(A64&lt;'Données projet'!$A$218,$FB$205^A64,IF(A64='Données projet'!$A$218,'Données projet'!$B$218,FE63+FD64-FM63)))</f>
        <v>263.19999999999987</v>
      </c>
      <c r="FF64" s="18">
        <f>FE64*VLOOKUP('Données projet'!$B$16,Paramètres!$A$1:$I$89,3,0)*VLOOKUP('Données projet'!$B$16,Paramètres!$A$1:$I$89,5,0)</f>
        <v>254.56703999999988</v>
      </c>
      <c r="FG64" s="14">
        <f t="shared" si="47"/>
        <v>61.562870955572379</v>
      </c>
      <c r="FH64" s="22">
        <f t="shared" si="22"/>
        <v>550.59292824762167</v>
      </c>
      <c r="FI64" s="62">
        <f t="shared" si="23"/>
        <v>843.92626158095504</v>
      </c>
      <c r="FJ64" s="62">
        <f ca="1">AVERAGE(OFFSET($FI$3,0,0,'Données projet'!$E$16+1,1))-AVERAGE(OFFSET($H$3,0,0,'Données projet'!$E$16+1,1))</f>
        <v>425.00152674093977</v>
      </c>
      <c r="FK64" s="62">
        <f t="shared" si="48"/>
        <v>214.96884469274687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10.7</v>
      </c>
      <c r="N65" s="14">
        <f>IF('Données projet'!$A$36&gt;35,N64+M65-V64,IF(A65&lt;'Données projet'!$A$36,$K$205^A65,IF(A65='Données projet'!$A$36,'Données projet'!$B$36,N64+M65-V64)))</f>
        <v>224.40000000000003</v>
      </c>
      <c r="O65" s="14">
        <f>N65*VLOOKUP('Données projet'!$B$9,Paramètres!$A$1:$I$89,3,0)*VLOOKUP('Données projet'!$B$9,Paramètres!$A$1:$I$89,5,0)</f>
        <v>107.93640000000001</v>
      </c>
      <c r="P65" s="14">
        <f t="shared" si="33"/>
        <v>28.844249724880857</v>
      </c>
      <c r="Q65" s="22">
        <f t="shared" si="53"/>
        <v>238.22629827083418</v>
      </c>
      <c r="R65" s="62">
        <f t="shared" si="0"/>
        <v>531.55963160416752</v>
      </c>
      <c r="S65" s="62">
        <f ca="1">AVERAGE(OFFSET($R$3,0,0,'Données projet'!$E$9+1,1))-AVERAGE(OFFSET($H$3,0,0,'Données projet'!$E$9+1,1))</f>
        <v>179.22241276165141</v>
      </c>
      <c r="T65" s="62">
        <f t="shared" si="34"/>
        <v>86.510654589692876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7.7092307692307687</v>
      </c>
      <c r="AI65" s="14">
        <f>IF('Données projet'!$A$62&gt;35,AI64+AH65-AQ64,IF(A65&lt;'Données projet'!$A$62,$AF$205^A65,IF(A65='Données projet'!$A$62,'Données projet'!$B$62,AI64+AH65-AQ64)))</f>
        <v>240.6492307692308</v>
      </c>
      <c r="AJ65" s="14">
        <f>AI65*VLOOKUP('Données projet'!$B$10,Paramètres!$A$1:$I$89,3,0)*VLOOKUP('Données projet'!$B$10,Paramètres!$A$1:$I$89,5,0)</f>
        <v>143.90824000000003</v>
      </c>
      <c r="AK65" s="14">
        <f t="shared" si="35"/>
        <v>37.190888648661023</v>
      </c>
      <c r="AL65" s="22">
        <f t="shared" si="4"/>
        <v>315.41431572975131</v>
      </c>
      <c r="AM65" s="62">
        <f t="shared" si="5"/>
        <v>608.74764906308462</v>
      </c>
      <c r="AN65" s="62">
        <f ca="1">AVERAGE(OFFSET($AM$3,0,0,'Données projet'!$E$10+1,1))-AVERAGE(OFFSET($H$3,0,0,'Données projet'!$E$10+1,1))</f>
        <v>157.42757749057949</v>
      </c>
      <c r="AO65" s="62">
        <f t="shared" si="36"/>
        <v>129.86070223892136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4.6979102955972685E-5</v>
      </c>
      <c r="AX65" s="23">
        <f t="shared" si="6"/>
        <v>4.6979102955972685E-5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6.2</v>
      </c>
      <c r="BD65" s="13">
        <f>IF('Données projet'!$A$88&gt;35,BD64+BC65-BL64,IF(A65&lt;'Données projet'!$A$88,$BA$205^A65,IF(A65='Données projet'!$A$88,'Données projet'!$B$88,BD64+BC65-BL64)))</f>
        <v>269.39999999999986</v>
      </c>
      <c r="BE65" s="14">
        <f>BD65*VLOOKUP('Données projet'!$B$11,Paramètres!$A$1:$I$89,3,0)*VLOOKUP('Données projet'!$B$11,Paramètres!$A$1:$I$89,5,0)</f>
        <v>281.57687999999985</v>
      </c>
      <c r="BF65" s="14">
        <f t="shared" si="37"/>
        <v>67.300139958580772</v>
      </c>
      <c r="BG65" s="22">
        <f t="shared" si="7"/>
        <v>607.62747642786121</v>
      </c>
      <c r="BH65" s="62">
        <f t="shared" si="8"/>
        <v>900.96080976119447</v>
      </c>
      <c r="BI65" s="62">
        <f ca="1">AVERAGE(OFFSET($BH$3,0,0,'Données projet'!$E$11+1,1))-AVERAGE(OFFSET($H$3,0,0,'Données projet'!$E$11+1,1))</f>
        <v>464.21202287459482</v>
      </c>
      <c r="BJ65" s="62">
        <f t="shared" si="38"/>
        <v>234.57880205159688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3.4400000000000035</v>
      </c>
      <c r="BY65" s="13">
        <f>IF('Données projet'!$A$114&gt;35,BY64+BX65-CG64,IF(A65&lt;'Données projet'!$A$114,$BV$205^A65,IF(A65='Données projet'!$A$114,'Données projet'!$B$114,BY64+BX65-CG64)))</f>
        <v>201.38000000000017</v>
      </c>
      <c r="BZ65" s="14">
        <f>BY65*VLOOKUP('Données projet'!$B$12,Paramètres!$A$1:$I$89,3,0)*VLOOKUP('Données projet'!$B$12,Paramètres!$A$1:$I$89,5,0)</f>
        <v>160.21792800000014</v>
      </c>
      <c r="CA65" s="14">
        <f t="shared" si="39"/>
        <v>40.891665780855888</v>
      </c>
      <c r="CB65" s="22">
        <f t="shared" si="10"/>
        <v>350.26587583499082</v>
      </c>
      <c r="CC65" s="62">
        <f t="shared" si="11"/>
        <v>643.59920916832414</v>
      </c>
      <c r="CD65" s="62">
        <f ca="1">AVERAGE(OFFSET($CC$3,0,0,'Données projet'!$E$12+1,1))-AVERAGE(OFFSET($H$3,0,0,'Données projet'!$E$12+1,1))</f>
        <v>177.99876437322689</v>
      </c>
      <c r="CE65" s="62">
        <f t="shared" si="40"/>
        <v>165.68154380324592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>
        <f>VLOOKUP(A65,'Données projet'!$A$139:$I$159,2,0)</f>
        <v>333.97692307692307</v>
      </c>
      <c r="CR65" s="13">
        <f>VLOOKUP(A65,'Données projet'!$A$139:$I$159,9,0)</f>
        <v>9.5646153846153847</v>
      </c>
      <c r="CS65" s="13">
        <f t="array" ref="CS65">INDEX(CR:CR,MIN(IF(ISNUMBER(CR65:CR261),ROW(CR65:CR261),"")))</f>
        <v>9.5646153846153847</v>
      </c>
      <c r="CT65" s="13">
        <f>IF('Données projet'!$A$140&gt;35,CT64+CS65-DB64,IF(A65&lt;'Données projet'!$A$140,$CQ$205^A65,IF(A65='Données projet'!$A$140,'Données projet'!$B$140,CT64+CS65-DB64)))</f>
        <v>333.9769230769229</v>
      </c>
      <c r="CU65" s="18">
        <f>CT65*VLOOKUP('Données projet'!$B$13,Paramètres!$A$1:$I$89,3,0)*VLOOKUP('Données projet'!$B$13,Paramètres!$A$1:$I$89,5,0)</f>
        <v>186.6930999999999</v>
      </c>
      <c r="CV65" s="14">
        <f t="shared" si="41"/>
        <v>46.808098791340576</v>
      </c>
      <c r="CW65" s="22">
        <f t="shared" si="13"/>
        <v>406.68125456158464</v>
      </c>
      <c r="CX65" s="62">
        <f t="shared" si="14"/>
        <v>700.0145878949179</v>
      </c>
      <c r="CY65" s="62">
        <f ca="1">AVERAGE(OFFSET($CX$3,0,0,'Données projet'!$E$13+1,1))-AVERAGE(OFFSET($H$3,0,0,'Données projet'!$E$13+1,1))</f>
        <v>242.07451379051349</v>
      </c>
      <c r="CZ65" s="62">
        <f t="shared" si="42"/>
        <v>207.11607964940754</v>
      </c>
      <c r="DA65" s="16">
        <f>IF(ISNA(VLOOKUP(A65,'Données projet'!$A$139:$I$159,3,0)),0,VLOOKUP(A65,'Données projet'!$A$139:$I$159,3,0))</f>
        <v>4</v>
      </c>
      <c r="DB65" s="16">
        <f>IF(ISNA(VLOOKUP(A65,'Données projet'!$A$139:$I$159,4,0)),0,VLOOKUP(A65,'Données projet'!$A$139:$I$159,4,0))</f>
        <v>53.707692307692298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178.56320966726986</v>
      </c>
      <c r="DU65" s="62">
        <f t="shared" si="44"/>
        <v>272.06842551411739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3.1599170363428519</v>
      </c>
      <c r="EC65" s="23">
        <f>EXP(-LN(2)/2)*EC64+(1-EXP(-LN(2)/2))/(LN(2)/2)*DW65*DZ65*VLOOKUP('Données projet'!$B$14,Paramètres!$A$1:$I$89,3,0)*0.475*44/12</f>
        <v>2.5205718812571409E-4</v>
      </c>
      <c r="ED65" s="24">
        <f t="shared" si="18"/>
        <v>3.1601690935309779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6.2</v>
      </c>
      <c r="EJ65" s="13">
        <f>IF('Données projet'!$A$192&gt;35,EJ64+EI65-ER64,IF(A65&lt;'Données projet'!$A$192,$EG$205^A65,IF(A65='Données projet'!$A$192,'Données projet'!$B$192,EJ64+EI65-ER64)))</f>
        <v>269.39999999999986</v>
      </c>
      <c r="EK65" s="18">
        <f>EJ65*VLOOKUP('Données projet'!$B$15,Paramètres!$A$1:$I$89,3,0)*VLOOKUP('Données projet'!$B$15,Paramètres!$A$1:$I$89,5,0)</f>
        <v>289.98215999999985</v>
      </c>
      <c r="EL65" s="14">
        <f t="shared" si="45"/>
        <v>69.072206278723272</v>
      </c>
      <c r="EM65" s="22">
        <f t="shared" si="19"/>
        <v>625.35302126877616</v>
      </c>
      <c r="EN65" s="62">
        <f t="shared" si="20"/>
        <v>918.68635460210953</v>
      </c>
      <c r="EO65" s="62">
        <f ca="1">AVERAGE(OFFSET($EN$3,0,0,'Données projet'!$E$15+1,1))-AVERAGE(OFFSET($H$3,0,0,'Données projet'!$E$15+1,1))</f>
        <v>479.87943647026646</v>
      </c>
      <c r="EP65" s="62">
        <f t="shared" si="46"/>
        <v>242.41363045393223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6.2</v>
      </c>
      <c r="FE65" s="13">
        <f>IF('Données projet'!$A$218&gt;35,FE64+FD65-FM64,IF(A65&lt;'Données projet'!$A$218,$FB$205^A65,IF(A65='Données projet'!$A$218,'Données projet'!$B$218,FE64+FD65-FM64)))</f>
        <v>269.39999999999986</v>
      </c>
      <c r="FF65" s="18">
        <f>FE65*VLOOKUP('Données projet'!$B$16,Paramètres!$A$1:$I$89,3,0)*VLOOKUP('Données projet'!$B$16,Paramètres!$A$1:$I$89,5,0)</f>
        <v>260.56367999999986</v>
      </c>
      <c r="FG65" s="14">
        <f t="shared" si="47"/>
        <v>62.842516604837684</v>
      </c>
      <c r="FH65" s="22">
        <f t="shared" si="22"/>
        <v>563.265792420092</v>
      </c>
      <c r="FI65" s="62">
        <f t="shared" si="23"/>
        <v>856.59912575342537</v>
      </c>
      <c r="FJ65" s="62">
        <f ca="1">AVERAGE(OFFSET($FI$3,0,0,'Données projet'!$E$16+1,1))-AVERAGE(OFFSET($H$3,0,0,'Données projet'!$E$16+1,1))</f>
        <v>425.00152674093977</v>
      </c>
      <c r="FK65" s="62">
        <f t="shared" si="48"/>
        <v>214.96884469274687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10.7</v>
      </c>
      <c r="N66" s="14">
        <f>IF('Données projet'!$A$36&gt;35,N65+M66-V65,IF(A66&lt;'Données projet'!$A$36,$K$205^A66,IF(A66='Données projet'!$A$36,'Données projet'!$B$36,N65+M66-V65)))</f>
        <v>235.10000000000002</v>
      </c>
      <c r="O66" s="14">
        <f>N66*VLOOKUP('Données projet'!$B$9,Paramètres!$A$1:$I$89,3,0)*VLOOKUP('Données projet'!$B$9,Paramètres!$A$1:$I$89,5,0)</f>
        <v>113.08310000000002</v>
      </c>
      <c r="P66" s="14">
        <f t="shared" si="33"/>
        <v>30.056214222067155</v>
      </c>
      <c r="Q66" s="22">
        <f t="shared" si="53"/>
        <v>249.30097227010035</v>
      </c>
      <c r="R66" s="62">
        <f t="shared" si="0"/>
        <v>542.63430560343363</v>
      </c>
      <c r="S66" s="62">
        <f ca="1">AVERAGE(OFFSET($R$3,0,0,'Données projet'!$E$9+1,1))-AVERAGE(OFFSET($H$3,0,0,'Données projet'!$E$9+1,1))</f>
        <v>179.22241276165141</v>
      </c>
      <c r="T66" s="62">
        <f t="shared" si="34"/>
        <v>86.510654589692876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7.7092307692307687</v>
      </c>
      <c r="AI66" s="14">
        <f>IF('Données projet'!$A$62&gt;35,AI65+AH66-AQ65,IF(A66&lt;'Données projet'!$A$62,$AF$205^A66,IF(A66='Données projet'!$A$62,'Données projet'!$B$62,AI65+AH66-AQ65)))</f>
        <v>248.35846153846157</v>
      </c>
      <c r="AJ66" s="14">
        <f>AI66*VLOOKUP('Données projet'!$B$10,Paramètres!$A$1:$I$89,3,0)*VLOOKUP('Données projet'!$B$10,Paramètres!$A$1:$I$89,5,0)</f>
        <v>148.51836000000003</v>
      </c>
      <c r="AK66" s="14">
        <f t="shared" si="35"/>
        <v>38.241683333484019</v>
      </c>
      <c r="AL66" s="22">
        <f t="shared" si="4"/>
        <v>325.27374213915135</v>
      </c>
      <c r="AM66" s="62">
        <f t="shared" si="5"/>
        <v>618.60707547248467</v>
      </c>
      <c r="AN66" s="62">
        <f ca="1">AVERAGE(OFFSET($AM$3,0,0,'Données projet'!$E$10+1,1))-AVERAGE(OFFSET($H$3,0,0,'Données projet'!$E$10+1,1))</f>
        <v>157.42757749057949</v>
      </c>
      <c r="AO66" s="62">
        <f t="shared" si="36"/>
        <v>129.86070223892136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3.3219242274229265E-5</v>
      </c>
      <c r="AX66" s="23">
        <f t="shared" si="6"/>
        <v>3.3219242274229265E-5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6.2</v>
      </c>
      <c r="BD66" s="13">
        <f>IF('Données projet'!$A$88&gt;35,BD65+BC66-BL65,IF(A66&lt;'Données projet'!$A$88,$BA$205^A66,IF(A66='Données projet'!$A$88,'Données projet'!$B$88,BD65+BC66-BL65)))</f>
        <v>275.59999999999985</v>
      </c>
      <c r="BE66" s="14">
        <f>BD66*VLOOKUP('Données projet'!$B$11,Paramètres!$A$1:$I$89,3,0)*VLOOKUP('Données projet'!$B$11,Paramètres!$A$1:$I$89,5,0)</f>
        <v>288.05711999999988</v>
      </c>
      <c r="BF66" s="14">
        <f t="shared" si="37"/>
        <v>68.666888466097859</v>
      </c>
      <c r="BG66" s="22">
        <f t="shared" si="7"/>
        <v>621.29431474512023</v>
      </c>
      <c r="BH66" s="62">
        <f t="shared" si="8"/>
        <v>914.6276480784536</v>
      </c>
      <c r="BI66" s="62">
        <f ca="1">AVERAGE(OFFSET($BH$3,0,0,'Données projet'!$E$11+1,1))-AVERAGE(OFFSET($H$3,0,0,'Données projet'!$E$11+1,1))</f>
        <v>464.21202287459482</v>
      </c>
      <c r="BJ66" s="62">
        <f t="shared" si="38"/>
        <v>234.57880205159688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3.4400000000000035</v>
      </c>
      <c r="BY66" s="13">
        <f>IF('Données projet'!$A$114&gt;35,BY65+BX66-CG65,IF(A66&lt;'Données projet'!$A$114,$BV$205^A66,IF(A66='Données projet'!$A$114,'Données projet'!$B$114,BY65+BX66-CG65)))</f>
        <v>204.82000000000016</v>
      </c>
      <c r="BZ66" s="14">
        <f>BY66*VLOOKUP('Données projet'!$B$12,Paramètres!$A$1:$I$89,3,0)*VLOOKUP('Données projet'!$B$12,Paramètres!$A$1:$I$89,5,0)</f>
        <v>162.95479200000014</v>
      </c>
      <c r="CA66" s="14">
        <f t="shared" si="39"/>
        <v>41.508265548697231</v>
      </c>
      <c r="CB66" s="22">
        <f t="shared" si="10"/>
        <v>356.10649189731458</v>
      </c>
      <c r="CC66" s="62">
        <f t="shared" si="11"/>
        <v>649.4398252306479</v>
      </c>
      <c r="CD66" s="62">
        <f ca="1">AVERAGE(OFFSET($CC$3,0,0,'Données projet'!$E$12+1,1))-AVERAGE(OFFSET($H$3,0,0,'Données projet'!$E$12+1,1))</f>
        <v>177.99876437322689</v>
      </c>
      <c r="CE66" s="62">
        <f t="shared" si="40"/>
        <v>165.68154380324592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8.3938461538461517</v>
      </c>
      <c r="CT66" s="13">
        <f>IF('Données projet'!$A$140&gt;35,CT65+CS66-DB65,IF(A66&lt;'Données projet'!$A$140,$CQ$205^A66,IF(A66='Données projet'!$A$140,'Données projet'!$B$140,CT65+CS66-DB65)))</f>
        <v>288.66307692307674</v>
      </c>
      <c r="CU66" s="18">
        <f>CT66*VLOOKUP('Données projet'!$B$13,Paramètres!$A$1:$I$89,3,0)*VLOOKUP('Données projet'!$B$13,Paramètres!$A$1:$I$89,5,0)</f>
        <v>161.36265999999992</v>
      </c>
      <c r="CV66" s="14">
        <f t="shared" si="41"/>
        <v>41.149715309693086</v>
      </c>
      <c r="CW66" s="22">
        <f t="shared" si="13"/>
        <v>352.709053664382</v>
      </c>
      <c r="CX66" s="62">
        <f t="shared" si="14"/>
        <v>646.04238699771531</v>
      </c>
      <c r="CY66" s="62">
        <f ca="1">AVERAGE(OFFSET($CX$3,0,0,'Données projet'!$E$13+1,1))-AVERAGE(OFFSET($H$3,0,0,'Données projet'!$E$13+1,1))</f>
        <v>242.07451379051349</v>
      </c>
      <c r="CZ66" s="62">
        <f t="shared" si="42"/>
        <v>207.11607964940754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178.56320966726986</v>
      </c>
      <c r="DU66" s="62">
        <f t="shared" si="44"/>
        <v>272.06842551411739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3.073508938811242</v>
      </c>
      <c r="EC66" s="23">
        <f>EXP(-LN(2)/2)*EC65+(1-EXP(-LN(2)/2))/(LN(2)/2)*DW66*DZ66*VLOOKUP('Données projet'!$B$14,Paramètres!$A$1:$I$89,3,0)*0.475*44/12</f>
        <v>1.7823134697050576E-4</v>
      </c>
      <c r="ED66" s="24">
        <f t="shared" si="18"/>
        <v>3.0736871701582125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6.2</v>
      </c>
      <c r="EJ66" s="13">
        <f>IF('Données projet'!$A$192&gt;35,EJ65+EI66-ER65,IF(A66&lt;'Données projet'!$A$192,$EG$205^A66,IF(A66='Données projet'!$A$192,'Données projet'!$B$192,EJ65+EI66-ER65)))</f>
        <v>275.59999999999985</v>
      </c>
      <c r="EK66" s="18">
        <f>EJ66*VLOOKUP('Données projet'!$B$15,Paramètres!$A$1:$I$89,3,0)*VLOOKUP('Données projet'!$B$15,Paramètres!$A$1:$I$89,5,0)</f>
        <v>296.65583999999978</v>
      </c>
      <c r="EL66" s="14">
        <f t="shared" si="45"/>
        <v>70.474942363677229</v>
      </c>
      <c r="EM66" s="22">
        <f t="shared" si="19"/>
        <v>639.41944595007067</v>
      </c>
      <c r="EN66" s="62">
        <f t="shared" si="20"/>
        <v>932.75277928340392</v>
      </c>
      <c r="EO66" s="62">
        <f ca="1">AVERAGE(OFFSET($EN$3,0,0,'Données projet'!$E$15+1,1))-AVERAGE(OFFSET($H$3,0,0,'Données projet'!$E$15+1,1))</f>
        <v>479.87943647026646</v>
      </c>
      <c r="EP66" s="62">
        <f t="shared" si="46"/>
        <v>242.41363045393223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6.2</v>
      </c>
      <c r="FE66" s="13">
        <f>IF('Données projet'!$A$218&gt;35,FE65+FD66-FM65,IF(A66&lt;'Données projet'!$A$218,$FB$205^A66,IF(A66='Données projet'!$A$218,'Données projet'!$B$218,FE65+FD66-FM65)))</f>
        <v>275.59999999999985</v>
      </c>
      <c r="FF66" s="18">
        <f>FE66*VLOOKUP('Données projet'!$B$16,Paramètres!$A$1:$I$89,3,0)*VLOOKUP('Données projet'!$B$16,Paramètres!$A$1:$I$89,5,0)</f>
        <v>266.56031999999988</v>
      </c>
      <c r="FG66" s="14">
        <f t="shared" si="47"/>
        <v>64.118738553724214</v>
      </c>
      <c r="FH66" s="22">
        <f t="shared" si="22"/>
        <v>575.93269364773607</v>
      </c>
      <c r="FI66" s="62">
        <f t="shared" si="23"/>
        <v>869.26602698106944</v>
      </c>
      <c r="FJ66" s="62">
        <f ca="1">AVERAGE(OFFSET($FI$3,0,0,'Données projet'!$E$16+1,1))-AVERAGE(OFFSET($H$3,0,0,'Données projet'!$E$16+1,1))</f>
        <v>425.00152674093977</v>
      </c>
      <c r="FK66" s="62">
        <f t="shared" si="48"/>
        <v>214.96884469274687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10.7</v>
      </c>
      <c r="N67" s="14">
        <f>IF('Données projet'!$A$36&gt;35,N66+M67-V66,IF(A67&lt;'Données projet'!$A$36,$K$205^A67,IF(A67='Données projet'!$A$36,'Données projet'!$B$36,N66+M67-V66)))</f>
        <v>245.8</v>
      </c>
      <c r="O67" s="14">
        <f>N67*VLOOKUP('Données projet'!$B$9,Paramètres!$A$1:$I$89,3,0)*VLOOKUP('Données projet'!$B$9,Paramètres!$A$1:$I$89,5,0)</f>
        <v>118.2298</v>
      </c>
      <c r="P67" s="14">
        <f t="shared" si="33"/>
        <v>31.261772784524759</v>
      </c>
      <c r="Q67" s="22">
        <f t="shared" ref="Q67:Q98" si="54">(O67+P67)*0.475*44/12</f>
        <v>260.36448926638059</v>
      </c>
      <c r="R67" s="62">
        <f t="shared" ref="R67:R130" si="55">Q67+(I67+J67)*44/12</f>
        <v>553.69782259971385</v>
      </c>
      <c r="S67" s="62">
        <f ca="1">AVERAGE(OFFSET($R$3,0,0,'Données projet'!$E$9+1,1))-AVERAGE(OFFSET($H$3,0,0,'Données projet'!$E$9+1,1))</f>
        <v>179.22241276165141</v>
      </c>
      <c r="T67" s="62">
        <f t="shared" si="34"/>
        <v>86.510654589692876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7.7092307692307687</v>
      </c>
      <c r="AI67" s="14">
        <f>IF('Données projet'!$A$62&gt;35,AI66+AH67-AQ66,IF(A67&lt;'Données projet'!$A$62,$AF$205^A67,IF(A67='Données projet'!$A$62,'Données projet'!$B$62,AI66+AH67-AQ66)))</f>
        <v>256.06769230769231</v>
      </c>
      <c r="AJ67" s="14">
        <f>AI67*VLOOKUP('Données projet'!$B$10,Paramètres!$A$1:$I$89,3,0)*VLOOKUP('Données projet'!$B$10,Paramètres!$A$1:$I$89,5,0)</f>
        <v>153.12848000000002</v>
      </c>
      <c r="AK67" s="14">
        <f t="shared" si="35"/>
        <v>39.288687555174583</v>
      </c>
      <c r="AL67" s="22">
        <f t="shared" si="4"/>
        <v>335.12656682526244</v>
      </c>
      <c r="AM67" s="62">
        <f t="shared" si="5"/>
        <v>628.4599001585957</v>
      </c>
      <c r="AN67" s="62">
        <f ca="1">AVERAGE(OFFSET($AM$3,0,0,'Données projet'!$E$10+1,1))-AVERAGE(OFFSET($H$3,0,0,'Données projet'!$E$10+1,1))</f>
        <v>157.42757749057949</v>
      </c>
      <c r="AO67" s="62">
        <f t="shared" si="36"/>
        <v>129.86070223892136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2.3489551477986342E-5</v>
      </c>
      <c r="AX67" s="23">
        <f t="shared" si="6"/>
        <v>2.3489551477986342E-5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6.2</v>
      </c>
      <c r="BD67" s="13">
        <f>IF('Données projet'!$A$88&gt;35,BD66+BC67-BL66,IF(A67&lt;'Données projet'!$A$88,$BA$205^A67,IF(A67='Données projet'!$A$88,'Données projet'!$B$88,BD66+BC67-BL66)))</f>
        <v>281.79999999999984</v>
      </c>
      <c r="BE67" s="14">
        <f>BD67*VLOOKUP('Données projet'!$B$11,Paramètres!$A$1:$I$89,3,0)*VLOOKUP('Données projet'!$B$11,Paramètres!$A$1:$I$89,5,0)</f>
        <v>294.53735999999986</v>
      </c>
      <c r="BF67" s="14">
        <f t="shared" si="37"/>
        <v>70.030062399619851</v>
      </c>
      <c r="BG67" s="22">
        <f t="shared" si="7"/>
        <v>634.95492734600441</v>
      </c>
      <c r="BH67" s="62">
        <f t="shared" si="8"/>
        <v>928.28826067933778</v>
      </c>
      <c r="BI67" s="62">
        <f ca="1">AVERAGE(OFFSET($BH$3,0,0,'Données projet'!$E$11+1,1))-AVERAGE(OFFSET($H$3,0,0,'Données projet'!$E$11+1,1))</f>
        <v>464.21202287459482</v>
      </c>
      <c r="BJ67" s="62">
        <f t="shared" si="38"/>
        <v>234.57880205159688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3.4400000000000035</v>
      </c>
      <c r="BY67" s="13">
        <f>IF('Données projet'!$A$114&gt;35,BY66+BX67-CG66,IF(A67&lt;'Données projet'!$A$114,$BV$205^A67,IF(A67='Données projet'!$A$114,'Données projet'!$B$114,BY66+BX67-CG66)))</f>
        <v>208.26000000000016</v>
      </c>
      <c r="BZ67" s="14">
        <f>BY67*VLOOKUP('Données projet'!$B$12,Paramètres!$A$1:$I$89,3,0)*VLOOKUP('Données projet'!$B$12,Paramètres!$A$1:$I$89,5,0)</f>
        <v>165.69165600000014</v>
      </c>
      <c r="CA67" s="14">
        <f t="shared" si="39"/>
        <v>42.123661003027685</v>
      </c>
      <c r="CB67" s="22">
        <f t="shared" si="10"/>
        <v>361.9450104469401</v>
      </c>
      <c r="CC67" s="62">
        <f t="shared" si="11"/>
        <v>655.27834378027342</v>
      </c>
      <c r="CD67" s="62">
        <f ca="1">AVERAGE(OFFSET($CC$3,0,0,'Données projet'!$E$12+1,1))-AVERAGE(OFFSET($H$3,0,0,'Données projet'!$E$12+1,1))</f>
        <v>177.99876437322689</v>
      </c>
      <c r="CE67" s="62">
        <f t="shared" si="40"/>
        <v>165.68154380324592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8.3938461538461517</v>
      </c>
      <c r="CT67" s="13">
        <f>IF('Données projet'!$A$140&gt;35,CT66+CS67-DB66,IF(A67&lt;'Données projet'!$A$140,$CQ$205^A67,IF(A67='Données projet'!$A$140,'Données projet'!$B$140,CT66+CS67-DB66)))</f>
        <v>297.05692307692289</v>
      </c>
      <c r="CU67" s="18">
        <f>CT67*VLOOKUP('Données projet'!$B$13,Paramètres!$A$1:$I$89,3,0)*VLOOKUP('Données projet'!$B$13,Paramètres!$A$1:$I$89,5,0)</f>
        <v>166.05481999999989</v>
      </c>
      <c r="CV67" s="14">
        <f t="shared" si="41"/>
        <v>42.205230655180756</v>
      </c>
      <c r="CW67" s="22">
        <f t="shared" si="13"/>
        <v>362.71958822443958</v>
      </c>
      <c r="CX67" s="62">
        <f t="shared" si="14"/>
        <v>656.05292155777283</v>
      </c>
      <c r="CY67" s="62">
        <f ca="1">AVERAGE(OFFSET($CX$3,0,0,'Données projet'!$E$13+1,1))-AVERAGE(OFFSET($H$3,0,0,'Données projet'!$E$13+1,1))</f>
        <v>242.07451379051349</v>
      </c>
      <c r="CZ67" s="62">
        <f t="shared" si="42"/>
        <v>207.11607964940754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178.56320966726986</v>
      </c>
      <c r="DU67" s="62">
        <f t="shared" si="44"/>
        <v>272.06842551411739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2.9894636752506383</v>
      </c>
      <c r="EC67" s="23">
        <f>EXP(-LN(2)/2)*EC66+(1-EXP(-LN(2)/2))/(LN(2)/2)*DW67*DZ67*VLOOKUP('Données projet'!$B$14,Paramètres!$A$1:$I$89,3,0)*0.475*44/12</f>
        <v>1.2602859406285705E-4</v>
      </c>
      <c r="ED67" s="24">
        <f t="shared" si="18"/>
        <v>2.9895897038447012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6.2</v>
      </c>
      <c r="EJ67" s="13">
        <f>IF('Données projet'!$A$192&gt;35,EJ66+EI67-ER66,IF(A67&lt;'Données projet'!$A$192,$EG$205^A67,IF(A67='Données projet'!$A$192,'Données projet'!$B$192,EJ66+EI67-ER66)))</f>
        <v>281.79999999999984</v>
      </c>
      <c r="EK67" s="18">
        <f>EJ67*VLOOKUP('Données projet'!$B$15,Paramètres!$A$1:$I$89,3,0)*VLOOKUP('Données projet'!$B$15,Paramètres!$A$1:$I$89,5,0)</f>
        <v>303.32951999999977</v>
      </c>
      <c r="EL67" s="14">
        <f t="shared" si="45"/>
        <v>71.8740097532541</v>
      </c>
      <c r="EM67" s="22">
        <f t="shared" si="19"/>
        <v>653.47948098691711</v>
      </c>
      <c r="EN67" s="62">
        <f t="shared" si="20"/>
        <v>946.81281432025048</v>
      </c>
      <c r="EO67" s="62">
        <f ca="1">AVERAGE(OFFSET($EN$3,0,0,'Données projet'!$E$15+1,1))-AVERAGE(OFFSET($H$3,0,0,'Données projet'!$E$15+1,1))</f>
        <v>479.87943647026646</v>
      </c>
      <c r="EP67" s="62">
        <f t="shared" si="46"/>
        <v>242.41363045393223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6.2</v>
      </c>
      <c r="FE67" s="13">
        <f>IF('Données projet'!$A$218&gt;35,FE66+FD67-FM66,IF(A67&lt;'Données projet'!$A$218,$FB$205^A67,IF(A67='Données projet'!$A$218,'Données projet'!$B$218,FE66+FD67-FM66)))</f>
        <v>281.79999999999984</v>
      </c>
      <c r="FF67" s="18">
        <f>FE67*VLOOKUP('Données projet'!$B$16,Paramètres!$A$1:$I$89,3,0)*VLOOKUP('Données projet'!$B$16,Paramètres!$A$1:$I$89,5,0)</f>
        <v>272.55695999999983</v>
      </c>
      <c r="FG67" s="14">
        <f t="shared" si="47"/>
        <v>65.391622690449097</v>
      </c>
      <c r="FH67" s="22">
        <f t="shared" si="22"/>
        <v>588.59378151919861</v>
      </c>
      <c r="FI67" s="62">
        <f t="shared" si="23"/>
        <v>881.92711485253199</v>
      </c>
      <c r="FJ67" s="62">
        <f ca="1">AVERAGE(OFFSET($FI$3,0,0,'Données projet'!$E$16+1,1))-AVERAGE(OFFSET($H$3,0,0,'Données projet'!$E$16+1,1))</f>
        <v>425.00152674093977</v>
      </c>
      <c r="FK67" s="62">
        <f t="shared" si="48"/>
        <v>214.96884469274687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10.7</v>
      </c>
      <c r="N68" s="14">
        <f>IF('Données projet'!$A$36&gt;35,N67+M68-V67,IF(A68&lt;'Données projet'!$A$36,$K$205^A68,IF(A68='Données projet'!$A$36,'Données projet'!$B$36,N67+M68-V67)))</f>
        <v>256.5</v>
      </c>
      <c r="O68" s="14">
        <f>N68*VLOOKUP('Données projet'!$B$9,Paramètres!$A$1:$I$89,3,0)*VLOOKUP('Données projet'!$B$9,Paramètres!$A$1:$I$89,5,0)</f>
        <v>123.37650000000001</v>
      </c>
      <c r="P68" s="14">
        <f t="shared" si="33"/>
        <v>32.461236143200701</v>
      </c>
      <c r="Q68" s="22">
        <f t="shared" si="54"/>
        <v>271.41739044940789</v>
      </c>
      <c r="R68" s="62">
        <f t="shared" si="55"/>
        <v>564.75072378274126</v>
      </c>
      <c r="S68" s="62">
        <f ca="1">AVERAGE(OFFSET($R$3,0,0,'Données projet'!$E$9+1,1))-AVERAGE(OFFSET($H$3,0,0,'Données projet'!$E$9+1,1))</f>
        <v>179.22241276165141</v>
      </c>
      <c r="T68" s="62">
        <f t="shared" si="34"/>
        <v>86.510654589692876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7.7092307692307687</v>
      </c>
      <c r="AI68" s="14">
        <f>IF('Données projet'!$A$62&gt;35,AI67+AH68-AQ67,IF(A68&lt;'Données projet'!$A$62,$AF$205^A68,IF(A68='Données projet'!$A$62,'Données projet'!$B$62,AI67+AH68-AQ67)))</f>
        <v>263.77692307692308</v>
      </c>
      <c r="AJ68" s="14">
        <f>AI68*VLOOKUP('Données projet'!$B$10,Paramètres!$A$1:$I$89,3,0)*VLOOKUP('Données projet'!$B$10,Paramètres!$A$1:$I$89,5,0)</f>
        <v>157.73860000000002</v>
      </c>
      <c r="AK68" s="14">
        <f t="shared" si="35"/>
        <v>40.33202852942668</v>
      </c>
      <c r="AL68" s="22">
        <f t="shared" ref="AL68:AL131" si="58">(AJ68+AK68)*0.475*44/12</f>
        <v>344.97301135541812</v>
      </c>
      <c r="AM68" s="62">
        <f t="shared" ref="AM68:AM131" si="59">AL68+(AD68+AE68)*44/12</f>
        <v>638.30634468875144</v>
      </c>
      <c r="AN68" s="62">
        <f ca="1">AVERAGE(OFFSET($AM$3,0,0,'Données projet'!$E$10+1,1))-AVERAGE(OFFSET($H$3,0,0,'Données projet'!$E$10+1,1))</f>
        <v>157.42757749057949</v>
      </c>
      <c r="AO68" s="62">
        <f t="shared" si="36"/>
        <v>129.86070223892136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1.6609621137114632E-5</v>
      </c>
      <c r="AX68" s="23">
        <f t="shared" ref="AX68:AX131" si="60">SUM(AU68:AW68)</f>
        <v>1.6609621137114632E-5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288</v>
      </c>
      <c r="BB68" s="13">
        <f>VLOOKUP(A68,'Données projet'!$A$87:$I$107,9,0)</f>
        <v>6.2</v>
      </c>
      <c r="BC68" s="13">
        <f t="array" ref="BC68">INDEX(BB:BB,MIN(IF(ISNUMBER(BB68:BB264),ROW(BB68:BB264),"")))</f>
        <v>6.2</v>
      </c>
      <c r="BD68" s="13">
        <f>IF('Données projet'!$A$88&gt;35,BD67+BC68-BL67,IF(A68&lt;'Données projet'!$A$88,$BA$205^A68,IF(A68='Données projet'!$A$88,'Données projet'!$B$88,BD67+BC68-BL67)))</f>
        <v>287.99999999999983</v>
      </c>
      <c r="BE68" s="14">
        <f>BD68*VLOOKUP('Données projet'!$B$11,Paramètres!$A$1:$I$89,3,0)*VLOOKUP('Données projet'!$B$11,Paramètres!$A$1:$I$89,5,0)</f>
        <v>301.01759999999985</v>
      </c>
      <c r="BF68" s="14">
        <f t="shared" si="37"/>
        <v>71.389749461171519</v>
      </c>
      <c r="BG68" s="22">
        <f t="shared" ref="BG68:BG131" si="61">(BE68+BF68)*0.475*44/12</f>
        <v>648.6094669782068</v>
      </c>
      <c r="BH68" s="62">
        <f t="shared" ref="BH68:BH131" si="62">BG68+(AY68+AZ68)*44/12</f>
        <v>941.94280031154017</v>
      </c>
      <c r="BI68" s="62">
        <f ca="1">AVERAGE(OFFSET($BH$3,0,0,'Données projet'!$E$11+1,1))-AVERAGE(OFFSET($H$3,0,0,'Données projet'!$E$11+1,1))</f>
        <v>464.21202287459482</v>
      </c>
      <c r="BJ68" s="62">
        <f t="shared" si="38"/>
        <v>234.57880205159688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30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211.70000000000002</v>
      </c>
      <c r="BW68" s="13">
        <f>VLOOKUP(A68,'Données projet'!$A$113:$I$133,9,0)</f>
        <v>3.4400000000000035</v>
      </c>
      <c r="BX68" s="13">
        <f t="array" ref="BX68">INDEX(BW:BW,MIN(IF(ISNUMBER(BW68:BW264),ROW(BW68:BW264),"")))</f>
        <v>3.4400000000000035</v>
      </c>
      <c r="BY68" s="13">
        <f>IF('Données projet'!$A$114&gt;35,BY67+BX68-CG67,IF(A68&lt;'Données projet'!$A$114,$BV$205^A68,IF(A68='Données projet'!$A$114,'Données projet'!$B$114,BY67+BX68-CG67)))</f>
        <v>211.70000000000016</v>
      </c>
      <c r="BZ68" s="14">
        <f>BY68*VLOOKUP('Données projet'!$B$12,Paramètres!$A$1:$I$89,3,0)*VLOOKUP('Données projet'!$B$12,Paramètres!$A$1:$I$89,5,0)</f>
        <v>168.42852000000013</v>
      </c>
      <c r="CA68" s="14">
        <f t="shared" si="39"/>
        <v>42.737874332673222</v>
      </c>
      <c r="CB68" s="22">
        <f t="shared" ref="CB68:CB131" si="64">(BZ68+CA68)*0.475*44/12</f>
        <v>367.78147012940605</v>
      </c>
      <c r="CC68" s="62">
        <f t="shared" ref="CC68:CC131" si="65">CB68+(BT68+BU68)*44/12</f>
        <v>661.11480346273936</v>
      </c>
      <c r="CD68" s="62">
        <f ca="1">AVERAGE(OFFSET($CC$3,0,0,'Données projet'!$E$12+1,1))-AVERAGE(OFFSET($H$3,0,0,'Données projet'!$E$12+1,1))</f>
        <v>177.99876437322689</v>
      </c>
      <c r="CE68" s="62">
        <f t="shared" si="40"/>
        <v>165.68154380324592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17.700000000000003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8.3938461538461517</v>
      </c>
      <c r="CT68" s="13">
        <f>IF('Données projet'!$A$140&gt;35,CT67+CS68-DB67,IF(A68&lt;'Données projet'!$A$140,$CQ$205^A68,IF(A68='Données projet'!$A$140,'Données projet'!$B$140,CT67+CS68-DB67)))</f>
        <v>305.45076923076903</v>
      </c>
      <c r="CU68" s="18">
        <f>CT68*VLOOKUP('Données projet'!$B$13,Paramètres!$A$1:$I$89,3,0)*VLOOKUP('Données projet'!$B$13,Paramètres!$A$1:$I$89,5,0)</f>
        <v>170.74697999999989</v>
      </c>
      <c r="CV68" s="14">
        <f t="shared" si="41"/>
        <v>43.257279542911235</v>
      </c>
      <c r="CW68" s="22">
        <f t="shared" ref="CW68:CW131" si="67">(CU68+CV68)*0.475*44/12</f>
        <v>372.72408537057026</v>
      </c>
      <c r="CX68" s="62">
        <f t="shared" ref="CX68:CX131" si="68">CW68+(CO68+CP68)*44/12</f>
        <v>666.05741870390352</v>
      </c>
      <c r="CY68" s="62">
        <f ca="1">AVERAGE(OFFSET($CX$3,0,0,'Données projet'!$E$13+1,1))-AVERAGE(OFFSET($H$3,0,0,'Données projet'!$E$13+1,1))</f>
        <v>242.07451379051349</v>
      </c>
      <c r="CZ68" s="62">
        <f t="shared" si="42"/>
        <v>207.11607964940754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178.56320966726986</v>
      </c>
      <c r="DU68" s="62">
        <f t="shared" si="44"/>
        <v>272.06842551411739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2.9077166338418472</v>
      </c>
      <c r="EC68" s="23">
        <f>EXP(-LN(2)/2)*EC67+(1-EXP(-LN(2)/2))/(LN(2)/2)*DW68*DZ68*VLOOKUP('Données projet'!$B$14,Paramètres!$A$1:$I$89,3,0)*0.475*44/12</f>
        <v>8.9115673485252881E-5</v>
      </c>
      <c r="ED68" s="24">
        <f t="shared" ref="ED68:ED131" si="72">SUM(EA68:EC68)</f>
        <v>2.9078057495153327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288</v>
      </c>
      <c r="EH68" s="13">
        <f>VLOOKUP(A68,'Données projet'!$A$191:$I$211,9,0)</f>
        <v>6.2</v>
      </c>
      <c r="EI68" s="13">
        <f t="array" ref="EI68">INDEX(EH:EH,MIN(IF(ISNUMBER(EH68:EH264),ROW(EH68:EH264),"")))</f>
        <v>6.2</v>
      </c>
      <c r="EJ68" s="13">
        <f>IF('Données projet'!$A$192&gt;35,EJ67+EI68-ER67,IF(A68&lt;'Données projet'!$A$192,$EG$205^A68,IF(A68='Données projet'!$A$192,'Données projet'!$B$192,EJ67+EI68-ER67)))</f>
        <v>287.99999999999983</v>
      </c>
      <c r="EK68" s="18">
        <f>EJ68*VLOOKUP('Données projet'!$B$15,Paramètres!$A$1:$I$89,3,0)*VLOOKUP('Données projet'!$B$15,Paramètres!$A$1:$I$89,5,0)</f>
        <v>310.00319999999977</v>
      </c>
      <c r="EL68" s="14">
        <f t="shared" si="45"/>
        <v>73.269498458742788</v>
      </c>
      <c r="EM68" s="22">
        <f t="shared" ref="EM68:EM131" si="73">(EK68+EL68)*0.475*44/12</f>
        <v>667.53328314897647</v>
      </c>
      <c r="EN68" s="62">
        <f t="shared" ref="EN68:EN131" si="74">EM68+(EE68+EF68)*44/12</f>
        <v>960.86661648230984</v>
      </c>
      <c r="EO68" s="62">
        <f ca="1">AVERAGE(OFFSET($EN$3,0,0,'Données projet'!$E$15+1,1))-AVERAGE(OFFSET($H$3,0,0,'Données projet'!$E$15+1,1))</f>
        <v>479.87943647026646</v>
      </c>
      <c r="EP68" s="62">
        <f t="shared" si="46"/>
        <v>242.41363045393223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30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288</v>
      </c>
      <c r="FC68" s="13">
        <f>VLOOKUP(A68,'Données projet'!$A$217:$I$237,9,0)</f>
        <v>6.2</v>
      </c>
      <c r="FD68" s="13">
        <f t="array" ref="FD68">INDEX(FC:FC,MIN(IF(ISNUMBER(FC68:FC264),ROW(FC68:FC264),"")))</f>
        <v>6.2</v>
      </c>
      <c r="FE68" s="13">
        <f>IF('Données projet'!$A$218&gt;35,FE67+FD68-FM67,IF(A68&lt;'Données projet'!$A$218,$FB$205^A68,IF(A68='Données projet'!$A$218,'Données projet'!$B$218,FE67+FD68-FM67)))</f>
        <v>287.99999999999983</v>
      </c>
      <c r="FF68" s="18">
        <f>FE68*VLOOKUP('Données projet'!$B$16,Paramètres!$A$1:$I$89,3,0)*VLOOKUP('Données projet'!$B$16,Paramètres!$A$1:$I$89,5,0)</f>
        <v>278.55359999999985</v>
      </c>
      <c r="FG68" s="14">
        <f t="shared" si="47"/>
        <v>66.661250908095099</v>
      </c>
      <c r="FH68" s="22">
        <f t="shared" ref="FH68:FH131" si="76">(FF68+FG68)*0.475*44/12</f>
        <v>601.24919866493201</v>
      </c>
      <c r="FI68" s="62">
        <f t="shared" ref="FI68:FI131" si="77">FH68+(EZ68+FA68)*44/12</f>
        <v>894.58253199826527</v>
      </c>
      <c r="FJ68" s="62">
        <f ca="1">AVERAGE(OFFSET($FI$3,0,0,'Données projet'!$E$16+1,1))-AVERAGE(OFFSET($H$3,0,0,'Données projet'!$E$16+1,1))</f>
        <v>425.00152674093977</v>
      </c>
      <c r="FK68" s="62">
        <f t="shared" si="48"/>
        <v>214.96884469274687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30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10.7</v>
      </c>
      <c r="N69" s="14">
        <f>IF('Données projet'!$A$36&gt;35,N68+M69-V68,IF(A69&lt;'Données projet'!$A$36,$K$205^A69,IF(A69='Données projet'!$A$36,'Données projet'!$B$36,N68+M69-V68)))</f>
        <v>267.2</v>
      </c>
      <c r="O69" s="14">
        <f>N69*VLOOKUP('Données projet'!$B$9,Paramètres!$A$1:$I$89,3,0)*VLOOKUP('Données projet'!$B$9,Paramètres!$A$1:$I$89,5,0)</f>
        <v>128.5232</v>
      </c>
      <c r="P69" s="14">
        <f t="shared" ref="P69:P132" si="87">EXP(-1.0587+0.8836*LN(O69)+0.284)</f>
        <v>33.654887637825389</v>
      </c>
      <c r="Q69" s="22">
        <f t="shared" si="54"/>
        <v>282.46016930254592</v>
      </c>
      <c r="R69" s="62">
        <f t="shared" si="55"/>
        <v>575.79350263587924</v>
      </c>
      <c r="S69" s="62">
        <f ca="1">AVERAGE(OFFSET($R$3,0,0,'Données projet'!$E$9+1,1))-AVERAGE(OFFSET($H$3,0,0,'Données projet'!$E$9+1,1))</f>
        <v>179.22241276165141</v>
      </c>
      <c r="T69" s="62">
        <f t="shared" ref="T69:T132" si="88">$T$3</f>
        <v>86.510654589692876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7.7092307692307687</v>
      </c>
      <c r="AI69" s="14">
        <f>IF('Données projet'!$A$62&gt;35,AI68+AH69-AQ68,IF(A69&lt;'Données projet'!$A$62,$AF$205^A69,IF(A69='Données projet'!$A$62,'Données projet'!$B$62,AI68+AH69-AQ68)))</f>
        <v>271.48615384615385</v>
      </c>
      <c r="AJ69" s="14">
        <f>AI69*VLOOKUP('Données projet'!$B$10,Paramètres!$A$1:$I$89,3,0)*VLOOKUP('Données projet'!$B$10,Paramètres!$A$1:$I$89,5,0)</f>
        <v>162.34872000000001</v>
      </c>
      <c r="AK69" s="14">
        <f t="shared" ref="AK69:AK132" si="89">EXP(-1.0587+0.8836*LN(AJ69)+0.284)</f>
        <v>41.371825613040222</v>
      </c>
      <c r="AL69" s="22">
        <f t="shared" si="58"/>
        <v>354.8132836093784</v>
      </c>
      <c r="AM69" s="62">
        <f t="shared" si="59"/>
        <v>648.14661694271172</v>
      </c>
      <c r="AN69" s="62">
        <f ca="1">AVERAGE(OFFSET($AM$3,0,0,'Données projet'!$E$10+1,1))-AVERAGE(OFFSET($H$3,0,0,'Données projet'!$E$10+1,1))</f>
        <v>157.42757749057949</v>
      </c>
      <c r="AO69" s="62">
        <f t="shared" ref="AO69:AO132" si="90">$AO$3</f>
        <v>129.86070223892136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1.1744775738993171E-5</v>
      </c>
      <c r="AX69" s="23">
        <f t="shared" si="60"/>
        <v>1.1744775738993171E-5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</v>
      </c>
      <c r="BD69" s="13">
        <f>IF('Données projet'!$A$88&gt;35,BD68+BC69-BL68,IF(A69&lt;'Données projet'!$A$88,$BA$205^A69,IF(A69='Données projet'!$A$88,'Données projet'!$B$88,BD68+BC69-BL68)))</f>
        <v>263.99999999999983</v>
      </c>
      <c r="BE69" s="14">
        <f>BD69*VLOOKUP('Données projet'!$B$11,Paramètres!$A$1:$I$89,3,0)*VLOOKUP('Données projet'!$B$11,Paramètres!$A$1:$I$89,5,0)</f>
        <v>275.93279999999987</v>
      </c>
      <c r="BF69" s="14">
        <f t="shared" ref="BF69:BF132" si="91">EXP(-1.0587+0.8836*LN(BE69)+0.284)</f>
        <v>66.106762012556132</v>
      </c>
      <c r="BG69" s="22">
        <f t="shared" si="61"/>
        <v>595.71890383853497</v>
      </c>
      <c r="BH69" s="62">
        <f t="shared" si="62"/>
        <v>889.05223717186823</v>
      </c>
      <c r="BI69" s="62">
        <f ca="1">AVERAGE(OFFSET($BH$3,0,0,'Données projet'!$E$11+1,1))-AVERAGE(OFFSET($H$3,0,0,'Données projet'!$E$11+1,1))</f>
        <v>464.21202287459482</v>
      </c>
      <c r="BJ69" s="62">
        <f t="shared" ref="BJ69:BJ132" si="92">$BJ$3</f>
        <v>234.57880205159688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2.919999999999999</v>
      </c>
      <c r="BY69" s="13">
        <f>IF('Données projet'!$A$114&gt;35,BY68+BX69-CG68,IF(A69&lt;'Données projet'!$A$114,$BV$205^A69,IF(A69='Données projet'!$A$114,'Données projet'!$B$114,BY68+BX69-CG68)))</f>
        <v>196.92000000000013</v>
      </c>
      <c r="BZ69" s="14">
        <f>BY69*VLOOKUP('Données projet'!$B$12,Paramètres!$A$1:$I$89,3,0)*VLOOKUP('Données projet'!$B$12,Paramètres!$A$1:$I$89,5,0)</f>
        <v>156.6695520000001</v>
      </c>
      <c r="CA69" s="14">
        <f t="shared" ref="CA69:CA132" si="93">EXP(-1.0587+0.8836*LN(BZ69)+0.284)</f>
        <v>40.090406404377902</v>
      </c>
      <c r="CB69" s="22">
        <f t="shared" si="64"/>
        <v>342.69026088762502</v>
      </c>
      <c r="CC69" s="62">
        <f t="shared" si="65"/>
        <v>636.02359422095833</v>
      </c>
      <c r="CD69" s="62">
        <f ca="1">AVERAGE(OFFSET($CC$3,0,0,'Données projet'!$E$12+1,1))-AVERAGE(OFFSET($H$3,0,0,'Données projet'!$E$12+1,1))</f>
        <v>177.99876437322689</v>
      </c>
      <c r="CE69" s="62">
        <f t="shared" ref="CE69:CE132" si="94">$CE$3</f>
        <v>165.68154380324592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8.3938461538461517</v>
      </c>
      <c r="CT69" s="13">
        <f>IF('Données projet'!$A$140&gt;35,CT68+CS69-DB68,IF(A69&lt;'Données projet'!$A$140,$CQ$205^A69,IF(A69='Données projet'!$A$140,'Données projet'!$B$140,CT68+CS69-DB68)))</f>
        <v>313.84461538461517</v>
      </c>
      <c r="CU69" s="18">
        <f>CT69*VLOOKUP('Données projet'!$B$13,Paramètres!$A$1:$I$89,3,0)*VLOOKUP('Données projet'!$B$13,Paramètres!$A$1:$I$89,5,0)</f>
        <v>175.43913999999987</v>
      </c>
      <c r="CV69" s="14">
        <f t="shared" ref="CV69:CV132" si="95">EXP(-1.0587+0.8836*LN(CU69)+0.284)</f>
        <v>44.305968177121578</v>
      </c>
      <c r="CW69" s="22">
        <f t="shared" si="67"/>
        <v>382.72273007515315</v>
      </c>
      <c r="CX69" s="62">
        <f t="shared" si="68"/>
        <v>676.05606340848647</v>
      </c>
      <c r="CY69" s="62">
        <f ca="1">AVERAGE(OFFSET($CX$3,0,0,'Données projet'!$E$13+1,1))-AVERAGE(OFFSET($H$3,0,0,'Données projet'!$E$13+1,1))</f>
        <v>242.07451379051349</v>
      </c>
      <c r="CZ69" s="62">
        <f t="shared" ref="CZ69:CZ132" si="96">$CZ$3</f>
        <v>207.11607964940754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178.56320966726986</v>
      </c>
      <c r="DU69" s="62">
        <f t="shared" ref="DU69:DU132" si="98">$DU$3</f>
        <v>272.06842551411739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2.8282049695792697</v>
      </c>
      <c r="EC69" s="23">
        <f>EXP(-LN(2)/2)*EC68+(1-EXP(-LN(2)/2))/(LN(2)/2)*DW69*DZ69*VLOOKUP('Données projet'!$B$14,Paramètres!$A$1:$I$89,3,0)*0.475*44/12</f>
        <v>6.3014297031428523E-5</v>
      </c>
      <c r="ED69" s="24">
        <f t="shared" si="72"/>
        <v>2.8282679838763012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</v>
      </c>
      <c r="EJ69" s="13">
        <f>IF('Données projet'!$A$192&gt;35,EJ68+EI69-ER68,IF(A69&lt;'Données projet'!$A$192,$EG$205^A69,IF(A69='Données projet'!$A$192,'Données projet'!$B$192,EJ68+EI69-ER68)))</f>
        <v>263.99999999999983</v>
      </c>
      <c r="EK69" s="18">
        <f>EJ69*VLOOKUP('Données projet'!$B$15,Paramètres!$A$1:$I$89,3,0)*VLOOKUP('Données projet'!$B$15,Paramètres!$A$1:$I$89,5,0)</f>
        <v>284.16959999999978</v>
      </c>
      <c r="EL69" s="14">
        <f t="shared" ref="EL69:EL132" si="99">EXP(-1.0587+0.8836*LN(EK69)+0.284)</f>
        <v>67.847405740313874</v>
      </c>
      <c r="EM69" s="22">
        <f t="shared" si="73"/>
        <v>613.09628499771293</v>
      </c>
      <c r="EN69" s="62">
        <f t="shared" si="74"/>
        <v>906.42961833104619</v>
      </c>
      <c r="EO69" s="62">
        <f ca="1">AVERAGE(OFFSET($EN$3,0,0,'Données projet'!$E$15+1,1))-AVERAGE(OFFSET($H$3,0,0,'Données projet'!$E$15+1,1))</f>
        <v>479.87943647026646</v>
      </c>
      <c r="EP69" s="62">
        <f t="shared" ref="EP69:EP132" si="100">$EP$3</f>
        <v>242.41363045393223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</v>
      </c>
      <c r="FE69" s="13">
        <f>IF('Données projet'!$A$218&gt;35,FE68+FD69-FM68,IF(A69&lt;'Données projet'!$A$218,$FB$205^A69,IF(A69='Données projet'!$A$218,'Données projet'!$B$218,FE68+FD69-FM68)))</f>
        <v>263.99999999999983</v>
      </c>
      <c r="FF69" s="18">
        <f>FE69*VLOOKUP('Données projet'!$B$16,Paramètres!$A$1:$I$89,3,0)*VLOOKUP('Données projet'!$B$16,Paramètres!$A$1:$I$89,5,0)</f>
        <v>255.34079999999983</v>
      </c>
      <c r="FG69" s="14">
        <f t="shared" ref="FG69:FG132" si="101">EXP(-1.0587+0.8836*LN(FF69)+0.284)</f>
        <v>61.728182021951838</v>
      </c>
      <c r="FH69" s="22">
        <f t="shared" si="76"/>
        <v>552.22847702156571</v>
      </c>
      <c r="FI69" s="62">
        <f t="shared" si="77"/>
        <v>845.56181035489908</v>
      </c>
      <c r="FJ69" s="62">
        <f ca="1">AVERAGE(OFFSET($FI$3,0,0,'Données projet'!$E$16+1,1))-AVERAGE(OFFSET($H$3,0,0,'Données projet'!$E$16+1,1))</f>
        <v>425.00152674093977</v>
      </c>
      <c r="FK69" s="62">
        <f t="shared" ref="FK69:FK132" si="102">$FK$3</f>
        <v>214.96884469274687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10.7</v>
      </c>
      <c r="N70" s="14">
        <f>IF('Données projet'!$A$36&gt;35,N69+M70-V69,IF(A70&lt;'Données projet'!$A$36,$K$205^A70,IF(A70='Données projet'!$A$36,'Données projet'!$B$36,N69+M70-V69)))</f>
        <v>277.89999999999998</v>
      </c>
      <c r="O70" s="14">
        <f>N70*VLOOKUP('Données projet'!$B$9,Paramètres!$A$1:$I$89,3,0)*VLOOKUP('Données projet'!$B$9,Paramètres!$A$1:$I$89,5,0)</f>
        <v>133.66989999999998</v>
      </c>
      <c r="P70" s="14">
        <f t="shared" si="87"/>
        <v>34.842986631043637</v>
      </c>
      <c r="Q70" s="22">
        <f t="shared" si="54"/>
        <v>293.49327754906761</v>
      </c>
      <c r="R70" s="62">
        <f t="shared" si="55"/>
        <v>586.82661088240093</v>
      </c>
      <c r="S70" s="62">
        <f ca="1">AVERAGE(OFFSET($R$3,0,0,'Données projet'!$E$9+1,1))-AVERAGE(OFFSET($H$3,0,0,'Données projet'!$E$9+1,1))</f>
        <v>179.22241276165141</v>
      </c>
      <c r="T70" s="62">
        <f t="shared" si="88"/>
        <v>86.510654589692876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7.7092307692307687</v>
      </c>
      <c r="AI70" s="14">
        <f>IF('Données projet'!$A$62&gt;35,AI69+AH70-AQ69,IF(A70&lt;'Données projet'!$A$62,$AF$205^A70,IF(A70='Données projet'!$A$62,'Données projet'!$B$62,AI69+AH70-AQ69)))</f>
        <v>279.19538461538463</v>
      </c>
      <c r="AJ70" s="14">
        <f>AI70*VLOOKUP('Données projet'!$B$10,Paramètres!$A$1:$I$89,3,0)*VLOOKUP('Données projet'!$B$10,Paramètres!$A$1:$I$89,5,0)</f>
        <v>166.95884000000001</v>
      </c>
      <c r="AK70" s="14">
        <f t="shared" si="89"/>
        <v>42.408190998621166</v>
      </c>
      <c r="AL70" s="22">
        <f t="shared" si="58"/>
        <v>364.64757898926518</v>
      </c>
      <c r="AM70" s="62">
        <f t="shared" si="59"/>
        <v>657.98091232259844</v>
      </c>
      <c r="AN70" s="62">
        <f ca="1">AVERAGE(OFFSET($AM$3,0,0,'Données projet'!$E$10+1,1))-AVERAGE(OFFSET($H$3,0,0,'Données projet'!$E$10+1,1))</f>
        <v>157.42757749057949</v>
      </c>
      <c r="AO70" s="62">
        <f t="shared" si="90"/>
        <v>129.86070223892136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8.3048105685573162E-6</v>
      </c>
      <c r="AX70" s="23">
        <f t="shared" si="60"/>
        <v>8.3048105685573162E-6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</v>
      </c>
      <c r="BD70" s="13">
        <f>IF('Données projet'!$A$88&gt;35,BD69+BC70-BL69,IF(A70&lt;'Données projet'!$A$88,$BA$205^A70,IF(A70='Données projet'!$A$88,'Données projet'!$B$88,BD69+BC70-BL69)))</f>
        <v>269.99999999999983</v>
      </c>
      <c r="BE70" s="14">
        <f>BD70*VLOOKUP('Données projet'!$B$11,Paramètres!$A$1:$I$89,3,0)*VLOOKUP('Données projet'!$B$11,Paramètres!$A$1:$I$89,5,0)</f>
        <v>282.20399999999984</v>
      </c>
      <c r="BF70" s="14">
        <f t="shared" si="91"/>
        <v>67.432564684485129</v>
      </c>
      <c r="BG70" s="22">
        <f t="shared" si="61"/>
        <v>608.95035015881115</v>
      </c>
      <c r="BH70" s="62">
        <f t="shared" si="62"/>
        <v>902.28368349214452</v>
      </c>
      <c r="BI70" s="62">
        <f ca="1">AVERAGE(OFFSET($BH$3,0,0,'Données projet'!$E$11+1,1))-AVERAGE(OFFSET($H$3,0,0,'Données projet'!$E$11+1,1))</f>
        <v>464.21202287459482</v>
      </c>
      <c r="BJ70" s="62">
        <f t="shared" si="92"/>
        <v>234.57880205159688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2.919999999999999</v>
      </c>
      <c r="BY70" s="13">
        <f>IF('Données projet'!$A$114&gt;35,BY69+BX70-CG69,IF(A70&lt;'Données projet'!$A$114,$BV$205^A70,IF(A70='Données projet'!$A$114,'Données projet'!$B$114,BY69+BX70-CG69)))</f>
        <v>199.84000000000012</v>
      </c>
      <c r="BZ70" s="14">
        <f>BY70*VLOOKUP('Données projet'!$B$12,Paramètres!$A$1:$I$89,3,0)*VLOOKUP('Données projet'!$B$12,Paramètres!$A$1:$I$89,5,0)</f>
        <v>158.99270400000009</v>
      </c>
      <c r="CA70" s="14">
        <f t="shared" si="93"/>
        <v>40.615233540121359</v>
      </c>
      <c r="CB70" s="22">
        <f t="shared" si="64"/>
        <v>347.6504912157115</v>
      </c>
      <c r="CC70" s="62">
        <f t="shared" si="65"/>
        <v>640.98382454904481</v>
      </c>
      <c r="CD70" s="62">
        <f ca="1">AVERAGE(OFFSET($CC$3,0,0,'Données projet'!$E$12+1,1))-AVERAGE(OFFSET($H$3,0,0,'Données projet'!$E$12+1,1))</f>
        <v>177.99876437322689</v>
      </c>
      <c r="CE70" s="62">
        <f t="shared" si="94"/>
        <v>165.68154380324592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8.3938461538461517</v>
      </c>
      <c r="CT70" s="13">
        <f>IF('Données projet'!$A$140&gt;35,CT69+CS70-DB69,IF(A70&lt;'Données projet'!$A$140,$CQ$205^A70,IF(A70='Données projet'!$A$140,'Données projet'!$B$140,CT69+CS70-DB69)))</f>
        <v>322.23846153846131</v>
      </c>
      <c r="CU70" s="18">
        <f>CT70*VLOOKUP('Données projet'!$B$13,Paramètres!$A$1:$I$89,3,0)*VLOOKUP('Données projet'!$B$13,Paramètres!$A$1:$I$89,5,0)</f>
        <v>180.1312999999999</v>
      </c>
      <c r="CV70" s="14">
        <f t="shared" si="95"/>
        <v>45.351396757692228</v>
      </c>
      <c r="CW70" s="22">
        <f t="shared" si="67"/>
        <v>392.71569685298044</v>
      </c>
      <c r="CX70" s="62">
        <f t="shared" si="68"/>
        <v>686.04903018631376</v>
      </c>
      <c r="CY70" s="62">
        <f ca="1">AVERAGE(OFFSET($CX$3,0,0,'Données projet'!$E$13+1,1))-AVERAGE(OFFSET($H$3,0,0,'Données projet'!$E$13+1,1))</f>
        <v>242.07451379051349</v>
      </c>
      <c r="CZ70" s="62">
        <f t="shared" si="96"/>
        <v>207.11607964940754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178.56320966726986</v>
      </c>
      <c r="DU70" s="62">
        <f t="shared" si="98"/>
        <v>272.06842551411739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2.750867555957289</v>
      </c>
      <c r="EC70" s="23">
        <f>EXP(-LN(2)/2)*EC69+(1-EXP(-LN(2)/2))/(LN(2)/2)*DW70*DZ70*VLOOKUP('Données projet'!$B$14,Paramètres!$A$1:$I$89,3,0)*0.475*44/12</f>
        <v>4.455783674262644E-5</v>
      </c>
      <c r="ED70" s="24">
        <f t="shared" si="72"/>
        <v>2.7509121137940316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</v>
      </c>
      <c r="EJ70" s="13">
        <f>IF('Données projet'!$A$192&gt;35,EJ69+EI70-ER69,IF(A70&lt;'Données projet'!$A$192,$EG$205^A70,IF(A70='Données projet'!$A$192,'Données projet'!$B$192,EJ69+EI70-ER69)))</f>
        <v>269.99999999999983</v>
      </c>
      <c r="EK70" s="18">
        <f>EJ70*VLOOKUP('Données projet'!$B$15,Paramètres!$A$1:$I$89,3,0)*VLOOKUP('Données projet'!$B$15,Paramètres!$A$1:$I$89,5,0)</f>
        <v>290.62799999999982</v>
      </c>
      <c r="EL70" s="14">
        <f t="shared" si="99"/>
        <v>69.208117853196882</v>
      </c>
      <c r="EM70" s="22">
        <f t="shared" si="73"/>
        <v>626.71457192765092</v>
      </c>
      <c r="EN70" s="62">
        <f t="shared" si="74"/>
        <v>920.04790526098418</v>
      </c>
      <c r="EO70" s="62">
        <f ca="1">AVERAGE(OFFSET($EN$3,0,0,'Données projet'!$E$15+1,1))-AVERAGE(OFFSET($H$3,0,0,'Données projet'!$E$15+1,1))</f>
        <v>479.87943647026646</v>
      </c>
      <c r="EP70" s="62">
        <f t="shared" si="100"/>
        <v>242.41363045393223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</v>
      </c>
      <c r="FE70" s="13">
        <f>IF('Données projet'!$A$218&gt;35,FE69+FD70-FM69,IF(A70&lt;'Données projet'!$A$218,$FB$205^A70,IF(A70='Données projet'!$A$218,'Données projet'!$B$218,FE69+FD70-FM69)))</f>
        <v>269.99999999999983</v>
      </c>
      <c r="FF70" s="18">
        <f>FE70*VLOOKUP('Données projet'!$B$16,Paramètres!$A$1:$I$89,3,0)*VLOOKUP('Données projet'!$B$16,Paramètres!$A$1:$I$89,5,0)</f>
        <v>261.14399999999983</v>
      </c>
      <c r="FG70" s="14">
        <f t="shared" si="101"/>
        <v>62.966170181808813</v>
      </c>
      <c r="FH70" s="22">
        <f t="shared" si="76"/>
        <v>564.49187973331675</v>
      </c>
      <c r="FI70" s="62">
        <f t="shared" si="77"/>
        <v>857.82521306665012</v>
      </c>
      <c r="FJ70" s="62">
        <f ca="1">AVERAGE(OFFSET($FI$3,0,0,'Données projet'!$E$16+1,1))-AVERAGE(OFFSET($H$3,0,0,'Données projet'!$E$16+1,1))</f>
        <v>425.00152674093977</v>
      </c>
      <c r="FK70" s="62">
        <f t="shared" si="102"/>
        <v>214.96884469274687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10.7</v>
      </c>
      <c r="N71" s="14">
        <f>IF('Données projet'!$A$36&gt;35,N70+M71-V70,IF(A71&lt;'Données projet'!$A$36,$K$205^A71,IF(A71='Données projet'!$A$36,'Données projet'!$B$36,N70+M71-V70)))</f>
        <v>288.59999999999997</v>
      </c>
      <c r="O71" s="14">
        <f>N71*VLOOKUP('Données projet'!$B$9,Paramètres!$A$1:$I$89,3,0)*VLOOKUP('Données projet'!$B$9,Paramètres!$A$1:$I$89,5,0)</f>
        <v>138.81659999999999</v>
      </c>
      <c r="P71" s="14">
        <f t="shared" si="87"/>
        <v>36.025771381937396</v>
      </c>
      <c r="Q71" s="22">
        <f t="shared" si="54"/>
        <v>304.51713015687432</v>
      </c>
      <c r="R71" s="62">
        <f t="shared" si="55"/>
        <v>597.85046349020763</v>
      </c>
      <c r="S71" s="62">
        <f ca="1">AVERAGE(OFFSET($R$3,0,0,'Données projet'!$E$9+1,1))-AVERAGE(OFFSET($H$3,0,0,'Données projet'!$E$9+1,1))</f>
        <v>179.22241276165141</v>
      </c>
      <c r="T71" s="62">
        <f t="shared" si="88"/>
        <v>86.510654589692876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7.7092307692307687</v>
      </c>
      <c r="AI71" s="14">
        <f>IF('Données projet'!$A$62&gt;35,AI70+AH71-AQ70,IF(A71&lt;'Données projet'!$A$62,$AF$205^A71,IF(A71='Données projet'!$A$62,'Données projet'!$B$62,AI70+AH71-AQ70)))</f>
        <v>286.9046153846154</v>
      </c>
      <c r="AJ71" s="14">
        <f>AI71*VLOOKUP('Données projet'!$B$10,Paramètres!$A$1:$I$89,3,0)*VLOOKUP('Données projet'!$B$10,Paramètres!$A$1:$I$89,5,0)</f>
        <v>171.56896000000003</v>
      </c>
      <c r="AK71" s="14">
        <f t="shared" si="89"/>
        <v>43.441230330395015</v>
      </c>
      <c r="AL71" s="22">
        <f t="shared" si="58"/>
        <v>374.4760814921047</v>
      </c>
      <c r="AM71" s="62">
        <f t="shared" si="59"/>
        <v>667.80941482543801</v>
      </c>
      <c r="AN71" s="62">
        <f ca="1">AVERAGE(OFFSET($AM$3,0,0,'Données projet'!$E$10+1,1))-AVERAGE(OFFSET($H$3,0,0,'Données projet'!$E$10+1,1))</f>
        <v>157.42757749057949</v>
      </c>
      <c r="AO71" s="62">
        <f t="shared" si="90"/>
        <v>129.86070223892136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5.8723878694965856E-6</v>
      </c>
      <c r="AX71" s="23">
        <f t="shared" si="60"/>
        <v>5.8723878694965856E-6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</v>
      </c>
      <c r="BD71" s="13">
        <f>IF('Données projet'!$A$88&gt;35,BD70+BC71-BL70,IF(A71&lt;'Données projet'!$A$88,$BA$205^A71,IF(A71='Données projet'!$A$88,'Données projet'!$B$88,BD70+BC71-BL70)))</f>
        <v>275.99999999999983</v>
      </c>
      <c r="BE71" s="14">
        <f>BD71*VLOOKUP('Données projet'!$B$11,Paramètres!$A$1:$I$89,3,0)*VLOOKUP('Données projet'!$B$11,Paramètres!$A$1:$I$89,5,0)</f>
        <v>288.47519999999986</v>
      </c>
      <c r="BF71" s="14">
        <f t="shared" si="91"/>
        <v>68.754942080410785</v>
      </c>
      <c r="BG71" s="22">
        <f t="shared" si="61"/>
        <v>622.17583079004851</v>
      </c>
      <c r="BH71" s="62">
        <f t="shared" si="62"/>
        <v>915.50916412338188</v>
      </c>
      <c r="BI71" s="62">
        <f ca="1">AVERAGE(OFFSET($BH$3,0,0,'Données projet'!$E$11+1,1))-AVERAGE(OFFSET($H$3,0,0,'Données projet'!$E$11+1,1))</f>
        <v>464.21202287459482</v>
      </c>
      <c r="BJ71" s="62">
        <f t="shared" si="92"/>
        <v>234.57880205159688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2.919999999999999</v>
      </c>
      <c r="BY71" s="13">
        <f>IF('Données projet'!$A$114&gt;35,BY70+BX71-CG70,IF(A71&lt;'Données projet'!$A$114,$BV$205^A71,IF(A71='Données projet'!$A$114,'Données projet'!$B$114,BY70+BX71-CG70)))</f>
        <v>202.7600000000001</v>
      </c>
      <c r="BZ71" s="14">
        <f>BY71*VLOOKUP('Données projet'!$B$12,Paramètres!$A$1:$I$89,3,0)*VLOOKUP('Données projet'!$B$12,Paramètres!$A$1:$I$89,5,0)</f>
        <v>161.31585600000011</v>
      </c>
      <c r="CA71" s="14">
        <f t="shared" si="93"/>
        <v>41.139168774638463</v>
      </c>
      <c r="CB71" s="22">
        <f t="shared" si="64"/>
        <v>352.60916814916209</v>
      </c>
      <c r="CC71" s="62">
        <f t="shared" si="65"/>
        <v>645.94250148249535</v>
      </c>
      <c r="CD71" s="62">
        <f ca="1">AVERAGE(OFFSET($CC$3,0,0,'Données projet'!$E$12+1,1))-AVERAGE(OFFSET($H$3,0,0,'Données projet'!$E$12+1,1))</f>
        <v>177.99876437322689</v>
      </c>
      <c r="CE71" s="62">
        <f t="shared" si="94"/>
        <v>165.68154380324592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8.3938461538461517</v>
      </c>
      <c r="CT71" s="13">
        <f>IF('Données projet'!$A$140&gt;35,CT70+CS71-DB70,IF(A71&lt;'Données projet'!$A$140,$CQ$205^A71,IF(A71='Données projet'!$A$140,'Données projet'!$B$140,CT70+CS71-DB70)))</f>
        <v>330.63230769230745</v>
      </c>
      <c r="CU71" s="18">
        <f>CT71*VLOOKUP('Données projet'!$B$13,Paramètres!$A$1:$I$89,3,0)*VLOOKUP('Données projet'!$B$13,Paramètres!$A$1:$I$89,5,0)</f>
        <v>184.82345999999984</v>
      </c>
      <c r="CV71" s="14">
        <f t="shared" si="95"/>
        <v>46.393659967051107</v>
      </c>
      <c r="CW71" s="22">
        <f t="shared" si="67"/>
        <v>402.70315060928039</v>
      </c>
      <c r="CX71" s="62">
        <f t="shared" si="68"/>
        <v>696.0364839426137</v>
      </c>
      <c r="CY71" s="62">
        <f ca="1">AVERAGE(OFFSET($CX$3,0,0,'Données projet'!$E$13+1,1))-AVERAGE(OFFSET($H$3,0,0,'Données projet'!$E$13+1,1))</f>
        <v>242.07451379051349</v>
      </c>
      <c r="CZ71" s="62">
        <f t="shared" si="96"/>
        <v>207.11607964940754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178.56320966726986</v>
      </c>
      <c r="DU71" s="62">
        <f t="shared" si="98"/>
        <v>272.06842551411739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2.6756449379777996</v>
      </c>
      <c r="EC71" s="23">
        <f>EXP(-LN(2)/2)*EC70+(1-EXP(-LN(2)/2))/(LN(2)/2)*DW71*DZ71*VLOOKUP('Données projet'!$B$14,Paramètres!$A$1:$I$89,3,0)*0.475*44/12</f>
        <v>3.1507148515714262E-5</v>
      </c>
      <c r="ED71" s="24">
        <f t="shared" si="72"/>
        <v>2.6756764451263151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</v>
      </c>
      <c r="EJ71" s="13">
        <f>IF('Données projet'!$A$192&gt;35,EJ70+EI71-ER70,IF(A71&lt;'Données projet'!$A$192,$EG$205^A71,IF(A71='Données projet'!$A$192,'Données projet'!$B$192,EJ70+EI71-ER70)))</f>
        <v>275.99999999999983</v>
      </c>
      <c r="EK71" s="18">
        <f>EJ71*VLOOKUP('Données projet'!$B$15,Paramètres!$A$1:$I$89,3,0)*VLOOKUP('Données projet'!$B$15,Paramètres!$A$1:$I$89,5,0)</f>
        <v>297.0863999999998</v>
      </c>
      <c r="EL71" s="14">
        <f t="shared" si="99"/>
        <v>70.565314499829583</v>
      </c>
      <c r="EM71" s="22">
        <f t="shared" si="73"/>
        <v>640.32673608720279</v>
      </c>
      <c r="EN71" s="62">
        <f t="shared" si="74"/>
        <v>933.66006942053605</v>
      </c>
      <c r="EO71" s="62">
        <f ca="1">AVERAGE(OFFSET($EN$3,0,0,'Données projet'!$E$15+1,1))-AVERAGE(OFFSET($H$3,0,0,'Données projet'!$E$15+1,1))</f>
        <v>479.87943647026646</v>
      </c>
      <c r="EP71" s="62">
        <f t="shared" si="100"/>
        <v>242.41363045393223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</v>
      </c>
      <c r="FE71" s="13">
        <f>IF('Données projet'!$A$218&gt;35,FE70+FD71-FM70,IF(A71&lt;'Données projet'!$A$218,$FB$205^A71,IF(A71='Données projet'!$A$218,'Données projet'!$B$218,FE70+FD71-FM70)))</f>
        <v>275.99999999999983</v>
      </c>
      <c r="FF71" s="18">
        <f>FE71*VLOOKUP('Données projet'!$B$16,Paramètres!$A$1:$I$89,3,0)*VLOOKUP('Données projet'!$B$16,Paramètres!$A$1:$I$89,5,0)</f>
        <v>266.94719999999984</v>
      </c>
      <c r="FG71" s="14">
        <f t="shared" si="101"/>
        <v>64.200959938746379</v>
      </c>
      <c r="FH71" s="22">
        <f t="shared" si="76"/>
        <v>576.74971189331632</v>
      </c>
      <c r="FI71" s="62">
        <f t="shared" si="77"/>
        <v>870.08304522664957</v>
      </c>
      <c r="FJ71" s="62">
        <f ca="1">AVERAGE(OFFSET($FI$3,0,0,'Données projet'!$E$16+1,1))-AVERAGE(OFFSET($H$3,0,0,'Données projet'!$E$16+1,1))</f>
        <v>425.00152674093977</v>
      </c>
      <c r="FK71" s="62">
        <f t="shared" si="102"/>
        <v>214.96884469274687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10.7</v>
      </c>
      <c r="N72" s="14">
        <f>IF('Données projet'!$A$36&gt;35,N71+M72-V71,IF(A72&lt;'Données projet'!$A$36,$K$205^A72,IF(A72='Données projet'!$A$36,'Données projet'!$B$36,N71+M72-V71)))</f>
        <v>299.29999999999995</v>
      </c>
      <c r="O72" s="14">
        <f>N72*VLOOKUP('Données projet'!$B$9,Paramètres!$A$1:$I$89,3,0)*VLOOKUP('Données projet'!$B$9,Paramètres!$A$1:$I$89,5,0)</f>
        <v>143.96329999999998</v>
      </c>
      <c r="P72" s="14">
        <f t="shared" si="87"/>
        <v>37.203461481418849</v>
      </c>
      <c r="Q72" s="22">
        <f t="shared" si="54"/>
        <v>315.53210958013779</v>
      </c>
      <c r="R72" s="62">
        <f t="shared" si="55"/>
        <v>608.86544291347104</v>
      </c>
      <c r="S72" s="62">
        <f ca="1">AVERAGE(OFFSET($R$3,0,0,'Données projet'!$E$9+1,1))-AVERAGE(OFFSET($H$3,0,0,'Données projet'!$E$9+1,1))</f>
        <v>179.22241276165141</v>
      </c>
      <c r="T72" s="62">
        <f t="shared" si="88"/>
        <v>86.510654589692876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7.7092307692307687</v>
      </c>
      <c r="AI72" s="14">
        <f>IF('Données projet'!$A$62&gt;35,AI71+AH72-AQ71,IF(A72&lt;'Données projet'!$A$62,$AF$205^A72,IF(A72='Données projet'!$A$62,'Données projet'!$B$62,AI71+AH72-AQ71)))</f>
        <v>294.61384615384617</v>
      </c>
      <c r="AJ72" s="14">
        <f>AI72*VLOOKUP('Données projet'!$B$10,Paramètres!$A$1:$I$89,3,0)*VLOOKUP('Données projet'!$B$10,Paramètres!$A$1:$I$89,5,0)</f>
        <v>176.17908000000003</v>
      </c>
      <c r="AK72" s="14">
        <f t="shared" si="89"/>
        <v>44.471043251970045</v>
      </c>
      <c r="AL72" s="22">
        <f t="shared" si="58"/>
        <v>384.29896466384781</v>
      </c>
      <c r="AM72" s="62">
        <f t="shared" si="59"/>
        <v>677.63229799718113</v>
      </c>
      <c r="AN72" s="62">
        <f ca="1">AVERAGE(OFFSET($AM$3,0,0,'Données projet'!$E$10+1,1))-AVERAGE(OFFSET($H$3,0,0,'Données projet'!$E$10+1,1))</f>
        <v>157.42757749057949</v>
      </c>
      <c r="AO72" s="62">
        <f t="shared" si="90"/>
        <v>129.86070223892136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4.1524052842786581E-6</v>
      </c>
      <c r="AX72" s="23">
        <f t="shared" si="60"/>
        <v>4.1524052842786581E-6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</v>
      </c>
      <c r="BD72" s="13">
        <f>IF('Données projet'!$A$88&gt;35,BD71+BC72-BL71,IF(A72&lt;'Données projet'!$A$88,$BA$205^A72,IF(A72='Données projet'!$A$88,'Données projet'!$B$88,BD71+BC72-BL71)))</f>
        <v>281.99999999999983</v>
      </c>
      <c r="BE72" s="14">
        <f>BD72*VLOOKUP('Données projet'!$B$11,Paramètres!$A$1:$I$89,3,0)*VLOOKUP('Données projet'!$B$11,Paramètres!$A$1:$I$89,5,0)</f>
        <v>294.74639999999982</v>
      </c>
      <c r="BF72" s="14">
        <f t="shared" si="91"/>
        <v>70.073977238414741</v>
      </c>
      <c r="BG72" s="22">
        <f t="shared" si="61"/>
        <v>635.39549035690527</v>
      </c>
      <c r="BH72" s="62">
        <f t="shared" si="62"/>
        <v>928.72882369023864</v>
      </c>
      <c r="BI72" s="62">
        <f ca="1">AVERAGE(OFFSET($BH$3,0,0,'Données projet'!$E$11+1,1))-AVERAGE(OFFSET($H$3,0,0,'Données projet'!$E$11+1,1))</f>
        <v>464.21202287459482</v>
      </c>
      <c r="BJ72" s="62">
        <f t="shared" si="92"/>
        <v>234.57880205159688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2.919999999999999</v>
      </c>
      <c r="BY72" s="13">
        <f>IF('Données projet'!$A$114&gt;35,BY71+BX72-CG71,IF(A72&lt;'Données projet'!$A$114,$BV$205^A72,IF(A72='Données projet'!$A$114,'Données projet'!$B$114,BY71+BX72-CG71)))</f>
        <v>205.68000000000009</v>
      </c>
      <c r="BZ72" s="14">
        <f>BY72*VLOOKUP('Données projet'!$B$12,Paramètres!$A$1:$I$89,3,0)*VLOOKUP('Données projet'!$B$12,Paramètres!$A$1:$I$89,5,0)</f>
        <v>163.6390080000001</v>
      </c>
      <c r="CA72" s="14">
        <f t="shared" si="93"/>
        <v>41.662226436518054</v>
      </c>
      <c r="CB72" s="22">
        <f t="shared" si="64"/>
        <v>357.56631664360242</v>
      </c>
      <c r="CC72" s="62">
        <f t="shared" si="65"/>
        <v>650.89964997693573</v>
      </c>
      <c r="CD72" s="62">
        <f ca="1">AVERAGE(OFFSET($CC$3,0,0,'Données projet'!$E$12+1,1))-AVERAGE(OFFSET($H$3,0,0,'Données projet'!$E$12+1,1))</f>
        <v>177.99876437322689</v>
      </c>
      <c r="CE72" s="62">
        <f t="shared" si="94"/>
        <v>165.68154380324592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8.3938461538461517</v>
      </c>
      <c r="CT72" s="13">
        <f>IF('Données projet'!$A$140&gt;35,CT71+CS72-DB71,IF(A72&lt;'Données projet'!$A$140,$CQ$205^A72,IF(A72='Données projet'!$A$140,'Données projet'!$B$140,CT71+CS72-DB71)))</f>
        <v>339.02615384615359</v>
      </c>
      <c r="CU72" s="18">
        <f>CT72*VLOOKUP('Données projet'!$B$13,Paramètres!$A$1:$I$89,3,0)*VLOOKUP('Données projet'!$B$13,Paramètres!$A$1:$I$89,5,0)</f>
        <v>189.51561999999987</v>
      </c>
      <c r="CV72" s="14">
        <f t="shared" si="95"/>
        <v>47.43284740624199</v>
      </c>
      <c r="CW72" s="22">
        <f t="shared" si="67"/>
        <v>412.68524739920457</v>
      </c>
      <c r="CX72" s="62">
        <f t="shared" si="68"/>
        <v>706.01858073253788</v>
      </c>
      <c r="CY72" s="62">
        <f ca="1">AVERAGE(OFFSET($CX$3,0,0,'Données projet'!$E$13+1,1))-AVERAGE(OFFSET($H$3,0,0,'Données projet'!$E$13+1,1))</f>
        <v>242.07451379051349</v>
      </c>
      <c r="CZ72" s="62">
        <f t="shared" si="96"/>
        <v>207.11607964940754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178.56320966726986</v>
      </c>
      <c r="DU72" s="62">
        <f t="shared" si="98"/>
        <v>272.06842551411739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2.6024792864427444</v>
      </c>
      <c r="EC72" s="23">
        <f>EXP(-LN(2)/2)*EC71+(1-EXP(-LN(2)/2))/(LN(2)/2)*DW72*DZ72*VLOOKUP('Données projet'!$B$14,Paramètres!$A$1:$I$89,3,0)*0.475*44/12</f>
        <v>2.227891837131322E-5</v>
      </c>
      <c r="ED72" s="24">
        <f t="shared" si="72"/>
        <v>2.6025015653611159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</v>
      </c>
      <c r="EJ72" s="13">
        <f>IF('Données projet'!$A$192&gt;35,EJ71+EI72-ER71,IF(A72&lt;'Données projet'!$A$192,$EG$205^A72,IF(A72='Données projet'!$A$192,'Données projet'!$B$192,EJ71+EI72-ER71)))</f>
        <v>281.99999999999983</v>
      </c>
      <c r="EK72" s="18">
        <f>EJ72*VLOOKUP('Données projet'!$B$15,Paramètres!$A$1:$I$89,3,0)*VLOOKUP('Données projet'!$B$15,Paramètres!$A$1:$I$89,5,0)</f>
        <v>303.54479999999978</v>
      </c>
      <c r="EL72" s="14">
        <f t="shared" si="99"/>
        <v>71.919080904752505</v>
      </c>
      <c r="EM72" s="22">
        <f t="shared" si="73"/>
        <v>653.93292590911017</v>
      </c>
      <c r="EN72" s="62">
        <f t="shared" si="74"/>
        <v>947.26625924244354</v>
      </c>
      <c r="EO72" s="62">
        <f ca="1">AVERAGE(OFFSET($EN$3,0,0,'Données projet'!$E$15+1,1))-AVERAGE(OFFSET($H$3,0,0,'Données projet'!$E$15+1,1))</f>
        <v>479.87943647026646</v>
      </c>
      <c r="EP72" s="62">
        <f t="shared" si="100"/>
        <v>242.41363045393223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</v>
      </c>
      <c r="FE72" s="13">
        <f>IF('Données projet'!$A$218&gt;35,FE71+FD72-FM71,IF(A72&lt;'Données projet'!$A$218,$FB$205^A72,IF(A72='Données projet'!$A$218,'Données projet'!$B$218,FE71+FD72-FM71)))</f>
        <v>281.99999999999983</v>
      </c>
      <c r="FF72" s="18">
        <f>FE72*VLOOKUP('Données projet'!$B$16,Paramètres!$A$1:$I$89,3,0)*VLOOKUP('Données projet'!$B$16,Paramètres!$A$1:$I$89,5,0)</f>
        <v>272.75039999999984</v>
      </c>
      <c r="FG72" s="14">
        <f t="shared" si="101"/>
        <v>65.432628830820633</v>
      </c>
      <c r="FH72" s="22">
        <f t="shared" si="76"/>
        <v>589.00210854701231</v>
      </c>
      <c r="FI72" s="62">
        <f t="shared" si="77"/>
        <v>882.33544188034557</v>
      </c>
      <c r="FJ72" s="62">
        <f ca="1">AVERAGE(OFFSET($FI$3,0,0,'Données projet'!$E$16+1,1))-AVERAGE(OFFSET($H$3,0,0,'Données projet'!$E$16+1,1))</f>
        <v>425.00152674093977</v>
      </c>
      <c r="FK72" s="62">
        <f t="shared" si="102"/>
        <v>214.96884469274687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310</v>
      </c>
      <c r="L73" s="13">
        <f>VLOOKUP(A73,'Données projet'!$A$35:$I$55,9,0)</f>
        <v>10.7</v>
      </c>
      <c r="M73" s="13">
        <f t="array" ref="M73">INDEX(L:L,MIN(IF(ISNUMBER(L73:L269),ROW(L73:L269),"")))</f>
        <v>10.7</v>
      </c>
      <c r="N73" s="14">
        <f>IF('Données projet'!$A$36&gt;35,N72+M73-V72,IF(A73&lt;'Données projet'!$A$36,$K$205^A73,IF(A73='Données projet'!$A$36,'Données projet'!$B$36,N72+M73-V72)))</f>
        <v>309.99999999999994</v>
      </c>
      <c r="O73" s="14">
        <f>N73*VLOOKUP('Données projet'!$B$9,Paramètres!$A$1:$I$89,3,0)*VLOOKUP('Données projet'!$B$9,Paramètres!$A$1:$I$89,5,0)</f>
        <v>149.10999999999999</v>
      </c>
      <c r="P73" s="14">
        <f t="shared" si="87"/>
        <v>38.37625992957517</v>
      </c>
      <c r="Q73" s="22">
        <f t="shared" si="54"/>
        <v>326.53856937734338</v>
      </c>
      <c r="R73" s="62">
        <f t="shared" si="55"/>
        <v>619.87190271067675</v>
      </c>
      <c r="S73" s="62">
        <f ca="1">AVERAGE(OFFSET($R$3,0,0,'Données projet'!$E$9+1,1))-AVERAGE(OFFSET($H$3,0,0,'Données projet'!$E$9+1,1))</f>
        <v>179.22241276165141</v>
      </c>
      <c r="T73" s="62">
        <f t="shared" si="88"/>
        <v>86.510654589692876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62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302.32307692307688</v>
      </c>
      <c r="AG73" s="13">
        <f>VLOOKUP(A73,'Données projet'!$A$61:$I$81,9,0)</f>
        <v>7.7092307692307687</v>
      </c>
      <c r="AH73" s="13">
        <f t="array" ref="AH73">INDEX(AG:AG,MIN(IF(ISNUMBER(AG73:AG269),ROW(AG73:AG269),"")))</f>
        <v>7.7092307692307687</v>
      </c>
      <c r="AI73" s="14">
        <f>IF('Données projet'!$A$62&gt;35,AI72+AH73-AQ72,IF(A73&lt;'Données projet'!$A$62,$AF$205^A73,IF(A73='Données projet'!$A$62,'Données projet'!$B$62,AI72+AH73-AQ72)))</f>
        <v>302.32307692307694</v>
      </c>
      <c r="AJ73" s="14">
        <f>AI73*VLOOKUP('Données projet'!$B$10,Paramètres!$A$1:$I$89,3,0)*VLOOKUP('Données projet'!$B$10,Paramètres!$A$1:$I$89,5,0)</f>
        <v>180.78919999999999</v>
      </c>
      <c r="AK73" s="14">
        <f t="shared" si="89"/>
        <v>45.497723895154429</v>
      </c>
      <c r="AL73" s="22">
        <f t="shared" si="58"/>
        <v>394.11639245072729</v>
      </c>
      <c r="AM73" s="62">
        <f t="shared" si="59"/>
        <v>687.44972578406055</v>
      </c>
      <c r="AN73" s="62">
        <f ca="1">AVERAGE(OFFSET($AM$3,0,0,'Données projet'!$E$10+1,1))-AVERAGE(OFFSET($H$3,0,0,'Données projet'!$E$10+1,1))</f>
        <v>157.42757749057949</v>
      </c>
      <c r="AO73" s="62">
        <f t="shared" si="90"/>
        <v>129.86070223892136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54.215384615384615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2.9361939347482928E-6</v>
      </c>
      <c r="AX73" s="23">
        <f t="shared" si="60"/>
        <v>2.9361939347482928E-6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288</v>
      </c>
      <c r="BB73" s="13">
        <f>VLOOKUP(A73,'Données projet'!$A$87:$I$107,9,0)</f>
        <v>6</v>
      </c>
      <c r="BC73" s="13">
        <f t="array" ref="BC73">INDEX(BB:BB,MIN(IF(ISNUMBER(BB73:BB269),ROW(BB73:BB269),"")))</f>
        <v>6</v>
      </c>
      <c r="BD73" s="13">
        <f>IF('Données projet'!$A$88&gt;35,BD72+BC73-BL72,IF(A73&lt;'Données projet'!$A$88,$BA$205^A73,IF(A73='Données projet'!$A$88,'Données projet'!$B$88,BD72+BC73-BL72)))</f>
        <v>287.99999999999983</v>
      </c>
      <c r="BE73" s="14">
        <f>BD73*VLOOKUP('Données projet'!$B$11,Paramètres!$A$1:$I$89,3,0)*VLOOKUP('Données projet'!$B$11,Paramètres!$A$1:$I$89,5,0)</f>
        <v>301.01759999999985</v>
      </c>
      <c r="BF73" s="14">
        <f t="shared" si="91"/>
        <v>71.389749461171519</v>
      </c>
      <c r="BG73" s="22">
        <f t="shared" si="61"/>
        <v>648.6094669782068</v>
      </c>
      <c r="BH73" s="62">
        <f t="shared" si="62"/>
        <v>941.94280031154017</v>
      </c>
      <c r="BI73" s="62">
        <f ca="1">AVERAGE(OFFSET($BH$3,0,0,'Données projet'!$E$11+1,1))-AVERAGE(OFFSET($H$3,0,0,'Données projet'!$E$11+1,1))</f>
        <v>464.21202287459482</v>
      </c>
      <c r="BJ73" s="62">
        <f t="shared" si="92"/>
        <v>234.57880205159688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208.6</v>
      </c>
      <c r="BW73" s="13">
        <f>VLOOKUP(A73,'Données projet'!$A$113:$I$133,9,0)</f>
        <v>2.919999999999999</v>
      </c>
      <c r="BX73" s="13">
        <f t="array" ref="BX73">INDEX(BW:BW,MIN(IF(ISNUMBER(BW73:BW269),ROW(BW73:BW269),"")))</f>
        <v>2.919999999999999</v>
      </c>
      <c r="BY73" s="13">
        <f>IF('Données projet'!$A$114&gt;35,BY72+BX73-CG72,IF(A73&lt;'Données projet'!$A$114,$BV$205^A73,IF(A73='Données projet'!$A$114,'Données projet'!$B$114,BY72+BX73-CG72)))</f>
        <v>208.60000000000008</v>
      </c>
      <c r="BZ73" s="14">
        <f>BY73*VLOOKUP('Données projet'!$B$12,Paramètres!$A$1:$I$89,3,0)*VLOOKUP('Données projet'!$B$12,Paramètres!$A$1:$I$89,5,0)</f>
        <v>165.96216000000007</v>
      </c>
      <c r="CA73" s="14">
        <f t="shared" si="93"/>
        <v>42.184420424142893</v>
      </c>
      <c r="CB73" s="22">
        <f t="shared" si="64"/>
        <v>362.52196090538229</v>
      </c>
      <c r="CC73" s="62">
        <f t="shared" si="65"/>
        <v>655.8552942387156</v>
      </c>
      <c r="CD73" s="62">
        <f ca="1">AVERAGE(OFFSET($CC$3,0,0,'Données projet'!$E$12+1,1))-AVERAGE(OFFSET($H$3,0,0,'Données projet'!$E$12+1,1))</f>
        <v>177.99876437322689</v>
      </c>
      <c r="CE73" s="62">
        <f t="shared" si="94"/>
        <v>165.68154380324592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8.3938461538461517</v>
      </c>
      <c r="CT73" s="13">
        <f>IF('Données projet'!$A$140&gt;35,CT72+CS73-DB72,IF(A73&lt;'Données projet'!$A$140,$CQ$205^A73,IF(A73='Données projet'!$A$140,'Données projet'!$B$140,CT72+CS73-DB72)))</f>
        <v>347.41999999999973</v>
      </c>
      <c r="CU73" s="18">
        <f>CT73*VLOOKUP('Données projet'!$B$13,Paramètres!$A$1:$I$89,3,0)*VLOOKUP('Données projet'!$B$13,Paramètres!$A$1:$I$89,5,0)</f>
        <v>194.20777999999987</v>
      </c>
      <c r="CV73" s="14">
        <f t="shared" si="95"/>
        <v>48.469043986590528</v>
      </c>
      <c r="CW73" s="22">
        <f t="shared" si="67"/>
        <v>422.66213510997824</v>
      </c>
      <c r="CX73" s="62">
        <f t="shared" si="68"/>
        <v>715.99546844331155</v>
      </c>
      <c r="CY73" s="62">
        <f ca="1">AVERAGE(OFFSET($CX$3,0,0,'Données projet'!$E$13+1,1))-AVERAGE(OFFSET($H$3,0,0,'Données projet'!$E$13+1,1))</f>
        <v>242.07451379051349</v>
      </c>
      <c r="CZ73" s="62">
        <f t="shared" si="96"/>
        <v>207.11607964940754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178.56320966726986</v>
      </c>
      <c r="DU73" s="62">
        <f t="shared" si="98"/>
        <v>272.06842551411739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2.5313143534965299</v>
      </c>
      <c r="EC73" s="23">
        <f>EXP(-LN(2)/2)*EC72+(1-EXP(-LN(2)/2))/(LN(2)/2)*DW73*DZ73*VLOOKUP('Données projet'!$B$14,Paramètres!$A$1:$I$89,3,0)*0.475*44/12</f>
        <v>1.5753574257857131E-5</v>
      </c>
      <c r="ED73" s="24">
        <f t="shared" si="72"/>
        <v>2.5313301070707879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288</v>
      </c>
      <c r="EH73" s="13">
        <f>VLOOKUP(A73,'Données projet'!$A$191:$I$211,9,0)</f>
        <v>6</v>
      </c>
      <c r="EI73" s="13">
        <f t="array" ref="EI73">INDEX(EH:EH,MIN(IF(ISNUMBER(EH73:EH269),ROW(EH73:EH269),"")))</f>
        <v>6</v>
      </c>
      <c r="EJ73" s="13">
        <f>IF('Données projet'!$A$192&gt;35,EJ72+EI73-ER72,IF(A73&lt;'Données projet'!$A$192,$EG$205^A73,IF(A73='Données projet'!$A$192,'Données projet'!$B$192,EJ72+EI73-ER72)))</f>
        <v>287.99999999999983</v>
      </c>
      <c r="EK73" s="18">
        <f>EJ73*VLOOKUP('Données projet'!$B$15,Paramètres!$A$1:$I$89,3,0)*VLOOKUP('Données projet'!$B$15,Paramètres!$A$1:$I$89,5,0)</f>
        <v>310.00319999999977</v>
      </c>
      <c r="EL73" s="14">
        <f t="shared" si="99"/>
        <v>73.269498458742788</v>
      </c>
      <c r="EM73" s="22">
        <f t="shared" si="73"/>
        <v>667.53328314897647</v>
      </c>
      <c r="EN73" s="62">
        <f t="shared" si="74"/>
        <v>960.86661648230984</v>
      </c>
      <c r="EO73" s="62">
        <f ca="1">AVERAGE(OFFSET($EN$3,0,0,'Données projet'!$E$15+1,1))-AVERAGE(OFFSET($H$3,0,0,'Données projet'!$E$15+1,1))</f>
        <v>479.87943647026646</v>
      </c>
      <c r="EP73" s="62">
        <f t="shared" si="100"/>
        <v>242.41363045393223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288</v>
      </c>
      <c r="FC73" s="13">
        <f>VLOOKUP(A73,'Données projet'!$A$217:$I$237,9,0)</f>
        <v>6</v>
      </c>
      <c r="FD73" s="13">
        <f t="array" ref="FD73">INDEX(FC:FC,MIN(IF(ISNUMBER(FC73:FC269),ROW(FC73:FC269),"")))</f>
        <v>6</v>
      </c>
      <c r="FE73" s="13">
        <f>IF('Données projet'!$A$218&gt;35,FE72+FD73-FM72,IF(A73&lt;'Données projet'!$A$218,$FB$205^A73,IF(A73='Données projet'!$A$218,'Données projet'!$B$218,FE72+FD73-FM72)))</f>
        <v>287.99999999999983</v>
      </c>
      <c r="FF73" s="18">
        <f>FE73*VLOOKUP('Données projet'!$B$16,Paramètres!$A$1:$I$89,3,0)*VLOOKUP('Données projet'!$B$16,Paramètres!$A$1:$I$89,5,0)</f>
        <v>278.55359999999985</v>
      </c>
      <c r="FG73" s="14">
        <f t="shared" si="101"/>
        <v>66.661250908095099</v>
      </c>
      <c r="FH73" s="22">
        <f t="shared" si="76"/>
        <v>601.24919866493201</v>
      </c>
      <c r="FI73" s="62">
        <f t="shared" si="77"/>
        <v>894.58253199826527</v>
      </c>
      <c r="FJ73" s="62">
        <f ca="1">AVERAGE(OFFSET($FI$3,0,0,'Données projet'!$E$16+1,1))-AVERAGE(OFFSET($H$3,0,0,'Données projet'!$E$16+1,1))</f>
        <v>425.00152674093977</v>
      </c>
      <c r="FK73" s="62">
        <f t="shared" si="102"/>
        <v>214.96884469274687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11.3</v>
      </c>
      <c r="N74" s="14">
        <f>IF('Données projet'!$A$36&gt;35,N73+M74-V73,IF(A74&lt;'Données projet'!$A$36,$K$205^A74,IF(A74='Données projet'!$A$36,'Données projet'!$B$36,N73+M74-V73)))</f>
        <v>259.29999999999995</v>
      </c>
      <c r="O74" s="14">
        <f>N74*VLOOKUP('Données projet'!$B$9,Paramètres!$A$1:$I$89,3,0)*VLOOKUP('Données projet'!$B$9,Paramètres!$A$1:$I$89,5,0)</f>
        <v>124.72329999999999</v>
      </c>
      <c r="P74" s="14">
        <f t="shared" si="87"/>
        <v>32.774144047461718</v>
      </c>
      <c r="Q74" s="22">
        <f t="shared" si="54"/>
        <v>274.30804838266249</v>
      </c>
      <c r="R74" s="62">
        <f t="shared" si="55"/>
        <v>567.64138171599575</v>
      </c>
      <c r="S74" s="62">
        <f ca="1">AVERAGE(OFFSET($R$3,0,0,'Données projet'!$E$9+1,1))-AVERAGE(OFFSET($H$3,0,0,'Données projet'!$E$9+1,1))</f>
        <v>179.22241276165141</v>
      </c>
      <c r="T74" s="62">
        <f t="shared" si="88"/>
        <v>86.510654589692876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6.2061538461538532</v>
      </c>
      <c r="AI74" s="14">
        <f>IF('Données projet'!$A$62&gt;35,AI73+AH74-AQ73,IF(A74&lt;'Données projet'!$A$62,$AF$205^A74,IF(A74='Données projet'!$A$62,'Données projet'!$B$62,AI73+AH74-AQ73)))</f>
        <v>254.31384615384621</v>
      </c>
      <c r="AJ74" s="14">
        <f>AI74*VLOOKUP('Données projet'!$B$10,Paramètres!$A$1:$I$89,3,0)*VLOOKUP('Données projet'!$B$10,Paramètres!$A$1:$I$89,5,0)</f>
        <v>152.07968000000005</v>
      </c>
      <c r="AK74" s="14">
        <f t="shared" si="89"/>
        <v>39.050820956481395</v>
      </c>
      <c r="AL74" s="22">
        <f t="shared" si="58"/>
        <v>332.88562249920523</v>
      </c>
      <c r="AM74" s="62">
        <f t="shared" si="59"/>
        <v>626.21895583253854</v>
      </c>
      <c r="AN74" s="62">
        <f ca="1">AVERAGE(OFFSET($AM$3,0,0,'Données projet'!$E$10+1,1))-AVERAGE(OFFSET($H$3,0,0,'Données projet'!$E$10+1,1))</f>
        <v>157.42757749057949</v>
      </c>
      <c r="AO74" s="62">
        <f t="shared" si="90"/>
        <v>129.86070223892136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2.0762026421393291E-6</v>
      </c>
      <c r="AX74" s="23">
        <f t="shared" si="60"/>
        <v>2.0762026421393291E-6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5.4</v>
      </c>
      <c r="BD74" s="13">
        <f>IF('Données projet'!$A$88&gt;35,BD73+BC74-BL73,IF(A74&lt;'Données projet'!$A$88,$BA$205^A74,IF(A74='Données projet'!$A$88,'Données projet'!$B$88,BD73+BC74-BL73)))</f>
        <v>293.39999999999981</v>
      </c>
      <c r="BE74" s="14">
        <f>BD74*VLOOKUP('Données projet'!$B$11,Paramètres!$A$1:$I$89,3,0)*VLOOKUP('Données projet'!$B$11,Paramètres!$A$1:$I$89,5,0)</f>
        <v>306.66167999999982</v>
      </c>
      <c r="BF74" s="14">
        <f t="shared" si="91"/>
        <v>72.571217377165127</v>
      </c>
      <c r="BG74" s="22">
        <f t="shared" si="61"/>
        <v>660.49729626522878</v>
      </c>
      <c r="BH74" s="62">
        <f t="shared" si="62"/>
        <v>953.83062959856215</v>
      </c>
      <c r="BI74" s="62">
        <f ca="1">AVERAGE(OFFSET($BH$3,0,0,'Données projet'!$E$11+1,1))-AVERAGE(OFFSET($H$3,0,0,'Données projet'!$E$11+1,1))</f>
        <v>464.21202287459482</v>
      </c>
      <c r="BJ74" s="62">
        <f t="shared" si="92"/>
        <v>234.57880205159688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2.580000000000001</v>
      </c>
      <c r="BY74" s="13">
        <f>IF('Données projet'!$A$114&gt;35,BY73+BX74-CG73,IF(A74&lt;'Données projet'!$A$114,$BV$205^A74,IF(A74='Données projet'!$A$114,'Données projet'!$B$114,BY73+BX74-CG73)))</f>
        <v>211.18000000000009</v>
      </c>
      <c r="BZ74" s="14">
        <f>BY74*VLOOKUP('Données projet'!$B$12,Paramètres!$A$1:$I$89,3,0)*VLOOKUP('Données projet'!$B$12,Paramètres!$A$1:$I$89,5,0)</f>
        <v>168.01480800000007</v>
      </c>
      <c r="CA74" s="14">
        <f t="shared" si="93"/>
        <v>42.645103116843636</v>
      </c>
      <c r="CB74" s="22">
        <f t="shared" si="64"/>
        <v>366.89934519516942</v>
      </c>
      <c r="CC74" s="62">
        <f t="shared" si="65"/>
        <v>660.23267852850267</v>
      </c>
      <c r="CD74" s="62">
        <f ca="1">AVERAGE(OFFSET($CC$3,0,0,'Données projet'!$E$12+1,1))-AVERAGE(OFFSET($H$3,0,0,'Données projet'!$E$12+1,1))</f>
        <v>177.99876437322689</v>
      </c>
      <c r="CE74" s="62">
        <f t="shared" si="94"/>
        <v>165.68154380324592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8.3938461538461517</v>
      </c>
      <c r="CT74" s="13">
        <f>IF('Données projet'!$A$140&gt;35,CT73+CS74-DB73,IF(A74&lt;'Données projet'!$A$140,$CQ$205^A74,IF(A74='Données projet'!$A$140,'Données projet'!$B$140,CT73+CS74-DB73)))</f>
        <v>355.81384615384587</v>
      </c>
      <c r="CU74" s="18">
        <f>CT74*VLOOKUP('Données projet'!$B$13,Paramètres!$A$1:$I$89,3,0)*VLOOKUP('Données projet'!$B$13,Paramètres!$A$1:$I$89,5,0)</f>
        <v>198.89993999999984</v>
      </c>
      <c r="CV74" s="14">
        <f t="shared" si="95"/>
        <v>49.502330282453514</v>
      </c>
      <c r="CW74" s="22">
        <f t="shared" si="67"/>
        <v>432.63395407527287</v>
      </c>
      <c r="CX74" s="62">
        <f t="shared" si="68"/>
        <v>725.96728740860613</v>
      </c>
      <c r="CY74" s="62">
        <f ca="1">AVERAGE(OFFSET($CX$3,0,0,'Données projet'!$E$13+1,1))-AVERAGE(OFFSET($H$3,0,0,'Données projet'!$E$13+1,1))</f>
        <v>242.07451379051349</v>
      </c>
      <c r="CZ74" s="62">
        <f t="shared" si="96"/>
        <v>207.11607964940754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178.56320966726986</v>
      </c>
      <c r="DU74" s="62">
        <f t="shared" si="98"/>
        <v>272.06842551411739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2.4620954293841306</v>
      </c>
      <c r="EC74" s="23">
        <f>EXP(-LN(2)/2)*EC73+(1-EXP(-LN(2)/2))/(LN(2)/2)*DW74*DZ74*VLOOKUP('Données projet'!$B$14,Paramètres!$A$1:$I$89,3,0)*0.475*44/12</f>
        <v>1.113945918565661E-5</v>
      </c>
      <c r="ED74" s="24">
        <f t="shared" si="72"/>
        <v>2.4621065688433164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5.4</v>
      </c>
      <c r="EJ74" s="13">
        <f>IF('Données projet'!$A$192&gt;35,EJ73+EI74-ER73,IF(A74&lt;'Données projet'!$A$192,$EG$205^A74,IF(A74='Données projet'!$A$192,'Données projet'!$B$192,EJ73+EI74-ER73)))</f>
        <v>293.39999999999981</v>
      </c>
      <c r="EK74" s="18">
        <f>EJ74*VLOOKUP('Données projet'!$B$15,Paramètres!$A$1:$I$89,3,0)*VLOOKUP('Données projet'!$B$15,Paramètres!$A$1:$I$89,5,0)</f>
        <v>315.81575999999978</v>
      </c>
      <c r="EL74" s="14">
        <f t="shared" si="99"/>
        <v>74.482075366538652</v>
      </c>
      <c r="EM74" s="22">
        <f t="shared" si="73"/>
        <v>679.76872993005441</v>
      </c>
      <c r="EN74" s="62">
        <f t="shared" si="74"/>
        <v>973.10206326338766</v>
      </c>
      <c r="EO74" s="62">
        <f ca="1">AVERAGE(OFFSET($EN$3,0,0,'Données projet'!$E$15+1,1))-AVERAGE(OFFSET($H$3,0,0,'Données projet'!$E$15+1,1))</f>
        <v>479.87943647026646</v>
      </c>
      <c r="EP74" s="62">
        <f t="shared" si="100"/>
        <v>242.41363045393223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5.4</v>
      </c>
      <c r="FE74" s="13">
        <f>IF('Données projet'!$A$218&gt;35,FE73+FD74-FM73,IF(A74&lt;'Données projet'!$A$218,$FB$205^A74,IF(A74='Données projet'!$A$218,'Données projet'!$B$218,FE73+FD74-FM73)))</f>
        <v>293.39999999999981</v>
      </c>
      <c r="FF74" s="18">
        <f>FE74*VLOOKUP('Données projet'!$B$16,Paramètres!$A$1:$I$89,3,0)*VLOOKUP('Données projet'!$B$16,Paramètres!$A$1:$I$89,5,0)</f>
        <v>283.77647999999982</v>
      </c>
      <c r="FG74" s="14">
        <f t="shared" si="101"/>
        <v>67.76446432153837</v>
      </c>
      <c r="FH74" s="22">
        <f t="shared" si="76"/>
        <v>612.26714469334559</v>
      </c>
      <c r="FI74" s="62">
        <f t="shared" si="77"/>
        <v>905.60047802667896</v>
      </c>
      <c r="FJ74" s="62">
        <f ca="1">AVERAGE(OFFSET($FI$3,0,0,'Données projet'!$E$16+1,1))-AVERAGE(OFFSET($H$3,0,0,'Données projet'!$E$16+1,1))</f>
        <v>425.00152674093977</v>
      </c>
      <c r="FK74" s="62">
        <f t="shared" si="102"/>
        <v>214.96884469274687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11.3</v>
      </c>
      <c r="N75" s="14">
        <f>IF('Données projet'!$A$36&gt;35,N74+M75-V74,IF(A75&lt;'Données projet'!$A$36,$K$205^A75,IF(A75='Données projet'!$A$36,'Données projet'!$B$36,N74+M75-V74)))</f>
        <v>270.59999999999997</v>
      </c>
      <c r="O75" s="14">
        <f>N75*VLOOKUP('Données projet'!$B$9,Paramètres!$A$1:$I$89,3,0)*VLOOKUP('Données projet'!$B$9,Paramètres!$A$1:$I$89,5,0)</f>
        <v>130.15859999999998</v>
      </c>
      <c r="P75" s="14">
        <f t="shared" si="87"/>
        <v>34.033004534779138</v>
      </c>
      <c r="Q75" s="22">
        <f t="shared" si="54"/>
        <v>285.96704456474032</v>
      </c>
      <c r="R75" s="62">
        <f t="shared" si="55"/>
        <v>579.30037789807363</v>
      </c>
      <c r="S75" s="62">
        <f ca="1">AVERAGE(OFFSET($R$3,0,0,'Données projet'!$E$9+1,1))-AVERAGE(OFFSET($H$3,0,0,'Données projet'!$E$9+1,1))</f>
        <v>179.22241276165141</v>
      </c>
      <c r="T75" s="62">
        <f t="shared" si="88"/>
        <v>86.510654589692876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6.2061538461538532</v>
      </c>
      <c r="AI75" s="14">
        <f>IF('Données projet'!$A$62&gt;35,AI74+AH75-AQ74,IF(A75&lt;'Données projet'!$A$62,$AF$205^A75,IF(A75='Données projet'!$A$62,'Données projet'!$B$62,AI74+AH75-AQ74)))</f>
        <v>260.5200000000001</v>
      </c>
      <c r="AJ75" s="14">
        <f>AI75*VLOOKUP('Données projet'!$B$10,Paramètres!$A$1:$I$89,3,0)*VLOOKUP('Données projet'!$B$10,Paramètres!$A$1:$I$89,5,0)</f>
        <v>155.79096000000007</v>
      </c>
      <c r="AK75" s="14">
        <f t="shared" si="89"/>
        <v>39.891686747728144</v>
      </c>
      <c r="AL75" s="22">
        <f t="shared" si="58"/>
        <v>340.81394308562659</v>
      </c>
      <c r="AM75" s="62">
        <f t="shared" si="59"/>
        <v>634.1472764189599</v>
      </c>
      <c r="AN75" s="62">
        <f ca="1">AVERAGE(OFFSET($AM$3,0,0,'Données projet'!$E$10+1,1))-AVERAGE(OFFSET($H$3,0,0,'Données projet'!$E$10+1,1))</f>
        <v>157.42757749057949</v>
      </c>
      <c r="AO75" s="62">
        <f t="shared" si="90"/>
        <v>129.86070223892136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1.4680969673741464E-6</v>
      </c>
      <c r="AX75" s="23">
        <f t="shared" si="60"/>
        <v>1.4680969673741464E-6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5.4</v>
      </c>
      <c r="BD75" s="13">
        <f>IF('Données projet'!$A$88&gt;35,BD74+BC75-BL74,IF(A75&lt;'Données projet'!$A$88,$BA$205^A75,IF(A75='Données projet'!$A$88,'Données projet'!$B$88,BD74+BC75-BL74)))</f>
        <v>298.79999999999978</v>
      </c>
      <c r="BE75" s="14">
        <f>BD75*VLOOKUP('Données projet'!$B$11,Paramètres!$A$1:$I$89,3,0)*VLOOKUP('Données projet'!$B$11,Paramètres!$A$1:$I$89,5,0)</f>
        <v>312.30575999999979</v>
      </c>
      <c r="BF75" s="14">
        <f t="shared" si="91"/>
        <v>73.750156755851933</v>
      </c>
      <c r="BG75" s="22">
        <f t="shared" si="61"/>
        <v>672.38072168310839</v>
      </c>
      <c r="BH75" s="62">
        <f t="shared" si="62"/>
        <v>965.71405501644176</v>
      </c>
      <c r="BI75" s="62">
        <f ca="1">AVERAGE(OFFSET($BH$3,0,0,'Données projet'!$E$11+1,1))-AVERAGE(OFFSET($H$3,0,0,'Données projet'!$E$11+1,1))</f>
        <v>464.21202287459482</v>
      </c>
      <c r="BJ75" s="62">
        <f t="shared" si="92"/>
        <v>234.57880205159688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2.580000000000001</v>
      </c>
      <c r="BY75" s="13">
        <f>IF('Données projet'!$A$114&gt;35,BY74+BX75-CG74,IF(A75&lt;'Données projet'!$A$114,$BV$205^A75,IF(A75='Données projet'!$A$114,'Données projet'!$B$114,BY74+BX75-CG74)))</f>
        <v>213.7600000000001</v>
      </c>
      <c r="BZ75" s="14">
        <f>BY75*VLOOKUP('Données projet'!$B$12,Paramètres!$A$1:$I$89,3,0)*VLOOKUP('Données projet'!$B$12,Paramètres!$A$1:$I$89,5,0)</f>
        <v>170.06745600000011</v>
      </c>
      <c r="CA75" s="14">
        <f t="shared" si="93"/>
        <v>43.105131136497967</v>
      </c>
      <c r="CB75" s="22">
        <f t="shared" si="64"/>
        <v>371.27558926273406</v>
      </c>
      <c r="CC75" s="62">
        <f t="shared" si="65"/>
        <v>664.60892259606737</v>
      </c>
      <c r="CD75" s="62">
        <f ca="1">AVERAGE(OFFSET($CC$3,0,0,'Données projet'!$E$12+1,1))-AVERAGE(OFFSET($H$3,0,0,'Données projet'!$E$12+1,1))</f>
        <v>177.99876437322689</v>
      </c>
      <c r="CE75" s="62">
        <f t="shared" si="94"/>
        <v>165.68154380324592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>
        <f>VLOOKUP(A75,'Données projet'!$A$139:$I$159,2,0)</f>
        <v>364.2076923076923</v>
      </c>
      <c r="CR75" s="13">
        <f>VLOOKUP(A75,'Données projet'!$A$139:$I$159,9,0)</f>
        <v>8.3938461538461517</v>
      </c>
      <c r="CS75" s="13">
        <f t="array" ref="CS75">INDEX(CR:CR,MIN(IF(ISNUMBER(CR75:CR271),ROW(CR75:CR271),"")))</f>
        <v>8.3938461538461517</v>
      </c>
      <c r="CT75" s="13">
        <f>IF('Données projet'!$A$140&gt;35,CT74+CS75-DB74,IF(A75&lt;'Données projet'!$A$140,$CQ$205^A75,IF(A75='Données projet'!$A$140,'Données projet'!$B$140,CT74+CS75-DB74)))</f>
        <v>364.20769230769201</v>
      </c>
      <c r="CU75" s="18">
        <f>CT75*VLOOKUP('Données projet'!$B$13,Paramètres!$A$1:$I$89,3,0)*VLOOKUP('Données projet'!$B$13,Paramètres!$A$1:$I$89,5,0)</f>
        <v>203.59209999999985</v>
      </c>
      <c r="CV75" s="14">
        <f t="shared" si="95"/>
        <v>50.53278284974386</v>
      </c>
      <c r="CW75" s="22">
        <f t="shared" si="67"/>
        <v>442.60083762997027</v>
      </c>
      <c r="CX75" s="62">
        <f t="shared" si="68"/>
        <v>735.93417096330359</v>
      </c>
      <c r="CY75" s="62">
        <f ca="1">AVERAGE(OFFSET($CX$3,0,0,'Données projet'!$E$13+1,1))-AVERAGE(OFFSET($H$3,0,0,'Données projet'!$E$13+1,1))</f>
        <v>242.07451379051349</v>
      </c>
      <c r="CZ75" s="62">
        <f t="shared" si="96"/>
        <v>207.11607964940754</v>
      </c>
      <c r="DA75" s="16">
        <f>IF(ISNA(VLOOKUP(A75,'Données projet'!$A$139:$I$159,3,0)),0,VLOOKUP(A75,'Données projet'!$A$139:$I$159,3,0))</f>
        <v>5</v>
      </c>
      <c r="DB75" s="16">
        <f>IF(ISNA(VLOOKUP(A75,'Données projet'!$A$139:$I$159,4,0)),0,VLOOKUP(A75,'Données projet'!$A$139:$I$159,4,0))</f>
        <v>51.930769230769236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178.56320966726986</v>
      </c>
      <c r="DU75" s="62">
        <f t="shared" si="98"/>
        <v>272.06842551411739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2.3947693003916499</v>
      </c>
      <c r="EC75" s="23">
        <f>EXP(-LN(2)/2)*EC74+(1-EXP(-LN(2)/2))/(LN(2)/2)*DW75*DZ75*VLOOKUP('Données projet'!$B$14,Paramètres!$A$1:$I$89,3,0)*0.475*44/12</f>
        <v>7.8767871289285654E-6</v>
      </c>
      <c r="ED75" s="24">
        <f t="shared" si="72"/>
        <v>2.3947771771787787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5.4</v>
      </c>
      <c r="EJ75" s="13">
        <f>IF('Données projet'!$A$192&gt;35,EJ74+EI75-ER74,IF(A75&lt;'Données projet'!$A$192,$EG$205^A75,IF(A75='Données projet'!$A$192,'Données projet'!$B$192,EJ74+EI75-ER74)))</f>
        <v>298.79999999999978</v>
      </c>
      <c r="EK75" s="18">
        <f>EJ75*VLOOKUP('Données projet'!$B$15,Paramètres!$A$1:$I$89,3,0)*VLOOKUP('Données projet'!$B$15,Paramètres!$A$1:$I$89,5,0)</f>
        <v>321.62831999999975</v>
      </c>
      <c r="EL75" s="14">
        <f t="shared" si="99"/>
        <v>75.692057158625275</v>
      </c>
      <c r="EM75" s="22">
        <f t="shared" si="73"/>
        <v>691.99965688460509</v>
      </c>
      <c r="EN75" s="62">
        <f t="shared" si="74"/>
        <v>985.33299021793846</v>
      </c>
      <c r="EO75" s="62">
        <f ca="1">AVERAGE(OFFSET($EN$3,0,0,'Données projet'!$E$15+1,1))-AVERAGE(OFFSET($H$3,0,0,'Données projet'!$E$15+1,1))</f>
        <v>479.87943647026646</v>
      </c>
      <c r="EP75" s="62">
        <f t="shared" si="100"/>
        <v>242.41363045393223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5.4</v>
      </c>
      <c r="FE75" s="13">
        <f>IF('Données projet'!$A$218&gt;35,FE74+FD75-FM74,IF(A75&lt;'Données projet'!$A$218,$FB$205^A75,IF(A75='Données projet'!$A$218,'Données projet'!$B$218,FE74+FD75-FM74)))</f>
        <v>298.79999999999978</v>
      </c>
      <c r="FF75" s="18">
        <f>FE75*VLOOKUP('Données projet'!$B$16,Paramètres!$A$1:$I$89,3,0)*VLOOKUP('Données projet'!$B$16,Paramètres!$A$1:$I$89,5,0)</f>
        <v>288.9993599999998</v>
      </c>
      <c r="FG75" s="14">
        <f t="shared" si="101"/>
        <v>68.865316675290003</v>
      </c>
      <c r="FH75" s="22">
        <f t="shared" si="76"/>
        <v>623.28097854279633</v>
      </c>
      <c r="FI75" s="62">
        <f t="shared" si="77"/>
        <v>916.6143118761297</v>
      </c>
      <c r="FJ75" s="62">
        <f ca="1">AVERAGE(OFFSET($FI$3,0,0,'Données projet'!$E$16+1,1))-AVERAGE(OFFSET($H$3,0,0,'Données projet'!$E$16+1,1))</f>
        <v>425.00152674093977</v>
      </c>
      <c r="FK75" s="62">
        <f t="shared" si="102"/>
        <v>214.96884469274687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11.3</v>
      </c>
      <c r="N76" s="14">
        <f>IF('Données projet'!$A$36&gt;35,N75+M76-V75,IF(A76&lt;'Données projet'!$A$36,$K$205^A76,IF(A76='Données projet'!$A$36,'Données projet'!$B$36,N75+M76-V75)))</f>
        <v>281.89999999999998</v>
      </c>
      <c r="O76" s="14">
        <f>N76*VLOOKUP('Données projet'!$B$9,Paramètres!$A$1:$I$89,3,0)*VLOOKUP('Données projet'!$B$9,Paramètres!$A$1:$I$89,5,0)</f>
        <v>135.59389999999999</v>
      </c>
      <c r="P76" s="14">
        <f t="shared" si="87"/>
        <v>35.285758984382056</v>
      </c>
      <c r="Q76" s="22">
        <f t="shared" si="54"/>
        <v>297.61540606446539</v>
      </c>
      <c r="R76" s="62">
        <f t="shared" si="55"/>
        <v>590.9487393977987</v>
      </c>
      <c r="S76" s="62">
        <f ca="1">AVERAGE(OFFSET($R$3,0,0,'Données projet'!$E$9+1,1))-AVERAGE(OFFSET($H$3,0,0,'Données projet'!$E$9+1,1))</f>
        <v>179.22241276165141</v>
      </c>
      <c r="T76" s="62">
        <f t="shared" si="88"/>
        <v>86.510654589692876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6.2061538461538532</v>
      </c>
      <c r="AI76" s="14">
        <f>IF('Données projet'!$A$62&gt;35,AI75+AH76-AQ75,IF(A76&lt;'Données projet'!$A$62,$AF$205^A76,IF(A76='Données projet'!$A$62,'Données projet'!$B$62,AI75+AH76-AQ75)))</f>
        <v>266.72615384615392</v>
      </c>
      <c r="AJ76" s="14">
        <f>AI76*VLOOKUP('Données projet'!$B$10,Paramètres!$A$1:$I$89,3,0)*VLOOKUP('Données projet'!$B$10,Paramètres!$A$1:$I$89,5,0)</f>
        <v>159.50224000000006</v>
      </c>
      <c r="AK76" s="14">
        <f t="shared" si="89"/>
        <v>40.730223897870985</v>
      </c>
      <c r="AL76" s="22">
        <f t="shared" si="58"/>
        <v>348.73820795545868</v>
      </c>
      <c r="AM76" s="62">
        <f t="shared" si="59"/>
        <v>642.07154128879199</v>
      </c>
      <c r="AN76" s="62">
        <f ca="1">AVERAGE(OFFSET($AM$3,0,0,'Données projet'!$E$10+1,1))-AVERAGE(OFFSET($H$3,0,0,'Données projet'!$E$10+1,1))</f>
        <v>157.42757749057949</v>
      </c>
      <c r="AO76" s="62">
        <f t="shared" si="90"/>
        <v>129.86070223892136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1.0381013210696645E-6</v>
      </c>
      <c r="AX76" s="23">
        <f t="shared" si="60"/>
        <v>1.0381013210696645E-6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5.4</v>
      </c>
      <c r="BD76" s="13">
        <f>IF('Données projet'!$A$88&gt;35,BD75+BC76-BL75,IF(A76&lt;'Données projet'!$A$88,$BA$205^A76,IF(A76='Données projet'!$A$88,'Données projet'!$B$88,BD75+BC76-BL75)))</f>
        <v>304.19999999999976</v>
      </c>
      <c r="BE76" s="14">
        <f>BD76*VLOOKUP('Données projet'!$B$11,Paramètres!$A$1:$I$89,3,0)*VLOOKUP('Données projet'!$B$11,Paramètres!$A$1:$I$89,5,0)</f>
        <v>317.94983999999977</v>
      </c>
      <c r="BF76" s="14">
        <f t="shared" si="91"/>
        <v>74.926618564730276</v>
      </c>
      <c r="BG76" s="22">
        <f t="shared" si="61"/>
        <v>684.25983200023813</v>
      </c>
      <c r="BH76" s="62">
        <f t="shared" si="62"/>
        <v>977.59316533357151</v>
      </c>
      <c r="BI76" s="62">
        <f ca="1">AVERAGE(OFFSET($BH$3,0,0,'Données projet'!$E$11+1,1))-AVERAGE(OFFSET($H$3,0,0,'Données projet'!$E$11+1,1))</f>
        <v>464.21202287459482</v>
      </c>
      <c r="BJ76" s="62">
        <f t="shared" si="92"/>
        <v>234.57880205159688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2.580000000000001</v>
      </c>
      <c r="BY76" s="13">
        <f>IF('Données projet'!$A$114&gt;35,BY75+BX76-CG75,IF(A76&lt;'Données projet'!$A$114,$BV$205^A76,IF(A76='Données projet'!$A$114,'Données projet'!$B$114,BY75+BX76-CG75)))</f>
        <v>216.34000000000012</v>
      </c>
      <c r="BZ76" s="14">
        <f>BY76*VLOOKUP('Données projet'!$B$12,Paramètres!$A$1:$I$89,3,0)*VLOOKUP('Données projet'!$B$12,Paramètres!$A$1:$I$89,5,0)</f>
        <v>172.12010400000011</v>
      </c>
      <c r="CA76" s="14">
        <f t="shared" si="93"/>
        <v>43.564513298743357</v>
      </c>
      <c r="CB76" s="22">
        <f t="shared" si="64"/>
        <v>375.65070846197818</v>
      </c>
      <c r="CC76" s="62">
        <f t="shared" si="65"/>
        <v>668.98404179531144</v>
      </c>
      <c r="CD76" s="62">
        <f ca="1">AVERAGE(OFFSET($CC$3,0,0,'Données projet'!$E$12+1,1))-AVERAGE(OFFSET($H$3,0,0,'Données projet'!$E$12+1,1))</f>
        <v>177.99876437322689</v>
      </c>
      <c r="CE76" s="62">
        <f t="shared" si="94"/>
        <v>165.68154380324592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7.073076923076921</v>
      </c>
      <c r="CT76" s="13">
        <f>IF('Données projet'!$A$140&gt;35,CT75+CS76-DB75,IF(A76&lt;'Données projet'!$A$140,$CQ$205^A76,IF(A76='Données projet'!$A$140,'Données projet'!$B$140,CT75+CS76-DB75)))</f>
        <v>319.34999999999974</v>
      </c>
      <c r="CU76" s="18">
        <f>CT76*VLOOKUP('Données projet'!$B$13,Paramètres!$A$1:$I$89,3,0)*VLOOKUP('Données projet'!$B$13,Paramètres!$A$1:$I$89,5,0)</f>
        <v>178.51664999999988</v>
      </c>
      <c r="CV76" s="14">
        <f t="shared" si="95"/>
        <v>44.992009351036685</v>
      </c>
      <c r="CW76" s="22">
        <f t="shared" si="67"/>
        <v>389.27758170305532</v>
      </c>
      <c r="CX76" s="62">
        <f t="shared" si="68"/>
        <v>682.61091503638863</v>
      </c>
      <c r="CY76" s="62">
        <f ca="1">AVERAGE(OFFSET($CX$3,0,0,'Données projet'!$E$13+1,1))-AVERAGE(OFFSET($H$3,0,0,'Données projet'!$E$13+1,1))</f>
        <v>242.07451379051349</v>
      </c>
      <c r="CZ76" s="62">
        <f t="shared" si="96"/>
        <v>207.11607964940754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178.56320966726986</v>
      </c>
      <c r="DU76" s="62">
        <f t="shared" si="98"/>
        <v>272.06842551411739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2.329284207936996</v>
      </c>
      <c r="EC76" s="23">
        <f>EXP(-LN(2)/2)*EC75+(1-EXP(-LN(2)/2))/(LN(2)/2)*DW76*DZ76*VLOOKUP('Données projet'!$B$14,Paramètres!$A$1:$I$89,3,0)*0.475*44/12</f>
        <v>5.569729592828305E-6</v>
      </c>
      <c r="ED76" s="24">
        <f t="shared" si="72"/>
        <v>2.3292897776665886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5.4</v>
      </c>
      <c r="EJ76" s="13">
        <f>IF('Données projet'!$A$192&gt;35,EJ75+EI76-ER75,IF(A76&lt;'Données projet'!$A$192,$EG$205^A76,IF(A76='Données projet'!$A$192,'Données projet'!$B$192,EJ75+EI76-ER75)))</f>
        <v>304.19999999999976</v>
      </c>
      <c r="EK76" s="18">
        <f>EJ76*VLOOKUP('Données projet'!$B$15,Paramètres!$A$1:$I$89,3,0)*VLOOKUP('Données projet'!$B$15,Paramètres!$A$1:$I$89,5,0)</f>
        <v>327.44087999999977</v>
      </c>
      <c r="EL76" s="14">
        <f t="shared" si="99"/>
        <v>76.899496144515894</v>
      </c>
      <c r="EM76" s="22">
        <f t="shared" si="73"/>
        <v>704.22615511836466</v>
      </c>
      <c r="EN76" s="62">
        <f t="shared" si="74"/>
        <v>997.55948845169792</v>
      </c>
      <c r="EO76" s="62">
        <f ca="1">AVERAGE(OFFSET($EN$3,0,0,'Données projet'!$E$15+1,1))-AVERAGE(OFFSET($H$3,0,0,'Données projet'!$E$15+1,1))</f>
        <v>479.87943647026646</v>
      </c>
      <c r="EP76" s="62">
        <f t="shared" si="100"/>
        <v>242.41363045393223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5.4</v>
      </c>
      <c r="FE76" s="13">
        <f>IF('Données projet'!$A$218&gt;35,FE75+FD76-FM75,IF(A76&lt;'Données projet'!$A$218,$FB$205^A76,IF(A76='Données projet'!$A$218,'Données projet'!$B$218,FE75+FD76-FM75)))</f>
        <v>304.19999999999976</v>
      </c>
      <c r="FF76" s="18">
        <f>FE76*VLOOKUP('Données projet'!$B$16,Paramètres!$A$1:$I$89,3,0)*VLOOKUP('Données projet'!$B$16,Paramètres!$A$1:$I$89,5,0)</f>
        <v>294.22223999999977</v>
      </c>
      <c r="FG76" s="14">
        <f t="shared" si="101"/>
        <v>69.963855561017368</v>
      </c>
      <c r="FH76" s="22">
        <f t="shared" si="76"/>
        <v>634.29078310210491</v>
      </c>
      <c r="FI76" s="62">
        <f t="shared" si="77"/>
        <v>927.62411643543828</v>
      </c>
      <c r="FJ76" s="62">
        <f ca="1">AVERAGE(OFFSET($FI$3,0,0,'Données projet'!$E$16+1,1))-AVERAGE(OFFSET($H$3,0,0,'Données projet'!$E$16+1,1))</f>
        <v>425.00152674093977</v>
      </c>
      <c r="FK76" s="62">
        <f t="shared" si="102"/>
        <v>214.96884469274687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11.3</v>
      </c>
      <c r="N77" s="14">
        <f>IF('Données projet'!$A$36&gt;35,N76+M77-V76,IF(A77&lt;'Données projet'!$A$36,$K$205^A77,IF(A77='Données projet'!$A$36,'Données projet'!$B$36,N76+M77-V76)))</f>
        <v>293.2</v>
      </c>
      <c r="O77" s="14">
        <f>N77*VLOOKUP('Données projet'!$B$9,Paramètres!$A$1:$I$89,3,0)*VLOOKUP('Données projet'!$B$9,Paramètres!$A$1:$I$89,5,0)</f>
        <v>141.0292</v>
      </c>
      <c r="P77" s="14">
        <f t="shared" si="87"/>
        <v>36.532680160219776</v>
      </c>
      <c r="Q77" s="22">
        <f t="shared" si="54"/>
        <v>309.25360794571606</v>
      </c>
      <c r="R77" s="62">
        <f t="shared" si="55"/>
        <v>602.58694127904937</v>
      </c>
      <c r="S77" s="62">
        <f ca="1">AVERAGE(OFFSET($R$3,0,0,'Données projet'!$E$9+1,1))-AVERAGE(OFFSET($H$3,0,0,'Données projet'!$E$9+1,1))</f>
        <v>179.22241276165141</v>
      </c>
      <c r="T77" s="62">
        <f t="shared" si="88"/>
        <v>86.510654589692876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6.2061538461538532</v>
      </c>
      <c r="AI77" s="14">
        <f>IF('Données projet'!$A$62&gt;35,AI76+AH77-AQ76,IF(A77&lt;'Données projet'!$A$62,$AF$205^A77,IF(A77='Données projet'!$A$62,'Données projet'!$B$62,AI76+AH77-AQ76)))</f>
        <v>272.93230769230775</v>
      </c>
      <c r="AJ77" s="14">
        <f>AI77*VLOOKUP('Données projet'!$B$10,Paramètres!$A$1:$I$89,3,0)*VLOOKUP('Données projet'!$B$10,Paramètres!$A$1:$I$89,5,0)</f>
        <v>163.21352000000005</v>
      </c>
      <c r="AK77" s="14">
        <f t="shared" si="89"/>
        <v>41.566492825495779</v>
      </c>
      <c r="AL77" s="22">
        <f t="shared" si="58"/>
        <v>356.65852233773853</v>
      </c>
      <c r="AM77" s="62">
        <f t="shared" si="59"/>
        <v>649.99185567107179</v>
      </c>
      <c r="AN77" s="62">
        <f ca="1">AVERAGE(OFFSET($AM$3,0,0,'Données projet'!$E$10+1,1))-AVERAGE(OFFSET($H$3,0,0,'Données projet'!$E$10+1,1))</f>
        <v>157.42757749057949</v>
      </c>
      <c r="AO77" s="62">
        <f t="shared" si="90"/>
        <v>129.86070223892136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7.340484836870732E-7</v>
      </c>
      <c r="AX77" s="23">
        <f t="shared" si="60"/>
        <v>7.340484836870732E-7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5.4</v>
      </c>
      <c r="BD77" s="13">
        <f>IF('Données projet'!$A$88&gt;35,BD76+BC77-BL76,IF(A77&lt;'Données projet'!$A$88,$BA$205^A77,IF(A77='Données projet'!$A$88,'Données projet'!$B$88,BD76+BC77-BL76)))</f>
        <v>309.59999999999974</v>
      </c>
      <c r="BE77" s="14">
        <f>BD77*VLOOKUP('Données projet'!$B$11,Paramètres!$A$1:$I$89,3,0)*VLOOKUP('Données projet'!$B$11,Paramètres!$A$1:$I$89,5,0)</f>
        <v>323.5939199999998</v>
      </c>
      <c r="BF77" s="14">
        <f t="shared" si="91"/>
        <v>76.100651858165207</v>
      </c>
      <c r="BG77" s="22">
        <f t="shared" si="61"/>
        <v>696.13471265297073</v>
      </c>
      <c r="BH77" s="62">
        <f t="shared" si="62"/>
        <v>989.46804598630411</v>
      </c>
      <c r="BI77" s="62">
        <f ca="1">AVERAGE(OFFSET($BH$3,0,0,'Données projet'!$E$11+1,1))-AVERAGE(OFFSET($H$3,0,0,'Données projet'!$E$11+1,1))</f>
        <v>464.21202287459482</v>
      </c>
      <c r="BJ77" s="62">
        <f t="shared" si="92"/>
        <v>234.57880205159688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2.580000000000001</v>
      </c>
      <c r="BY77" s="13">
        <f>IF('Données projet'!$A$114&gt;35,BY76+BX77-CG76,IF(A77&lt;'Données projet'!$A$114,$BV$205^A77,IF(A77='Données projet'!$A$114,'Données projet'!$B$114,BY76+BX77-CG76)))</f>
        <v>218.92000000000013</v>
      </c>
      <c r="BZ77" s="14">
        <f>BY77*VLOOKUP('Données projet'!$B$12,Paramètres!$A$1:$I$89,3,0)*VLOOKUP('Données projet'!$B$12,Paramètres!$A$1:$I$89,5,0)</f>
        <v>174.17275200000012</v>
      </c>
      <c r="CA77" s="14">
        <f t="shared" si="93"/>
        <v>44.023258196853774</v>
      </c>
      <c r="CB77" s="22">
        <f t="shared" si="64"/>
        <v>380.02471775952046</v>
      </c>
      <c r="CC77" s="62">
        <f t="shared" si="65"/>
        <v>673.35805109285377</v>
      </c>
      <c r="CD77" s="62">
        <f ca="1">AVERAGE(OFFSET($CC$3,0,0,'Données projet'!$E$12+1,1))-AVERAGE(OFFSET($H$3,0,0,'Données projet'!$E$12+1,1))</f>
        <v>177.99876437322689</v>
      </c>
      <c r="CE77" s="62">
        <f t="shared" si="94"/>
        <v>165.68154380324592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7.073076923076921</v>
      </c>
      <c r="CT77" s="13">
        <f>IF('Données projet'!$A$140&gt;35,CT76+CS77-DB76,IF(A77&lt;'Données projet'!$A$140,$CQ$205^A77,IF(A77='Données projet'!$A$140,'Données projet'!$B$140,CT76+CS77-DB76)))</f>
        <v>326.42307692307668</v>
      </c>
      <c r="CU77" s="18">
        <f>CT77*VLOOKUP('Données projet'!$B$13,Paramètres!$A$1:$I$89,3,0)*VLOOKUP('Données projet'!$B$13,Paramètres!$A$1:$I$89,5,0)</f>
        <v>182.47049999999987</v>
      </c>
      <c r="CV77" s="14">
        <f t="shared" si="95"/>
        <v>45.871390076348234</v>
      </c>
      <c r="CW77" s="22">
        <f t="shared" si="67"/>
        <v>397.69545854963962</v>
      </c>
      <c r="CX77" s="62">
        <f t="shared" si="68"/>
        <v>691.02879188297288</v>
      </c>
      <c r="CY77" s="62">
        <f ca="1">AVERAGE(OFFSET($CX$3,0,0,'Données projet'!$E$13+1,1))-AVERAGE(OFFSET($H$3,0,0,'Données projet'!$E$13+1,1))</f>
        <v>242.07451379051349</v>
      </c>
      <c r="CZ77" s="62">
        <f t="shared" si="96"/>
        <v>207.11607964940754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178.56320966726986</v>
      </c>
      <c r="DU77" s="62">
        <f t="shared" si="98"/>
        <v>272.06842551411739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2.2655898087792261</v>
      </c>
      <c r="EC77" s="23">
        <f>EXP(-LN(2)/2)*EC76+(1-EXP(-LN(2)/2))/(LN(2)/2)*DW77*DZ77*VLOOKUP('Données projet'!$B$14,Paramètres!$A$1:$I$89,3,0)*0.475*44/12</f>
        <v>3.9383935644642827E-6</v>
      </c>
      <c r="ED77" s="24">
        <f t="shared" si="72"/>
        <v>2.2655937471727907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5.4</v>
      </c>
      <c r="EJ77" s="13">
        <f>IF('Données projet'!$A$192&gt;35,EJ76+EI77-ER76,IF(A77&lt;'Données projet'!$A$192,$EG$205^A77,IF(A77='Données projet'!$A$192,'Données projet'!$B$192,EJ76+EI77-ER76)))</f>
        <v>309.59999999999974</v>
      </c>
      <c r="EK77" s="18">
        <f>EJ77*VLOOKUP('Données projet'!$B$15,Paramètres!$A$1:$I$89,3,0)*VLOOKUP('Données projet'!$B$15,Paramètres!$A$1:$I$89,5,0)</f>
        <v>333.25343999999967</v>
      </c>
      <c r="EL77" s="14">
        <f t="shared" si="99"/>
        <v>78.104442670216045</v>
      </c>
      <c r="EM77" s="22">
        <f t="shared" si="73"/>
        <v>716.44831231729233</v>
      </c>
      <c r="EN77" s="62">
        <f t="shared" si="74"/>
        <v>1009.7816456506257</v>
      </c>
      <c r="EO77" s="62">
        <f ca="1">AVERAGE(OFFSET($EN$3,0,0,'Données projet'!$E$15+1,1))-AVERAGE(OFFSET($H$3,0,0,'Données projet'!$E$15+1,1))</f>
        <v>479.87943647026646</v>
      </c>
      <c r="EP77" s="62">
        <f t="shared" si="100"/>
        <v>242.41363045393223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5.4</v>
      </c>
      <c r="FE77" s="13">
        <f>IF('Données projet'!$A$218&gt;35,FE76+FD77-FM76,IF(A77&lt;'Données projet'!$A$218,$FB$205^A77,IF(A77='Données projet'!$A$218,'Données projet'!$B$218,FE76+FD77-FM76)))</f>
        <v>309.59999999999974</v>
      </c>
      <c r="FF77" s="18">
        <f>FE77*VLOOKUP('Données projet'!$B$16,Paramètres!$A$1:$I$89,3,0)*VLOOKUP('Données projet'!$B$16,Paramètres!$A$1:$I$89,5,0)</f>
        <v>299.44511999999975</v>
      </c>
      <c r="FG77" s="14">
        <f t="shared" si="101"/>
        <v>71.060126783970659</v>
      </c>
      <c r="FH77" s="22">
        <f t="shared" si="76"/>
        <v>645.29663814874846</v>
      </c>
      <c r="FI77" s="62">
        <f t="shared" si="77"/>
        <v>938.62997148208183</v>
      </c>
      <c r="FJ77" s="62">
        <f ca="1">AVERAGE(OFFSET($FI$3,0,0,'Données projet'!$E$16+1,1))-AVERAGE(OFFSET($H$3,0,0,'Données projet'!$E$16+1,1))</f>
        <v>425.00152674093977</v>
      </c>
      <c r="FK77" s="62">
        <f t="shared" si="102"/>
        <v>214.96884469274687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11.3</v>
      </c>
      <c r="N78" s="14">
        <f>IF('Données projet'!$A$36&gt;35,N77+M78-V77,IF(A78&lt;'Données projet'!$A$36,$K$205^A78,IF(A78='Données projet'!$A$36,'Données projet'!$B$36,N77+M78-V77)))</f>
        <v>304.5</v>
      </c>
      <c r="O78" s="14">
        <f>N78*VLOOKUP('Données projet'!$B$9,Paramètres!$A$1:$I$89,3,0)*VLOOKUP('Données projet'!$B$9,Paramètres!$A$1:$I$89,5,0)</f>
        <v>146.46449999999999</v>
      </c>
      <c r="P78" s="14">
        <f t="shared" si="87"/>
        <v>37.774018610834226</v>
      </c>
      <c r="Q78" s="22">
        <f t="shared" si="54"/>
        <v>320.88208658053622</v>
      </c>
      <c r="R78" s="62">
        <f t="shared" si="55"/>
        <v>614.21541991386948</v>
      </c>
      <c r="S78" s="62">
        <f ca="1">AVERAGE(OFFSET($R$3,0,0,'Données projet'!$E$9+1,1))-AVERAGE(OFFSET($H$3,0,0,'Données projet'!$E$9+1,1))</f>
        <v>179.22241276165141</v>
      </c>
      <c r="T78" s="62">
        <f t="shared" si="88"/>
        <v>86.510654589692876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6.2061538461538532</v>
      </c>
      <c r="AI78" s="14">
        <f>IF('Données projet'!$A$62&gt;35,AI77+AH78-AQ77,IF(A78&lt;'Données projet'!$A$62,$AF$205^A78,IF(A78='Données projet'!$A$62,'Données projet'!$B$62,AI77+AH78-AQ77)))</f>
        <v>279.13846153846157</v>
      </c>
      <c r="AJ78" s="14">
        <f>AI78*VLOOKUP('Données projet'!$B$10,Paramètres!$A$1:$I$89,3,0)*VLOOKUP('Données projet'!$B$10,Paramètres!$A$1:$I$89,5,0)</f>
        <v>166.92480000000003</v>
      </c>
      <c r="AK78" s="14">
        <f t="shared" si="89"/>
        <v>42.400551044671708</v>
      </c>
      <c r="AL78" s="22">
        <f t="shared" si="58"/>
        <v>364.57498640280323</v>
      </c>
      <c r="AM78" s="62">
        <f t="shared" si="59"/>
        <v>657.90831973613649</v>
      </c>
      <c r="AN78" s="62">
        <f ca="1">AVERAGE(OFFSET($AM$3,0,0,'Données projet'!$E$10+1,1))-AVERAGE(OFFSET($H$3,0,0,'Données projet'!$E$10+1,1))</f>
        <v>157.42757749057949</v>
      </c>
      <c r="AO78" s="62">
        <f t="shared" si="90"/>
        <v>129.86070223892136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5.1905066053483226E-7</v>
      </c>
      <c r="AX78" s="23">
        <f t="shared" si="60"/>
        <v>5.1905066053483226E-7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315</v>
      </c>
      <c r="BB78" s="13">
        <f>VLOOKUP(A78,'Données projet'!$A$87:$I$107,9,0)</f>
        <v>5.4</v>
      </c>
      <c r="BC78" s="13">
        <f t="array" ref="BC78">INDEX(BB:BB,MIN(IF(ISNUMBER(BB78:BB274),ROW(BB78:BB274),"")))</f>
        <v>5.4</v>
      </c>
      <c r="BD78" s="13">
        <f>IF('Données projet'!$A$88&gt;35,BD77+BC78-BL77,IF(A78&lt;'Données projet'!$A$88,$BA$205^A78,IF(A78='Données projet'!$A$88,'Données projet'!$B$88,BD77+BC78-BL77)))</f>
        <v>314.99999999999972</v>
      </c>
      <c r="BE78" s="14">
        <f>BD78*VLOOKUP('Données projet'!$B$11,Paramètres!$A$1:$I$89,3,0)*VLOOKUP('Données projet'!$B$11,Paramètres!$A$1:$I$89,5,0)</f>
        <v>329.23799999999972</v>
      </c>
      <c r="BF78" s="14">
        <f t="shared" si="91"/>
        <v>77.27230388129361</v>
      </c>
      <c r="BG78" s="22">
        <f t="shared" si="61"/>
        <v>708.00544592658582</v>
      </c>
      <c r="BH78" s="62">
        <f t="shared" si="62"/>
        <v>1001.3387792599192</v>
      </c>
      <c r="BI78" s="62">
        <f ca="1">AVERAGE(OFFSET($BH$3,0,0,'Données projet'!$E$11+1,1))-AVERAGE(OFFSET($H$3,0,0,'Données projet'!$E$11+1,1))</f>
        <v>464.21202287459482</v>
      </c>
      <c r="BJ78" s="62">
        <f t="shared" si="92"/>
        <v>234.57880205159688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221.5</v>
      </c>
      <c r="BW78" s="13">
        <f>VLOOKUP(A78,'Données projet'!$A$113:$I$133,9,0)</f>
        <v>2.580000000000001</v>
      </c>
      <c r="BX78" s="13">
        <f t="array" ref="BX78">INDEX(BW:BW,MIN(IF(ISNUMBER(BW78:BW274),ROW(BW78:BW274),"")))</f>
        <v>2.580000000000001</v>
      </c>
      <c r="BY78" s="13">
        <f>IF('Données projet'!$A$114&gt;35,BY77+BX78-CG77,IF(A78&lt;'Données projet'!$A$114,$BV$205^A78,IF(A78='Données projet'!$A$114,'Données projet'!$B$114,BY77+BX78-CG77)))</f>
        <v>221.50000000000014</v>
      </c>
      <c r="BZ78" s="14">
        <f>BY78*VLOOKUP('Données projet'!$B$12,Paramètres!$A$1:$I$89,3,0)*VLOOKUP('Données projet'!$B$12,Paramètres!$A$1:$I$89,5,0)</f>
        <v>176.22540000000012</v>
      </c>
      <c r="CA78" s="14">
        <f t="shared" si="93"/>
        <v>44.481374209901524</v>
      </c>
      <c r="CB78" s="22">
        <f t="shared" si="64"/>
        <v>384.39763174891203</v>
      </c>
      <c r="CC78" s="62">
        <f t="shared" si="65"/>
        <v>677.73096508224535</v>
      </c>
      <c r="CD78" s="62">
        <f ca="1">AVERAGE(OFFSET($CC$3,0,0,'Données projet'!$E$12+1,1))-AVERAGE(OFFSET($H$3,0,0,'Données projet'!$E$12+1,1))</f>
        <v>177.99876437322689</v>
      </c>
      <c r="CE78" s="62">
        <f t="shared" si="94"/>
        <v>165.68154380324592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7.073076923076921</v>
      </c>
      <c r="CT78" s="13">
        <f>IF('Données projet'!$A$140&gt;35,CT77+CS78-DB77,IF(A78&lt;'Données projet'!$A$140,$CQ$205^A78,IF(A78='Données projet'!$A$140,'Données projet'!$B$140,CT77+CS78-DB77)))</f>
        <v>333.49615384615362</v>
      </c>
      <c r="CU78" s="18">
        <f>CT78*VLOOKUP('Données projet'!$B$13,Paramètres!$A$1:$I$89,3,0)*VLOOKUP('Données projet'!$B$13,Paramètres!$A$1:$I$89,5,0)</f>
        <v>186.42434999999989</v>
      </c>
      <c r="CV78" s="14">
        <f t="shared" si="95"/>
        <v>46.748555434068898</v>
      </c>
      <c r="CW78" s="22">
        <f t="shared" si="67"/>
        <v>406.10947696433641</v>
      </c>
      <c r="CX78" s="62">
        <f t="shared" si="68"/>
        <v>699.44281029766967</v>
      </c>
      <c r="CY78" s="62">
        <f ca="1">AVERAGE(OFFSET($CX$3,0,0,'Données projet'!$E$13+1,1))-AVERAGE(OFFSET($H$3,0,0,'Données projet'!$E$13+1,1))</f>
        <v>242.07451379051349</v>
      </c>
      <c r="CZ78" s="62">
        <f t="shared" si="96"/>
        <v>207.11607964940754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178.56320966726986</v>
      </c>
      <c r="DU78" s="62">
        <f t="shared" si="98"/>
        <v>272.06842551411739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2.2036371363159684</v>
      </c>
      <c r="EC78" s="23">
        <f>EXP(-LN(2)/2)*EC77+(1-EXP(-LN(2)/2))/(LN(2)/2)*DW78*DZ78*VLOOKUP('Données projet'!$B$14,Paramètres!$A$1:$I$89,3,0)*0.475*44/12</f>
        <v>2.7848647964141525E-6</v>
      </c>
      <c r="ED78" s="24">
        <f t="shared" si="72"/>
        <v>2.2036399211807649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315</v>
      </c>
      <c r="EH78" s="13">
        <f>VLOOKUP(A78,'Données projet'!$A$191:$I$211,9,0)</f>
        <v>5.4</v>
      </c>
      <c r="EI78" s="13">
        <f t="array" ref="EI78">INDEX(EH:EH,MIN(IF(ISNUMBER(EH78:EH274),ROW(EH78:EH274),"")))</f>
        <v>5.4</v>
      </c>
      <c r="EJ78" s="13">
        <f>IF('Données projet'!$A$192&gt;35,EJ77+EI78-ER77,IF(A78&lt;'Données projet'!$A$192,$EG$205^A78,IF(A78='Données projet'!$A$192,'Données projet'!$B$192,EJ77+EI78-ER77)))</f>
        <v>314.99999999999972</v>
      </c>
      <c r="EK78" s="18">
        <f>EJ78*VLOOKUP('Données projet'!$B$15,Paramètres!$A$1:$I$89,3,0)*VLOOKUP('Données projet'!$B$15,Paramètres!$A$1:$I$89,5,0)</f>
        <v>339.06599999999969</v>
      </c>
      <c r="EL78" s="14">
        <f t="shared" si="99"/>
        <v>79.306945224864819</v>
      </c>
      <c r="EM78" s="22">
        <f t="shared" si="73"/>
        <v>728.6662129333057</v>
      </c>
      <c r="EN78" s="62">
        <f t="shared" si="74"/>
        <v>1021.9995462666391</v>
      </c>
      <c r="EO78" s="62">
        <f ca="1">AVERAGE(OFFSET($EN$3,0,0,'Données projet'!$E$15+1,1))-AVERAGE(OFFSET($H$3,0,0,'Données projet'!$E$15+1,1))</f>
        <v>479.87943647026646</v>
      </c>
      <c r="EP78" s="62">
        <f t="shared" si="100"/>
        <v>242.41363045393223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315</v>
      </c>
      <c r="FC78" s="13">
        <f>VLOOKUP(A78,'Données projet'!$A$217:$I$237,9,0)</f>
        <v>5.4</v>
      </c>
      <c r="FD78" s="13">
        <f t="array" ref="FD78">INDEX(FC:FC,MIN(IF(ISNUMBER(FC78:FC274),ROW(FC78:FC274),"")))</f>
        <v>5.4</v>
      </c>
      <c r="FE78" s="13">
        <f>IF('Données projet'!$A$218&gt;35,FE77+FD78-FM77,IF(A78&lt;'Données projet'!$A$218,$FB$205^A78,IF(A78='Données projet'!$A$218,'Données projet'!$B$218,FE77+FD78-FM77)))</f>
        <v>314.99999999999972</v>
      </c>
      <c r="FF78" s="18">
        <f>FE78*VLOOKUP('Données projet'!$B$16,Paramètres!$A$1:$I$89,3,0)*VLOOKUP('Données projet'!$B$16,Paramètres!$A$1:$I$89,5,0)</f>
        <v>304.66799999999972</v>
      </c>
      <c r="FG78" s="14">
        <f t="shared" si="101"/>
        <v>72.15417446000599</v>
      </c>
      <c r="FH78" s="22">
        <f t="shared" si="76"/>
        <v>656.29862051784335</v>
      </c>
      <c r="FI78" s="62">
        <f t="shared" si="77"/>
        <v>949.6319538511766</v>
      </c>
      <c r="FJ78" s="62">
        <f ca="1">AVERAGE(OFFSET($FI$3,0,0,'Données projet'!$E$16+1,1))-AVERAGE(OFFSET($H$3,0,0,'Données projet'!$E$16+1,1))</f>
        <v>425.00152674093977</v>
      </c>
      <c r="FK78" s="62">
        <f t="shared" si="102"/>
        <v>214.96884469274687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28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11.3</v>
      </c>
      <c r="N79" s="14">
        <f>IF('Données projet'!$A$36&gt;35,N78+M79-V78,IF(A79&lt;'Données projet'!$A$36,$K$205^A79,IF(A79='Données projet'!$A$36,'Données projet'!$B$36,N78+M79-V78)))</f>
        <v>315.8</v>
      </c>
      <c r="O79" s="14">
        <f>N79*VLOOKUP('Données projet'!$B$9,Paramètres!$A$1:$I$89,3,0)*VLOOKUP('Données projet'!$B$9,Paramètres!$A$1:$I$89,5,0)</f>
        <v>151.8998</v>
      </c>
      <c r="P79" s="14">
        <f t="shared" si="87"/>
        <v>39.010005235445981</v>
      </c>
      <c r="Q79" s="22">
        <f t="shared" si="54"/>
        <v>332.50124411840176</v>
      </c>
      <c r="R79" s="62">
        <f t="shared" si="55"/>
        <v>625.83457745173507</v>
      </c>
      <c r="S79" s="62">
        <f ca="1">AVERAGE(OFFSET($R$3,0,0,'Données projet'!$E$9+1,1))-AVERAGE(OFFSET($H$3,0,0,'Données projet'!$E$9+1,1))</f>
        <v>179.22241276165141</v>
      </c>
      <c r="T79" s="62">
        <f t="shared" si="88"/>
        <v>86.510654589692876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6.2061538461538532</v>
      </c>
      <c r="AI79" s="14">
        <f>IF('Données projet'!$A$62&gt;35,AI78+AH79-AQ78,IF(A79&lt;'Données projet'!$A$62,$AF$205^A79,IF(A79='Données projet'!$A$62,'Données projet'!$B$62,AI78+AH79-AQ78)))</f>
        <v>285.34461538461539</v>
      </c>
      <c r="AJ79" s="14">
        <f>AI79*VLOOKUP('Données projet'!$B$10,Paramètres!$A$1:$I$89,3,0)*VLOOKUP('Données projet'!$B$10,Paramètres!$A$1:$I$89,5,0)</f>
        <v>170.63608000000002</v>
      </c>
      <c r="AK79" s="14">
        <f t="shared" si="89"/>
        <v>43.232453366004947</v>
      </c>
      <c r="AL79" s="22">
        <f t="shared" si="58"/>
        <v>372.48769561245859</v>
      </c>
      <c r="AM79" s="62">
        <f t="shared" si="59"/>
        <v>665.82102894579191</v>
      </c>
      <c r="AN79" s="62">
        <f ca="1">AVERAGE(OFFSET($AM$3,0,0,'Données projet'!$E$10+1,1))-AVERAGE(OFFSET($H$3,0,0,'Données projet'!$E$10+1,1))</f>
        <v>157.42757749057949</v>
      </c>
      <c r="AO79" s="62">
        <f t="shared" si="90"/>
        <v>129.86070223892136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3.670242418435366E-7</v>
      </c>
      <c r="AX79" s="23">
        <f t="shared" si="60"/>
        <v>3.670242418435366E-7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5.2</v>
      </c>
      <c r="BD79" s="13">
        <f>IF('Données projet'!$A$88&gt;35,BD78+BC79-BL78,IF(A79&lt;'Données projet'!$A$88,$BA$205^A79,IF(A79='Données projet'!$A$88,'Données projet'!$B$88,BD78+BC79-BL78)))</f>
        <v>292.1999999999997</v>
      </c>
      <c r="BE79" s="14">
        <f>BD79*VLOOKUP('Données projet'!$B$11,Paramètres!$A$1:$I$89,3,0)*VLOOKUP('Données projet'!$B$11,Paramètres!$A$1:$I$89,5,0)</f>
        <v>305.40743999999972</v>
      </c>
      <c r="BF79" s="14">
        <f t="shared" si="91"/>
        <v>72.30888930022482</v>
      </c>
      <c r="BG79" s="22">
        <f t="shared" si="61"/>
        <v>657.85594019789096</v>
      </c>
      <c r="BH79" s="62">
        <f t="shared" si="62"/>
        <v>951.18927353122422</v>
      </c>
      <c r="BI79" s="62">
        <f ca="1">AVERAGE(OFFSET($BH$3,0,0,'Données projet'!$E$11+1,1))-AVERAGE(OFFSET($H$3,0,0,'Données projet'!$E$11+1,1))</f>
        <v>464.21202287459482</v>
      </c>
      <c r="BJ79" s="62">
        <f t="shared" si="92"/>
        <v>234.57880205159688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2.2799999999999954</v>
      </c>
      <c r="BY79" s="13">
        <f>IF('Données projet'!$A$114&gt;35,BY78+BX79-CG78,IF(A79&lt;'Données projet'!$A$114,$BV$205^A79,IF(A79='Données projet'!$A$114,'Données projet'!$B$114,BY78+BX79-CG78)))</f>
        <v>223.78000000000014</v>
      </c>
      <c r="BZ79" s="14">
        <f>BY79*VLOOKUP('Données projet'!$B$12,Paramètres!$A$1:$I$89,3,0)*VLOOKUP('Données projet'!$B$12,Paramètres!$A$1:$I$89,5,0)</f>
        <v>178.03936800000014</v>
      </c>
      <c r="CA79" s="14">
        <f t="shared" si="93"/>
        <v>44.885704015214827</v>
      </c>
      <c r="CB79" s="22">
        <f t="shared" si="64"/>
        <v>388.26116709316602</v>
      </c>
      <c r="CC79" s="62">
        <f t="shared" si="65"/>
        <v>681.59450042649928</v>
      </c>
      <c r="CD79" s="62">
        <f ca="1">AVERAGE(OFFSET($CC$3,0,0,'Données projet'!$E$12+1,1))-AVERAGE(OFFSET($H$3,0,0,'Données projet'!$E$12+1,1))</f>
        <v>177.99876437322689</v>
      </c>
      <c r="CE79" s="62">
        <f t="shared" si="94"/>
        <v>165.68154380324592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7.073076923076921</v>
      </c>
      <c r="CT79" s="13">
        <f>IF('Données projet'!$A$140&gt;35,CT78+CS79-DB78,IF(A79&lt;'Données projet'!$A$140,$CQ$205^A79,IF(A79='Données projet'!$A$140,'Données projet'!$B$140,CT78+CS79-DB78)))</f>
        <v>340.56923076923056</v>
      </c>
      <c r="CU79" s="18">
        <f>CT79*VLOOKUP('Données projet'!$B$13,Paramètres!$A$1:$I$89,3,0)*VLOOKUP('Données projet'!$B$13,Paramètres!$A$1:$I$89,5,0)</f>
        <v>190.37819999999988</v>
      </c>
      <c r="CV79" s="14">
        <f t="shared" si="95"/>
        <v>47.623557821988435</v>
      </c>
      <c r="CW79" s="22">
        <f t="shared" si="67"/>
        <v>414.51972820662968</v>
      </c>
      <c r="CX79" s="62">
        <f t="shared" si="68"/>
        <v>707.85306153996294</v>
      </c>
      <c r="CY79" s="62">
        <f ca="1">AVERAGE(OFFSET($CX$3,0,0,'Données projet'!$E$13+1,1))-AVERAGE(OFFSET($H$3,0,0,'Données projet'!$E$13+1,1))</f>
        <v>242.07451379051349</v>
      </c>
      <c r="CZ79" s="62">
        <f t="shared" si="96"/>
        <v>207.11607964940754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178.56320966726986</v>
      </c>
      <c r="DU79" s="62">
        <f t="shared" si="98"/>
        <v>272.06842551411739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2.1433785629391675</v>
      </c>
      <c r="EC79" s="23">
        <f>EXP(-LN(2)/2)*EC78+(1-EXP(-LN(2)/2))/(LN(2)/2)*DW79*DZ79*VLOOKUP('Données projet'!$B$14,Paramètres!$A$1:$I$89,3,0)*0.475*44/12</f>
        <v>1.9691967822321413E-6</v>
      </c>
      <c r="ED79" s="24">
        <f t="shared" si="72"/>
        <v>2.1433805321359496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5.2</v>
      </c>
      <c r="EJ79" s="13">
        <f>IF('Données projet'!$A$192&gt;35,EJ78+EI79-ER78,IF(A79&lt;'Données projet'!$A$192,$EG$205^A79,IF(A79='Données projet'!$A$192,'Données projet'!$B$192,EJ78+EI79-ER78)))</f>
        <v>292.1999999999997</v>
      </c>
      <c r="EK79" s="18">
        <f>EJ79*VLOOKUP('Données projet'!$B$15,Paramètres!$A$1:$I$89,3,0)*VLOOKUP('Données projet'!$B$15,Paramètres!$A$1:$I$89,5,0)</f>
        <v>314.52407999999963</v>
      </c>
      <c r="EL79" s="14">
        <f t="shared" si="99"/>
        <v>74.212839982269415</v>
      </c>
      <c r="EM79" s="22">
        <f t="shared" si="73"/>
        <v>677.0501356357853</v>
      </c>
      <c r="EN79" s="62">
        <f t="shared" si="74"/>
        <v>970.38346896911867</v>
      </c>
      <c r="EO79" s="62">
        <f ca="1">AVERAGE(OFFSET($EN$3,0,0,'Données projet'!$E$15+1,1))-AVERAGE(OFFSET($H$3,0,0,'Données projet'!$E$15+1,1))</f>
        <v>479.87943647026646</v>
      </c>
      <c r="EP79" s="62">
        <f t="shared" si="100"/>
        <v>242.41363045393223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5.2</v>
      </c>
      <c r="FE79" s="13">
        <f>IF('Données projet'!$A$218&gt;35,FE78+FD79-FM78,IF(A79&lt;'Données projet'!$A$218,$FB$205^A79,IF(A79='Données projet'!$A$218,'Données projet'!$B$218,FE78+FD79-FM78)))</f>
        <v>292.1999999999997</v>
      </c>
      <c r="FF79" s="18">
        <f>FE79*VLOOKUP('Données projet'!$B$16,Paramètres!$A$1:$I$89,3,0)*VLOOKUP('Données projet'!$B$16,Paramètres!$A$1:$I$89,5,0)</f>
        <v>282.61583999999971</v>
      </c>
      <c r="FG79" s="14">
        <f t="shared" si="101"/>
        <v>67.519511539253173</v>
      </c>
      <c r="FH79" s="22">
        <f t="shared" si="76"/>
        <v>609.81907059753212</v>
      </c>
      <c r="FI79" s="62">
        <f t="shared" si="77"/>
        <v>903.15240393086538</v>
      </c>
      <c r="FJ79" s="62">
        <f ca="1">AVERAGE(OFFSET($FI$3,0,0,'Données projet'!$E$16+1,1))-AVERAGE(OFFSET($H$3,0,0,'Données projet'!$E$16+1,1))</f>
        <v>425.00152674093977</v>
      </c>
      <c r="FK79" s="62">
        <f t="shared" si="102"/>
        <v>214.96884469274687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11.3</v>
      </c>
      <c r="N80" s="14">
        <f>IF('Données projet'!$A$36&gt;35,N79+M80-V79,IF(A80&lt;'Données projet'!$A$36,$K$205^A80,IF(A80='Données projet'!$A$36,'Données projet'!$B$36,N79+M80-V79)))</f>
        <v>327.10000000000002</v>
      </c>
      <c r="O80" s="14">
        <f>N80*VLOOKUP('Données projet'!$B$9,Paramètres!$A$1:$I$89,3,0)*VLOOKUP('Données projet'!$B$9,Paramètres!$A$1:$I$89,5,0)</f>
        <v>157.33510000000001</v>
      </c>
      <c r="P80" s="14">
        <f t="shared" si="87"/>
        <v>40.240853472438801</v>
      </c>
      <c r="Q80" s="22">
        <f t="shared" si="54"/>
        <v>344.11145229783091</v>
      </c>
      <c r="R80" s="62">
        <f t="shared" si="55"/>
        <v>637.44478563116422</v>
      </c>
      <c r="S80" s="62">
        <f ca="1">AVERAGE(OFFSET($R$3,0,0,'Données projet'!$E$9+1,1))-AVERAGE(OFFSET($H$3,0,0,'Données projet'!$E$9+1,1))</f>
        <v>179.22241276165141</v>
      </c>
      <c r="T80" s="62">
        <f t="shared" si="88"/>
        <v>86.510654589692876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6.2061538461538532</v>
      </c>
      <c r="AI80" s="14">
        <f>IF('Données projet'!$A$62&gt;35,AI79+AH80-AQ79,IF(A80&lt;'Données projet'!$A$62,$AF$205^A80,IF(A80='Données projet'!$A$62,'Données projet'!$B$62,AI79+AH80-AQ79)))</f>
        <v>291.55076923076922</v>
      </c>
      <c r="AJ80" s="14">
        <f>AI80*VLOOKUP('Données projet'!$B$10,Paramètres!$A$1:$I$89,3,0)*VLOOKUP('Données projet'!$B$10,Paramètres!$A$1:$I$89,5,0)</f>
        <v>174.34736000000001</v>
      </c>
      <c r="AK80" s="14">
        <f t="shared" si="89"/>
        <v>44.062252079707392</v>
      </c>
      <c r="AL80" s="22">
        <f t="shared" si="58"/>
        <v>380.39674103882379</v>
      </c>
      <c r="AM80" s="62">
        <f t="shared" si="59"/>
        <v>673.73007437215711</v>
      </c>
      <c r="AN80" s="62">
        <f ca="1">AVERAGE(OFFSET($AM$3,0,0,'Données projet'!$E$10+1,1))-AVERAGE(OFFSET($H$3,0,0,'Données projet'!$E$10+1,1))</f>
        <v>157.42757749057949</v>
      </c>
      <c r="AO80" s="62">
        <f t="shared" si="90"/>
        <v>129.86070223892136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2.5952533026741613E-7</v>
      </c>
      <c r="AX80" s="23">
        <f t="shared" si="60"/>
        <v>2.5952533026741613E-7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5.2</v>
      </c>
      <c r="BD80" s="13">
        <f>IF('Données projet'!$A$88&gt;35,BD79+BC80-BL79,IF(A80&lt;'Données projet'!$A$88,$BA$205^A80,IF(A80='Données projet'!$A$88,'Données projet'!$B$88,BD79+BC80-BL79)))</f>
        <v>297.39999999999969</v>
      </c>
      <c r="BE80" s="14">
        <f>BD80*VLOOKUP('Données projet'!$B$11,Paramètres!$A$1:$I$89,3,0)*VLOOKUP('Données projet'!$B$11,Paramètres!$A$1:$I$89,5,0)</f>
        <v>310.84247999999974</v>
      </c>
      <c r="BF80" s="14">
        <f t="shared" si="91"/>
        <v>73.444745726758086</v>
      </c>
      <c r="BG80" s="22">
        <f t="shared" si="61"/>
        <v>669.30025147410311</v>
      </c>
      <c r="BH80" s="62">
        <f t="shared" si="62"/>
        <v>962.63358480743636</v>
      </c>
      <c r="BI80" s="62">
        <f ca="1">AVERAGE(OFFSET($BH$3,0,0,'Données projet'!$E$11+1,1))-AVERAGE(OFFSET($H$3,0,0,'Données projet'!$E$11+1,1))</f>
        <v>464.21202287459482</v>
      </c>
      <c r="BJ80" s="62">
        <f t="shared" si="92"/>
        <v>234.57880205159688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2.2799999999999954</v>
      </c>
      <c r="BY80" s="13">
        <f>IF('Données projet'!$A$114&gt;35,BY79+BX80-CG79,IF(A80&lt;'Données projet'!$A$114,$BV$205^A80,IF(A80='Données projet'!$A$114,'Données projet'!$B$114,BY79+BX80-CG79)))</f>
        <v>226.06000000000014</v>
      </c>
      <c r="BZ80" s="14">
        <f>BY80*VLOOKUP('Données projet'!$B$12,Paramètres!$A$1:$I$89,3,0)*VLOOKUP('Données projet'!$B$12,Paramètres!$A$1:$I$89,5,0)</f>
        <v>179.85333600000013</v>
      </c>
      <c r="CA80" s="14">
        <f t="shared" si="93"/>
        <v>45.289554580857747</v>
      </c>
      <c r="CB80" s="22">
        <f t="shared" si="64"/>
        <v>392.12386776166085</v>
      </c>
      <c r="CC80" s="62">
        <f t="shared" si="65"/>
        <v>685.45720109499416</v>
      </c>
      <c r="CD80" s="62">
        <f ca="1">AVERAGE(OFFSET($CC$3,0,0,'Données projet'!$E$12+1,1))-AVERAGE(OFFSET($H$3,0,0,'Données projet'!$E$12+1,1))</f>
        <v>177.99876437322689</v>
      </c>
      <c r="CE80" s="62">
        <f t="shared" si="94"/>
        <v>165.68154380324592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7.073076923076921</v>
      </c>
      <c r="CT80" s="13">
        <f>IF('Données projet'!$A$140&gt;35,CT79+CS80-DB79,IF(A80&lt;'Données projet'!$A$140,$CQ$205^A80,IF(A80='Données projet'!$A$140,'Données projet'!$B$140,CT79+CS80-DB79)))</f>
        <v>347.6423076923075</v>
      </c>
      <c r="CU80" s="18">
        <f>CT80*VLOOKUP('Données projet'!$B$13,Paramètres!$A$1:$I$89,3,0)*VLOOKUP('Données projet'!$B$13,Paramètres!$A$1:$I$89,5,0)</f>
        <v>194.3320499999999</v>
      </c>
      <c r="CV80" s="14">
        <f t="shared" si="95"/>
        <v>48.496447337076837</v>
      </c>
      <c r="CW80" s="22">
        <f t="shared" si="67"/>
        <v>422.92629952874199</v>
      </c>
      <c r="CX80" s="62">
        <f t="shared" si="68"/>
        <v>716.25963286207525</v>
      </c>
      <c r="CY80" s="62">
        <f ca="1">AVERAGE(OFFSET($CX$3,0,0,'Données projet'!$E$13+1,1))-AVERAGE(OFFSET($H$3,0,0,'Données projet'!$E$13+1,1))</f>
        <v>242.07451379051349</v>
      </c>
      <c r="CZ80" s="62">
        <f t="shared" si="96"/>
        <v>207.11607964940754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178.56320966726986</v>
      </c>
      <c r="DU80" s="62">
        <f t="shared" si="98"/>
        <v>272.06842551411739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2.0847677634202162</v>
      </c>
      <c r="EC80" s="23">
        <f>EXP(-LN(2)/2)*EC79+(1-EXP(-LN(2)/2))/(LN(2)/2)*DW80*DZ80*VLOOKUP('Données projet'!$B$14,Paramètres!$A$1:$I$89,3,0)*0.475*44/12</f>
        <v>1.3924323982070763E-6</v>
      </c>
      <c r="ED80" s="24">
        <f t="shared" si="72"/>
        <v>2.0847691558526145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5.2</v>
      </c>
      <c r="EJ80" s="13">
        <f>IF('Données projet'!$A$192&gt;35,EJ79+EI80-ER79,IF(A80&lt;'Données projet'!$A$192,$EG$205^A80,IF(A80='Données projet'!$A$192,'Données projet'!$B$192,EJ79+EI80-ER79)))</f>
        <v>297.39999999999969</v>
      </c>
      <c r="EK80" s="18">
        <f>EJ80*VLOOKUP('Données projet'!$B$15,Paramètres!$A$1:$I$89,3,0)*VLOOKUP('Données projet'!$B$15,Paramètres!$A$1:$I$89,5,0)</f>
        <v>320.12135999999964</v>
      </c>
      <c r="EL80" s="14">
        <f t="shared" si="99"/>
        <v>75.378604413737222</v>
      </c>
      <c r="EM80" s="22">
        <f t="shared" si="73"/>
        <v>688.82910468725822</v>
      </c>
      <c r="EN80" s="62">
        <f t="shared" si="74"/>
        <v>982.16243802059148</v>
      </c>
      <c r="EO80" s="62">
        <f ca="1">AVERAGE(OFFSET($EN$3,0,0,'Données projet'!$E$15+1,1))-AVERAGE(OFFSET($H$3,0,0,'Données projet'!$E$15+1,1))</f>
        <v>479.87943647026646</v>
      </c>
      <c r="EP80" s="62">
        <f t="shared" si="100"/>
        <v>242.41363045393223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5.2</v>
      </c>
      <c r="FE80" s="13">
        <f>IF('Données projet'!$A$218&gt;35,FE79+FD80-FM79,IF(A80&lt;'Données projet'!$A$218,$FB$205^A80,IF(A80='Données projet'!$A$218,'Données projet'!$B$218,FE79+FD80-FM79)))</f>
        <v>297.39999999999969</v>
      </c>
      <c r="FF80" s="18">
        <f>FE80*VLOOKUP('Données projet'!$B$16,Paramètres!$A$1:$I$89,3,0)*VLOOKUP('Données projet'!$B$16,Paramètres!$A$1:$I$89,5,0)</f>
        <v>287.64527999999973</v>
      </c>
      <c r="FG80" s="14">
        <f t="shared" si="101"/>
        <v>68.580134539280436</v>
      </c>
      <c r="FH80" s="22">
        <f t="shared" si="76"/>
        <v>620.42593032257957</v>
      </c>
      <c r="FI80" s="62">
        <f t="shared" si="77"/>
        <v>913.75926365591295</v>
      </c>
      <c r="FJ80" s="62">
        <f ca="1">AVERAGE(OFFSET($FI$3,0,0,'Données projet'!$E$16+1,1))-AVERAGE(OFFSET($H$3,0,0,'Données projet'!$E$16+1,1))</f>
        <v>425.00152674093977</v>
      </c>
      <c r="FK80" s="62">
        <f t="shared" si="102"/>
        <v>214.96884469274687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11.3</v>
      </c>
      <c r="N81" s="14">
        <f>IF('Données projet'!$A$36&gt;35,N80+M81-V80,IF(A81&lt;'Données projet'!$A$36,$K$205^A81,IF(A81='Données projet'!$A$36,'Données projet'!$B$36,N80+M81-V80)))</f>
        <v>338.40000000000003</v>
      </c>
      <c r="O81" s="14">
        <f>N81*VLOOKUP('Données projet'!$B$9,Paramètres!$A$1:$I$89,3,0)*VLOOKUP('Données projet'!$B$9,Paramètres!$A$1:$I$89,5,0)</f>
        <v>162.77040000000002</v>
      </c>
      <c r="P81" s="14">
        <f t="shared" si="87"/>
        <v>41.466761176934256</v>
      </c>
      <c r="Q81" s="22">
        <f t="shared" si="54"/>
        <v>355.7130557164939</v>
      </c>
      <c r="R81" s="62">
        <f t="shared" si="55"/>
        <v>649.04638904982721</v>
      </c>
      <c r="S81" s="62">
        <f ca="1">AVERAGE(OFFSET($R$3,0,0,'Données projet'!$E$9+1,1))-AVERAGE(OFFSET($H$3,0,0,'Données projet'!$E$9+1,1))</f>
        <v>179.22241276165141</v>
      </c>
      <c r="T81" s="62">
        <f t="shared" si="88"/>
        <v>86.510654589692876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6.2061538461538532</v>
      </c>
      <c r="AI81" s="14">
        <f>IF('Données projet'!$A$62&gt;35,AI80+AH81-AQ80,IF(A81&lt;'Données projet'!$A$62,$AF$205^A81,IF(A81='Données projet'!$A$62,'Données projet'!$B$62,AI80+AH81-AQ80)))</f>
        <v>297.75692307692304</v>
      </c>
      <c r="AJ81" s="14">
        <f>AI81*VLOOKUP('Données projet'!$B$10,Paramètres!$A$1:$I$89,3,0)*VLOOKUP('Données projet'!$B$10,Paramètres!$A$1:$I$89,5,0)</f>
        <v>178.05864</v>
      </c>
      <c r="AK81" s="14">
        <f t="shared" si="89"/>
        <v>44.88999712263788</v>
      </c>
      <c r="AL81" s="22">
        <f t="shared" si="58"/>
        <v>388.30220965526092</v>
      </c>
      <c r="AM81" s="62">
        <f t="shared" si="59"/>
        <v>681.63554298859424</v>
      </c>
      <c r="AN81" s="62">
        <f ca="1">AVERAGE(OFFSET($AM$3,0,0,'Données projet'!$E$10+1,1))-AVERAGE(OFFSET($H$3,0,0,'Données projet'!$E$10+1,1))</f>
        <v>157.42757749057949</v>
      </c>
      <c r="AO81" s="62">
        <f t="shared" si="90"/>
        <v>129.86070223892136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1.835121209217683E-7</v>
      </c>
      <c r="AX81" s="23">
        <f t="shared" si="60"/>
        <v>1.835121209217683E-7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5.2</v>
      </c>
      <c r="BD81" s="13">
        <f>IF('Données projet'!$A$88&gt;35,BD80+BC81-BL80,IF(A81&lt;'Données projet'!$A$88,$BA$205^A81,IF(A81='Données projet'!$A$88,'Données projet'!$B$88,BD80+BC81-BL80)))</f>
        <v>302.59999999999968</v>
      </c>
      <c r="BE81" s="14">
        <f>BD81*VLOOKUP('Données projet'!$B$11,Paramètres!$A$1:$I$89,3,0)*VLOOKUP('Données projet'!$B$11,Paramètres!$A$1:$I$89,5,0)</f>
        <v>316.2775199999997</v>
      </c>
      <c r="BF81" s="14">
        <f t="shared" si="91"/>
        <v>74.57829264076004</v>
      </c>
      <c r="BG81" s="22">
        <f t="shared" si="61"/>
        <v>680.74054034932317</v>
      </c>
      <c r="BH81" s="62">
        <f t="shared" si="62"/>
        <v>974.07387368265654</v>
      </c>
      <c r="BI81" s="62">
        <f ca="1">AVERAGE(OFFSET($BH$3,0,0,'Données projet'!$E$11+1,1))-AVERAGE(OFFSET($H$3,0,0,'Données projet'!$E$11+1,1))</f>
        <v>464.21202287459482</v>
      </c>
      <c r="BJ81" s="62">
        <f t="shared" si="92"/>
        <v>234.57880205159688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2.2799999999999954</v>
      </c>
      <c r="BY81" s="13">
        <f>IF('Données projet'!$A$114&gt;35,BY80+BX81-CG80,IF(A81&lt;'Données projet'!$A$114,$BV$205^A81,IF(A81='Données projet'!$A$114,'Données projet'!$B$114,BY80+BX81-CG80)))</f>
        <v>228.34000000000015</v>
      </c>
      <c r="BZ81" s="14">
        <f>BY81*VLOOKUP('Données projet'!$B$12,Paramètres!$A$1:$I$89,3,0)*VLOOKUP('Données projet'!$B$12,Paramètres!$A$1:$I$89,5,0)</f>
        <v>181.66730400000012</v>
      </c>
      <c r="CA81" s="14">
        <f t="shared" si="93"/>
        <v>45.692931299994072</v>
      </c>
      <c r="CB81" s="22">
        <f t="shared" si="64"/>
        <v>395.98574314748993</v>
      </c>
      <c r="CC81" s="62">
        <f t="shared" si="65"/>
        <v>689.31907648082324</v>
      </c>
      <c r="CD81" s="62">
        <f ca="1">AVERAGE(OFFSET($CC$3,0,0,'Données projet'!$E$12+1,1))-AVERAGE(OFFSET($H$3,0,0,'Données projet'!$E$12+1,1))</f>
        <v>177.99876437322689</v>
      </c>
      <c r="CE81" s="62">
        <f t="shared" si="94"/>
        <v>165.68154380324592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7.073076923076921</v>
      </c>
      <c r="CT81" s="13">
        <f>IF('Données projet'!$A$140&gt;35,CT80+CS81-DB80,IF(A81&lt;'Données projet'!$A$140,$CQ$205^A81,IF(A81='Données projet'!$A$140,'Données projet'!$B$140,CT80+CS81-DB80)))</f>
        <v>354.71538461538444</v>
      </c>
      <c r="CU81" s="18">
        <f>CT81*VLOOKUP('Données projet'!$B$13,Paramètres!$A$1:$I$89,3,0)*VLOOKUP('Données projet'!$B$13,Paramètres!$A$1:$I$89,5,0)</f>
        <v>198.28589999999991</v>
      </c>
      <c r="CV81" s="14">
        <f t="shared" si="95"/>
        <v>49.367271921237311</v>
      </c>
      <c r="CW81" s="22">
        <f t="shared" si="67"/>
        <v>431.32927442948812</v>
      </c>
      <c r="CX81" s="62">
        <f t="shared" si="68"/>
        <v>724.66260776282138</v>
      </c>
      <c r="CY81" s="62">
        <f ca="1">AVERAGE(OFFSET($CX$3,0,0,'Données projet'!$E$13+1,1))-AVERAGE(OFFSET($H$3,0,0,'Données projet'!$E$13+1,1))</f>
        <v>242.07451379051349</v>
      </c>
      <c r="CZ81" s="62">
        <f t="shared" si="96"/>
        <v>207.11607964940754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178.56320966726986</v>
      </c>
      <c r="DU81" s="62">
        <f t="shared" si="98"/>
        <v>272.06842551411739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2.0277596792963184</v>
      </c>
      <c r="EC81" s="23">
        <f>EXP(-LN(2)/2)*EC80+(1-EXP(-LN(2)/2))/(LN(2)/2)*DW81*DZ81*VLOOKUP('Données projet'!$B$14,Paramètres!$A$1:$I$89,3,0)*0.475*44/12</f>
        <v>9.8459839111607067E-7</v>
      </c>
      <c r="ED81" s="24">
        <f t="shared" si="72"/>
        <v>2.0277606638947097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5.2</v>
      </c>
      <c r="EJ81" s="13">
        <f>IF('Données projet'!$A$192&gt;35,EJ80+EI81-ER80,IF(A81&lt;'Données projet'!$A$192,$EG$205^A81,IF(A81='Données projet'!$A$192,'Données projet'!$B$192,EJ80+EI81-ER80)))</f>
        <v>302.59999999999968</v>
      </c>
      <c r="EK81" s="18">
        <f>EJ81*VLOOKUP('Données projet'!$B$15,Paramètres!$A$1:$I$89,3,0)*VLOOKUP('Données projet'!$B$15,Paramètres!$A$1:$I$89,5,0)</f>
        <v>325.71863999999965</v>
      </c>
      <c r="EL81" s="14">
        <f t="shared" si="99"/>
        <v>76.541998521368271</v>
      </c>
      <c r="EM81" s="22">
        <f t="shared" si="73"/>
        <v>700.60394542471579</v>
      </c>
      <c r="EN81" s="62">
        <f t="shared" si="74"/>
        <v>993.93727875804916</v>
      </c>
      <c r="EO81" s="62">
        <f ca="1">AVERAGE(OFFSET($EN$3,0,0,'Données projet'!$E$15+1,1))-AVERAGE(OFFSET($H$3,0,0,'Données projet'!$E$15+1,1))</f>
        <v>479.87943647026646</v>
      </c>
      <c r="EP81" s="62">
        <f t="shared" si="100"/>
        <v>242.41363045393223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5.2</v>
      </c>
      <c r="FE81" s="13">
        <f>IF('Données projet'!$A$218&gt;35,FE80+FD81-FM80,IF(A81&lt;'Données projet'!$A$218,$FB$205^A81,IF(A81='Données projet'!$A$218,'Données projet'!$B$218,FE80+FD81-FM80)))</f>
        <v>302.59999999999968</v>
      </c>
      <c r="FF81" s="18">
        <f>FE81*VLOOKUP('Données projet'!$B$16,Paramètres!$A$1:$I$89,3,0)*VLOOKUP('Données projet'!$B$16,Paramètres!$A$1:$I$89,5,0)</f>
        <v>292.6747199999997</v>
      </c>
      <c r="FG81" s="14">
        <f t="shared" si="101"/>
        <v>69.638600997290411</v>
      </c>
      <c r="FH81" s="22">
        <f t="shared" si="76"/>
        <v>631.02903407028032</v>
      </c>
      <c r="FI81" s="62">
        <f t="shared" si="77"/>
        <v>924.36236740361369</v>
      </c>
      <c r="FJ81" s="62">
        <f ca="1">AVERAGE(OFFSET($FI$3,0,0,'Données projet'!$E$16+1,1))-AVERAGE(OFFSET($H$3,0,0,'Données projet'!$E$16+1,1))</f>
        <v>425.00152674093977</v>
      </c>
      <c r="FK81" s="62">
        <f t="shared" si="102"/>
        <v>214.96884469274687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11.3</v>
      </c>
      <c r="N82" s="14">
        <f>IF('Données projet'!$A$36&gt;35,N81+M82-V81,IF(A82&lt;'Données projet'!$A$36,$K$205^A82,IF(A82='Données projet'!$A$36,'Données projet'!$B$36,N81+M82-V81)))</f>
        <v>349.70000000000005</v>
      </c>
      <c r="O82" s="14">
        <f>N82*VLOOKUP('Données projet'!$B$9,Paramètres!$A$1:$I$89,3,0)*VLOOKUP('Données projet'!$B$9,Paramètres!$A$1:$I$89,5,0)</f>
        <v>168.20570000000001</v>
      </c>
      <c r="P82" s="14">
        <f t="shared" si="87"/>
        <v>42.687912240534693</v>
      </c>
      <c r="Q82" s="22">
        <f t="shared" si="54"/>
        <v>367.30637465226459</v>
      </c>
      <c r="R82" s="62">
        <f t="shared" si="55"/>
        <v>660.63970798559785</v>
      </c>
      <c r="S82" s="62">
        <f ca="1">AVERAGE(OFFSET($R$3,0,0,'Données projet'!$E$9+1,1))-AVERAGE(OFFSET($H$3,0,0,'Données projet'!$E$9+1,1))</f>
        <v>179.22241276165141</v>
      </c>
      <c r="T82" s="62">
        <f t="shared" si="88"/>
        <v>86.510654589692876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6.2061538461538532</v>
      </c>
      <c r="AI82" s="14">
        <f>IF('Données projet'!$A$62&gt;35,AI81+AH82-AQ81,IF(A82&lt;'Données projet'!$A$62,$AF$205^A82,IF(A82='Données projet'!$A$62,'Données projet'!$B$62,AI81+AH82-AQ81)))</f>
        <v>303.96307692307687</v>
      </c>
      <c r="AJ82" s="14">
        <f>AI82*VLOOKUP('Données projet'!$B$10,Paramètres!$A$1:$I$89,3,0)*VLOOKUP('Données projet'!$B$10,Paramètres!$A$1:$I$89,5,0)</f>
        <v>181.76991999999998</v>
      </c>
      <c r="AK82" s="14">
        <f t="shared" si="89"/>
        <v>45.715736231023754</v>
      </c>
      <c r="AL82" s="22">
        <f t="shared" si="58"/>
        <v>396.2041846023663</v>
      </c>
      <c r="AM82" s="62">
        <f t="shared" si="59"/>
        <v>689.53751793569961</v>
      </c>
      <c r="AN82" s="62">
        <f ca="1">AVERAGE(OFFSET($AM$3,0,0,'Données projet'!$E$10+1,1))-AVERAGE(OFFSET($H$3,0,0,'Données projet'!$E$10+1,1))</f>
        <v>157.42757749057949</v>
      </c>
      <c r="AO82" s="62">
        <f t="shared" si="90"/>
        <v>129.86070223892136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1.2976266513370807E-7</v>
      </c>
      <c r="AX82" s="23">
        <f t="shared" si="60"/>
        <v>1.2976266513370807E-7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5.2</v>
      </c>
      <c r="BD82" s="13">
        <f>IF('Données projet'!$A$88&gt;35,BD81+BC82-BL81,IF(A82&lt;'Données projet'!$A$88,$BA$205^A82,IF(A82='Données projet'!$A$88,'Données projet'!$B$88,BD81+BC82-BL81)))</f>
        <v>307.79999999999967</v>
      </c>
      <c r="BE82" s="14">
        <f>BD82*VLOOKUP('Données projet'!$B$11,Paramètres!$A$1:$I$89,3,0)*VLOOKUP('Données projet'!$B$11,Paramètres!$A$1:$I$89,5,0)</f>
        <v>321.71255999999971</v>
      </c>
      <c r="BF82" s="14">
        <f t="shared" si="91"/>
        <v>75.709574309565767</v>
      </c>
      <c r="BG82" s="22">
        <f t="shared" si="61"/>
        <v>692.17688392249318</v>
      </c>
      <c r="BH82" s="62">
        <f t="shared" si="62"/>
        <v>985.51021725582655</v>
      </c>
      <c r="BI82" s="62">
        <f ca="1">AVERAGE(OFFSET($BH$3,0,0,'Données projet'!$E$11+1,1))-AVERAGE(OFFSET($H$3,0,0,'Données projet'!$E$11+1,1))</f>
        <v>464.21202287459482</v>
      </c>
      <c r="BJ82" s="62">
        <f t="shared" si="92"/>
        <v>234.57880205159688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2.2799999999999954</v>
      </c>
      <c r="BY82" s="13">
        <f>IF('Données projet'!$A$114&gt;35,BY81+BX82-CG81,IF(A82&lt;'Données projet'!$A$114,$BV$205^A82,IF(A82='Données projet'!$A$114,'Données projet'!$B$114,BY81+BX82-CG81)))</f>
        <v>230.62000000000015</v>
      </c>
      <c r="BZ82" s="14">
        <f>BY82*VLOOKUP('Données projet'!$B$12,Paramètres!$A$1:$I$89,3,0)*VLOOKUP('Données projet'!$B$12,Paramètres!$A$1:$I$89,5,0)</f>
        <v>183.48127200000013</v>
      </c>
      <c r="CA82" s="14">
        <f t="shared" si="93"/>
        <v>46.095839451877069</v>
      </c>
      <c r="CB82" s="22">
        <f t="shared" si="64"/>
        <v>399.84680244535281</v>
      </c>
      <c r="CC82" s="62">
        <f t="shared" si="65"/>
        <v>693.18013577868612</v>
      </c>
      <c r="CD82" s="62">
        <f ca="1">AVERAGE(OFFSET($CC$3,0,0,'Données projet'!$E$12+1,1))-AVERAGE(OFFSET($H$3,0,0,'Données projet'!$E$12+1,1))</f>
        <v>177.99876437322689</v>
      </c>
      <c r="CE82" s="62">
        <f t="shared" si="94"/>
        <v>165.68154380324592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7.073076923076921</v>
      </c>
      <c r="CT82" s="13">
        <f>IF('Données projet'!$A$140&gt;35,CT81+CS82-DB81,IF(A82&lt;'Données projet'!$A$140,$CQ$205^A82,IF(A82='Données projet'!$A$140,'Données projet'!$B$140,CT81+CS82-DB81)))</f>
        <v>361.78846153846138</v>
      </c>
      <c r="CU82" s="18">
        <f>CT82*VLOOKUP('Données projet'!$B$13,Paramètres!$A$1:$I$89,3,0)*VLOOKUP('Données projet'!$B$13,Paramètres!$A$1:$I$89,5,0)</f>
        <v>202.2397499999999</v>
      </c>
      <c r="CV82" s="14">
        <f t="shared" si="95"/>
        <v>50.236077495105754</v>
      </c>
      <c r="CW82" s="22">
        <f t="shared" si="67"/>
        <v>439.72873288730898</v>
      </c>
      <c r="CX82" s="62">
        <f t="shared" si="68"/>
        <v>733.06206622064224</v>
      </c>
      <c r="CY82" s="62">
        <f ca="1">AVERAGE(OFFSET($CX$3,0,0,'Données projet'!$E$13+1,1))-AVERAGE(OFFSET($H$3,0,0,'Données projet'!$E$13+1,1))</f>
        <v>242.07451379051349</v>
      </c>
      <c r="CZ82" s="62">
        <f t="shared" si="96"/>
        <v>207.11607964940754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178.56320966726986</v>
      </c>
      <c r="DU82" s="62">
        <f t="shared" si="98"/>
        <v>272.06842551411739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1.9723104842307135</v>
      </c>
      <c r="EC82" s="23">
        <f>EXP(-LN(2)/2)*EC81+(1-EXP(-LN(2)/2))/(LN(2)/2)*DW82*DZ82*VLOOKUP('Données projet'!$B$14,Paramètres!$A$1:$I$89,3,0)*0.475*44/12</f>
        <v>6.9621619910353813E-7</v>
      </c>
      <c r="ED82" s="24">
        <f t="shared" si="72"/>
        <v>1.9723111804469127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5.2</v>
      </c>
      <c r="EJ82" s="13">
        <f>IF('Données projet'!$A$192&gt;35,EJ81+EI82-ER81,IF(A82&lt;'Données projet'!$A$192,$EG$205^A82,IF(A82='Données projet'!$A$192,'Données projet'!$B$192,EJ81+EI82-ER81)))</f>
        <v>307.79999999999967</v>
      </c>
      <c r="EK82" s="18">
        <f>EJ82*VLOOKUP('Données projet'!$B$15,Paramètres!$A$1:$I$89,3,0)*VLOOKUP('Données projet'!$B$15,Paramètres!$A$1:$I$89,5,0)</f>
        <v>331.31591999999961</v>
      </c>
      <c r="EL82" s="14">
        <f t="shared" si="99"/>
        <v>77.703067738091647</v>
      </c>
      <c r="EM82" s="22">
        <f t="shared" si="73"/>
        <v>712.37473697717553</v>
      </c>
      <c r="EN82" s="62">
        <f t="shared" si="74"/>
        <v>1005.7080703105089</v>
      </c>
      <c r="EO82" s="62">
        <f ca="1">AVERAGE(OFFSET($EN$3,0,0,'Données projet'!$E$15+1,1))-AVERAGE(OFFSET($H$3,0,0,'Données projet'!$E$15+1,1))</f>
        <v>479.87943647026646</v>
      </c>
      <c r="EP82" s="62">
        <f t="shared" si="100"/>
        <v>242.41363045393223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5.2</v>
      </c>
      <c r="FE82" s="13">
        <f>IF('Données projet'!$A$218&gt;35,FE81+FD82-FM81,IF(A82&lt;'Données projet'!$A$218,$FB$205^A82,IF(A82='Données projet'!$A$218,'Données projet'!$B$218,FE81+FD82-FM81)))</f>
        <v>307.79999999999967</v>
      </c>
      <c r="FF82" s="18">
        <f>FE82*VLOOKUP('Données projet'!$B$16,Paramètres!$A$1:$I$89,3,0)*VLOOKUP('Données projet'!$B$16,Paramètres!$A$1:$I$89,5,0)</f>
        <v>297.70415999999966</v>
      </c>
      <c r="FG82" s="14">
        <f t="shared" si="101"/>
        <v>70.694952248571937</v>
      </c>
      <c r="FH82" s="22">
        <f t="shared" si="76"/>
        <v>641.62845383292881</v>
      </c>
      <c r="FI82" s="62">
        <f t="shared" si="77"/>
        <v>934.96178716626218</v>
      </c>
      <c r="FJ82" s="62">
        <f ca="1">AVERAGE(OFFSET($FI$3,0,0,'Données projet'!$E$16+1,1))-AVERAGE(OFFSET($H$3,0,0,'Données projet'!$E$16+1,1))</f>
        <v>425.00152674093977</v>
      </c>
      <c r="FK82" s="62">
        <f t="shared" si="102"/>
        <v>214.96884469274687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361</v>
      </c>
      <c r="L83" s="13">
        <f>VLOOKUP(A83,'Données projet'!$A$35:$I$55,9,0)</f>
        <v>11.3</v>
      </c>
      <c r="M83" s="13">
        <f t="array" ref="M83">INDEX(L:L,MIN(IF(ISNUMBER(L83:L279),ROW(L83:L279),"")))</f>
        <v>11.3</v>
      </c>
      <c r="N83" s="14">
        <f>IF('Données projet'!$A$36&gt;35,N82+M83-V82,IF(A83&lt;'Données projet'!$A$36,$K$205^A83,IF(A83='Données projet'!$A$36,'Données projet'!$B$36,N82+M83-V82)))</f>
        <v>361.00000000000006</v>
      </c>
      <c r="O83" s="14">
        <f>N83*VLOOKUP('Données projet'!$B$9,Paramètres!$A$1:$I$89,3,0)*VLOOKUP('Données projet'!$B$9,Paramètres!$A$1:$I$89,5,0)</f>
        <v>173.64100000000005</v>
      </c>
      <c r="P83" s="14">
        <f t="shared" si="87"/>
        <v>43.90447799582666</v>
      </c>
      <c r="Q83" s="22">
        <f t="shared" si="54"/>
        <v>378.8917075093982</v>
      </c>
      <c r="R83" s="62">
        <f t="shared" si="55"/>
        <v>672.22504084273146</v>
      </c>
      <c r="S83" s="62">
        <f ca="1">AVERAGE(OFFSET($R$3,0,0,'Données projet'!$E$9+1,1))-AVERAGE(OFFSET($H$3,0,0,'Données projet'!$E$9+1,1))</f>
        <v>179.22241276165141</v>
      </c>
      <c r="T83" s="62">
        <f t="shared" si="88"/>
        <v>86.510654589692876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58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310.16923076923081</v>
      </c>
      <c r="AG83" s="13">
        <f>VLOOKUP(A83,'Données projet'!$A$61:$I$81,9,0)</f>
        <v>6.2061538461538532</v>
      </c>
      <c r="AH83" s="13">
        <f t="array" ref="AH83">INDEX(AG:AG,MIN(IF(ISNUMBER(AG83:AG279),ROW(AG83:AG279),"")))</f>
        <v>6.2061538461538532</v>
      </c>
      <c r="AI83" s="14">
        <f>IF('Données projet'!$A$62&gt;35,AI82+AH83-AQ82,IF(A83&lt;'Données projet'!$A$62,$AF$205^A83,IF(A83='Données projet'!$A$62,'Données projet'!$B$62,AI82+AH83-AQ82)))</f>
        <v>310.16923076923069</v>
      </c>
      <c r="AJ83" s="14">
        <f>AI83*VLOOKUP('Données projet'!$B$10,Paramètres!$A$1:$I$89,3,0)*VLOOKUP('Données projet'!$B$10,Paramètres!$A$1:$I$89,5,0)</f>
        <v>185.48119999999997</v>
      </c>
      <c r="AK83" s="14">
        <f t="shared" si="89"/>
        <v>46.539515080357305</v>
      </c>
      <c r="AL83" s="22">
        <f t="shared" si="58"/>
        <v>404.10274543162222</v>
      </c>
      <c r="AM83" s="62">
        <f t="shared" si="59"/>
        <v>697.43607876495548</v>
      </c>
      <c r="AN83" s="62">
        <f ca="1">AVERAGE(OFFSET($AM$3,0,0,'Données projet'!$E$10+1,1))-AVERAGE(OFFSET($H$3,0,0,'Données projet'!$E$10+1,1))</f>
        <v>157.42757749057949</v>
      </c>
      <c r="AO83" s="62">
        <f t="shared" si="90"/>
        <v>129.86070223892136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310.16923076923081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9.175606046088415E-8</v>
      </c>
      <c r="AX83" s="23">
        <f t="shared" si="60"/>
        <v>9.175606046088415E-8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313</v>
      </c>
      <c r="BB83" s="13">
        <f>VLOOKUP(A83,'Données projet'!$A$87:$I$107,9,0)</f>
        <v>5.2</v>
      </c>
      <c r="BC83" s="13">
        <f t="array" ref="BC83">INDEX(BB:BB,MIN(IF(ISNUMBER(BB83:BB279),ROW(BB83:BB279),"")))</f>
        <v>5.2</v>
      </c>
      <c r="BD83" s="13">
        <f>IF('Données projet'!$A$88&gt;35,BD82+BC83-BL82,IF(A83&lt;'Données projet'!$A$88,$BA$205^A83,IF(A83='Données projet'!$A$88,'Données projet'!$B$88,BD82+BC83-BL82)))</f>
        <v>312.99999999999966</v>
      </c>
      <c r="BE83" s="14">
        <f>BD83*VLOOKUP('Données projet'!$B$11,Paramètres!$A$1:$I$89,3,0)*VLOOKUP('Données projet'!$B$11,Paramètres!$A$1:$I$89,5,0)</f>
        <v>327.14759999999967</v>
      </c>
      <c r="BF83" s="14">
        <f t="shared" si="91"/>
        <v>76.838633419077439</v>
      </c>
      <c r="BG83" s="22">
        <f t="shared" si="61"/>
        <v>703.60935653822582</v>
      </c>
      <c r="BH83" s="62">
        <f t="shared" si="62"/>
        <v>996.9426898715592</v>
      </c>
      <c r="BI83" s="62">
        <f ca="1">AVERAGE(OFFSET($BH$3,0,0,'Données projet'!$E$11+1,1))-AVERAGE(OFFSET($H$3,0,0,'Données projet'!$E$11+1,1))</f>
        <v>464.21202287459482</v>
      </c>
      <c r="BJ83" s="62">
        <f t="shared" si="92"/>
        <v>234.57880205159688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232.89999999999998</v>
      </c>
      <c r="BW83" s="13">
        <f>VLOOKUP(A83,'Données projet'!$A$113:$I$133,9,0)</f>
        <v>2.2799999999999954</v>
      </c>
      <c r="BX83" s="13">
        <f t="array" ref="BX83">INDEX(BW:BW,MIN(IF(ISNUMBER(BW83:BW279),ROW(BW83:BW279),"")))</f>
        <v>2.2799999999999954</v>
      </c>
      <c r="BY83" s="13">
        <f>IF('Données projet'!$A$114&gt;35,BY82+BX83-CG82,IF(A83&lt;'Données projet'!$A$114,$BV$205^A83,IF(A83='Données projet'!$A$114,'Données projet'!$B$114,BY82+BX83-CG82)))</f>
        <v>232.90000000000015</v>
      </c>
      <c r="BZ83" s="14">
        <f>BY83*VLOOKUP('Données projet'!$B$12,Paramètres!$A$1:$I$89,3,0)*VLOOKUP('Données projet'!$B$12,Paramètres!$A$1:$I$89,5,0)</f>
        <v>185.29524000000012</v>
      </c>
      <c r="CA83" s="14">
        <f t="shared" si="93"/>
        <v>46.49828420535745</v>
      </c>
      <c r="CB83" s="22">
        <f t="shared" si="64"/>
        <v>403.70705465766446</v>
      </c>
      <c r="CC83" s="62">
        <f t="shared" si="65"/>
        <v>697.04038799099771</v>
      </c>
      <c r="CD83" s="62">
        <f ca="1">AVERAGE(OFFSET($CC$3,0,0,'Données projet'!$E$12+1,1))-AVERAGE(OFFSET($H$3,0,0,'Données projet'!$E$12+1,1))</f>
        <v>177.99876437322689</v>
      </c>
      <c r="CE83" s="62">
        <f t="shared" si="94"/>
        <v>165.68154380324592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232.89999999999998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7.073076923076921</v>
      </c>
      <c r="CT83" s="13">
        <f>IF('Données projet'!$A$140&gt;35,CT82+CS83-DB82,IF(A83&lt;'Données projet'!$A$140,$CQ$205^A83,IF(A83='Données projet'!$A$140,'Données projet'!$B$140,CT82+CS83-DB82)))</f>
        <v>368.86153846153832</v>
      </c>
      <c r="CU83" s="18">
        <f>CT83*VLOOKUP('Données projet'!$B$13,Paramètres!$A$1:$I$89,3,0)*VLOOKUP('Données projet'!$B$13,Paramètres!$A$1:$I$89,5,0)</f>
        <v>206.19359999999992</v>
      </c>
      <c r="CV83" s="14">
        <f t="shared" si="95"/>
        <v>51.102908081090526</v>
      </c>
      <c r="CW83" s="22">
        <f t="shared" si="67"/>
        <v>448.12475157456583</v>
      </c>
      <c r="CX83" s="62">
        <f t="shared" si="68"/>
        <v>741.45808490789909</v>
      </c>
      <c r="CY83" s="62">
        <f ca="1">AVERAGE(OFFSET($CX$3,0,0,'Données projet'!$E$13+1,1))-AVERAGE(OFFSET($H$3,0,0,'Données projet'!$E$13+1,1))</f>
        <v>242.07451379051349</v>
      </c>
      <c r="CZ83" s="62">
        <f t="shared" si="96"/>
        <v>207.11607964940754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178.56320966726986</v>
      </c>
      <c r="DU83" s="62">
        <f t="shared" si="98"/>
        <v>272.06842551411739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1.9183775503201241</v>
      </c>
      <c r="EC83" s="23">
        <f>EXP(-LN(2)/2)*EC82+(1-EXP(-LN(2)/2))/(LN(2)/2)*DW83*DZ83*VLOOKUP('Données projet'!$B$14,Paramètres!$A$1:$I$89,3,0)*0.475*44/12</f>
        <v>4.9229919555803534E-7</v>
      </c>
      <c r="ED83" s="24">
        <f t="shared" si="72"/>
        <v>1.9183780426193198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313</v>
      </c>
      <c r="EH83" s="13">
        <f>VLOOKUP(A83,'Données projet'!$A$191:$I$211,9,0)</f>
        <v>5.2</v>
      </c>
      <c r="EI83" s="13">
        <f t="array" ref="EI83">INDEX(EH:EH,MIN(IF(ISNUMBER(EH83:EH279),ROW(EH83:EH279),"")))</f>
        <v>5.2</v>
      </c>
      <c r="EJ83" s="13">
        <f>IF('Données projet'!$A$192&gt;35,EJ82+EI83-ER82,IF(A83&lt;'Données projet'!$A$192,$EG$205^A83,IF(A83='Données projet'!$A$192,'Données projet'!$B$192,EJ82+EI83-ER82)))</f>
        <v>312.99999999999966</v>
      </c>
      <c r="EK83" s="18">
        <f>EJ83*VLOOKUP('Données projet'!$B$15,Paramètres!$A$1:$I$89,3,0)*VLOOKUP('Données projet'!$B$15,Paramètres!$A$1:$I$89,5,0)</f>
        <v>336.91319999999962</v>
      </c>
      <c r="EL83" s="14">
        <f t="shared" si="99"/>
        <v>78.861855873763616</v>
      </c>
      <c r="EM83" s="22">
        <f t="shared" si="73"/>
        <v>724.14155564680425</v>
      </c>
      <c r="EN83" s="62">
        <f t="shared" si="74"/>
        <v>1017.4748889801376</v>
      </c>
      <c r="EO83" s="62">
        <f ca="1">AVERAGE(OFFSET($EN$3,0,0,'Données projet'!$E$15+1,1))-AVERAGE(OFFSET($H$3,0,0,'Données projet'!$E$15+1,1))</f>
        <v>479.87943647026646</v>
      </c>
      <c r="EP83" s="62">
        <f t="shared" si="100"/>
        <v>242.41363045393223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313</v>
      </c>
      <c r="FC83" s="13">
        <f>VLOOKUP(A83,'Données projet'!$A$217:$I$237,9,0)</f>
        <v>5.2</v>
      </c>
      <c r="FD83" s="13">
        <f t="array" ref="FD83">INDEX(FC:FC,MIN(IF(ISNUMBER(FC83:FC279),ROW(FC83:FC279),"")))</f>
        <v>5.2</v>
      </c>
      <c r="FE83" s="13">
        <f>IF('Données projet'!$A$218&gt;35,FE82+FD83-FM82,IF(A83&lt;'Données projet'!$A$218,$FB$205^A83,IF(A83='Données projet'!$A$218,'Données projet'!$B$218,FE82+FD83-FM82)))</f>
        <v>312.99999999999966</v>
      </c>
      <c r="FF83" s="18">
        <f>FE83*VLOOKUP('Données projet'!$B$16,Paramètres!$A$1:$I$89,3,0)*VLOOKUP('Données projet'!$B$16,Paramètres!$A$1:$I$89,5,0)</f>
        <v>302.73359999999968</v>
      </c>
      <c r="FG83" s="14">
        <f t="shared" si="101"/>
        <v>71.749228151727593</v>
      </c>
      <c r="FH83" s="22">
        <f t="shared" si="76"/>
        <v>652.22425903092505</v>
      </c>
      <c r="FI83" s="62">
        <f t="shared" si="77"/>
        <v>945.55759236425843</v>
      </c>
      <c r="FJ83" s="62">
        <f ca="1">AVERAGE(OFFSET($FI$3,0,0,'Données projet'!$E$16+1,1))-AVERAGE(OFFSET($H$3,0,0,'Données projet'!$E$16+1,1))</f>
        <v>425.00152674093977</v>
      </c>
      <c r="FK83" s="62">
        <f t="shared" si="102"/>
        <v>214.96884469274687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11.8</v>
      </c>
      <c r="N84" s="14">
        <f>IF('Données projet'!$A$36&gt;35,N83+M84-V83,IF(A84&lt;'Données projet'!$A$36,$K$205^A84,IF(A84='Données projet'!$A$36,'Données projet'!$B$36,N83+M84-V83)))</f>
        <v>314.80000000000007</v>
      </c>
      <c r="O84" s="14">
        <f>N84*VLOOKUP('Données projet'!$B$9,Paramètres!$A$1:$I$89,3,0)*VLOOKUP('Données projet'!$B$9,Paramètres!$A$1:$I$89,5,0)</f>
        <v>151.41880000000003</v>
      </c>
      <c r="P84" s="14">
        <f t="shared" si="87"/>
        <v>38.900836139202958</v>
      </c>
      <c r="Q84" s="22">
        <f t="shared" si="54"/>
        <v>331.47336627577857</v>
      </c>
      <c r="R84" s="62">
        <f t="shared" si="55"/>
        <v>624.80669960911189</v>
      </c>
      <c r="S84" s="62">
        <f ca="1">AVERAGE(OFFSET($R$3,0,0,'Données projet'!$E$9+1,1))-AVERAGE(OFFSET($H$3,0,0,'Données projet'!$E$9+1,1))</f>
        <v>179.22241276165141</v>
      </c>
      <c r="T84" s="62">
        <f t="shared" si="88"/>
        <v>86.510654589692876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-6.7984728957526396E-14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157.42757749057949</v>
      </c>
      <c r="AO84" s="62">
        <f t="shared" si="90"/>
        <v>129.86070223892136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6.4881332566854033E-8</v>
      </c>
      <c r="AX84" s="23">
        <f t="shared" si="60"/>
        <v>6.4881332566854033E-8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</v>
      </c>
      <c r="BD84" s="13">
        <f>IF('Données projet'!$A$88&gt;35,BD83+BC84-BL83,IF(A84&lt;'Données projet'!$A$88,$BA$205^A84,IF(A84='Données projet'!$A$88,'Données projet'!$B$88,BD83+BC84-BL83)))</f>
        <v>317.99999999999966</v>
      </c>
      <c r="BE84" s="14">
        <f>BD84*VLOOKUP('Données projet'!$B$11,Paramètres!$A$1:$I$89,3,0)*VLOOKUP('Données projet'!$B$11,Paramètres!$A$1:$I$89,5,0)</f>
        <v>332.37359999999967</v>
      </c>
      <c r="BF84" s="14">
        <f t="shared" si="91"/>
        <v>77.922209555133151</v>
      </c>
      <c r="BG84" s="22">
        <f t="shared" si="61"/>
        <v>714.59853497518952</v>
      </c>
      <c r="BH84" s="62">
        <f t="shared" si="62"/>
        <v>1007.9318683085228</v>
      </c>
      <c r="BI84" s="62">
        <f ca="1">AVERAGE(OFFSET($BH$3,0,0,'Données projet'!$E$11+1,1))-AVERAGE(OFFSET($H$3,0,0,'Données projet'!$E$11+1,1))</f>
        <v>464.21202287459482</v>
      </c>
      <c r="BJ84" s="62">
        <f t="shared" si="92"/>
        <v>234.57880205159688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1.7053025658242404E-13</v>
      </c>
      <c r="BZ84" s="14">
        <f>BY84*VLOOKUP('Données projet'!$B$12,Paramètres!$A$1:$I$89,3,0)*VLOOKUP('Données projet'!$B$12,Paramètres!$A$1:$I$89,5,0)</f>
        <v>1.3567387213697657E-13</v>
      </c>
      <c r="CA84" s="14">
        <f t="shared" si="93"/>
        <v>1.9670967679808581E-12</v>
      </c>
      <c r="CB84" s="22">
        <f t="shared" si="64"/>
        <v>3.6623255315385623E-12</v>
      </c>
      <c r="CC84" s="62">
        <f t="shared" si="65"/>
        <v>293.33333333333695</v>
      </c>
      <c r="CD84" s="62">
        <f ca="1">AVERAGE(OFFSET($CC$3,0,0,'Données projet'!$E$12+1,1))-AVERAGE(OFFSET($H$3,0,0,'Données projet'!$E$12+1,1))</f>
        <v>177.99876437322689</v>
      </c>
      <c r="CE84" s="62">
        <f t="shared" si="94"/>
        <v>165.68154380324592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7.073076923076921</v>
      </c>
      <c r="CT84" s="13">
        <f>IF('Données projet'!$A$140&gt;35,CT83+CS84-DB83,IF(A84&lt;'Données projet'!$A$140,$CQ$205^A84,IF(A84='Données projet'!$A$140,'Données projet'!$B$140,CT83+CS84-DB83)))</f>
        <v>375.93461538461526</v>
      </c>
      <c r="CU84" s="18">
        <f>CT84*VLOOKUP('Données projet'!$B$13,Paramètres!$A$1:$I$89,3,0)*VLOOKUP('Données projet'!$B$13,Paramètres!$A$1:$I$89,5,0)</f>
        <v>210.14744999999991</v>
      </c>
      <c r="CV84" s="14">
        <f t="shared" si="95"/>
        <v>51.96780591670894</v>
      </c>
      <c r="CW84" s="22">
        <f t="shared" si="67"/>
        <v>456.51740405493456</v>
      </c>
      <c r="CX84" s="62">
        <f t="shared" si="68"/>
        <v>749.85073738826782</v>
      </c>
      <c r="CY84" s="62">
        <f ca="1">AVERAGE(OFFSET($CX$3,0,0,'Données projet'!$E$13+1,1))-AVERAGE(OFFSET($H$3,0,0,'Données projet'!$E$13+1,1))</f>
        <v>242.07451379051349</v>
      </c>
      <c r="CZ84" s="62">
        <f t="shared" si="96"/>
        <v>207.11607964940754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178.56320966726986</v>
      </c>
      <c r="DU84" s="62">
        <f t="shared" si="98"/>
        <v>272.06842551411739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1.8659194153235295</v>
      </c>
      <c r="EC84" s="23">
        <f>EXP(-LN(2)/2)*EC83+(1-EXP(-LN(2)/2))/(LN(2)/2)*DW84*DZ84*VLOOKUP('Données projet'!$B$14,Paramètres!$A$1:$I$89,3,0)*0.475*44/12</f>
        <v>3.4810809955176907E-7</v>
      </c>
      <c r="ED84" s="24">
        <f t="shared" si="72"/>
        <v>1.8659197634316289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</v>
      </c>
      <c r="EJ84" s="13">
        <f>IF('Données projet'!$A$192&gt;35,EJ83+EI84-ER83,IF(A84&lt;'Données projet'!$A$192,$EG$205^A84,IF(A84='Données projet'!$A$192,'Données projet'!$B$192,EJ83+EI84-ER83)))</f>
        <v>317.99999999999966</v>
      </c>
      <c r="EK84" s="18">
        <f>EJ84*VLOOKUP('Données projet'!$B$15,Paramètres!$A$1:$I$89,3,0)*VLOOKUP('Données projet'!$B$15,Paramètres!$A$1:$I$89,5,0)</f>
        <v>342.29519999999962</v>
      </c>
      <c r="EL84" s="14">
        <f t="shared" si="99"/>
        <v>79.973963433040609</v>
      </c>
      <c r="EM84" s="22">
        <f t="shared" si="73"/>
        <v>735.45212631254515</v>
      </c>
      <c r="EN84" s="62">
        <f t="shared" si="74"/>
        <v>1028.7854596458785</v>
      </c>
      <c r="EO84" s="62">
        <f ca="1">AVERAGE(OFFSET($EN$3,0,0,'Données projet'!$E$15+1,1))-AVERAGE(OFFSET($H$3,0,0,'Données projet'!$E$15+1,1))</f>
        <v>479.87943647026646</v>
      </c>
      <c r="EP84" s="62">
        <f t="shared" si="100"/>
        <v>242.41363045393223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</v>
      </c>
      <c r="FE84" s="13">
        <f>IF('Données projet'!$A$218&gt;35,FE83+FD84-FM83,IF(A84&lt;'Données projet'!$A$218,$FB$205^A84,IF(A84='Données projet'!$A$218,'Données projet'!$B$218,FE83+FD84-FM83)))</f>
        <v>317.99999999999966</v>
      </c>
      <c r="FF84" s="18">
        <f>FE84*VLOOKUP('Données projet'!$B$16,Paramètres!$A$1:$I$89,3,0)*VLOOKUP('Données projet'!$B$16,Paramètres!$A$1:$I$89,5,0)</f>
        <v>307.5695999999997</v>
      </c>
      <c r="FG84" s="14">
        <f t="shared" si="101"/>
        <v>72.761033645216827</v>
      </c>
      <c r="FH84" s="22">
        <f t="shared" si="76"/>
        <v>662.40918693208539</v>
      </c>
      <c r="FI84" s="62">
        <f t="shared" si="77"/>
        <v>955.74252026541876</v>
      </c>
      <c r="FJ84" s="62">
        <f ca="1">AVERAGE(OFFSET($FI$3,0,0,'Données projet'!$E$16+1,1))-AVERAGE(OFFSET($H$3,0,0,'Données projet'!$E$16+1,1))</f>
        <v>425.00152674093977</v>
      </c>
      <c r="FK84" s="62">
        <f t="shared" si="102"/>
        <v>214.96884469274687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11.8</v>
      </c>
      <c r="N85" s="14">
        <f>IF('Données projet'!$A$36&gt;35,N84+M85-V84,IF(A85&lt;'Données projet'!$A$36,$K$205^A85,IF(A85='Données projet'!$A$36,'Données projet'!$B$36,N84+M85-V84)))</f>
        <v>326.60000000000008</v>
      </c>
      <c r="O85" s="14">
        <f>N85*VLOOKUP('Données projet'!$B$9,Paramètres!$A$1:$I$89,3,0)*VLOOKUP('Données projet'!$B$9,Paramètres!$A$1:$I$89,5,0)</f>
        <v>157.09460000000004</v>
      </c>
      <c r="P85" s="14">
        <f t="shared" si="87"/>
        <v>40.186497032218156</v>
      </c>
      <c r="Q85" s="22">
        <f t="shared" si="54"/>
        <v>343.59791066444672</v>
      </c>
      <c r="R85" s="62">
        <f t="shared" si="55"/>
        <v>636.93124399778003</v>
      </c>
      <c r="S85" s="62">
        <f ca="1">AVERAGE(OFFSET($R$3,0,0,'Données projet'!$E$9+1,1))-AVERAGE(OFFSET($H$3,0,0,'Données projet'!$E$9+1,1))</f>
        <v>179.22241276165141</v>
      </c>
      <c r="T85" s="62">
        <f t="shared" si="88"/>
        <v>86.510654589692876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-6.7984728957526396E-14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157.42757749057949</v>
      </c>
      <c r="AO85" s="62">
        <f t="shared" si="90"/>
        <v>129.86070223892136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4.5878030230442075E-8</v>
      </c>
      <c r="AX85" s="23">
        <f t="shared" si="60"/>
        <v>4.5878030230442075E-8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</v>
      </c>
      <c r="BD85" s="13">
        <f>IF('Données projet'!$A$88&gt;35,BD84+BC85-BL84,IF(A85&lt;'Données projet'!$A$88,$BA$205^A85,IF(A85='Données projet'!$A$88,'Données projet'!$B$88,BD84+BC85-BL84)))</f>
        <v>322.99999999999966</v>
      </c>
      <c r="BE85" s="14">
        <f>BD85*VLOOKUP('Données projet'!$B$11,Paramètres!$A$1:$I$89,3,0)*VLOOKUP('Données projet'!$B$11,Paramètres!$A$1:$I$89,5,0)</f>
        <v>337.59959999999967</v>
      </c>
      <c r="BF85" s="14">
        <f t="shared" si="91"/>
        <v>79.0038042697539</v>
      </c>
      <c r="BG85" s="22">
        <f t="shared" si="61"/>
        <v>725.58426243648739</v>
      </c>
      <c r="BH85" s="62">
        <f t="shared" si="62"/>
        <v>1018.9175957698208</v>
      </c>
      <c r="BI85" s="62">
        <f ca="1">AVERAGE(OFFSET($BH$3,0,0,'Données projet'!$E$11+1,1))-AVERAGE(OFFSET($H$3,0,0,'Données projet'!$E$11+1,1))</f>
        <v>464.21202287459482</v>
      </c>
      <c r="BJ85" s="62">
        <f t="shared" si="92"/>
        <v>234.57880205159688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1.7053025658242404E-13</v>
      </c>
      <c r="BZ85" s="14">
        <f>BY85*VLOOKUP('Données projet'!$B$12,Paramètres!$A$1:$I$89,3,0)*VLOOKUP('Données projet'!$B$12,Paramètres!$A$1:$I$89,5,0)</f>
        <v>1.3567387213697657E-13</v>
      </c>
      <c r="CA85" s="14">
        <f t="shared" si="93"/>
        <v>1.9670967679808581E-12</v>
      </c>
      <c r="CB85" s="22">
        <f t="shared" si="64"/>
        <v>3.6623255315385623E-12</v>
      </c>
      <c r="CC85" s="62">
        <f t="shared" si="65"/>
        <v>293.33333333333695</v>
      </c>
      <c r="CD85" s="62">
        <f ca="1">AVERAGE(OFFSET($CC$3,0,0,'Données projet'!$E$12+1,1))-AVERAGE(OFFSET($H$3,0,0,'Données projet'!$E$12+1,1))</f>
        <v>177.99876437322689</v>
      </c>
      <c r="CE85" s="62">
        <f t="shared" si="94"/>
        <v>165.68154380324592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7.073076923076921</v>
      </c>
      <c r="CT85" s="13">
        <f>IF('Données projet'!$A$140&gt;35,CT84+CS85-DB84,IF(A85&lt;'Données projet'!$A$140,$CQ$205^A85,IF(A85='Données projet'!$A$140,'Données projet'!$B$140,CT84+CS85-DB84)))</f>
        <v>383.0076923076922</v>
      </c>
      <c r="CU85" s="18">
        <f>CT85*VLOOKUP('Données projet'!$B$13,Paramètres!$A$1:$I$89,3,0)*VLOOKUP('Données projet'!$B$13,Paramètres!$A$1:$I$89,5,0)</f>
        <v>214.10129999999995</v>
      </c>
      <c r="CV85" s="14">
        <f t="shared" si="95"/>
        <v>52.830811559152551</v>
      </c>
      <c r="CW85" s="22">
        <f t="shared" si="67"/>
        <v>464.90676096552397</v>
      </c>
      <c r="CX85" s="62">
        <f t="shared" si="68"/>
        <v>758.24009429885723</v>
      </c>
      <c r="CY85" s="62">
        <f ca="1">AVERAGE(OFFSET($CX$3,0,0,'Données projet'!$E$13+1,1))-AVERAGE(OFFSET($H$3,0,0,'Données projet'!$E$13+1,1))</f>
        <v>242.07451379051349</v>
      </c>
      <c r="CZ85" s="62">
        <f t="shared" si="96"/>
        <v>207.11607964940754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178.56320966726986</v>
      </c>
      <c r="DU85" s="62">
        <f t="shared" si="98"/>
        <v>272.06842551411739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1.81489575078707</v>
      </c>
      <c r="EC85" s="23">
        <f>EXP(-LN(2)/2)*EC84+(1-EXP(-LN(2)/2))/(LN(2)/2)*DW85*DZ85*VLOOKUP('Données projet'!$B$14,Paramètres!$A$1:$I$89,3,0)*0.475*44/12</f>
        <v>2.4614959777901767E-7</v>
      </c>
      <c r="ED85" s="24">
        <f t="shared" si="72"/>
        <v>1.8148959969366678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</v>
      </c>
      <c r="EJ85" s="13">
        <f>IF('Données projet'!$A$192&gt;35,EJ84+EI85-ER84,IF(A85&lt;'Données projet'!$A$192,$EG$205^A85,IF(A85='Données projet'!$A$192,'Données projet'!$B$192,EJ84+EI85-ER84)))</f>
        <v>322.99999999999966</v>
      </c>
      <c r="EK85" s="18">
        <f>EJ85*VLOOKUP('Données projet'!$B$15,Paramètres!$A$1:$I$89,3,0)*VLOOKUP('Données projet'!$B$15,Paramètres!$A$1:$I$89,5,0)</f>
        <v>347.67719999999963</v>
      </c>
      <c r="EL85" s="14">
        <f t="shared" si="99"/>
        <v>81.084037398477221</v>
      </c>
      <c r="EM85" s="22">
        <f t="shared" si="73"/>
        <v>746.75915513568054</v>
      </c>
      <c r="EN85" s="62">
        <f t="shared" si="74"/>
        <v>1040.0924884690139</v>
      </c>
      <c r="EO85" s="62">
        <f ca="1">AVERAGE(OFFSET($EN$3,0,0,'Données projet'!$E$15+1,1))-AVERAGE(OFFSET($H$3,0,0,'Données projet'!$E$15+1,1))</f>
        <v>479.87943647026646</v>
      </c>
      <c r="EP85" s="62">
        <f t="shared" si="100"/>
        <v>242.41363045393223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</v>
      </c>
      <c r="FE85" s="13">
        <f>IF('Données projet'!$A$218&gt;35,FE84+FD85-FM84,IF(A85&lt;'Données projet'!$A$218,$FB$205^A85,IF(A85='Données projet'!$A$218,'Données projet'!$B$218,FE84+FD85-FM84)))</f>
        <v>322.99999999999966</v>
      </c>
      <c r="FF85" s="18">
        <f>FE85*VLOOKUP('Données projet'!$B$16,Paramètres!$A$1:$I$89,3,0)*VLOOKUP('Données projet'!$B$16,Paramètres!$A$1:$I$89,5,0)</f>
        <v>312.40559999999971</v>
      </c>
      <c r="FG85" s="14">
        <f t="shared" si="101"/>
        <v>73.770988956678153</v>
      </c>
      <c r="FH85" s="22">
        <f t="shared" si="76"/>
        <v>672.59089243288065</v>
      </c>
      <c r="FI85" s="62">
        <f t="shared" si="77"/>
        <v>965.92422576621402</v>
      </c>
      <c r="FJ85" s="62">
        <f ca="1">AVERAGE(OFFSET($FI$3,0,0,'Données projet'!$E$16+1,1))-AVERAGE(OFFSET($H$3,0,0,'Données projet'!$E$16+1,1))</f>
        <v>425.00152674093977</v>
      </c>
      <c r="FK85" s="62">
        <f t="shared" si="102"/>
        <v>214.96884469274687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11.8</v>
      </c>
      <c r="N86" s="14">
        <f>IF('Données projet'!$A$36&gt;35,N85+M86-V85,IF(A86&lt;'Données projet'!$A$36,$K$205^A86,IF(A86='Données projet'!$A$36,'Données projet'!$B$36,N85+M86-V85)))</f>
        <v>338.40000000000009</v>
      </c>
      <c r="O86" s="14">
        <f>N86*VLOOKUP('Données projet'!$B$9,Paramètres!$A$1:$I$89,3,0)*VLOOKUP('Données projet'!$B$9,Paramètres!$A$1:$I$89,5,0)</f>
        <v>162.77040000000005</v>
      </c>
      <c r="P86" s="14">
        <f t="shared" si="87"/>
        <v>41.466761176934298</v>
      </c>
      <c r="Q86" s="22">
        <f t="shared" si="54"/>
        <v>355.71305571649401</v>
      </c>
      <c r="R86" s="62">
        <f t="shared" si="55"/>
        <v>649.04638904982733</v>
      </c>
      <c r="S86" s="62">
        <f ca="1">AVERAGE(OFFSET($R$3,0,0,'Données projet'!$E$9+1,1))-AVERAGE(OFFSET($H$3,0,0,'Données projet'!$E$9+1,1))</f>
        <v>179.22241276165141</v>
      </c>
      <c r="T86" s="62">
        <f t="shared" si="88"/>
        <v>86.510654589692876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-6.7984728957526396E-14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157.42757749057949</v>
      </c>
      <c r="AO86" s="62">
        <f t="shared" si="90"/>
        <v>129.86070223892136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3.2440666283427017E-8</v>
      </c>
      <c r="AX86" s="23">
        <f t="shared" si="60"/>
        <v>3.2440666283427017E-8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</v>
      </c>
      <c r="BD86" s="13">
        <f>IF('Données projet'!$A$88&gt;35,BD85+BC86-BL85,IF(A86&lt;'Données projet'!$A$88,$BA$205^A86,IF(A86='Données projet'!$A$88,'Données projet'!$B$88,BD85+BC86-BL85)))</f>
        <v>327.99999999999966</v>
      </c>
      <c r="BE86" s="14">
        <f>BD86*VLOOKUP('Données projet'!$B$11,Paramètres!$A$1:$I$89,3,0)*VLOOKUP('Données projet'!$B$11,Paramètres!$A$1:$I$89,5,0)</f>
        <v>342.82559999999967</v>
      </c>
      <c r="BF86" s="14">
        <f t="shared" si="91"/>
        <v>80.083451777257963</v>
      </c>
      <c r="BG86" s="22">
        <f t="shared" si="61"/>
        <v>736.56659851205688</v>
      </c>
      <c r="BH86" s="62">
        <f t="shared" si="62"/>
        <v>1029.8999318453903</v>
      </c>
      <c r="BI86" s="62">
        <f ca="1">AVERAGE(OFFSET($BH$3,0,0,'Données projet'!$E$11+1,1))-AVERAGE(OFFSET($H$3,0,0,'Données projet'!$E$11+1,1))</f>
        <v>464.21202287459482</v>
      </c>
      <c r="BJ86" s="62">
        <f t="shared" si="92"/>
        <v>234.57880205159688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1.7053025658242404E-13</v>
      </c>
      <c r="BZ86" s="14">
        <f>BY86*VLOOKUP('Données projet'!$B$12,Paramètres!$A$1:$I$89,3,0)*VLOOKUP('Données projet'!$B$12,Paramètres!$A$1:$I$89,5,0)</f>
        <v>1.3567387213697657E-13</v>
      </c>
      <c r="CA86" s="14">
        <f t="shared" si="93"/>
        <v>1.9670967679808581E-12</v>
      </c>
      <c r="CB86" s="22">
        <f t="shared" si="64"/>
        <v>3.6623255315385623E-12</v>
      </c>
      <c r="CC86" s="62">
        <f t="shared" si="65"/>
        <v>293.33333333333695</v>
      </c>
      <c r="CD86" s="62">
        <f ca="1">AVERAGE(OFFSET($CC$3,0,0,'Données projet'!$E$12+1,1))-AVERAGE(OFFSET($H$3,0,0,'Données projet'!$E$12+1,1))</f>
        <v>177.99876437322689</v>
      </c>
      <c r="CE86" s="62">
        <f t="shared" si="94"/>
        <v>165.68154380324592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7.073076923076921</v>
      </c>
      <c r="CT86" s="13">
        <f>IF('Données projet'!$A$140&gt;35,CT85+CS86-DB85,IF(A86&lt;'Données projet'!$A$140,$CQ$205^A86,IF(A86='Données projet'!$A$140,'Données projet'!$B$140,CT85+CS86-DB85)))</f>
        <v>390.08076923076914</v>
      </c>
      <c r="CU86" s="18">
        <f>CT86*VLOOKUP('Données projet'!$B$13,Paramètres!$A$1:$I$89,3,0)*VLOOKUP('Données projet'!$B$13,Paramètres!$A$1:$I$89,5,0)</f>
        <v>218.05514999999997</v>
      </c>
      <c r="CV86" s="14">
        <f t="shared" si="95"/>
        <v>53.691963981909623</v>
      </c>
      <c r="CW86" s="22">
        <f t="shared" si="67"/>
        <v>473.29289018515919</v>
      </c>
      <c r="CX86" s="62">
        <f t="shared" si="68"/>
        <v>766.62622351849245</v>
      </c>
      <c r="CY86" s="62">
        <f ca="1">AVERAGE(OFFSET($CX$3,0,0,'Données projet'!$E$13+1,1))-AVERAGE(OFFSET($H$3,0,0,'Données projet'!$E$13+1,1))</f>
        <v>242.07451379051349</v>
      </c>
      <c r="CZ86" s="62">
        <f t="shared" si="96"/>
        <v>207.11607964940754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178.56320966726986</v>
      </c>
      <c r="DU86" s="62">
        <f t="shared" si="98"/>
        <v>272.06842551411739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1.765267331040578</v>
      </c>
      <c r="EC86" s="23">
        <f>EXP(-LN(2)/2)*EC85+(1-EXP(-LN(2)/2))/(LN(2)/2)*DW86*DZ86*VLOOKUP('Données projet'!$B$14,Paramètres!$A$1:$I$89,3,0)*0.475*44/12</f>
        <v>1.7405404977588453E-7</v>
      </c>
      <c r="ED86" s="24">
        <f t="shared" si="72"/>
        <v>1.7652675050946278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</v>
      </c>
      <c r="EJ86" s="13">
        <f>IF('Données projet'!$A$192&gt;35,EJ85+EI86-ER85,IF(A86&lt;'Données projet'!$A$192,$EG$205^A86,IF(A86='Données projet'!$A$192,'Données projet'!$B$192,EJ85+EI86-ER85)))</f>
        <v>327.99999999999966</v>
      </c>
      <c r="EK86" s="18">
        <f>EJ86*VLOOKUP('Données projet'!$B$15,Paramètres!$A$1:$I$89,3,0)*VLOOKUP('Données projet'!$B$15,Paramètres!$A$1:$I$89,5,0)</f>
        <v>353.05919999999958</v>
      </c>
      <c r="EL86" s="14">
        <f t="shared" si="99"/>
        <v>82.192112885281873</v>
      </c>
      <c r="EM86" s="22">
        <f t="shared" si="73"/>
        <v>758.06270327519849</v>
      </c>
      <c r="EN86" s="62">
        <f t="shared" si="74"/>
        <v>1051.3960366085319</v>
      </c>
      <c r="EO86" s="62">
        <f ca="1">AVERAGE(OFFSET($EN$3,0,0,'Données projet'!$E$15+1,1))-AVERAGE(OFFSET($H$3,0,0,'Données projet'!$E$15+1,1))</f>
        <v>479.87943647026646</v>
      </c>
      <c r="EP86" s="62">
        <f t="shared" si="100"/>
        <v>242.41363045393223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</v>
      </c>
      <c r="FE86" s="13">
        <f>IF('Données projet'!$A$218&gt;35,FE85+FD86-FM85,IF(A86&lt;'Données projet'!$A$218,$FB$205^A86,IF(A86='Données projet'!$A$218,'Données projet'!$B$218,FE85+FD86-FM85)))</f>
        <v>327.99999999999966</v>
      </c>
      <c r="FF86" s="18">
        <f>FE86*VLOOKUP('Données projet'!$B$16,Paramètres!$A$1:$I$89,3,0)*VLOOKUP('Données projet'!$B$16,Paramètres!$A$1:$I$89,5,0)</f>
        <v>317.24159999999966</v>
      </c>
      <c r="FG86" s="14">
        <f t="shared" si="101"/>
        <v>74.779126034245124</v>
      </c>
      <c r="FH86" s="22">
        <f t="shared" si="76"/>
        <v>682.76943117630969</v>
      </c>
      <c r="FI86" s="62">
        <f t="shared" si="77"/>
        <v>976.10276450964307</v>
      </c>
      <c r="FJ86" s="62">
        <f ca="1">AVERAGE(OFFSET($FI$3,0,0,'Données projet'!$E$16+1,1))-AVERAGE(OFFSET($H$3,0,0,'Données projet'!$E$16+1,1))</f>
        <v>425.00152674093977</v>
      </c>
      <c r="FK86" s="62">
        <f t="shared" si="102"/>
        <v>214.96884469274687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11.8</v>
      </c>
      <c r="N87" s="14">
        <f>IF('Données projet'!$A$36&gt;35,N86+M87-V86,IF(A87&lt;'Données projet'!$A$36,$K$205^A87,IF(A87='Données projet'!$A$36,'Données projet'!$B$36,N86+M87-V86)))</f>
        <v>350.2000000000001</v>
      </c>
      <c r="O87" s="14">
        <f>N87*VLOOKUP('Données projet'!$B$9,Paramètres!$A$1:$I$89,3,0)*VLOOKUP('Données projet'!$B$9,Paramètres!$A$1:$I$89,5,0)</f>
        <v>168.44620000000006</v>
      </c>
      <c r="P87" s="14">
        <f t="shared" si="87"/>
        <v>42.741838323127588</v>
      </c>
      <c r="Q87" s="22">
        <f t="shared" si="54"/>
        <v>367.81916674611398</v>
      </c>
      <c r="R87" s="62">
        <f t="shared" si="55"/>
        <v>661.15250007944724</v>
      </c>
      <c r="S87" s="62">
        <f ca="1">AVERAGE(OFFSET($R$3,0,0,'Données projet'!$E$9+1,1))-AVERAGE(OFFSET($H$3,0,0,'Données projet'!$E$9+1,1))</f>
        <v>179.22241276165141</v>
      </c>
      <c r="T87" s="62">
        <f t="shared" si="88"/>
        <v>86.510654589692876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-6.7984728957526396E-14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157.42757749057949</v>
      </c>
      <c r="AO87" s="62">
        <f t="shared" si="90"/>
        <v>129.86070223892136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2.2939015115221037E-8</v>
      </c>
      <c r="AX87" s="23">
        <f t="shared" si="60"/>
        <v>2.2939015115221037E-8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</v>
      </c>
      <c r="BD87" s="13">
        <f>IF('Données projet'!$A$88&gt;35,BD86+BC87-BL86,IF(A87&lt;'Données projet'!$A$88,$BA$205^A87,IF(A87='Données projet'!$A$88,'Données projet'!$B$88,BD86+BC87-BL86)))</f>
        <v>332.99999999999966</v>
      </c>
      <c r="BE87" s="14">
        <f>BD87*VLOOKUP('Données projet'!$B$11,Paramètres!$A$1:$I$89,3,0)*VLOOKUP('Données projet'!$B$11,Paramètres!$A$1:$I$89,5,0)</f>
        <v>348.05159999999967</v>
      </c>
      <c r="BF87" s="14">
        <f t="shared" si="91"/>
        <v>81.161185188985755</v>
      </c>
      <c r="BG87" s="22">
        <f t="shared" si="61"/>
        <v>747.5456008708162</v>
      </c>
      <c r="BH87" s="62">
        <f t="shared" si="62"/>
        <v>1040.8789342041496</v>
      </c>
      <c r="BI87" s="62">
        <f ca="1">AVERAGE(OFFSET($BH$3,0,0,'Données projet'!$E$11+1,1))-AVERAGE(OFFSET($H$3,0,0,'Données projet'!$E$11+1,1))</f>
        <v>464.21202287459482</v>
      </c>
      <c r="BJ87" s="62">
        <f t="shared" si="92"/>
        <v>234.57880205159688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1.7053025658242404E-13</v>
      </c>
      <c r="BZ87" s="14">
        <f>BY87*VLOOKUP('Données projet'!$B$12,Paramètres!$A$1:$I$89,3,0)*VLOOKUP('Données projet'!$B$12,Paramètres!$A$1:$I$89,5,0)</f>
        <v>1.3567387213697657E-13</v>
      </c>
      <c r="CA87" s="14">
        <f t="shared" si="93"/>
        <v>1.9670967679808581E-12</v>
      </c>
      <c r="CB87" s="22">
        <f t="shared" si="64"/>
        <v>3.6623255315385623E-12</v>
      </c>
      <c r="CC87" s="62">
        <f t="shared" si="65"/>
        <v>293.33333333333695</v>
      </c>
      <c r="CD87" s="62">
        <f ca="1">AVERAGE(OFFSET($CC$3,0,0,'Données projet'!$E$12+1,1))-AVERAGE(OFFSET($H$3,0,0,'Données projet'!$E$12+1,1))</f>
        <v>177.99876437322689</v>
      </c>
      <c r="CE87" s="62">
        <f t="shared" si="94"/>
        <v>165.68154380324592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>
        <f>VLOOKUP(A87,'Données projet'!$A$139:$I$159,2,0)</f>
        <v>397.15384615384613</v>
      </c>
      <c r="CR87" s="13">
        <f>VLOOKUP(A87,'Données projet'!$A$139:$I$159,9,0)</f>
        <v>7.073076923076921</v>
      </c>
      <c r="CS87" s="13">
        <f t="array" ref="CS87">INDEX(CR:CR,MIN(IF(ISNUMBER(CR87:CR283),ROW(CR87:CR283),"")))</f>
        <v>7.073076923076921</v>
      </c>
      <c r="CT87" s="13">
        <f>IF('Données projet'!$A$140&gt;35,CT86+CS87-DB86,IF(A87&lt;'Données projet'!$A$140,$CQ$205^A87,IF(A87='Données projet'!$A$140,'Données projet'!$B$140,CT86+CS87-DB86)))</f>
        <v>397.15384615384608</v>
      </c>
      <c r="CU87" s="18">
        <f>CT87*VLOOKUP('Données projet'!$B$13,Paramètres!$A$1:$I$89,3,0)*VLOOKUP('Données projet'!$B$13,Paramètres!$A$1:$I$89,5,0)</f>
        <v>222.00899999999996</v>
      </c>
      <c r="CV87" s="14">
        <f t="shared" si="95"/>
        <v>54.551300664182143</v>
      </c>
      <c r="CW87" s="22">
        <f t="shared" si="67"/>
        <v>481.6758569901171</v>
      </c>
      <c r="CX87" s="62">
        <f t="shared" si="68"/>
        <v>775.00919032345041</v>
      </c>
      <c r="CY87" s="62">
        <f ca="1">AVERAGE(OFFSET($CX$3,0,0,'Données projet'!$E$13+1,1))-AVERAGE(OFFSET($H$3,0,0,'Données projet'!$E$13+1,1))</f>
        <v>242.07451379051349</v>
      </c>
      <c r="CZ87" s="62">
        <f t="shared" si="96"/>
        <v>207.11607964940754</v>
      </c>
      <c r="DA87" s="16">
        <f>IF(ISNA(VLOOKUP(A87,'Données projet'!$A$139:$I$159,3,0)),0,VLOOKUP(A87,'Données projet'!$A$139:$I$159,3,0))</f>
        <v>6</v>
      </c>
      <c r="DB87" s="16">
        <f>IF(ISNA(VLOOKUP(A87,'Données projet'!$A$139:$I$159,4,0)),0,VLOOKUP(A87,'Données projet'!$A$139:$I$159,4,0))</f>
        <v>56.592307692307685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178.56320966726986</v>
      </c>
      <c r="DU87" s="62">
        <f t="shared" si="98"/>
        <v>272.06842551411739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1.7169960030418989</v>
      </c>
      <c r="EC87" s="23">
        <f>EXP(-LN(2)/2)*EC86+(1-EXP(-LN(2)/2))/(LN(2)/2)*DW87*DZ87*VLOOKUP('Données projet'!$B$14,Paramètres!$A$1:$I$89,3,0)*0.475*44/12</f>
        <v>1.2307479888950883E-7</v>
      </c>
      <c r="ED87" s="24">
        <f t="shared" si="72"/>
        <v>1.7169961261166977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</v>
      </c>
      <c r="EJ87" s="13">
        <f>IF('Données projet'!$A$192&gt;35,EJ86+EI87-ER86,IF(A87&lt;'Données projet'!$A$192,$EG$205^A87,IF(A87='Données projet'!$A$192,'Données projet'!$B$192,EJ86+EI87-ER86)))</f>
        <v>332.99999999999966</v>
      </c>
      <c r="EK87" s="18">
        <f>EJ87*VLOOKUP('Données projet'!$B$15,Paramètres!$A$1:$I$89,3,0)*VLOOKUP('Données projet'!$B$15,Paramètres!$A$1:$I$89,5,0)</f>
        <v>358.44119999999964</v>
      </c>
      <c r="EL87" s="14">
        <f t="shared" si="99"/>
        <v>83.298223876643078</v>
      </c>
      <c r="EM87" s="22">
        <f t="shared" si="73"/>
        <v>769.36282991848611</v>
      </c>
      <c r="EN87" s="62">
        <f t="shared" si="74"/>
        <v>1062.6961632518194</v>
      </c>
      <c r="EO87" s="62">
        <f ca="1">AVERAGE(OFFSET($EN$3,0,0,'Données projet'!$E$15+1,1))-AVERAGE(OFFSET($H$3,0,0,'Données projet'!$E$15+1,1))</f>
        <v>479.87943647026646</v>
      </c>
      <c r="EP87" s="62">
        <f t="shared" si="100"/>
        <v>242.41363045393223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</v>
      </c>
      <c r="FE87" s="13">
        <f>IF('Données projet'!$A$218&gt;35,FE86+FD87-FM86,IF(A87&lt;'Données projet'!$A$218,$FB$205^A87,IF(A87='Données projet'!$A$218,'Données projet'!$B$218,FE86+FD87-FM86)))</f>
        <v>332.99999999999966</v>
      </c>
      <c r="FF87" s="18">
        <f>FE87*VLOOKUP('Données projet'!$B$16,Paramètres!$A$1:$I$89,3,0)*VLOOKUP('Données projet'!$B$16,Paramètres!$A$1:$I$89,5,0)</f>
        <v>322.07759999999968</v>
      </c>
      <c r="FG87" s="14">
        <f t="shared" si="101"/>
        <v>75.785475796129404</v>
      </c>
      <c r="FH87" s="22">
        <f t="shared" si="76"/>
        <v>692.94485701159135</v>
      </c>
      <c r="FI87" s="62">
        <f t="shared" si="77"/>
        <v>986.27819034492472</v>
      </c>
      <c r="FJ87" s="62">
        <f ca="1">AVERAGE(OFFSET($FI$3,0,0,'Données projet'!$E$16+1,1))-AVERAGE(OFFSET($H$3,0,0,'Données projet'!$E$16+1,1))</f>
        <v>425.00152674093977</v>
      </c>
      <c r="FK87" s="62">
        <f t="shared" si="102"/>
        <v>214.96884469274687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11.8</v>
      </c>
      <c r="N88" s="14">
        <f>IF('Données projet'!$A$36&gt;35,N87+M88-V87,IF(A88&lt;'Données projet'!$A$36,$K$205^A88,IF(A88='Données projet'!$A$36,'Données projet'!$B$36,N87+M88-V87)))</f>
        <v>362.00000000000011</v>
      </c>
      <c r="O88" s="14">
        <f>N88*VLOOKUP('Données projet'!$B$9,Paramètres!$A$1:$I$89,3,0)*VLOOKUP('Données projet'!$B$9,Paramètres!$A$1:$I$89,5,0)</f>
        <v>174.12200000000007</v>
      </c>
      <c r="P88" s="14">
        <f t="shared" si="87"/>
        <v>44.011923283560357</v>
      </c>
      <c r="Q88" s="22">
        <f t="shared" si="54"/>
        <v>379.91658305220102</v>
      </c>
      <c r="R88" s="62">
        <f t="shared" si="55"/>
        <v>673.24991638553433</v>
      </c>
      <c r="S88" s="62">
        <f ca="1">AVERAGE(OFFSET($R$3,0,0,'Données projet'!$E$9+1,1))-AVERAGE(OFFSET($H$3,0,0,'Données projet'!$E$9+1,1))</f>
        <v>179.22241276165141</v>
      </c>
      <c r="T88" s="62">
        <f t="shared" si="88"/>
        <v>86.510654589692876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-6.7984728957526396E-14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157.42757749057949</v>
      </c>
      <c r="AO88" s="62">
        <f t="shared" si="90"/>
        <v>129.86070223892136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1.6220333141713508E-8</v>
      </c>
      <c r="AX88" s="23">
        <f t="shared" si="60"/>
        <v>1.6220333141713508E-8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338</v>
      </c>
      <c r="BB88" s="13">
        <f>VLOOKUP(A88,'Données projet'!$A$87:$I$107,9,0)</f>
        <v>5</v>
      </c>
      <c r="BC88" s="13">
        <f t="array" ref="BC88">INDEX(BB:BB,MIN(IF(ISNUMBER(BB88:BB284),ROW(BB88:BB284),"")))</f>
        <v>5</v>
      </c>
      <c r="BD88" s="13">
        <f>IF('Données projet'!$A$88&gt;35,BD87+BC88-BL87,IF(A88&lt;'Données projet'!$A$88,$BA$205^A88,IF(A88='Données projet'!$A$88,'Données projet'!$B$88,BD87+BC88-BL87)))</f>
        <v>337.99999999999966</v>
      </c>
      <c r="BE88" s="14">
        <f>BD88*VLOOKUP('Données projet'!$B$11,Paramètres!$A$1:$I$89,3,0)*VLOOKUP('Données projet'!$B$11,Paramètres!$A$1:$I$89,5,0)</f>
        <v>353.27759999999967</v>
      </c>
      <c r="BF88" s="14">
        <f t="shared" si="91"/>
        <v>82.237036564873961</v>
      </c>
      <c r="BG88" s="22">
        <f t="shared" si="61"/>
        <v>758.52132535048815</v>
      </c>
      <c r="BH88" s="62">
        <f t="shared" si="62"/>
        <v>1051.8546586838215</v>
      </c>
      <c r="BI88" s="62">
        <f ca="1">AVERAGE(OFFSET($BH$3,0,0,'Données projet'!$E$11+1,1))-AVERAGE(OFFSET($H$3,0,0,'Données projet'!$E$11+1,1))</f>
        <v>464.21202287459482</v>
      </c>
      <c r="BJ88" s="62">
        <f t="shared" si="92"/>
        <v>234.57880205159688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27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1.7053025658242404E-13</v>
      </c>
      <c r="BZ88" s="14">
        <f>BY88*VLOOKUP('Données projet'!$B$12,Paramètres!$A$1:$I$89,3,0)*VLOOKUP('Données projet'!$B$12,Paramètres!$A$1:$I$89,5,0)</f>
        <v>1.3567387213697657E-13</v>
      </c>
      <c r="CA88" s="14">
        <f t="shared" si="93"/>
        <v>1.9670967679808581E-12</v>
      </c>
      <c r="CB88" s="22">
        <f t="shared" si="64"/>
        <v>3.6623255315385623E-12</v>
      </c>
      <c r="CC88" s="62">
        <f t="shared" si="65"/>
        <v>293.33333333333695</v>
      </c>
      <c r="CD88" s="62">
        <f ca="1">AVERAGE(OFFSET($CC$3,0,0,'Données projet'!$E$12+1,1))-AVERAGE(OFFSET($H$3,0,0,'Données projet'!$E$12+1,1))</f>
        <v>177.99876437322689</v>
      </c>
      <c r="CE88" s="62">
        <f t="shared" si="94"/>
        <v>165.68154380324592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5.6987179487179462</v>
      </c>
      <c r="CT88" s="13">
        <f>IF('Données projet'!$A$140&gt;35,CT87+CS88-DB87,IF(A88&lt;'Données projet'!$A$140,$CQ$205^A88,IF(A88='Données projet'!$A$140,'Données projet'!$B$140,CT87+CS88-DB87)))</f>
        <v>346.26025641025637</v>
      </c>
      <c r="CU88" s="18">
        <f>CT88*VLOOKUP('Données projet'!$B$13,Paramètres!$A$1:$I$89,3,0)*VLOOKUP('Données projet'!$B$13,Paramètres!$A$1:$I$89,5,0)</f>
        <v>193.5594833333333</v>
      </c>
      <c r="CV88" s="14">
        <f t="shared" si="95"/>
        <v>48.326051967828313</v>
      </c>
      <c r="CW88" s="22">
        <f t="shared" si="67"/>
        <v>421.28397398285648</v>
      </c>
      <c r="CX88" s="62">
        <f t="shared" si="68"/>
        <v>714.61730731618979</v>
      </c>
      <c r="CY88" s="62">
        <f ca="1">AVERAGE(OFFSET($CX$3,0,0,'Données projet'!$E$13+1,1))-AVERAGE(OFFSET($H$3,0,0,'Données projet'!$E$13+1,1))</f>
        <v>242.07451379051349</v>
      </c>
      <c r="CZ88" s="62">
        <f t="shared" si="96"/>
        <v>207.11607964940754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178.56320966726986</v>
      </c>
      <c r="DU88" s="62">
        <f t="shared" si="98"/>
        <v>272.06842551411739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1.6700446570458227</v>
      </c>
      <c r="EC88" s="23">
        <f>EXP(-LN(2)/2)*EC87+(1-EXP(-LN(2)/2))/(LN(2)/2)*DW88*DZ88*VLOOKUP('Données projet'!$B$14,Paramètres!$A$1:$I$89,3,0)*0.475*44/12</f>
        <v>8.7027024887942266E-8</v>
      </c>
      <c r="ED88" s="24">
        <f t="shared" si="72"/>
        <v>1.6700447440728476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338</v>
      </c>
      <c r="EH88" s="13">
        <f>VLOOKUP(A88,'Données projet'!$A$191:$I$211,9,0)</f>
        <v>5</v>
      </c>
      <c r="EI88" s="13">
        <f t="array" ref="EI88">INDEX(EH:EH,MIN(IF(ISNUMBER(EH88:EH284),ROW(EH88:EH284),"")))</f>
        <v>5</v>
      </c>
      <c r="EJ88" s="13">
        <f>IF('Données projet'!$A$192&gt;35,EJ87+EI88-ER87,IF(A88&lt;'Données projet'!$A$192,$EG$205^A88,IF(A88='Données projet'!$A$192,'Données projet'!$B$192,EJ87+EI88-ER87)))</f>
        <v>337.99999999999966</v>
      </c>
      <c r="EK88" s="18">
        <f>EJ88*VLOOKUP('Données projet'!$B$15,Paramètres!$A$1:$I$89,3,0)*VLOOKUP('Données projet'!$B$15,Paramètres!$A$1:$I$89,5,0)</f>
        <v>363.82319999999959</v>
      </c>
      <c r="EL88" s="14">
        <f t="shared" si="99"/>
        <v>84.402403276661232</v>
      </c>
      <c r="EM88" s="22">
        <f t="shared" si="73"/>
        <v>780.65959237351763</v>
      </c>
      <c r="EN88" s="62">
        <f t="shared" si="74"/>
        <v>1073.9929257068509</v>
      </c>
      <c r="EO88" s="62">
        <f ca="1">AVERAGE(OFFSET($EN$3,0,0,'Données projet'!$E$15+1,1))-AVERAGE(OFFSET($H$3,0,0,'Données projet'!$E$15+1,1))</f>
        <v>479.87943647026646</v>
      </c>
      <c r="EP88" s="62">
        <f t="shared" si="100"/>
        <v>242.41363045393223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27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338</v>
      </c>
      <c r="FC88" s="13">
        <f>VLOOKUP(A88,'Données projet'!$A$217:$I$237,9,0)</f>
        <v>5</v>
      </c>
      <c r="FD88" s="13">
        <f t="array" ref="FD88">INDEX(FC:FC,MIN(IF(ISNUMBER(FC88:FC284),ROW(FC88:FC284),"")))</f>
        <v>5</v>
      </c>
      <c r="FE88" s="13">
        <f>IF('Données projet'!$A$218&gt;35,FE87+FD88-FM87,IF(A88&lt;'Données projet'!$A$218,$FB$205^A88,IF(A88='Données projet'!$A$218,'Données projet'!$B$218,FE87+FD88-FM87)))</f>
        <v>337.99999999999966</v>
      </c>
      <c r="FF88" s="18">
        <f>FE88*VLOOKUP('Données projet'!$B$16,Paramètres!$A$1:$I$89,3,0)*VLOOKUP('Données projet'!$B$16,Paramètres!$A$1:$I$89,5,0)</f>
        <v>326.91359999999963</v>
      </c>
      <c r="FG88" s="14">
        <f t="shared" si="101"/>
        <v>76.790068178778256</v>
      </c>
      <c r="FH88" s="22">
        <f t="shared" si="76"/>
        <v>703.11722207803814</v>
      </c>
      <c r="FI88" s="62">
        <f t="shared" si="77"/>
        <v>996.4505554113714</v>
      </c>
      <c r="FJ88" s="62">
        <f ca="1">AVERAGE(OFFSET($FI$3,0,0,'Données projet'!$E$16+1,1))-AVERAGE(OFFSET($H$3,0,0,'Données projet'!$E$16+1,1))</f>
        <v>425.00152674093977</v>
      </c>
      <c r="FK88" s="62">
        <f t="shared" si="102"/>
        <v>214.96884469274687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27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11.8</v>
      </c>
      <c r="N89" s="14">
        <f>IF('Données projet'!$A$36&gt;35,N88+M89-V88,IF(A89&lt;'Données projet'!$A$36,$K$205^A89,IF(A89='Données projet'!$A$36,'Données projet'!$B$36,N88+M89-V88)))</f>
        <v>373.80000000000013</v>
      </c>
      <c r="O89" s="14">
        <f>N89*VLOOKUP('Données projet'!$B$9,Paramètres!$A$1:$I$89,3,0)*VLOOKUP('Données projet'!$B$9,Paramètres!$A$1:$I$89,5,0)</f>
        <v>179.79780000000005</v>
      </c>
      <c r="P89" s="14">
        <f t="shared" si="87"/>
        <v>45.277197449567822</v>
      </c>
      <c r="Q89" s="22">
        <f t="shared" si="54"/>
        <v>392.00562055799736</v>
      </c>
      <c r="R89" s="62">
        <f t="shared" si="55"/>
        <v>685.33895389133068</v>
      </c>
      <c r="S89" s="62">
        <f ca="1">AVERAGE(OFFSET($R$3,0,0,'Données projet'!$E$9+1,1))-AVERAGE(OFFSET($H$3,0,0,'Données projet'!$E$9+1,1))</f>
        <v>179.22241276165141</v>
      </c>
      <c r="T89" s="62">
        <f t="shared" si="88"/>
        <v>86.510654589692876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-6.7984728957526396E-14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157.42757749057949</v>
      </c>
      <c r="AO89" s="62">
        <f t="shared" si="90"/>
        <v>129.86070223892136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1.1469507557610519E-8</v>
      </c>
      <c r="AX89" s="23">
        <f t="shared" si="60"/>
        <v>1.1469507557610519E-8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4.5999999999999996</v>
      </c>
      <c r="BD89" s="13">
        <f>IF('Données projet'!$A$88&gt;35,BD88+BC89-BL88,IF(A89&lt;'Données projet'!$A$88,$BA$205^A89,IF(A89='Données projet'!$A$88,'Données projet'!$B$88,BD88+BC89-BL88)))</f>
        <v>315.59999999999968</v>
      </c>
      <c r="BE89" s="14">
        <f>BD89*VLOOKUP('Données projet'!$B$11,Paramètres!$A$1:$I$89,3,0)*VLOOKUP('Données projet'!$B$11,Paramètres!$A$1:$I$89,5,0)</f>
        <v>329.86511999999971</v>
      </c>
      <c r="BF89" s="14">
        <f t="shared" si="91"/>
        <v>77.402342441268132</v>
      </c>
      <c r="BG89" s="22">
        <f t="shared" si="61"/>
        <v>709.32416375187483</v>
      </c>
      <c r="BH89" s="62">
        <f t="shared" si="62"/>
        <v>1002.6574970852082</v>
      </c>
      <c r="BI89" s="62">
        <f ca="1">AVERAGE(OFFSET($BH$3,0,0,'Données projet'!$E$11+1,1))-AVERAGE(OFFSET($H$3,0,0,'Données projet'!$E$11+1,1))</f>
        <v>464.21202287459482</v>
      </c>
      <c r="BJ89" s="62">
        <f t="shared" si="92"/>
        <v>234.57880205159688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1.7053025658242404E-13</v>
      </c>
      <c r="BZ89" s="14">
        <f>BY89*VLOOKUP('Données projet'!$B$12,Paramètres!$A$1:$I$89,3,0)*VLOOKUP('Données projet'!$B$12,Paramètres!$A$1:$I$89,5,0)</f>
        <v>1.3567387213697657E-13</v>
      </c>
      <c r="CA89" s="14">
        <f t="shared" si="93"/>
        <v>1.9670967679808581E-12</v>
      </c>
      <c r="CB89" s="22">
        <f t="shared" si="64"/>
        <v>3.6623255315385623E-12</v>
      </c>
      <c r="CC89" s="62">
        <f t="shared" si="65"/>
        <v>293.33333333333695</v>
      </c>
      <c r="CD89" s="62">
        <f ca="1">AVERAGE(OFFSET($CC$3,0,0,'Données projet'!$E$12+1,1))-AVERAGE(OFFSET($H$3,0,0,'Données projet'!$E$12+1,1))</f>
        <v>177.99876437322689</v>
      </c>
      <c r="CE89" s="62">
        <f t="shared" si="94"/>
        <v>165.68154380324592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5.6987179487179462</v>
      </c>
      <c r="CT89" s="13">
        <f>IF('Données projet'!$A$140&gt;35,CT88+CS89-DB88,IF(A89&lt;'Données projet'!$A$140,$CQ$205^A89,IF(A89='Données projet'!$A$140,'Données projet'!$B$140,CT88+CS89-DB88)))</f>
        <v>351.95897435897433</v>
      </c>
      <c r="CU89" s="18">
        <f>CT89*VLOOKUP('Données projet'!$B$13,Paramètres!$A$1:$I$89,3,0)*VLOOKUP('Données projet'!$B$13,Paramètres!$A$1:$I$89,5,0)</f>
        <v>196.74506666666667</v>
      </c>
      <c r="CV89" s="14">
        <f t="shared" si="95"/>
        <v>49.028150200741912</v>
      </c>
      <c r="CW89" s="22">
        <f t="shared" si="67"/>
        <v>428.05501937740331</v>
      </c>
      <c r="CX89" s="62">
        <f t="shared" si="68"/>
        <v>721.38835271073663</v>
      </c>
      <c r="CY89" s="62">
        <f ca="1">AVERAGE(OFFSET($CX$3,0,0,'Données projet'!$E$13+1,1))-AVERAGE(OFFSET($H$3,0,0,'Données projet'!$E$13+1,1))</f>
        <v>242.07451379051349</v>
      </c>
      <c r="CZ89" s="62">
        <f t="shared" si="96"/>
        <v>207.11607964940754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178.56320966726986</v>
      </c>
      <c r="DU89" s="62">
        <f t="shared" si="98"/>
        <v>272.06842551411739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1.6243771980750732</v>
      </c>
      <c r="EC89" s="23">
        <f>EXP(-LN(2)/2)*EC88+(1-EXP(-LN(2)/2))/(LN(2)/2)*DW89*DZ89*VLOOKUP('Données projet'!$B$14,Paramètres!$A$1:$I$89,3,0)*0.475*44/12</f>
        <v>6.1537399444754417E-8</v>
      </c>
      <c r="ED89" s="24">
        <f t="shared" si="72"/>
        <v>1.6243772596124726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4.5999999999999996</v>
      </c>
      <c r="EJ89" s="13">
        <f>IF('Données projet'!$A$192&gt;35,EJ88+EI89-ER88,IF(A89&lt;'Données projet'!$A$192,$EG$205^A89,IF(A89='Données projet'!$A$192,'Données projet'!$B$192,EJ88+EI89-ER88)))</f>
        <v>315.59999999999968</v>
      </c>
      <c r="EK89" s="18">
        <f>EJ89*VLOOKUP('Données projet'!$B$15,Paramètres!$A$1:$I$89,3,0)*VLOOKUP('Données projet'!$B$15,Paramètres!$A$1:$I$89,5,0)</f>
        <v>339.71183999999965</v>
      </c>
      <c r="EL89" s="14">
        <f t="shared" si="99"/>
        <v>79.440407803757921</v>
      </c>
      <c r="EM89" s="22">
        <f t="shared" si="73"/>
        <v>730.02349825821113</v>
      </c>
      <c r="EN89" s="62">
        <f t="shared" si="74"/>
        <v>1023.3568315915445</v>
      </c>
      <c r="EO89" s="62">
        <f ca="1">AVERAGE(OFFSET($EN$3,0,0,'Données projet'!$E$15+1,1))-AVERAGE(OFFSET($H$3,0,0,'Données projet'!$E$15+1,1))</f>
        <v>479.87943647026646</v>
      </c>
      <c r="EP89" s="62">
        <f t="shared" si="100"/>
        <v>242.41363045393223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4.5999999999999996</v>
      </c>
      <c r="FE89" s="13">
        <f>IF('Données projet'!$A$218&gt;35,FE88+FD89-FM88,IF(A89&lt;'Données projet'!$A$218,$FB$205^A89,IF(A89='Données projet'!$A$218,'Données projet'!$B$218,FE88+FD89-FM88)))</f>
        <v>315.59999999999968</v>
      </c>
      <c r="FF89" s="18">
        <f>FE89*VLOOKUP('Données projet'!$B$16,Paramètres!$A$1:$I$89,3,0)*VLOOKUP('Données projet'!$B$16,Paramètres!$A$1:$I$89,5,0)</f>
        <v>305.24831999999969</v>
      </c>
      <c r="FG89" s="14">
        <f t="shared" si="101"/>
        <v>72.275599918697367</v>
      </c>
      <c r="FH89" s="22">
        <f t="shared" si="76"/>
        <v>657.52082719173063</v>
      </c>
      <c r="FI89" s="62">
        <f t="shared" si="77"/>
        <v>950.85416052506389</v>
      </c>
      <c r="FJ89" s="62">
        <f ca="1">AVERAGE(OFFSET($FI$3,0,0,'Données projet'!$E$16+1,1))-AVERAGE(OFFSET($H$3,0,0,'Données projet'!$E$16+1,1))</f>
        <v>425.00152674093977</v>
      </c>
      <c r="FK89" s="62">
        <f t="shared" si="102"/>
        <v>214.96884469274687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11.8</v>
      </c>
      <c r="N90" s="14">
        <f>IF('Données projet'!$A$36&gt;35,N89+M90-V89,IF(A90&lt;'Données projet'!$A$36,$K$205^A90,IF(A90='Données projet'!$A$36,'Données projet'!$B$36,N89+M90-V89)))</f>
        <v>385.60000000000014</v>
      </c>
      <c r="O90" s="14">
        <f>N90*VLOOKUP('Données projet'!$B$9,Paramètres!$A$1:$I$89,3,0)*VLOOKUP('Données projet'!$B$9,Paramètres!$A$1:$I$89,5,0)</f>
        <v>185.47360000000009</v>
      </c>
      <c r="P90" s="14">
        <f t="shared" si="87"/>
        <v>46.537830109895118</v>
      </c>
      <c r="Q90" s="22">
        <f t="shared" si="54"/>
        <v>404.08657410806745</v>
      </c>
      <c r="R90" s="62">
        <f t="shared" si="55"/>
        <v>697.41990744140071</v>
      </c>
      <c r="S90" s="62">
        <f ca="1">AVERAGE(OFFSET($R$3,0,0,'Données projet'!$E$9+1,1))-AVERAGE(OFFSET($H$3,0,0,'Données projet'!$E$9+1,1))</f>
        <v>179.22241276165141</v>
      </c>
      <c r="T90" s="62">
        <f t="shared" si="88"/>
        <v>86.510654589692876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-6.7984728957526396E-14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157.42757749057949</v>
      </c>
      <c r="AO90" s="62">
        <f t="shared" si="90"/>
        <v>129.86070223892136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8.1101665708567541E-9</v>
      </c>
      <c r="AX90" s="23">
        <f t="shared" si="60"/>
        <v>8.1101665708567541E-9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4.5999999999999996</v>
      </c>
      <c r="BD90" s="13">
        <f>IF('Données projet'!$A$88&gt;35,BD89+BC90-BL89,IF(A90&lt;'Données projet'!$A$88,$BA$205^A90,IF(A90='Données projet'!$A$88,'Données projet'!$B$88,BD89+BC90-BL89)))</f>
        <v>320.1999999999997</v>
      </c>
      <c r="BE90" s="14">
        <f>BD90*VLOOKUP('Données projet'!$B$11,Paramètres!$A$1:$I$89,3,0)*VLOOKUP('Données projet'!$B$11,Paramètres!$A$1:$I$89,5,0)</f>
        <v>334.67303999999973</v>
      </c>
      <c r="BF90" s="14">
        <f t="shared" si="91"/>
        <v>78.398353291319054</v>
      </c>
      <c r="BG90" s="22">
        <f t="shared" si="61"/>
        <v>719.43267664904681</v>
      </c>
      <c r="BH90" s="62">
        <f t="shared" si="62"/>
        <v>1012.7660099823802</v>
      </c>
      <c r="BI90" s="62">
        <f ca="1">AVERAGE(OFFSET($BH$3,0,0,'Données projet'!$E$11+1,1))-AVERAGE(OFFSET($H$3,0,0,'Données projet'!$E$11+1,1))</f>
        <v>464.21202287459482</v>
      </c>
      <c r="BJ90" s="62">
        <f t="shared" si="92"/>
        <v>234.57880205159688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1.7053025658242404E-13</v>
      </c>
      <c r="BZ90" s="14">
        <f>BY90*VLOOKUP('Données projet'!$B$12,Paramètres!$A$1:$I$89,3,0)*VLOOKUP('Données projet'!$B$12,Paramètres!$A$1:$I$89,5,0)</f>
        <v>1.3567387213697657E-13</v>
      </c>
      <c r="CA90" s="14">
        <f t="shared" si="93"/>
        <v>1.9670967679808581E-12</v>
      </c>
      <c r="CB90" s="22">
        <f t="shared" si="64"/>
        <v>3.6623255315385623E-12</v>
      </c>
      <c r="CC90" s="62">
        <f t="shared" si="65"/>
        <v>293.33333333333695</v>
      </c>
      <c r="CD90" s="62">
        <f ca="1">AVERAGE(OFFSET($CC$3,0,0,'Données projet'!$E$12+1,1))-AVERAGE(OFFSET($H$3,0,0,'Données projet'!$E$12+1,1))</f>
        <v>177.99876437322689</v>
      </c>
      <c r="CE90" s="62">
        <f t="shared" si="94"/>
        <v>165.68154380324592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5.6987179487179462</v>
      </c>
      <c r="CT90" s="13">
        <f>IF('Données projet'!$A$140&gt;35,CT89+CS90-DB89,IF(A90&lt;'Données projet'!$A$140,$CQ$205^A90,IF(A90='Données projet'!$A$140,'Données projet'!$B$140,CT89+CS90-DB89)))</f>
        <v>357.65769230769229</v>
      </c>
      <c r="CU90" s="18">
        <f>CT90*VLOOKUP('Données projet'!$B$13,Paramètres!$A$1:$I$89,3,0)*VLOOKUP('Données projet'!$B$13,Paramètres!$A$1:$I$89,5,0)</f>
        <v>199.93065000000001</v>
      </c>
      <c r="CV90" s="14">
        <f t="shared" si="95"/>
        <v>49.72892638678227</v>
      </c>
      <c r="CW90" s="22">
        <f t="shared" si="67"/>
        <v>434.8237622069791</v>
      </c>
      <c r="CX90" s="62">
        <f t="shared" si="68"/>
        <v>728.15709554031241</v>
      </c>
      <c r="CY90" s="62">
        <f ca="1">AVERAGE(OFFSET($CX$3,0,0,'Données projet'!$E$13+1,1))-AVERAGE(OFFSET($H$3,0,0,'Données projet'!$E$13+1,1))</f>
        <v>242.07451379051349</v>
      </c>
      <c r="CZ90" s="62">
        <f t="shared" si="96"/>
        <v>207.11607964940754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178.56320966726986</v>
      </c>
      <c r="DU90" s="62">
        <f t="shared" si="98"/>
        <v>272.06842551411739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1.579958518171426</v>
      </c>
      <c r="EC90" s="23">
        <f>EXP(-LN(2)/2)*EC89+(1-EXP(-LN(2)/2))/(LN(2)/2)*DW90*DZ90*VLOOKUP('Données projet'!$B$14,Paramètres!$A$1:$I$89,3,0)*0.475*44/12</f>
        <v>4.3513512443971133E-8</v>
      </c>
      <c r="ED90" s="24">
        <f t="shared" si="72"/>
        <v>1.5799585616849383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4.5999999999999996</v>
      </c>
      <c r="EJ90" s="13">
        <f>IF('Données projet'!$A$192&gt;35,EJ89+EI90-ER89,IF(A90&lt;'Données projet'!$A$192,$EG$205^A90,IF(A90='Données projet'!$A$192,'Données projet'!$B$192,EJ89+EI90-ER89)))</f>
        <v>320.1999999999997</v>
      </c>
      <c r="EK90" s="18">
        <f>EJ90*VLOOKUP('Données projet'!$B$15,Paramètres!$A$1:$I$89,3,0)*VLOOKUP('Données projet'!$B$15,Paramètres!$A$1:$I$89,5,0)</f>
        <v>344.6632799999997</v>
      </c>
      <c r="EL90" s="14">
        <f t="shared" si="99"/>
        <v>80.462644413264272</v>
      </c>
      <c r="EM90" s="22">
        <f t="shared" si="73"/>
        <v>740.42765168643473</v>
      </c>
      <c r="EN90" s="62">
        <f t="shared" si="74"/>
        <v>1033.760985019768</v>
      </c>
      <c r="EO90" s="62">
        <f ca="1">AVERAGE(OFFSET($EN$3,0,0,'Données projet'!$E$15+1,1))-AVERAGE(OFFSET($H$3,0,0,'Données projet'!$E$15+1,1))</f>
        <v>479.87943647026646</v>
      </c>
      <c r="EP90" s="62">
        <f t="shared" si="100"/>
        <v>242.41363045393223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4.5999999999999996</v>
      </c>
      <c r="FE90" s="13">
        <f>IF('Données projet'!$A$218&gt;35,FE89+FD90-FM89,IF(A90&lt;'Données projet'!$A$218,$FB$205^A90,IF(A90='Données projet'!$A$218,'Données projet'!$B$218,FE89+FD90-FM89)))</f>
        <v>320.1999999999997</v>
      </c>
      <c r="FF90" s="18">
        <f>FE90*VLOOKUP('Données projet'!$B$16,Paramètres!$A$1:$I$89,3,0)*VLOOKUP('Données projet'!$B$16,Paramètres!$A$1:$I$89,5,0)</f>
        <v>309.69743999999969</v>
      </c>
      <c r="FG90" s="14">
        <f t="shared" si="101"/>
        <v>73.205640011057412</v>
      </c>
      <c r="FH90" s="22">
        <f t="shared" si="76"/>
        <v>666.88953101925779</v>
      </c>
      <c r="FI90" s="62">
        <f t="shared" si="77"/>
        <v>960.22286435259116</v>
      </c>
      <c r="FJ90" s="62">
        <f ca="1">AVERAGE(OFFSET($FI$3,0,0,'Données projet'!$E$16+1,1))-AVERAGE(OFFSET($H$3,0,0,'Données projet'!$E$16+1,1))</f>
        <v>425.00152674093977</v>
      </c>
      <c r="FK90" s="62">
        <f t="shared" si="102"/>
        <v>214.96884469274687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11.8</v>
      </c>
      <c r="N91" s="14">
        <f>IF('Données projet'!$A$36&gt;35,N90+M91-V90,IF(A91&lt;'Données projet'!$A$36,$K$205^A91,IF(A91='Données projet'!$A$36,'Données projet'!$B$36,N90+M91-V90)))</f>
        <v>397.40000000000015</v>
      </c>
      <c r="O91" s="14">
        <f>N91*VLOOKUP('Données projet'!$B$9,Paramètres!$A$1:$I$89,3,0)*VLOOKUP('Données projet'!$B$9,Paramètres!$A$1:$I$89,5,0)</f>
        <v>191.14940000000007</v>
      </c>
      <c r="P91" s="14">
        <f t="shared" si="87"/>
        <v>47.793979603564196</v>
      </c>
      <c r="Q91" s="22">
        <f t="shared" si="54"/>
        <v>416.15971947620778</v>
      </c>
      <c r="R91" s="62">
        <f t="shared" si="55"/>
        <v>709.49305280954104</v>
      </c>
      <c r="S91" s="62">
        <f ca="1">AVERAGE(OFFSET($R$3,0,0,'Données projet'!$E$9+1,1))-AVERAGE(OFFSET($H$3,0,0,'Données projet'!$E$9+1,1))</f>
        <v>179.22241276165141</v>
      </c>
      <c r="T91" s="62">
        <f t="shared" si="88"/>
        <v>86.510654589692876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-6.7984728957526396E-14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157.42757749057949</v>
      </c>
      <c r="AO91" s="62">
        <f t="shared" si="90"/>
        <v>129.86070223892136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5.7347537788052594E-9</v>
      </c>
      <c r="AX91" s="23">
        <f t="shared" si="60"/>
        <v>5.7347537788052594E-9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4.5999999999999996</v>
      </c>
      <c r="BD91" s="13">
        <f>IF('Données projet'!$A$88&gt;35,BD90+BC91-BL90,IF(A91&lt;'Données projet'!$A$88,$BA$205^A91,IF(A91='Données projet'!$A$88,'Données projet'!$B$88,BD90+BC91-BL90)))</f>
        <v>324.79999999999973</v>
      </c>
      <c r="BE91" s="14">
        <f>BD91*VLOOKUP('Données projet'!$B$11,Paramètres!$A$1:$I$89,3,0)*VLOOKUP('Données projet'!$B$11,Paramètres!$A$1:$I$89,5,0)</f>
        <v>339.48095999999975</v>
      </c>
      <c r="BF91" s="14">
        <f t="shared" si="91"/>
        <v>79.392699938427526</v>
      </c>
      <c r="BG91" s="22">
        <f t="shared" si="61"/>
        <v>729.53829105942748</v>
      </c>
      <c r="BH91" s="62">
        <f t="shared" si="62"/>
        <v>1022.8716243927609</v>
      </c>
      <c r="BI91" s="62">
        <f ca="1">AVERAGE(OFFSET($BH$3,0,0,'Données projet'!$E$11+1,1))-AVERAGE(OFFSET($H$3,0,0,'Données projet'!$E$11+1,1))</f>
        <v>464.21202287459482</v>
      </c>
      <c r="BJ91" s="62">
        <f t="shared" si="92"/>
        <v>234.57880205159688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1.7053025658242404E-13</v>
      </c>
      <c r="BZ91" s="14">
        <f>BY91*VLOOKUP('Données projet'!$B$12,Paramètres!$A$1:$I$89,3,0)*VLOOKUP('Données projet'!$B$12,Paramètres!$A$1:$I$89,5,0)</f>
        <v>1.3567387213697657E-13</v>
      </c>
      <c r="CA91" s="14">
        <f t="shared" si="93"/>
        <v>1.9670967679808581E-12</v>
      </c>
      <c r="CB91" s="22">
        <f t="shared" si="64"/>
        <v>3.6623255315385623E-12</v>
      </c>
      <c r="CC91" s="62">
        <f t="shared" si="65"/>
        <v>293.33333333333695</v>
      </c>
      <c r="CD91" s="62">
        <f ca="1">AVERAGE(OFFSET($CC$3,0,0,'Données projet'!$E$12+1,1))-AVERAGE(OFFSET($H$3,0,0,'Données projet'!$E$12+1,1))</f>
        <v>177.99876437322689</v>
      </c>
      <c r="CE91" s="62">
        <f t="shared" si="94"/>
        <v>165.68154380324592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5.6987179487179462</v>
      </c>
      <c r="CT91" s="13">
        <f>IF('Données projet'!$A$140&gt;35,CT90+CS91-DB90,IF(A91&lt;'Données projet'!$A$140,$CQ$205^A91,IF(A91='Données projet'!$A$140,'Données projet'!$B$140,CT90+CS91-DB90)))</f>
        <v>363.35641025641024</v>
      </c>
      <c r="CU91" s="18">
        <f>CT91*VLOOKUP('Données projet'!$B$13,Paramètres!$A$1:$I$89,3,0)*VLOOKUP('Données projet'!$B$13,Paramètres!$A$1:$I$89,5,0)</f>
        <v>203.11623333333333</v>
      </c>
      <c r="CV91" s="14">
        <f t="shared" si="95"/>
        <v>50.428404022852121</v>
      </c>
      <c r="CW91" s="22">
        <f t="shared" si="67"/>
        <v>441.59024339535631</v>
      </c>
      <c r="CX91" s="62">
        <f t="shared" si="68"/>
        <v>734.92357672868957</v>
      </c>
      <c r="CY91" s="62">
        <f ca="1">AVERAGE(OFFSET($CX$3,0,0,'Données projet'!$E$13+1,1))-AVERAGE(OFFSET($H$3,0,0,'Données projet'!$E$13+1,1))</f>
        <v>242.07451379051349</v>
      </c>
      <c r="CZ91" s="62">
        <f t="shared" si="96"/>
        <v>207.11607964940754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178.56320966726986</v>
      </c>
      <c r="DU91" s="62">
        <f t="shared" si="98"/>
        <v>272.06842551411739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1.536754469405621</v>
      </c>
      <c r="EC91" s="23">
        <f>EXP(-LN(2)/2)*EC90+(1-EXP(-LN(2)/2))/(LN(2)/2)*DW91*DZ91*VLOOKUP('Données projet'!$B$14,Paramètres!$A$1:$I$89,3,0)*0.475*44/12</f>
        <v>3.0768699722377209E-8</v>
      </c>
      <c r="ED91" s="24">
        <f t="shared" si="72"/>
        <v>1.5367545001743208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4.5999999999999996</v>
      </c>
      <c r="EJ91" s="13">
        <f>IF('Données projet'!$A$192&gt;35,EJ90+EI91-ER90,IF(A91&lt;'Données projet'!$A$192,$EG$205^A91,IF(A91='Données projet'!$A$192,'Données projet'!$B$192,EJ90+EI91-ER90)))</f>
        <v>324.79999999999973</v>
      </c>
      <c r="EK91" s="18">
        <f>EJ91*VLOOKUP('Données projet'!$B$15,Paramètres!$A$1:$I$89,3,0)*VLOOKUP('Données projet'!$B$15,Paramètres!$A$1:$I$89,5,0)</f>
        <v>349.61471999999969</v>
      </c>
      <c r="EL91" s="14">
        <f t="shared" si="99"/>
        <v>81.483173000038505</v>
      </c>
      <c r="EM91" s="22">
        <f t="shared" si="73"/>
        <v>750.82883030839992</v>
      </c>
      <c r="EN91" s="62">
        <f t="shared" si="74"/>
        <v>1044.1621636417333</v>
      </c>
      <c r="EO91" s="62">
        <f ca="1">AVERAGE(OFFSET($EN$3,0,0,'Données projet'!$E$15+1,1))-AVERAGE(OFFSET($H$3,0,0,'Données projet'!$E$15+1,1))</f>
        <v>479.87943647026646</v>
      </c>
      <c r="EP91" s="62">
        <f t="shared" si="100"/>
        <v>242.41363045393223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4.5999999999999996</v>
      </c>
      <c r="FE91" s="13">
        <f>IF('Données projet'!$A$218&gt;35,FE90+FD91-FM90,IF(A91&lt;'Données projet'!$A$218,$FB$205^A91,IF(A91='Données projet'!$A$218,'Données projet'!$B$218,FE90+FD91-FM90)))</f>
        <v>324.79999999999973</v>
      </c>
      <c r="FF91" s="18">
        <f>FE91*VLOOKUP('Données projet'!$B$16,Paramètres!$A$1:$I$89,3,0)*VLOOKUP('Données projet'!$B$16,Paramètres!$A$1:$I$89,5,0)</f>
        <v>314.14655999999974</v>
      </c>
      <c r="FG91" s="14">
        <f t="shared" si="101"/>
        <v>74.134126128921963</v>
      </c>
      <c r="FH91" s="22">
        <f t="shared" si="76"/>
        <v>676.25552834120526</v>
      </c>
      <c r="FI91" s="62">
        <f t="shared" si="77"/>
        <v>969.58886167453852</v>
      </c>
      <c r="FJ91" s="62">
        <f ca="1">AVERAGE(OFFSET($FI$3,0,0,'Données projet'!$E$16+1,1))-AVERAGE(OFFSET($H$3,0,0,'Données projet'!$E$16+1,1))</f>
        <v>425.00152674093977</v>
      </c>
      <c r="FK91" s="62">
        <f t="shared" si="102"/>
        <v>214.96884469274687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11.8</v>
      </c>
      <c r="N92" s="14">
        <f>IF('Données projet'!$A$36&gt;35,N91+M92-V91,IF(A92&lt;'Données projet'!$A$36,$K$205^A92,IF(A92='Données projet'!$A$36,'Données projet'!$B$36,N91+M92-V91)))</f>
        <v>409.20000000000016</v>
      </c>
      <c r="O92" s="14">
        <f>N92*VLOOKUP('Données projet'!$B$9,Paramètres!$A$1:$I$89,3,0)*VLOOKUP('Données projet'!$B$9,Paramètres!$A$1:$I$89,5,0)</f>
        <v>196.82520000000008</v>
      </c>
      <c r="P92" s="14">
        <f t="shared" si="87"/>
        <v>49.045794331964828</v>
      </c>
      <c r="Q92" s="22">
        <f t="shared" si="54"/>
        <v>428.22531512817221</v>
      </c>
      <c r="R92" s="62">
        <f t="shared" si="55"/>
        <v>721.55864846150553</v>
      </c>
      <c r="S92" s="62">
        <f ca="1">AVERAGE(OFFSET($R$3,0,0,'Données projet'!$E$9+1,1))-AVERAGE(OFFSET($H$3,0,0,'Données projet'!$E$9+1,1))</f>
        <v>179.22241276165141</v>
      </c>
      <c r="T92" s="62">
        <f t="shared" si="88"/>
        <v>86.510654589692876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-6.7984728957526396E-14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157.42757749057949</v>
      </c>
      <c r="AO92" s="62">
        <f t="shared" si="90"/>
        <v>129.86070223892136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4.0550832854283771E-9</v>
      </c>
      <c r="AX92" s="23">
        <f t="shared" si="60"/>
        <v>4.0550832854283771E-9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4.5999999999999996</v>
      </c>
      <c r="BD92" s="13">
        <f>IF('Données projet'!$A$88&gt;35,BD91+BC92-BL91,IF(A92&lt;'Données projet'!$A$88,$BA$205^A92,IF(A92='Données projet'!$A$88,'Données projet'!$B$88,BD91+BC92-BL91)))</f>
        <v>329.39999999999975</v>
      </c>
      <c r="BE92" s="14">
        <f>BD92*VLOOKUP('Données projet'!$B$11,Paramètres!$A$1:$I$89,3,0)*VLOOKUP('Données projet'!$B$11,Paramètres!$A$1:$I$89,5,0)</f>
        <v>344.28887999999978</v>
      </c>
      <c r="BF92" s="14">
        <f t="shared" si="91"/>
        <v>80.385408675538201</v>
      </c>
      <c r="BG92" s="22">
        <f t="shared" si="61"/>
        <v>739.64105277656199</v>
      </c>
      <c r="BH92" s="62">
        <f t="shared" si="62"/>
        <v>1032.9743861098952</v>
      </c>
      <c r="BI92" s="62">
        <f ca="1">AVERAGE(OFFSET($BH$3,0,0,'Données projet'!$E$11+1,1))-AVERAGE(OFFSET($H$3,0,0,'Données projet'!$E$11+1,1))</f>
        <v>464.21202287459482</v>
      </c>
      <c r="BJ92" s="62">
        <f t="shared" si="92"/>
        <v>234.57880205159688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1.7053025658242404E-13</v>
      </c>
      <c r="BZ92" s="14">
        <f>BY92*VLOOKUP('Données projet'!$B$12,Paramètres!$A$1:$I$89,3,0)*VLOOKUP('Données projet'!$B$12,Paramètres!$A$1:$I$89,5,0)</f>
        <v>1.3567387213697657E-13</v>
      </c>
      <c r="CA92" s="14">
        <f t="shared" si="93"/>
        <v>1.9670967679808581E-12</v>
      </c>
      <c r="CB92" s="22">
        <f t="shared" si="64"/>
        <v>3.6623255315385623E-12</v>
      </c>
      <c r="CC92" s="62">
        <f t="shared" si="65"/>
        <v>293.33333333333695</v>
      </c>
      <c r="CD92" s="62">
        <f ca="1">AVERAGE(OFFSET($CC$3,0,0,'Données projet'!$E$12+1,1))-AVERAGE(OFFSET($H$3,0,0,'Données projet'!$E$12+1,1))</f>
        <v>177.99876437322689</v>
      </c>
      <c r="CE92" s="62">
        <f t="shared" si="94"/>
        <v>165.68154380324592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5.6987179487179462</v>
      </c>
      <c r="CT92" s="13">
        <f>IF('Données projet'!$A$140&gt;35,CT91+CS92-DB91,IF(A92&lt;'Données projet'!$A$140,$CQ$205^A92,IF(A92='Données projet'!$A$140,'Données projet'!$B$140,CT91+CS92-DB91)))</f>
        <v>369.0551282051282</v>
      </c>
      <c r="CU92" s="18">
        <f>CT92*VLOOKUP('Données projet'!$B$13,Paramètres!$A$1:$I$89,3,0)*VLOOKUP('Données projet'!$B$13,Paramètres!$A$1:$I$89,5,0)</f>
        <v>206.30181666666667</v>
      </c>
      <c r="CV92" s="14">
        <f t="shared" si="95"/>
        <v>51.126605826545813</v>
      </c>
      <c r="CW92" s="22">
        <f t="shared" si="67"/>
        <v>448.35450250901164</v>
      </c>
      <c r="CX92" s="62">
        <f t="shared" si="68"/>
        <v>741.68783584234495</v>
      </c>
      <c r="CY92" s="62">
        <f ca="1">AVERAGE(OFFSET($CX$3,0,0,'Données projet'!$E$13+1,1))-AVERAGE(OFFSET($H$3,0,0,'Données projet'!$E$13+1,1))</f>
        <v>242.07451379051349</v>
      </c>
      <c r="CZ92" s="62">
        <f t="shared" si="96"/>
        <v>207.11607964940754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178.56320966726986</v>
      </c>
      <c r="DU92" s="62">
        <f t="shared" si="98"/>
        <v>272.06842551411739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1.4947318376253191</v>
      </c>
      <c r="EC92" s="23">
        <f>EXP(-LN(2)/2)*EC91+(1-EXP(-LN(2)/2))/(LN(2)/2)*DW92*DZ92*VLOOKUP('Données projet'!$B$14,Paramètres!$A$1:$I$89,3,0)*0.475*44/12</f>
        <v>2.1756756221985567E-8</v>
      </c>
      <c r="ED92" s="24">
        <f t="shared" si="72"/>
        <v>1.4947318593820753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4.5999999999999996</v>
      </c>
      <c r="EJ92" s="13">
        <f>IF('Données projet'!$A$192&gt;35,EJ91+EI92-ER91,IF(A92&lt;'Données projet'!$A$192,$EG$205^A92,IF(A92='Données projet'!$A$192,'Données projet'!$B$192,EJ91+EI92-ER91)))</f>
        <v>329.39999999999975</v>
      </c>
      <c r="EK92" s="18">
        <f>EJ92*VLOOKUP('Données projet'!$B$15,Paramètres!$A$1:$I$89,3,0)*VLOOKUP('Données projet'!$B$15,Paramètres!$A$1:$I$89,5,0)</f>
        <v>354.56615999999968</v>
      </c>
      <c r="EL92" s="14">
        <f t="shared" si="99"/>
        <v>82.502020549339278</v>
      </c>
      <c r="EM92" s="22">
        <f t="shared" si="73"/>
        <v>761.22708112343207</v>
      </c>
      <c r="EN92" s="62">
        <f t="shared" si="74"/>
        <v>1054.5604144567653</v>
      </c>
      <c r="EO92" s="62">
        <f ca="1">AVERAGE(OFFSET($EN$3,0,0,'Données projet'!$E$15+1,1))-AVERAGE(OFFSET($H$3,0,0,'Données projet'!$E$15+1,1))</f>
        <v>479.87943647026646</v>
      </c>
      <c r="EP92" s="62">
        <f t="shared" si="100"/>
        <v>242.41363045393223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4.5999999999999996</v>
      </c>
      <c r="FE92" s="13">
        <f>IF('Données projet'!$A$218&gt;35,FE91+FD92-FM91,IF(A92&lt;'Données projet'!$A$218,$FB$205^A92,IF(A92='Données projet'!$A$218,'Données projet'!$B$218,FE91+FD92-FM91)))</f>
        <v>329.39999999999975</v>
      </c>
      <c r="FF92" s="18">
        <f>FE92*VLOOKUP('Données projet'!$B$16,Paramètres!$A$1:$I$89,3,0)*VLOOKUP('Données projet'!$B$16,Paramètres!$A$1:$I$89,5,0)</f>
        <v>318.59567999999973</v>
      </c>
      <c r="FG92" s="14">
        <f t="shared" si="101"/>
        <v>75.061082823722813</v>
      </c>
      <c r="FH92" s="22">
        <f t="shared" si="76"/>
        <v>685.61886191798339</v>
      </c>
      <c r="FI92" s="62">
        <f t="shared" si="77"/>
        <v>978.95219525131665</v>
      </c>
      <c r="FJ92" s="62">
        <f ca="1">AVERAGE(OFFSET($FI$3,0,0,'Données projet'!$E$16+1,1))-AVERAGE(OFFSET($H$3,0,0,'Données projet'!$E$16+1,1))</f>
        <v>425.00152674093977</v>
      </c>
      <c r="FK92" s="62">
        <f t="shared" si="102"/>
        <v>214.96884469274687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421</v>
      </c>
      <c r="L93" s="13">
        <f>VLOOKUP(A93,'Données projet'!$A$35:$I$55,9,0)</f>
        <v>11.8</v>
      </c>
      <c r="M93" s="13">
        <f t="array" ref="M93">INDEX(L:L,MIN(IF(ISNUMBER(L93:L289),ROW(L93:L289),"")))</f>
        <v>11.8</v>
      </c>
      <c r="N93" s="14">
        <f>IF('Données projet'!$A$36&gt;35,N92+M93-V92,IF(A93&lt;'Données projet'!$A$36,$K$205^A93,IF(A93='Données projet'!$A$36,'Données projet'!$B$36,N92+M93-V92)))</f>
        <v>421.00000000000017</v>
      </c>
      <c r="O93" s="14">
        <f>N93*VLOOKUP('Données projet'!$B$9,Paramètres!$A$1:$I$89,3,0)*VLOOKUP('Données projet'!$B$9,Paramètres!$A$1:$I$89,5,0)</f>
        <v>202.50100000000009</v>
      </c>
      <c r="P93" s="14">
        <f t="shared" si="87"/>
        <v>50.293413650922858</v>
      </c>
      <c r="Q93" s="22">
        <f t="shared" si="54"/>
        <v>440.28360377535745</v>
      </c>
      <c r="R93" s="62">
        <f t="shared" si="55"/>
        <v>733.61693710869076</v>
      </c>
      <c r="S93" s="62">
        <f ca="1">AVERAGE(OFFSET($R$3,0,0,'Données projet'!$E$9+1,1))-AVERAGE(OFFSET($H$3,0,0,'Données projet'!$E$9+1,1))</f>
        <v>179.22241276165141</v>
      </c>
      <c r="T93" s="62">
        <f t="shared" si="88"/>
        <v>86.510654589692876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50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-6.7984728957526396E-14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157.42757749057949</v>
      </c>
      <c r="AO93" s="62">
        <f t="shared" si="90"/>
        <v>129.86070223892136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2.8673768894026297E-9</v>
      </c>
      <c r="AX93" s="23">
        <f t="shared" si="60"/>
        <v>2.8673768894026297E-9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334</v>
      </c>
      <c r="BB93" s="13">
        <f>VLOOKUP(A93,'Données projet'!$A$87:$I$107,9,0)</f>
        <v>4.5999999999999996</v>
      </c>
      <c r="BC93" s="13">
        <f t="array" ref="BC93">INDEX(BB:BB,MIN(IF(ISNUMBER(BB93:BB289),ROW(BB93:BB289),"")))</f>
        <v>4.5999999999999996</v>
      </c>
      <c r="BD93" s="13">
        <f>IF('Données projet'!$A$88&gt;35,BD92+BC93-BL92,IF(A93&lt;'Données projet'!$A$88,$BA$205^A93,IF(A93='Données projet'!$A$88,'Données projet'!$B$88,BD92+BC93-BL92)))</f>
        <v>333.99999999999977</v>
      </c>
      <c r="BE93" s="14">
        <f>BD93*VLOOKUP('Données projet'!$B$11,Paramètres!$A$1:$I$89,3,0)*VLOOKUP('Données projet'!$B$11,Paramètres!$A$1:$I$89,5,0)</f>
        <v>349.0967999999998</v>
      </c>
      <c r="BF93" s="14">
        <f t="shared" si="91"/>
        <v>81.376505019061597</v>
      </c>
      <c r="BG93" s="22">
        <f t="shared" si="61"/>
        <v>749.74100624153186</v>
      </c>
      <c r="BH93" s="62">
        <f t="shared" si="62"/>
        <v>1043.0743395748652</v>
      </c>
      <c r="BI93" s="62">
        <f ca="1">AVERAGE(OFFSET($BH$3,0,0,'Données projet'!$E$11+1,1))-AVERAGE(OFFSET($H$3,0,0,'Données projet'!$E$11+1,1))</f>
        <v>464.21202287459482</v>
      </c>
      <c r="BJ93" s="62">
        <f t="shared" si="92"/>
        <v>234.57880205159688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1.7053025658242404E-13</v>
      </c>
      <c r="BZ93" s="14">
        <f>BY93*VLOOKUP('Données projet'!$B$12,Paramètres!$A$1:$I$89,3,0)*VLOOKUP('Données projet'!$B$12,Paramètres!$A$1:$I$89,5,0)</f>
        <v>1.3567387213697657E-13</v>
      </c>
      <c r="CA93" s="14">
        <f t="shared" si="93"/>
        <v>1.9670967679808581E-12</v>
      </c>
      <c r="CB93" s="22">
        <f t="shared" si="64"/>
        <v>3.6623255315385623E-12</v>
      </c>
      <c r="CC93" s="62">
        <f t="shared" si="65"/>
        <v>293.33333333333695</v>
      </c>
      <c r="CD93" s="62">
        <f ca="1">AVERAGE(OFFSET($CC$3,0,0,'Données projet'!$E$12+1,1))-AVERAGE(OFFSET($H$3,0,0,'Données projet'!$E$12+1,1))</f>
        <v>177.99876437322689</v>
      </c>
      <c r="CE93" s="62">
        <f t="shared" si="94"/>
        <v>165.68154380324592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5.6987179487179462</v>
      </c>
      <c r="CT93" s="13">
        <f>IF('Données projet'!$A$140&gt;35,CT92+CS93-DB92,IF(A93&lt;'Données projet'!$A$140,$CQ$205^A93,IF(A93='Données projet'!$A$140,'Données projet'!$B$140,CT92+CS93-DB92)))</f>
        <v>374.75384615384615</v>
      </c>
      <c r="CU93" s="18">
        <f>CT93*VLOOKUP('Données projet'!$B$13,Paramètres!$A$1:$I$89,3,0)*VLOOKUP('Données projet'!$B$13,Paramètres!$A$1:$I$89,5,0)</f>
        <v>209.48740000000001</v>
      </c>
      <c r="CV93" s="14">
        <f t="shared" si="95"/>
        <v>51.823553773622486</v>
      </c>
      <c r="CW93" s="22">
        <f t="shared" si="67"/>
        <v>455.11657782239246</v>
      </c>
      <c r="CX93" s="62">
        <f t="shared" si="68"/>
        <v>748.44991115572577</v>
      </c>
      <c r="CY93" s="62">
        <f ca="1">AVERAGE(OFFSET($CX$3,0,0,'Données projet'!$E$13+1,1))-AVERAGE(OFFSET($H$3,0,0,'Données projet'!$E$13+1,1))</f>
        <v>242.07451379051349</v>
      </c>
      <c r="CZ93" s="62">
        <f t="shared" si="96"/>
        <v>207.11607964940754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178.56320966726986</v>
      </c>
      <c r="DU93" s="62">
        <f t="shared" si="98"/>
        <v>272.06842551411739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1.4538583169209236</v>
      </c>
      <c r="EC93" s="23">
        <f>EXP(-LN(2)/2)*EC92+(1-EXP(-LN(2)/2))/(LN(2)/2)*DW93*DZ93*VLOOKUP('Données projet'!$B$14,Paramètres!$A$1:$I$89,3,0)*0.475*44/12</f>
        <v>1.5384349861188604E-8</v>
      </c>
      <c r="ED93" s="24">
        <f t="shared" si="72"/>
        <v>1.4538583323052734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334</v>
      </c>
      <c r="EH93" s="13">
        <f>VLOOKUP(A93,'Données projet'!$A$191:$I$211,9,0)</f>
        <v>4.5999999999999996</v>
      </c>
      <c r="EI93" s="13">
        <f t="array" ref="EI93">INDEX(EH:EH,MIN(IF(ISNUMBER(EH93:EH289),ROW(EH93:EH289),"")))</f>
        <v>4.5999999999999996</v>
      </c>
      <c r="EJ93" s="13">
        <f>IF('Données projet'!$A$192&gt;35,EJ92+EI93-ER92,IF(A93&lt;'Données projet'!$A$192,$EG$205^A93,IF(A93='Données projet'!$A$192,'Données projet'!$B$192,EJ92+EI93-ER92)))</f>
        <v>333.99999999999977</v>
      </c>
      <c r="EK93" s="18">
        <f>EJ93*VLOOKUP('Données projet'!$B$15,Paramètres!$A$1:$I$89,3,0)*VLOOKUP('Données projet'!$B$15,Paramètres!$A$1:$I$89,5,0)</f>
        <v>359.51759999999973</v>
      </c>
      <c r="EL93" s="14">
        <f t="shared" si="99"/>
        <v>83.519213249444618</v>
      </c>
      <c r="EM93" s="22">
        <f t="shared" si="73"/>
        <v>771.62244974278212</v>
      </c>
      <c r="EN93" s="62">
        <f t="shared" si="74"/>
        <v>1064.9557830761155</v>
      </c>
      <c r="EO93" s="62">
        <f ca="1">AVERAGE(OFFSET($EN$3,0,0,'Données projet'!$E$15+1,1))-AVERAGE(OFFSET($H$3,0,0,'Données projet'!$E$15+1,1))</f>
        <v>479.87943647026646</v>
      </c>
      <c r="EP93" s="62">
        <f t="shared" si="100"/>
        <v>242.41363045393223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334</v>
      </c>
      <c r="FC93" s="13">
        <f>VLOOKUP(A93,'Données projet'!$A$217:$I$237,9,0)</f>
        <v>4.5999999999999996</v>
      </c>
      <c r="FD93" s="13">
        <f t="array" ref="FD93">INDEX(FC:FC,MIN(IF(ISNUMBER(FC93:FC289),ROW(FC93:FC289),"")))</f>
        <v>4.5999999999999996</v>
      </c>
      <c r="FE93" s="13">
        <f>IF('Données projet'!$A$218&gt;35,FE92+FD93-FM92,IF(A93&lt;'Données projet'!$A$218,$FB$205^A93,IF(A93='Données projet'!$A$218,'Données projet'!$B$218,FE92+FD93-FM92)))</f>
        <v>333.99999999999977</v>
      </c>
      <c r="FF93" s="18">
        <f>FE93*VLOOKUP('Données projet'!$B$16,Paramètres!$A$1:$I$89,3,0)*VLOOKUP('Données projet'!$B$16,Paramètres!$A$1:$I$89,5,0)</f>
        <v>323.04479999999978</v>
      </c>
      <c r="FG93" s="14">
        <f t="shared" si="101"/>
        <v>75.986533921791832</v>
      </c>
      <c r="FH93" s="22">
        <f t="shared" si="76"/>
        <v>694.97957324712036</v>
      </c>
      <c r="FI93" s="62">
        <f t="shared" si="77"/>
        <v>988.31290658045373</v>
      </c>
      <c r="FJ93" s="62">
        <f ca="1">AVERAGE(OFFSET($FI$3,0,0,'Données projet'!$E$16+1,1))-AVERAGE(OFFSET($H$3,0,0,'Données projet'!$E$16+1,1))</f>
        <v>425.00152674093977</v>
      </c>
      <c r="FK93" s="62">
        <f t="shared" si="102"/>
        <v>214.96884469274687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12.7</v>
      </c>
      <c r="N94" s="14">
        <f>IF('Données projet'!$A$36&gt;35,N93+M94-V93,IF(A94&lt;'Données projet'!$A$36,$K$205^A94,IF(A94='Données projet'!$A$36,'Données projet'!$B$36,N93+M94-V93)))</f>
        <v>383.70000000000016</v>
      </c>
      <c r="O94" s="14">
        <f>N94*VLOOKUP('Données projet'!$B$9,Paramètres!$A$1:$I$89,3,0)*VLOOKUP('Données projet'!$B$9,Paramètres!$A$1:$I$89,5,0)</f>
        <v>184.55970000000008</v>
      </c>
      <c r="P94" s="14">
        <f t="shared" si="87"/>
        <v>46.335153716193432</v>
      </c>
      <c r="Q94" s="22">
        <f t="shared" si="54"/>
        <v>402.1418702223703</v>
      </c>
      <c r="R94" s="62">
        <f t="shared" si="55"/>
        <v>695.47520355570362</v>
      </c>
      <c r="S94" s="62">
        <f ca="1">AVERAGE(OFFSET($R$3,0,0,'Données projet'!$E$9+1,1))-AVERAGE(OFFSET($H$3,0,0,'Données projet'!$E$9+1,1))</f>
        <v>179.22241276165141</v>
      </c>
      <c r="T94" s="62">
        <f t="shared" si="88"/>
        <v>86.510654589692876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-6.7984728957526396E-14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157.42757749057949</v>
      </c>
      <c r="AO94" s="62">
        <f t="shared" si="90"/>
        <v>129.86070223892136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2.0275416427141885E-9</v>
      </c>
      <c r="AX94" s="23">
        <f t="shared" si="60"/>
        <v>2.0275416427141885E-9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4.5999999999999996</v>
      </c>
      <c r="BD94" s="13">
        <f>IF('Données projet'!$A$88&gt;35,BD93+BC94-BL93,IF(A94&lt;'Données projet'!$A$88,$BA$205^A94,IF(A94='Données projet'!$A$88,'Données projet'!$B$88,BD93+BC94-BL93)))</f>
        <v>338.5999999999998</v>
      </c>
      <c r="BE94" s="14">
        <f>BD94*VLOOKUP('Données projet'!$B$11,Paramètres!$A$1:$I$89,3,0)*VLOOKUP('Données projet'!$B$11,Paramètres!$A$1:$I$89,5,0)</f>
        <v>353.90471999999983</v>
      </c>
      <c r="BF94" s="14">
        <f t="shared" si="91"/>
        <v>82.366013742181437</v>
      </c>
      <c r="BG94" s="22">
        <f t="shared" si="61"/>
        <v>759.83819460096572</v>
      </c>
      <c r="BH94" s="62">
        <f t="shared" si="62"/>
        <v>1053.1715279342991</v>
      </c>
      <c r="BI94" s="62">
        <f ca="1">AVERAGE(OFFSET($BH$3,0,0,'Données projet'!$E$11+1,1))-AVERAGE(OFFSET($H$3,0,0,'Données projet'!$E$11+1,1))</f>
        <v>464.21202287459482</v>
      </c>
      <c r="BJ94" s="62">
        <f t="shared" si="92"/>
        <v>234.57880205159688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1.7053025658242404E-13</v>
      </c>
      <c r="BZ94" s="14">
        <f>BY94*VLOOKUP('Données projet'!$B$12,Paramètres!$A$1:$I$89,3,0)*VLOOKUP('Données projet'!$B$12,Paramètres!$A$1:$I$89,5,0)</f>
        <v>1.3567387213697657E-13</v>
      </c>
      <c r="CA94" s="14">
        <f t="shared" si="93"/>
        <v>1.9670967679808581E-12</v>
      </c>
      <c r="CB94" s="22">
        <f t="shared" si="64"/>
        <v>3.6623255315385623E-12</v>
      </c>
      <c r="CC94" s="62">
        <f t="shared" si="65"/>
        <v>293.33333333333695</v>
      </c>
      <c r="CD94" s="62">
        <f ca="1">AVERAGE(OFFSET($CC$3,0,0,'Données projet'!$E$12+1,1))-AVERAGE(OFFSET($H$3,0,0,'Données projet'!$E$12+1,1))</f>
        <v>177.99876437322689</v>
      </c>
      <c r="CE94" s="62">
        <f t="shared" si="94"/>
        <v>165.68154380324592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5.6987179487179462</v>
      </c>
      <c r="CT94" s="13">
        <f>IF('Données projet'!$A$140&gt;35,CT93+CS94-DB93,IF(A94&lt;'Données projet'!$A$140,$CQ$205^A94,IF(A94='Données projet'!$A$140,'Données projet'!$B$140,CT93+CS94-DB93)))</f>
        <v>380.45256410256411</v>
      </c>
      <c r="CU94" s="18">
        <f>CT94*VLOOKUP('Données projet'!$B$13,Paramètres!$A$1:$I$89,3,0)*VLOOKUP('Données projet'!$B$13,Paramètres!$A$1:$I$89,5,0)</f>
        <v>212.67298333333332</v>
      </c>
      <c r="CV94" s="14">
        <f t="shared" si="95"/>
        <v>52.519269133136078</v>
      </c>
      <c r="CW94" s="22">
        <f t="shared" si="67"/>
        <v>461.87650637910087</v>
      </c>
      <c r="CX94" s="62">
        <f t="shared" si="68"/>
        <v>755.20983971243413</v>
      </c>
      <c r="CY94" s="62">
        <f ca="1">AVERAGE(OFFSET($CX$3,0,0,'Données projet'!$E$13+1,1))-AVERAGE(OFFSET($H$3,0,0,'Données projet'!$E$13+1,1))</f>
        <v>242.07451379051349</v>
      </c>
      <c r="CZ94" s="62">
        <f t="shared" si="96"/>
        <v>207.11607964940754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178.56320966726986</v>
      </c>
      <c r="DU94" s="62">
        <f t="shared" si="98"/>
        <v>272.06842551411739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1.4141024847896349</v>
      </c>
      <c r="EC94" s="23">
        <f>EXP(-LN(2)/2)*EC93+(1-EXP(-LN(2)/2))/(LN(2)/2)*DW94*DZ94*VLOOKUP('Données projet'!$B$14,Paramètres!$A$1:$I$89,3,0)*0.475*44/12</f>
        <v>1.0878378110992783E-8</v>
      </c>
      <c r="ED94" s="24">
        <f t="shared" si="72"/>
        <v>1.414102495668013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4.5999999999999996</v>
      </c>
      <c r="EJ94" s="13">
        <f>IF('Données projet'!$A$192&gt;35,EJ93+EI94-ER93,IF(A94&lt;'Données projet'!$A$192,$EG$205^A94,IF(A94='Données projet'!$A$192,'Données projet'!$B$192,EJ93+EI94-ER93)))</f>
        <v>338.5999999999998</v>
      </c>
      <c r="EK94" s="18">
        <f>EJ94*VLOOKUP('Données projet'!$B$15,Paramètres!$A$1:$I$89,3,0)*VLOOKUP('Données projet'!$B$15,Paramètres!$A$1:$I$89,5,0)</f>
        <v>364.46903999999978</v>
      </c>
      <c r="EL94" s="14">
        <f t="shared" si="99"/>
        <v>84.534776525835937</v>
      </c>
      <c r="EM94" s="22">
        <f t="shared" si="73"/>
        <v>782.01498044916377</v>
      </c>
      <c r="EN94" s="62">
        <f t="shared" si="74"/>
        <v>1075.3483137824971</v>
      </c>
      <c r="EO94" s="62">
        <f ca="1">AVERAGE(OFFSET($EN$3,0,0,'Données projet'!$E$15+1,1))-AVERAGE(OFFSET($H$3,0,0,'Données projet'!$E$15+1,1))</f>
        <v>479.87943647026646</v>
      </c>
      <c r="EP94" s="62">
        <f t="shared" si="100"/>
        <v>242.41363045393223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4.5999999999999996</v>
      </c>
      <c r="FE94" s="13">
        <f>IF('Données projet'!$A$218&gt;35,FE93+FD94-FM93,IF(A94&lt;'Données projet'!$A$218,$FB$205^A94,IF(A94='Données projet'!$A$218,'Données projet'!$B$218,FE93+FD94-FM93)))</f>
        <v>338.5999999999998</v>
      </c>
      <c r="FF94" s="18">
        <f>FE94*VLOOKUP('Données projet'!$B$16,Paramètres!$A$1:$I$89,3,0)*VLOOKUP('Données projet'!$B$16,Paramètres!$A$1:$I$89,5,0)</f>
        <v>327.49391999999983</v>
      </c>
      <c r="FG94" s="14">
        <f t="shared" si="101"/>
        <v>76.910502555461179</v>
      </c>
      <c r="FH94" s="22">
        <f t="shared" si="76"/>
        <v>704.33770261742791</v>
      </c>
      <c r="FI94" s="62">
        <f t="shared" si="77"/>
        <v>997.67103595076128</v>
      </c>
      <c r="FJ94" s="62">
        <f ca="1">AVERAGE(OFFSET($FI$3,0,0,'Données projet'!$E$16+1,1))-AVERAGE(OFFSET($H$3,0,0,'Données projet'!$E$16+1,1))</f>
        <v>425.00152674093977</v>
      </c>
      <c r="FK94" s="62">
        <f t="shared" si="102"/>
        <v>214.96884469274687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12.7</v>
      </c>
      <c r="N95" s="14">
        <f>IF('Données projet'!$A$36&gt;35,N94+M95-V94,IF(A95&lt;'Données projet'!$A$36,$K$205^A95,IF(A95='Données projet'!$A$36,'Données projet'!$B$36,N94+M95-V94)))</f>
        <v>396.40000000000015</v>
      </c>
      <c r="O95" s="14">
        <f>N95*VLOOKUP('Données projet'!$B$9,Paramètres!$A$1:$I$89,3,0)*VLOOKUP('Données projet'!$B$9,Paramètres!$A$1:$I$89,5,0)</f>
        <v>190.66840000000008</v>
      </c>
      <c r="P95" s="14">
        <f t="shared" si="87"/>
        <v>47.68769638526107</v>
      </c>
      <c r="Q95" s="22">
        <f t="shared" si="54"/>
        <v>415.13686787099647</v>
      </c>
      <c r="R95" s="62">
        <f t="shared" si="55"/>
        <v>708.47020120432978</v>
      </c>
      <c r="S95" s="62">
        <f ca="1">AVERAGE(OFFSET($R$3,0,0,'Données projet'!$E$9+1,1))-AVERAGE(OFFSET($H$3,0,0,'Données projet'!$E$9+1,1))</f>
        <v>179.22241276165141</v>
      </c>
      <c r="T95" s="62">
        <f t="shared" si="88"/>
        <v>86.510654589692876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-6.7984728957526396E-14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157.42757749057949</v>
      </c>
      <c r="AO95" s="62">
        <f t="shared" si="90"/>
        <v>129.86070223892136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1.4336884447013148E-9</v>
      </c>
      <c r="AX95" s="23">
        <f t="shared" si="60"/>
        <v>1.4336884447013148E-9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4.5999999999999996</v>
      </c>
      <c r="BD95" s="13">
        <f>IF('Données projet'!$A$88&gt;35,BD94+BC95-BL94,IF(A95&lt;'Données projet'!$A$88,$BA$205^A95,IF(A95='Données projet'!$A$88,'Données projet'!$B$88,BD94+BC95-BL94)))</f>
        <v>343.19999999999982</v>
      </c>
      <c r="BE95" s="14">
        <f>BD95*VLOOKUP('Données projet'!$B$11,Paramètres!$A$1:$I$89,3,0)*VLOOKUP('Données projet'!$B$11,Paramètres!$A$1:$I$89,5,0)</f>
        <v>358.71263999999985</v>
      </c>
      <c r="BF95" s="14">
        <f t="shared" si="91"/>
        <v>83.353958906299184</v>
      </c>
      <c r="BG95" s="22">
        <f t="shared" si="61"/>
        <v>769.93265976180419</v>
      </c>
      <c r="BH95" s="62">
        <f t="shared" si="62"/>
        <v>1063.2659930951374</v>
      </c>
      <c r="BI95" s="62">
        <f ca="1">AVERAGE(OFFSET($BH$3,0,0,'Données projet'!$E$11+1,1))-AVERAGE(OFFSET($H$3,0,0,'Données projet'!$E$11+1,1))</f>
        <v>464.21202287459482</v>
      </c>
      <c r="BJ95" s="62">
        <f t="shared" si="92"/>
        <v>234.57880205159688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1.7053025658242404E-13</v>
      </c>
      <c r="BZ95" s="14">
        <f>BY95*VLOOKUP('Données projet'!$B$12,Paramètres!$A$1:$I$89,3,0)*VLOOKUP('Données projet'!$B$12,Paramètres!$A$1:$I$89,5,0)</f>
        <v>1.3567387213697657E-13</v>
      </c>
      <c r="CA95" s="14">
        <f t="shared" si="93"/>
        <v>1.9670967679808581E-12</v>
      </c>
      <c r="CB95" s="22">
        <f t="shared" si="64"/>
        <v>3.6623255315385623E-12</v>
      </c>
      <c r="CC95" s="62">
        <f t="shared" si="65"/>
        <v>293.33333333333695</v>
      </c>
      <c r="CD95" s="62">
        <f ca="1">AVERAGE(OFFSET($CC$3,0,0,'Données projet'!$E$12+1,1))-AVERAGE(OFFSET($H$3,0,0,'Données projet'!$E$12+1,1))</f>
        <v>177.99876437322689</v>
      </c>
      <c r="CE95" s="62">
        <f t="shared" si="94"/>
        <v>165.68154380324592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5.6987179487179462</v>
      </c>
      <c r="CT95" s="13">
        <f>IF('Données projet'!$A$140&gt;35,CT94+CS95-DB94,IF(A95&lt;'Données projet'!$A$140,$CQ$205^A95,IF(A95='Données projet'!$A$140,'Données projet'!$B$140,CT94+CS95-DB94)))</f>
        <v>386.15128205128207</v>
      </c>
      <c r="CU95" s="18">
        <f>CT95*VLOOKUP('Données projet'!$B$13,Paramètres!$A$1:$I$89,3,0)*VLOOKUP('Données projet'!$B$13,Paramètres!$A$1:$I$89,5,0)</f>
        <v>215.85856666666666</v>
      </c>
      <c r="CV95" s="14">
        <f t="shared" si="95"/>
        <v>53.213772500400118</v>
      </c>
      <c r="CW95" s="22">
        <f t="shared" si="67"/>
        <v>468.63432404930791</v>
      </c>
      <c r="CX95" s="62">
        <f t="shared" si="68"/>
        <v>761.96765738264116</v>
      </c>
      <c r="CY95" s="62">
        <f ca="1">AVERAGE(OFFSET($CX$3,0,0,'Données projet'!$E$13+1,1))-AVERAGE(OFFSET($H$3,0,0,'Données projet'!$E$13+1,1))</f>
        <v>242.07451379051349</v>
      </c>
      <c r="CZ95" s="62">
        <f t="shared" si="96"/>
        <v>207.11607964940754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178.56320966726986</v>
      </c>
      <c r="DU95" s="62">
        <f t="shared" si="98"/>
        <v>272.06842551411739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1.3754337779786445</v>
      </c>
      <c r="EC95" s="23">
        <f>EXP(-LN(2)/2)*EC94+(1-EXP(-LN(2)/2))/(LN(2)/2)*DW95*DZ95*VLOOKUP('Données projet'!$B$14,Paramètres!$A$1:$I$89,3,0)*0.475*44/12</f>
        <v>7.6921749305943021E-9</v>
      </c>
      <c r="ED95" s="24">
        <f t="shared" si="72"/>
        <v>1.3754337856708194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4.5999999999999996</v>
      </c>
      <c r="EJ95" s="13">
        <f>IF('Données projet'!$A$192&gt;35,EJ94+EI95-ER94,IF(A95&lt;'Données projet'!$A$192,$EG$205^A95,IF(A95='Données projet'!$A$192,'Données projet'!$B$192,EJ94+EI95-ER94)))</f>
        <v>343.19999999999982</v>
      </c>
      <c r="EK95" s="18">
        <f>EJ95*VLOOKUP('Données projet'!$B$15,Paramètres!$A$1:$I$89,3,0)*VLOOKUP('Données projet'!$B$15,Paramètres!$A$1:$I$89,5,0)</f>
        <v>369.42047999999977</v>
      </c>
      <c r="EL95" s="14">
        <f t="shared" si="99"/>
        <v>85.548735073470539</v>
      </c>
      <c r="EM95" s="22">
        <f t="shared" si="73"/>
        <v>792.40471625296061</v>
      </c>
      <c r="EN95" s="62">
        <f t="shared" si="74"/>
        <v>1085.738049586294</v>
      </c>
      <c r="EO95" s="62">
        <f ca="1">AVERAGE(OFFSET($EN$3,0,0,'Données projet'!$E$15+1,1))-AVERAGE(OFFSET($H$3,0,0,'Données projet'!$E$15+1,1))</f>
        <v>479.87943647026646</v>
      </c>
      <c r="EP95" s="62">
        <f t="shared" si="100"/>
        <v>242.41363045393223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4.5999999999999996</v>
      </c>
      <c r="FE95" s="13">
        <f>IF('Données projet'!$A$218&gt;35,FE94+FD95-FM94,IF(A95&lt;'Données projet'!$A$218,$FB$205^A95,IF(A95='Données projet'!$A$218,'Données projet'!$B$218,FE94+FD95-FM94)))</f>
        <v>343.19999999999982</v>
      </c>
      <c r="FF95" s="18">
        <f>FE95*VLOOKUP('Données projet'!$B$16,Paramètres!$A$1:$I$89,3,0)*VLOOKUP('Données projet'!$B$16,Paramètres!$A$1:$I$89,5,0)</f>
        <v>331.94303999999983</v>
      </c>
      <c r="FG95" s="14">
        <f t="shared" si="101"/>
        <v>77.833011192426099</v>
      </c>
      <c r="FH95" s="22">
        <f t="shared" si="76"/>
        <v>713.69328916014183</v>
      </c>
      <c r="FI95" s="62">
        <f t="shared" si="77"/>
        <v>1007.0266224934751</v>
      </c>
      <c r="FJ95" s="62">
        <f ca="1">AVERAGE(OFFSET($FI$3,0,0,'Données projet'!$E$16+1,1))-AVERAGE(OFFSET($H$3,0,0,'Données projet'!$E$16+1,1))</f>
        <v>425.00152674093977</v>
      </c>
      <c r="FK95" s="62">
        <f t="shared" si="102"/>
        <v>214.96884469274687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12.7</v>
      </c>
      <c r="N96" s="14">
        <f>IF('Données projet'!$A$36&gt;35,N95+M96-V95,IF(A96&lt;'Données projet'!$A$36,$K$205^A96,IF(A96='Données projet'!$A$36,'Données projet'!$B$36,N95+M96-V95)))</f>
        <v>409.10000000000014</v>
      </c>
      <c r="O96" s="14">
        <f>N96*VLOOKUP('Données projet'!$B$9,Paramètres!$A$1:$I$89,3,0)*VLOOKUP('Données projet'!$B$9,Paramètres!$A$1:$I$89,5,0)</f>
        <v>196.77710000000008</v>
      </c>
      <c r="P96" s="14">
        <f t="shared" si="87"/>
        <v>49.035203549877203</v>
      </c>
      <c r="Q96" s="22">
        <f t="shared" si="54"/>
        <v>428.12309534936958</v>
      </c>
      <c r="R96" s="62">
        <f t="shared" si="55"/>
        <v>721.45642868270284</v>
      </c>
      <c r="S96" s="62">
        <f ca="1">AVERAGE(OFFSET($R$3,0,0,'Données projet'!$E$9+1,1))-AVERAGE(OFFSET($H$3,0,0,'Données projet'!$E$9+1,1))</f>
        <v>179.22241276165141</v>
      </c>
      <c r="T96" s="62">
        <f t="shared" si="88"/>
        <v>86.510654589692876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-6.7984728957526396E-14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157.42757749057949</v>
      </c>
      <c r="AO96" s="62">
        <f t="shared" si="90"/>
        <v>129.86070223892136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1.0137708213570943E-9</v>
      </c>
      <c r="AX96" s="23">
        <f t="shared" si="60"/>
        <v>1.0137708213570943E-9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4.5999999999999996</v>
      </c>
      <c r="BD96" s="13">
        <f>IF('Données projet'!$A$88&gt;35,BD95+BC96-BL95,IF(A96&lt;'Données projet'!$A$88,$BA$205^A96,IF(A96='Données projet'!$A$88,'Données projet'!$B$88,BD95+BC96-BL95)))</f>
        <v>347.79999999999984</v>
      </c>
      <c r="BE96" s="14">
        <f>BD96*VLOOKUP('Données projet'!$B$11,Paramètres!$A$1:$I$89,3,0)*VLOOKUP('Données projet'!$B$11,Paramètres!$A$1:$I$89,5,0)</f>
        <v>363.52055999999988</v>
      </c>
      <c r="BF96" s="14">
        <f t="shared" si="91"/>
        <v>84.340363890746119</v>
      </c>
      <c r="BG96" s="22">
        <f t="shared" si="61"/>
        <v>780.02444244304934</v>
      </c>
      <c r="BH96" s="62">
        <f t="shared" si="62"/>
        <v>1073.3577757763826</v>
      </c>
      <c r="BI96" s="62">
        <f ca="1">AVERAGE(OFFSET($BH$3,0,0,'Données projet'!$E$11+1,1))-AVERAGE(OFFSET($H$3,0,0,'Données projet'!$E$11+1,1))</f>
        <v>464.21202287459482</v>
      </c>
      <c r="BJ96" s="62">
        <f t="shared" si="92"/>
        <v>234.57880205159688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1.7053025658242404E-13</v>
      </c>
      <c r="BZ96" s="14">
        <f>BY96*VLOOKUP('Données projet'!$B$12,Paramètres!$A$1:$I$89,3,0)*VLOOKUP('Données projet'!$B$12,Paramètres!$A$1:$I$89,5,0)</f>
        <v>1.3567387213697657E-13</v>
      </c>
      <c r="CA96" s="14">
        <f t="shared" si="93"/>
        <v>1.9670967679808581E-12</v>
      </c>
      <c r="CB96" s="22">
        <f t="shared" si="64"/>
        <v>3.6623255315385623E-12</v>
      </c>
      <c r="CC96" s="62">
        <f t="shared" si="65"/>
        <v>293.33333333333695</v>
      </c>
      <c r="CD96" s="62">
        <f ca="1">AVERAGE(OFFSET($CC$3,0,0,'Données projet'!$E$12+1,1))-AVERAGE(OFFSET($H$3,0,0,'Données projet'!$E$12+1,1))</f>
        <v>177.99876437322689</v>
      </c>
      <c r="CE96" s="62">
        <f t="shared" si="94"/>
        <v>165.68154380324592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5.6987179487179462</v>
      </c>
      <c r="CT96" s="13">
        <f>IF('Données projet'!$A$140&gt;35,CT95+CS96-DB95,IF(A96&lt;'Données projet'!$A$140,$CQ$205^A96,IF(A96='Données projet'!$A$140,'Données projet'!$B$140,CT95+CS96-DB95)))</f>
        <v>391.85</v>
      </c>
      <c r="CU96" s="18">
        <f>CT96*VLOOKUP('Données projet'!$B$13,Paramètres!$A$1:$I$89,3,0)*VLOOKUP('Données projet'!$B$13,Paramètres!$A$1:$I$89,5,0)</f>
        <v>219.04415000000003</v>
      </c>
      <c r="CV96" s="14">
        <f t="shared" si="95"/>
        <v>53.907083827951894</v>
      </c>
      <c r="CW96" s="22">
        <f t="shared" si="67"/>
        <v>475.39006558368288</v>
      </c>
      <c r="CX96" s="62">
        <f t="shared" si="68"/>
        <v>768.7233989170162</v>
      </c>
      <c r="CY96" s="62">
        <f ca="1">AVERAGE(OFFSET($CX$3,0,0,'Données projet'!$E$13+1,1))-AVERAGE(OFFSET($H$3,0,0,'Données projet'!$E$13+1,1))</f>
        <v>242.07451379051349</v>
      </c>
      <c r="CZ96" s="62">
        <f t="shared" si="96"/>
        <v>207.11607964940754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178.56320966726986</v>
      </c>
      <c r="DU96" s="62">
        <f t="shared" si="98"/>
        <v>272.06842551411739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1.3378224689888998</v>
      </c>
      <c r="EC96" s="23">
        <f>EXP(-LN(2)/2)*EC95+(1-EXP(-LN(2)/2))/(LN(2)/2)*DW96*DZ96*VLOOKUP('Données projet'!$B$14,Paramètres!$A$1:$I$89,3,0)*0.475*44/12</f>
        <v>5.4391890554963916E-9</v>
      </c>
      <c r="ED96" s="24">
        <f t="shared" si="72"/>
        <v>1.3378224744280889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4.5999999999999996</v>
      </c>
      <c r="EJ96" s="13">
        <f>IF('Données projet'!$A$192&gt;35,EJ95+EI96-ER95,IF(A96&lt;'Données projet'!$A$192,$EG$205^A96,IF(A96='Données projet'!$A$192,'Données projet'!$B$192,EJ95+EI96-ER95)))</f>
        <v>347.79999999999984</v>
      </c>
      <c r="EK96" s="18">
        <f>EJ96*VLOOKUP('Données projet'!$B$15,Paramètres!$A$1:$I$89,3,0)*VLOOKUP('Données projet'!$B$15,Paramètres!$A$1:$I$89,5,0)</f>
        <v>374.37191999999982</v>
      </c>
      <c r="EL96" s="14">
        <f t="shared" si="99"/>
        <v>86.561112887276138</v>
      </c>
      <c r="EM96" s="22">
        <f t="shared" si="73"/>
        <v>802.79169894533891</v>
      </c>
      <c r="EN96" s="62">
        <f t="shared" si="74"/>
        <v>1096.1250322786723</v>
      </c>
      <c r="EO96" s="62">
        <f ca="1">AVERAGE(OFFSET($EN$3,0,0,'Données projet'!$E$15+1,1))-AVERAGE(OFFSET($H$3,0,0,'Données projet'!$E$15+1,1))</f>
        <v>479.87943647026646</v>
      </c>
      <c r="EP96" s="62">
        <f t="shared" si="100"/>
        <v>242.41363045393223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4.5999999999999996</v>
      </c>
      <c r="FE96" s="13">
        <f>IF('Données projet'!$A$218&gt;35,FE95+FD96-FM95,IF(A96&lt;'Données projet'!$A$218,$FB$205^A96,IF(A96='Données projet'!$A$218,'Données projet'!$B$218,FE95+FD96-FM95)))</f>
        <v>347.79999999999984</v>
      </c>
      <c r="FF96" s="18">
        <f>FE96*VLOOKUP('Données projet'!$B$16,Paramètres!$A$1:$I$89,3,0)*VLOOKUP('Données projet'!$B$16,Paramètres!$A$1:$I$89,5,0)</f>
        <v>336.39215999999988</v>
      </c>
      <c r="FG96" s="14">
        <f t="shared" si="101"/>
        <v>78.75408166348835</v>
      </c>
      <c r="FH96" s="22">
        <f t="shared" si="76"/>
        <v>723.04637089724201</v>
      </c>
      <c r="FI96" s="62">
        <f t="shared" si="77"/>
        <v>1016.3797042305753</v>
      </c>
      <c r="FJ96" s="62">
        <f ca="1">AVERAGE(OFFSET($FI$3,0,0,'Données projet'!$E$16+1,1))-AVERAGE(OFFSET($H$3,0,0,'Données projet'!$E$16+1,1))</f>
        <v>425.00152674093977</v>
      </c>
      <c r="FK96" s="62">
        <f t="shared" si="102"/>
        <v>214.96884469274687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12.7</v>
      </c>
      <c r="N97" s="14">
        <f>IF('Données projet'!$A$36&gt;35,N96+M97-V96,IF(A97&lt;'Données projet'!$A$36,$K$205^A97,IF(A97='Données projet'!$A$36,'Données projet'!$B$36,N96+M97-V96)))</f>
        <v>421.80000000000013</v>
      </c>
      <c r="O97" s="14">
        <f>N97*VLOOKUP('Données projet'!$B$9,Paramètres!$A$1:$I$89,3,0)*VLOOKUP('Données projet'!$B$9,Paramètres!$A$1:$I$89,5,0)</f>
        <v>202.88580000000005</v>
      </c>
      <c r="P97" s="14">
        <f t="shared" si="87"/>
        <v>50.377849468625698</v>
      </c>
      <c r="Q97" s="22">
        <f t="shared" si="54"/>
        <v>441.10085615785647</v>
      </c>
      <c r="R97" s="62">
        <f t="shared" si="55"/>
        <v>734.43418949118973</v>
      </c>
      <c r="S97" s="62">
        <f ca="1">AVERAGE(OFFSET($R$3,0,0,'Données projet'!$E$9+1,1))-AVERAGE(OFFSET($H$3,0,0,'Données projet'!$E$9+1,1))</f>
        <v>179.22241276165141</v>
      </c>
      <c r="T97" s="62">
        <f t="shared" si="88"/>
        <v>86.510654589692876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-6.7984728957526396E-14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157.42757749057949</v>
      </c>
      <c r="AO97" s="62">
        <f t="shared" si="90"/>
        <v>129.86070223892136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7.1684422235065742E-10</v>
      </c>
      <c r="AX97" s="23">
        <f t="shared" si="60"/>
        <v>7.1684422235065742E-10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4.5999999999999996</v>
      </c>
      <c r="BD97" s="13">
        <f>IF('Données projet'!$A$88&gt;35,BD96+BC97-BL96,IF(A97&lt;'Données projet'!$A$88,$BA$205^A97,IF(A97='Données projet'!$A$88,'Données projet'!$B$88,BD96+BC97-BL96)))</f>
        <v>352.39999999999986</v>
      </c>
      <c r="BE97" s="14">
        <f>BD97*VLOOKUP('Données projet'!$B$11,Paramètres!$A$1:$I$89,3,0)*VLOOKUP('Données projet'!$B$11,Paramètres!$A$1:$I$89,5,0)</f>
        <v>368.3284799999999</v>
      </c>
      <c r="BF97" s="14">
        <f t="shared" si="91"/>
        <v>85.325251420877905</v>
      </c>
      <c r="BG97" s="22">
        <f t="shared" si="61"/>
        <v>790.11358222469551</v>
      </c>
      <c r="BH97" s="62">
        <f t="shared" si="62"/>
        <v>1083.4469155580289</v>
      </c>
      <c r="BI97" s="62">
        <f ca="1">AVERAGE(OFFSET($BH$3,0,0,'Données projet'!$E$11+1,1))-AVERAGE(OFFSET($H$3,0,0,'Données projet'!$E$11+1,1))</f>
        <v>464.21202287459482</v>
      </c>
      <c r="BJ97" s="62">
        <f t="shared" si="92"/>
        <v>234.57880205159688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1.7053025658242404E-13</v>
      </c>
      <c r="BZ97" s="14">
        <f>BY97*VLOOKUP('Données projet'!$B$12,Paramètres!$A$1:$I$89,3,0)*VLOOKUP('Données projet'!$B$12,Paramètres!$A$1:$I$89,5,0)</f>
        <v>1.3567387213697657E-13</v>
      </c>
      <c r="CA97" s="14">
        <f t="shared" si="93"/>
        <v>1.9670967679808581E-12</v>
      </c>
      <c r="CB97" s="22">
        <f t="shared" si="64"/>
        <v>3.6623255315385623E-12</v>
      </c>
      <c r="CC97" s="62">
        <f t="shared" si="65"/>
        <v>293.33333333333695</v>
      </c>
      <c r="CD97" s="62">
        <f ca="1">AVERAGE(OFFSET($CC$3,0,0,'Données projet'!$E$12+1,1))-AVERAGE(OFFSET($H$3,0,0,'Données projet'!$E$12+1,1))</f>
        <v>177.99876437322689</v>
      </c>
      <c r="CE97" s="62">
        <f t="shared" si="94"/>
        <v>165.68154380324592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5.6987179487179462</v>
      </c>
      <c r="CT97" s="13">
        <f>IF('Données projet'!$A$140&gt;35,CT96+CS97-DB96,IF(A97&lt;'Données projet'!$A$140,$CQ$205^A97,IF(A97='Données projet'!$A$140,'Données projet'!$B$140,CT96+CS97-DB96)))</f>
        <v>397.54871794871798</v>
      </c>
      <c r="CU97" s="18">
        <f>CT97*VLOOKUP('Données projet'!$B$13,Paramètres!$A$1:$I$89,3,0)*VLOOKUP('Données projet'!$B$13,Paramètres!$A$1:$I$89,5,0)</f>
        <v>222.22973333333337</v>
      </c>
      <c r="CV97" s="14">
        <f t="shared" si="95"/>
        <v>54.599222454663604</v>
      </c>
      <c r="CW97" s="22">
        <f t="shared" si="67"/>
        <v>482.1437646640947</v>
      </c>
      <c r="CX97" s="62">
        <f t="shared" si="68"/>
        <v>775.47709799742802</v>
      </c>
      <c r="CY97" s="62">
        <f ca="1">AVERAGE(OFFSET($CX$3,0,0,'Données projet'!$E$13+1,1))-AVERAGE(OFFSET($H$3,0,0,'Données projet'!$E$13+1,1))</f>
        <v>242.07451379051349</v>
      </c>
      <c r="CZ97" s="62">
        <f t="shared" si="96"/>
        <v>207.11607964940754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178.56320966726986</v>
      </c>
      <c r="DU97" s="62">
        <f t="shared" si="98"/>
        <v>272.06842551411739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1.3012396432213722</v>
      </c>
      <c r="EC97" s="23">
        <f>EXP(-LN(2)/2)*EC96+(1-EXP(-LN(2)/2))/(LN(2)/2)*DW97*DZ97*VLOOKUP('Données projet'!$B$14,Paramètres!$A$1:$I$89,3,0)*0.475*44/12</f>
        <v>3.8460874652971511E-9</v>
      </c>
      <c r="ED97" s="24">
        <f t="shared" si="72"/>
        <v>1.3012396470674596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4.5999999999999996</v>
      </c>
      <c r="EJ97" s="13">
        <f>IF('Données projet'!$A$192&gt;35,EJ96+EI97-ER96,IF(A97&lt;'Données projet'!$A$192,$EG$205^A97,IF(A97='Données projet'!$A$192,'Données projet'!$B$192,EJ96+EI97-ER96)))</f>
        <v>352.39999999999986</v>
      </c>
      <c r="EK97" s="18">
        <f>EJ97*VLOOKUP('Données projet'!$B$15,Paramètres!$A$1:$I$89,3,0)*VLOOKUP('Données projet'!$B$15,Paramètres!$A$1:$I$89,5,0)</f>
        <v>379.32335999999987</v>
      </c>
      <c r="EL97" s="14">
        <f t="shared" si="99"/>
        <v>87.571933290985058</v>
      </c>
      <c r="EM97" s="22">
        <f t="shared" si="73"/>
        <v>813.17596914846536</v>
      </c>
      <c r="EN97" s="62">
        <f t="shared" si="74"/>
        <v>1106.5093024817986</v>
      </c>
      <c r="EO97" s="62">
        <f ca="1">AVERAGE(OFFSET($EN$3,0,0,'Données projet'!$E$15+1,1))-AVERAGE(OFFSET($H$3,0,0,'Données projet'!$E$15+1,1))</f>
        <v>479.87943647026646</v>
      </c>
      <c r="EP97" s="62">
        <f t="shared" si="100"/>
        <v>242.41363045393223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4.5999999999999996</v>
      </c>
      <c r="FE97" s="13">
        <f>IF('Données projet'!$A$218&gt;35,FE96+FD97-FM96,IF(A97&lt;'Données projet'!$A$218,$FB$205^A97,IF(A97='Données projet'!$A$218,'Données projet'!$B$218,FE96+FD97-FM96)))</f>
        <v>352.39999999999986</v>
      </c>
      <c r="FF97" s="18">
        <f>FE97*VLOOKUP('Données projet'!$B$16,Paramètres!$A$1:$I$89,3,0)*VLOOKUP('Données projet'!$B$16,Paramètres!$A$1:$I$89,5,0)</f>
        <v>340.84127999999987</v>
      </c>
      <c r="FG97" s="14">
        <f t="shared" si="101"/>
        <v>79.673735188789948</v>
      </c>
      <c r="FH97" s="22">
        <f t="shared" si="76"/>
        <v>732.39698478714217</v>
      </c>
      <c r="FI97" s="62">
        <f t="shared" si="77"/>
        <v>1025.7303181204754</v>
      </c>
      <c r="FJ97" s="62">
        <f ca="1">AVERAGE(OFFSET($FI$3,0,0,'Données projet'!$E$16+1,1))-AVERAGE(OFFSET($H$3,0,0,'Données projet'!$E$16+1,1))</f>
        <v>425.00152674093977</v>
      </c>
      <c r="FK97" s="62">
        <f t="shared" si="102"/>
        <v>214.96884469274687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12.7</v>
      </c>
      <c r="N98" s="14">
        <f>IF('Données projet'!$A$36&gt;35,N97+M98-V97,IF(A98&lt;'Données projet'!$A$36,$K$205^A98,IF(A98='Données projet'!$A$36,'Données projet'!$B$36,N97+M98-V97)))</f>
        <v>434.50000000000011</v>
      </c>
      <c r="O98" s="14">
        <f>N98*VLOOKUP('Données projet'!$B$9,Paramètres!$A$1:$I$89,3,0)*VLOOKUP('Données projet'!$B$9,Paramètres!$A$1:$I$89,5,0)</f>
        <v>208.99450000000007</v>
      </c>
      <c r="P98" s="14">
        <f t="shared" si="87"/>
        <v>51.715797310202156</v>
      </c>
      <c r="Q98" s="22">
        <f t="shared" si="54"/>
        <v>454.07043448193554</v>
      </c>
      <c r="R98" s="62">
        <f t="shared" si="55"/>
        <v>747.40376781526879</v>
      </c>
      <c r="S98" s="62">
        <f ca="1">AVERAGE(OFFSET($R$3,0,0,'Données projet'!$E$9+1,1))-AVERAGE(OFFSET($H$3,0,0,'Données projet'!$E$9+1,1))</f>
        <v>179.22241276165141</v>
      </c>
      <c r="T98" s="62">
        <f t="shared" si="88"/>
        <v>86.510654589692876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-6.7984728957526396E-14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157.42757749057949</v>
      </c>
      <c r="AO98" s="62">
        <f t="shared" si="90"/>
        <v>129.86070223892136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5.0688541067854713E-10</v>
      </c>
      <c r="AX98" s="23">
        <f t="shared" si="60"/>
        <v>5.0688541067854713E-10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357</v>
      </c>
      <c r="BB98" s="13">
        <f>VLOOKUP(A98,'Données projet'!$A$87:$I$107,9,0)</f>
        <v>4.5999999999999996</v>
      </c>
      <c r="BC98" s="13">
        <f t="array" ref="BC98">INDEX(BB:BB,MIN(IF(ISNUMBER(BB98:BB294),ROW(BB98:BB294),"")))</f>
        <v>4.5999999999999996</v>
      </c>
      <c r="BD98" s="13">
        <f>IF('Données projet'!$A$88&gt;35,BD97+BC98-BL97,IF(A98&lt;'Données projet'!$A$88,$BA$205^A98,IF(A98='Données projet'!$A$88,'Données projet'!$B$88,BD97+BC98-BL97)))</f>
        <v>356.99999999999989</v>
      </c>
      <c r="BE98" s="14">
        <f>BD98*VLOOKUP('Données projet'!$B$11,Paramètres!$A$1:$I$89,3,0)*VLOOKUP('Données projet'!$B$11,Paramètres!$A$1:$I$89,5,0)</f>
        <v>373.13639999999992</v>
      </c>
      <c r="BF98" s="14">
        <f t="shared" si="91"/>
        <v>86.308643594660367</v>
      </c>
      <c r="BG98" s="22">
        <f t="shared" si="61"/>
        <v>800.20011759403326</v>
      </c>
      <c r="BH98" s="62">
        <f t="shared" si="62"/>
        <v>1093.5334509273666</v>
      </c>
      <c r="BI98" s="62">
        <f ca="1">AVERAGE(OFFSET($BH$3,0,0,'Données projet'!$E$11+1,1))-AVERAGE(OFFSET($H$3,0,0,'Données projet'!$E$11+1,1))</f>
        <v>464.21202287459482</v>
      </c>
      <c r="BJ98" s="62">
        <f t="shared" si="92"/>
        <v>234.57880205159688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26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1.7053025658242404E-13</v>
      </c>
      <c r="BZ98" s="14">
        <f>BY98*VLOOKUP('Données projet'!$B$12,Paramètres!$A$1:$I$89,3,0)*VLOOKUP('Données projet'!$B$12,Paramètres!$A$1:$I$89,5,0)</f>
        <v>1.3567387213697657E-13</v>
      </c>
      <c r="CA98" s="14">
        <f t="shared" si="93"/>
        <v>1.9670967679808581E-12</v>
      </c>
      <c r="CB98" s="22">
        <f t="shared" si="64"/>
        <v>3.6623255315385623E-12</v>
      </c>
      <c r="CC98" s="62">
        <f t="shared" si="65"/>
        <v>293.33333333333695</v>
      </c>
      <c r="CD98" s="62">
        <f ca="1">AVERAGE(OFFSET($CC$3,0,0,'Données projet'!$E$12+1,1))-AVERAGE(OFFSET($H$3,0,0,'Données projet'!$E$12+1,1))</f>
        <v>177.99876437322689</v>
      </c>
      <c r="CE98" s="62">
        <f t="shared" si="94"/>
        <v>165.68154380324592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5.6987179487179462</v>
      </c>
      <c r="CT98" s="13">
        <f>IF('Données projet'!$A$140&gt;35,CT97+CS98-DB97,IF(A98&lt;'Données projet'!$A$140,$CQ$205^A98,IF(A98='Données projet'!$A$140,'Données projet'!$B$140,CT97+CS98-DB97)))</f>
        <v>403.24743589743593</v>
      </c>
      <c r="CU98" s="18">
        <f>CT98*VLOOKUP('Données projet'!$B$13,Paramètres!$A$1:$I$89,3,0)*VLOOKUP('Données projet'!$B$13,Paramètres!$A$1:$I$89,5,0)</f>
        <v>225.41531666666671</v>
      </c>
      <c r="CV98" s="14">
        <f t="shared" si="95"/>
        <v>55.2902071331374</v>
      </c>
      <c r="CW98" s="22">
        <f t="shared" si="67"/>
        <v>488.89545395132546</v>
      </c>
      <c r="CX98" s="62">
        <f t="shared" si="68"/>
        <v>782.22878728465878</v>
      </c>
      <c r="CY98" s="62">
        <f ca="1">AVERAGE(OFFSET($CX$3,0,0,'Données projet'!$E$13+1,1))-AVERAGE(OFFSET($H$3,0,0,'Données projet'!$E$13+1,1))</f>
        <v>242.07451379051349</v>
      </c>
      <c r="CZ98" s="62">
        <f t="shared" si="96"/>
        <v>207.11607964940754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178.56320966726986</v>
      </c>
      <c r="DU98" s="62">
        <f t="shared" si="98"/>
        <v>272.06842551411739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1.2656571767482649</v>
      </c>
      <c r="EC98" s="23">
        <f>EXP(-LN(2)/2)*EC97+(1-EXP(-LN(2)/2))/(LN(2)/2)*DW98*DZ98*VLOOKUP('Données projet'!$B$14,Paramètres!$A$1:$I$89,3,0)*0.475*44/12</f>
        <v>2.7195945277481958E-9</v>
      </c>
      <c r="ED98" s="24">
        <f t="shared" si="72"/>
        <v>1.2656571794678595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357</v>
      </c>
      <c r="EH98" s="13">
        <f>VLOOKUP(A98,'Données projet'!$A$191:$I$211,9,0)</f>
        <v>4.5999999999999996</v>
      </c>
      <c r="EI98" s="13">
        <f t="array" ref="EI98">INDEX(EH:EH,MIN(IF(ISNUMBER(EH98:EH294),ROW(EH98:EH294),"")))</f>
        <v>4.5999999999999996</v>
      </c>
      <c r="EJ98" s="13">
        <f>IF('Données projet'!$A$192&gt;35,EJ97+EI98-ER97,IF(A98&lt;'Données projet'!$A$192,$EG$205^A98,IF(A98='Données projet'!$A$192,'Données projet'!$B$192,EJ97+EI98-ER97)))</f>
        <v>356.99999999999989</v>
      </c>
      <c r="EK98" s="18">
        <f>EJ98*VLOOKUP('Données projet'!$B$15,Paramètres!$A$1:$I$89,3,0)*VLOOKUP('Données projet'!$B$15,Paramètres!$A$1:$I$89,5,0)</f>
        <v>384.27479999999986</v>
      </c>
      <c r="EL98" s="14">
        <f t="shared" si="99"/>
        <v>88.581218964420501</v>
      </c>
      <c r="EM98" s="22">
        <f t="shared" si="73"/>
        <v>823.55756636303204</v>
      </c>
      <c r="EN98" s="62">
        <f t="shared" si="74"/>
        <v>1116.8908996963653</v>
      </c>
      <c r="EO98" s="62">
        <f ca="1">AVERAGE(OFFSET($EN$3,0,0,'Données projet'!$E$15+1,1))-AVERAGE(OFFSET($H$3,0,0,'Données projet'!$E$15+1,1))</f>
        <v>479.87943647026646</v>
      </c>
      <c r="EP98" s="62">
        <f t="shared" si="100"/>
        <v>242.41363045393223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26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357</v>
      </c>
      <c r="FC98" s="13">
        <f>VLOOKUP(A98,'Données projet'!$A$217:$I$237,9,0)</f>
        <v>4.5999999999999996</v>
      </c>
      <c r="FD98" s="13">
        <f t="array" ref="FD98">INDEX(FC:FC,MIN(IF(ISNUMBER(FC98:FC294),ROW(FC98:FC294),"")))</f>
        <v>4.5999999999999996</v>
      </c>
      <c r="FE98" s="13">
        <f>IF('Données projet'!$A$218&gt;35,FE97+FD98-FM97,IF(A98&lt;'Données projet'!$A$218,$FB$205^A98,IF(A98='Données projet'!$A$218,'Données projet'!$B$218,FE97+FD98-FM97)))</f>
        <v>356.99999999999989</v>
      </c>
      <c r="FF98" s="18">
        <f>FE98*VLOOKUP('Données projet'!$B$16,Paramètres!$A$1:$I$89,3,0)*VLOOKUP('Données projet'!$B$16,Paramètres!$A$1:$I$89,5,0)</f>
        <v>345.29039999999986</v>
      </c>
      <c r="FG98" s="14">
        <f t="shared" si="101"/>
        <v>80.591992402638695</v>
      </c>
      <c r="FH98" s="22">
        <f t="shared" si="76"/>
        <v>741.74516676792882</v>
      </c>
      <c r="FI98" s="62">
        <f t="shared" si="77"/>
        <v>1035.0785001012621</v>
      </c>
      <c r="FJ98" s="62">
        <f ca="1">AVERAGE(OFFSET($FI$3,0,0,'Données projet'!$E$16+1,1))-AVERAGE(OFFSET($H$3,0,0,'Données projet'!$E$16+1,1))</f>
        <v>425.00152674093977</v>
      </c>
      <c r="FK98" s="62">
        <f t="shared" si="102"/>
        <v>214.96884469274687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26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12.7</v>
      </c>
      <c r="N99" s="14">
        <f>IF('Données projet'!$A$36&gt;35,N98+M99-V98,IF(A99&lt;'Données projet'!$A$36,$K$205^A99,IF(A99='Données projet'!$A$36,'Données projet'!$B$36,N98+M99-V98)))</f>
        <v>447.2000000000001</v>
      </c>
      <c r="O99" s="14">
        <f>N99*VLOOKUP('Données projet'!$B$9,Paramètres!$A$1:$I$89,3,0)*VLOOKUP('Données projet'!$B$9,Paramètres!$A$1:$I$89,5,0)</f>
        <v>215.10320000000004</v>
      </c>
      <c r="P99" s="14">
        <f t="shared" si="87"/>
        <v>53.049200162450404</v>
      </c>
      <c r="Q99" s="22">
        <f t="shared" ref="Q99:Q130" si="107">(O99+P99)*0.475*44/12</f>
        <v>467.03209694960123</v>
      </c>
      <c r="R99" s="62">
        <f t="shared" si="55"/>
        <v>760.36543028293454</v>
      </c>
      <c r="S99" s="62">
        <f ca="1">AVERAGE(OFFSET($R$3,0,0,'Données projet'!$E$9+1,1))-AVERAGE(OFFSET($H$3,0,0,'Données projet'!$E$9+1,1))</f>
        <v>179.22241276165141</v>
      </c>
      <c r="T99" s="62">
        <f t="shared" si="88"/>
        <v>86.510654589692876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-6.7984728957526396E-14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157.42757749057949</v>
      </c>
      <c r="AO99" s="62">
        <f t="shared" si="90"/>
        <v>129.86070223892136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3.5842211117532871E-10</v>
      </c>
      <c r="AX99" s="23">
        <f t="shared" si="60"/>
        <v>3.5842211117532871E-10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4.2</v>
      </c>
      <c r="BD99" s="13">
        <f>IF('Données projet'!$A$88&gt;35,BD98+BC99-BL98,IF(A99&lt;'Données projet'!$A$88,$BA$205^A99,IF(A99='Données projet'!$A$88,'Données projet'!$B$88,BD98+BC99-BL98)))</f>
        <v>335.19999999999987</v>
      </c>
      <c r="BE99" s="14">
        <f>BD99*VLOOKUP('Données projet'!$B$11,Paramètres!$A$1:$I$89,3,0)*VLOOKUP('Données projet'!$B$11,Paramètres!$A$1:$I$89,5,0)</f>
        <v>350.3510399999999</v>
      </c>
      <c r="BF99" s="14">
        <f t="shared" si="91"/>
        <v>81.634789802001535</v>
      </c>
      <c r="BG99" s="22">
        <f t="shared" si="61"/>
        <v>752.37532023848587</v>
      </c>
      <c r="BH99" s="62">
        <f t="shared" si="62"/>
        <v>1045.7086535718192</v>
      </c>
      <c r="BI99" s="62">
        <f ca="1">AVERAGE(OFFSET($BH$3,0,0,'Données projet'!$E$11+1,1))-AVERAGE(OFFSET($H$3,0,0,'Données projet'!$E$11+1,1))</f>
        <v>464.21202287459482</v>
      </c>
      <c r="BJ99" s="62">
        <f t="shared" si="92"/>
        <v>234.57880205159688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1.7053025658242404E-13</v>
      </c>
      <c r="BZ99" s="14">
        <f>BY99*VLOOKUP('Données projet'!$B$12,Paramètres!$A$1:$I$89,3,0)*VLOOKUP('Données projet'!$B$12,Paramètres!$A$1:$I$89,5,0)</f>
        <v>1.3567387213697657E-13</v>
      </c>
      <c r="CA99" s="14">
        <f t="shared" si="93"/>
        <v>1.9670967679808581E-12</v>
      </c>
      <c r="CB99" s="22">
        <f t="shared" si="64"/>
        <v>3.6623255315385623E-12</v>
      </c>
      <c r="CC99" s="62">
        <f t="shared" si="65"/>
        <v>293.33333333333695</v>
      </c>
      <c r="CD99" s="62">
        <f ca="1">AVERAGE(OFFSET($CC$3,0,0,'Données projet'!$E$12+1,1))-AVERAGE(OFFSET($H$3,0,0,'Données projet'!$E$12+1,1))</f>
        <v>177.99876437322689</v>
      </c>
      <c r="CE99" s="62">
        <f t="shared" si="94"/>
        <v>165.68154380324592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>
        <f>VLOOKUP(A99,'Données projet'!$A$139:$I$159,2,0)</f>
        <v>408.94615384615383</v>
      </c>
      <c r="CR99" s="13">
        <f>VLOOKUP(A99,'Données projet'!$A$139:$I$159,9,0)</f>
        <v>5.6987179487179462</v>
      </c>
      <c r="CS99" s="13">
        <f t="array" ref="CS99">INDEX(CR:CR,MIN(IF(ISNUMBER(CR99:CR295),ROW(CR99:CR295),"")))</f>
        <v>5.6987179487179462</v>
      </c>
      <c r="CT99" s="13">
        <f>IF('Données projet'!$A$140&gt;35,CT98+CS99-DB98,IF(A99&lt;'Données projet'!$A$140,$CQ$205^A99,IF(A99='Données projet'!$A$140,'Données projet'!$B$140,CT98+CS99-DB98)))</f>
        <v>408.94615384615389</v>
      </c>
      <c r="CU99" s="18">
        <f>CT99*VLOOKUP('Données projet'!$B$13,Paramètres!$A$1:$I$89,3,0)*VLOOKUP('Données projet'!$B$13,Paramètres!$A$1:$I$89,5,0)</f>
        <v>228.60090000000002</v>
      </c>
      <c r="CV99" s="14">
        <f t="shared" si="95"/>
        <v>55.980056055507362</v>
      </c>
      <c r="CW99" s="22">
        <f t="shared" si="67"/>
        <v>495.64516513000871</v>
      </c>
      <c r="CX99" s="62">
        <f t="shared" si="68"/>
        <v>788.97849846334202</v>
      </c>
      <c r="CY99" s="62">
        <f ca="1">AVERAGE(OFFSET($CX$3,0,0,'Données projet'!$E$13+1,1))-AVERAGE(OFFSET($H$3,0,0,'Données projet'!$E$13+1,1))</f>
        <v>242.07451379051349</v>
      </c>
      <c r="CZ99" s="62">
        <f t="shared" si="96"/>
        <v>207.11607964940754</v>
      </c>
      <c r="DA99" s="16">
        <f>IF(ISNA(VLOOKUP(A99,'Données projet'!$A$139:$I$159,3,0)),0,VLOOKUP(A99,'Données projet'!$A$139:$I$159,3,0))</f>
        <v>7</v>
      </c>
      <c r="DB99" s="16">
        <f>IF(ISNA(VLOOKUP(A99,'Données projet'!$A$139:$I$159,4,0)),0,VLOOKUP(A99,'Données projet'!$A$139:$I$159,4,0))</f>
        <v>59.776923076923069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178.56320966726986</v>
      </c>
      <c r="DU99" s="62">
        <f t="shared" si="98"/>
        <v>272.06842551411739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1.2310477146920653</v>
      </c>
      <c r="EC99" s="23">
        <f>EXP(-LN(2)/2)*EC98+(1-EXP(-LN(2)/2))/(LN(2)/2)*DW99*DZ99*VLOOKUP('Données projet'!$B$14,Paramètres!$A$1:$I$89,3,0)*0.475*44/12</f>
        <v>1.9230437326485755E-9</v>
      </c>
      <c r="ED99" s="24">
        <f t="shared" si="72"/>
        <v>1.231047716615109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4.2</v>
      </c>
      <c r="EJ99" s="13">
        <f>IF('Données projet'!$A$192&gt;35,EJ98+EI99-ER98,IF(A99&lt;'Données projet'!$A$192,$EG$205^A99,IF(A99='Données projet'!$A$192,'Données projet'!$B$192,EJ98+EI99-ER98)))</f>
        <v>335.19999999999987</v>
      </c>
      <c r="EK99" s="18">
        <f>EJ99*VLOOKUP('Données projet'!$B$15,Paramètres!$A$1:$I$89,3,0)*VLOOKUP('Données projet'!$B$15,Paramètres!$A$1:$I$89,5,0)</f>
        <v>360.80927999999983</v>
      </c>
      <c r="EL99" s="14">
        <f t="shared" si="99"/>
        <v>83.784298876560072</v>
      </c>
      <c r="EM99" s="22">
        <f t="shared" si="73"/>
        <v>774.33381654334187</v>
      </c>
      <c r="EN99" s="62">
        <f t="shared" si="74"/>
        <v>1067.6671498766752</v>
      </c>
      <c r="EO99" s="62">
        <f ca="1">AVERAGE(OFFSET($EN$3,0,0,'Données projet'!$E$15+1,1))-AVERAGE(OFFSET($H$3,0,0,'Données projet'!$E$15+1,1))</f>
        <v>479.87943647026646</v>
      </c>
      <c r="EP99" s="62">
        <f t="shared" si="100"/>
        <v>242.41363045393223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4.2</v>
      </c>
      <c r="FE99" s="13">
        <f>IF('Données projet'!$A$218&gt;35,FE98+FD99-FM98,IF(A99&lt;'Données projet'!$A$218,$FB$205^A99,IF(A99='Données projet'!$A$218,'Données projet'!$B$218,FE98+FD99-FM98)))</f>
        <v>335.19999999999987</v>
      </c>
      <c r="FF99" s="18">
        <f>FE99*VLOOKUP('Données projet'!$B$16,Paramètres!$A$1:$I$89,3,0)*VLOOKUP('Données projet'!$B$16,Paramètres!$A$1:$I$89,5,0)</f>
        <v>324.2054399999999</v>
      </c>
      <c r="FG99" s="14">
        <f t="shared" si="101"/>
        <v>76.227711217569663</v>
      </c>
      <c r="FH99" s="22">
        <f t="shared" si="76"/>
        <v>697.42107170393365</v>
      </c>
      <c r="FI99" s="62">
        <f t="shared" si="77"/>
        <v>990.75440503726691</v>
      </c>
      <c r="FJ99" s="62">
        <f ca="1">AVERAGE(OFFSET($FI$3,0,0,'Données projet'!$E$16+1,1))-AVERAGE(OFFSET($H$3,0,0,'Données projet'!$E$16+1,1))</f>
        <v>425.00152674093977</v>
      </c>
      <c r="FK99" s="62">
        <f t="shared" si="102"/>
        <v>214.96884469274687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12.7</v>
      </c>
      <c r="N100" s="14">
        <f>IF('Données projet'!$A$36&gt;35,N99+M100-V99,IF(A100&lt;'Données projet'!$A$36,$K$205^A100,IF(A100='Données projet'!$A$36,'Données projet'!$B$36,N99+M100-V99)))</f>
        <v>459.90000000000009</v>
      </c>
      <c r="O100" s="14">
        <f>N100*VLOOKUP('Données projet'!$B$9,Paramètres!$A$1:$I$89,3,0)*VLOOKUP('Données projet'!$B$9,Paramètres!$A$1:$I$89,5,0)</f>
        <v>221.21190000000007</v>
      </c>
      <c r="P100" s="14">
        <f t="shared" si="87"/>
        <v>54.378201923554862</v>
      </c>
      <c r="Q100" s="22">
        <f t="shared" si="107"/>
        <v>479.98609418352476</v>
      </c>
      <c r="R100" s="62">
        <f t="shared" si="55"/>
        <v>773.31942751685801</v>
      </c>
      <c r="S100" s="62">
        <f ca="1">AVERAGE(OFFSET($R$3,0,0,'Données projet'!$E$9+1,1))-AVERAGE(OFFSET($H$3,0,0,'Données projet'!$E$9+1,1))</f>
        <v>179.22241276165141</v>
      </c>
      <c r="T100" s="62">
        <f t="shared" si="88"/>
        <v>86.510654589692876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-6.7984728957526396E-14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157.42757749057949</v>
      </c>
      <c r="AO100" s="62">
        <f t="shared" si="90"/>
        <v>129.86070223892136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2.5344270533927357E-10</v>
      </c>
      <c r="AX100" s="23">
        <f t="shared" si="60"/>
        <v>2.5344270533927357E-10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4.2</v>
      </c>
      <c r="BD100" s="13">
        <f>IF('Données projet'!$A$88&gt;35,BD99+BC100-BL99,IF(A100&lt;'Données projet'!$A$88,$BA$205^A100,IF(A100='Données projet'!$A$88,'Données projet'!$B$88,BD99+BC100-BL99)))</f>
        <v>339.39999999999986</v>
      </c>
      <c r="BE100" s="14">
        <f>BD100*VLOOKUP('Données projet'!$B$11,Paramètres!$A$1:$I$89,3,0)*VLOOKUP('Données projet'!$B$11,Paramètres!$A$1:$I$89,5,0)</f>
        <v>354.74087999999989</v>
      </c>
      <c r="BF100" s="14">
        <f t="shared" si="91"/>
        <v>82.537941942853351</v>
      </c>
      <c r="BG100" s="22">
        <f t="shared" si="61"/>
        <v>761.59394821713602</v>
      </c>
      <c r="BH100" s="62">
        <f t="shared" si="62"/>
        <v>1054.9272815504694</v>
      </c>
      <c r="BI100" s="62">
        <f ca="1">AVERAGE(OFFSET($BH$3,0,0,'Données projet'!$E$11+1,1))-AVERAGE(OFFSET($H$3,0,0,'Données projet'!$E$11+1,1))</f>
        <v>464.21202287459482</v>
      </c>
      <c r="BJ100" s="62">
        <f t="shared" si="92"/>
        <v>234.57880205159688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1.7053025658242404E-13</v>
      </c>
      <c r="BZ100" s="14">
        <f>BY100*VLOOKUP('Données projet'!$B$12,Paramètres!$A$1:$I$89,3,0)*VLOOKUP('Données projet'!$B$12,Paramètres!$A$1:$I$89,5,0)</f>
        <v>1.3567387213697657E-13</v>
      </c>
      <c r="CA100" s="14">
        <f t="shared" si="93"/>
        <v>1.9670967679808581E-12</v>
      </c>
      <c r="CB100" s="22">
        <f t="shared" si="64"/>
        <v>3.6623255315385623E-12</v>
      </c>
      <c r="CC100" s="62">
        <f t="shared" si="65"/>
        <v>293.33333333333695</v>
      </c>
      <c r="CD100" s="62">
        <f ca="1">AVERAGE(OFFSET($CC$3,0,0,'Données projet'!$E$12+1,1))-AVERAGE(OFFSET($H$3,0,0,'Données projet'!$E$12+1,1))</f>
        <v>177.99876437322689</v>
      </c>
      <c r="CE100" s="62">
        <f t="shared" si="94"/>
        <v>165.68154380324592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4.4717948717948701</v>
      </c>
      <c r="CT100" s="13">
        <f>IF('Données projet'!$A$140&gt;35,CT99+CS100-DB99,IF(A100&lt;'Données projet'!$A$140,$CQ$205^A100,IF(A100='Données projet'!$A$140,'Données projet'!$B$140,CT99+CS100-DB99)))</f>
        <v>353.64102564102569</v>
      </c>
      <c r="CU100" s="18">
        <f>CT100*VLOOKUP('Données projet'!$B$13,Paramètres!$A$1:$I$89,3,0)*VLOOKUP('Données projet'!$B$13,Paramètres!$A$1:$I$89,5,0)</f>
        <v>197.68533333333338</v>
      </c>
      <c r="CV100" s="14">
        <f t="shared" si="95"/>
        <v>49.235129925468549</v>
      </c>
      <c r="CW100" s="22">
        <f t="shared" si="67"/>
        <v>430.05314017574671</v>
      </c>
      <c r="CX100" s="62">
        <f t="shared" si="68"/>
        <v>723.38647350908002</v>
      </c>
      <c r="CY100" s="62">
        <f ca="1">AVERAGE(OFFSET($CX$3,0,0,'Données projet'!$E$13+1,1))-AVERAGE(OFFSET($H$3,0,0,'Données projet'!$E$13+1,1))</f>
        <v>242.07451379051349</v>
      </c>
      <c r="CZ100" s="62">
        <f t="shared" si="96"/>
        <v>207.11607964940754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178.56320966726986</v>
      </c>
      <c r="DU100" s="62">
        <f t="shared" si="98"/>
        <v>272.06842551411739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1.197384650195825</v>
      </c>
      <c r="EC100" s="23">
        <f>EXP(-LN(2)/2)*EC99+(1-EXP(-LN(2)/2))/(LN(2)/2)*DW100*DZ100*VLOOKUP('Données projet'!$B$14,Paramètres!$A$1:$I$89,3,0)*0.475*44/12</f>
        <v>1.3597972638740979E-9</v>
      </c>
      <c r="ED100" s="24">
        <f t="shared" si="72"/>
        <v>1.1973846515556221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4.2</v>
      </c>
      <c r="EJ100" s="13">
        <f>IF('Données projet'!$A$192&gt;35,EJ99+EI100-ER99,IF(A100&lt;'Données projet'!$A$192,$EG$205^A100,IF(A100='Données projet'!$A$192,'Données projet'!$B$192,EJ99+EI100-ER99)))</f>
        <v>339.39999999999986</v>
      </c>
      <c r="EK100" s="18">
        <f>EJ100*VLOOKUP('Données projet'!$B$15,Paramètres!$A$1:$I$89,3,0)*VLOOKUP('Données projet'!$B$15,Paramètres!$A$1:$I$89,5,0)</f>
        <v>365.33015999999986</v>
      </c>
      <c r="EL100" s="14">
        <f t="shared" si="99"/>
        <v>84.711231733050113</v>
      </c>
      <c r="EM100" s="22">
        <f t="shared" si="73"/>
        <v>783.82209060172863</v>
      </c>
      <c r="EN100" s="62">
        <f t="shared" si="74"/>
        <v>1077.1554239350619</v>
      </c>
      <c r="EO100" s="62">
        <f ca="1">AVERAGE(OFFSET($EN$3,0,0,'Données projet'!$E$15+1,1))-AVERAGE(OFFSET($H$3,0,0,'Données projet'!$E$15+1,1))</f>
        <v>479.87943647026646</v>
      </c>
      <c r="EP100" s="62">
        <f t="shared" si="100"/>
        <v>242.41363045393223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4.2</v>
      </c>
      <c r="FE100" s="13">
        <f>IF('Données projet'!$A$218&gt;35,FE99+FD100-FM99,IF(A100&lt;'Données projet'!$A$218,$FB$205^A100,IF(A100='Données projet'!$A$218,'Données projet'!$B$218,FE99+FD100-FM99)))</f>
        <v>339.39999999999986</v>
      </c>
      <c r="FF100" s="18">
        <f>FE100*VLOOKUP('Données projet'!$B$16,Paramètres!$A$1:$I$89,3,0)*VLOOKUP('Données projet'!$B$16,Paramètres!$A$1:$I$89,5,0)</f>
        <v>328.26767999999987</v>
      </c>
      <c r="FG100" s="14">
        <f t="shared" si="101"/>
        <v>77.071043095380034</v>
      </c>
      <c r="FH100" s="22">
        <f t="shared" si="76"/>
        <v>705.96494272445318</v>
      </c>
      <c r="FI100" s="62">
        <f t="shared" si="77"/>
        <v>999.29827605778655</v>
      </c>
      <c r="FJ100" s="62">
        <f ca="1">AVERAGE(OFFSET($FI$3,0,0,'Données projet'!$E$16+1,1))-AVERAGE(OFFSET($H$3,0,0,'Données projet'!$E$16+1,1))</f>
        <v>425.00152674093977</v>
      </c>
      <c r="FK100" s="62">
        <f t="shared" si="102"/>
        <v>214.96884469274687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12.7</v>
      </c>
      <c r="N101" s="14">
        <f>IF('Données projet'!$A$36&gt;35,N100+M101-V100,IF(A101&lt;'Données projet'!$A$36,$K$205^A101,IF(A101='Données projet'!$A$36,'Données projet'!$B$36,N100+M101-V100)))</f>
        <v>472.60000000000008</v>
      </c>
      <c r="O101" s="14">
        <f>N101*VLOOKUP('Données projet'!$B$9,Paramètres!$A$1:$I$89,3,0)*VLOOKUP('Données projet'!$B$9,Paramètres!$A$1:$I$89,5,0)</f>
        <v>227.32060000000004</v>
      </c>
      <c r="P101" s="14">
        <f t="shared" si="87"/>
        <v>55.702938092025391</v>
      </c>
      <c r="Q101" s="22">
        <f t="shared" si="107"/>
        <v>492.93266217694423</v>
      </c>
      <c r="R101" s="62">
        <f t="shared" si="55"/>
        <v>786.26599551027755</v>
      </c>
      <c r="S101" s="62">
        <f ca="1">AVERAGE(OFFSET($R$3,0,0,'Données projet'!$E$9+1,1))-AVERAGE(OFFSET($H$3,0,0,'Données projet'!$E$9+1,1))</f>
        <v>179.22241276165141</v>
      </c>
      <c r="T101" s="62">
        <f t="shared" si="88"/>
        <v>86.510654589692876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-6.7984728957526396E-14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157.42757749057949</v>
      </c>
      <c r="AO101" s="62">
        <f t="shared" si="90"/>
        <v>129.86070223892136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1.7921105558766436E-10</v>
      </c>
      <c r="AX101" s="23">
        <f t="shared" si="60"/>
        <v>1.7921105558766436E-10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4.2</v>
      </c>
      <c r="BD101" s="13">
        <f>IF('Données projet'!$A$88&gt;35,BD100+BC101-BL100,IF(A101&lt;'Données projet'!$A$88,$BA$205^A101,IF(A101='Données projet'!$A$88,'Données projet'!$B$88,BD100+BC101-BL100)))</f>
        <v>343.59999999999985</v>
      </c>
      <c r="BE101" s="14">
        <f>BD101*VLOOKUP('Données projet'!$B$11,Paramètres!$A$1:$I$89,3,0)*VLOOKUP('Données projet'!$B$11,Paramètres!$A$1:$I$89,5,0)</f>
        <v>359.13071999999988</v>
      </c>
      <c r="BF101" s="14">
        <f t="shared" si="91"/>
        <v>83.439794062837962</v>
      </c>
      <c r="BG101" s="22">
        <f t="shared" si="61"/>
        <v>770.81031199277584</v>
      </c>
      <c r="BH101" s="62">
        <f t="shared" si="62"/>
        <v>1064.1436453261092</v>
      </c>
      <c r="BI101" s="62">
        <f ca="1">AVERAGE(OFFSET($BH$3,0,0,'Données projet'!$E$11+1,1))-AVERAGE(OFFSET($H$3,0,0,'Données projet'!$E$11+1,1))</f>
        <v>464.21202287459482</v>
      </c>
      <c r="BJ101" s="62">
        <f t="shared" si="92"/>
        <v>234.57880205159688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1.7053025658242404E-13</v>
      </c>
      <c r="BZ101" s="14">
        <f>BY101*VLOOKUP('Données projet'!$B$12,Paramètres!$A$1:$I$89,3,0)*VLOOKUP('Données projet'!$B$12,Paramètres!$A$1:$I$89,5,0)</f>
        <v>1.3567387213697657E-13</v>
      </c>
      <c r="CA101" s="14">
        <f t="shared" si="93"/>
        <v>1.9670967679808581E-12</v>
      </c>
      <c r="CB101" s="22">
        <f t="shared" si="64"/>
        <v>3.6623255315385623E-12</v>
      </c>
      <c r="CC101" s="62">
        <f t="shared" si="65"/>
        <v>293.33333333333695</v>
      </c>
      <c r="CD101" s="62">
        <f ca="1">AVERAGE(OFFSET($CC$3,0,0,'Données projet'!$E$12+1,1))-AVERAGE(OFFSET($H$3,0,0,'Données projet'!$E$12+1,1))</f>
        <v>177.99876437322689</v>
      </c>
      <c r="CE101" s="62">
        <f t="shared" si="94"/>
        <v>165.68154380324592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4.4717948717948701</v>
      </c>
      <c r="CT101" s="13">
        <f>IF('Données projet'!$A$140&gt;35,CT100+CS101-DB100,IF(A101&lt;'Données projet'!$A$140,$CQ$205^A101,IF(A101='Données projet'!$A$140,'Données projet'!$B$140,CT100+CS101-DB100)))</f>
        <v>358.11282051282058</v>
      </c>
      <c r="CU101" s="18">
        <f>CT101*VLOOKUP('Données projet'!$B$13,Paramètres!$A$1:$I$89,3,0)*VLOOKUP('Données projet'!$B$13,Paramètres!$A$1:$I$89,5,0)</f>
        <v>200.18506666666673</v>
      </c>
      <c r="CV101" s="14">
        <f t="shared" si="95"/>
        <v>49.784837587690674</v>
      </c>
      <c r="CW101" s="22">
        <f t="shared" si="67"/>
        <v>435.36424990967248</v>
      </c>
      <c r="CX101" s="62">
        <f t="shared" si="68"/>
        <v>728.69758324300574</v>
      </c>
      <c r="CY101" s="62">
        <f ca="1">AVERAGE(OFFSET($CX$3,0,0,'Données projet'!$E$13+1,1))-AVERAGE(OFFSET($H$3,0,0,'Données projet'!$E$13+1,1))</f>
        <v>242.07451379051349</v>
      </c>
      <c r="CZ101" s="62">
        <f t="shared" si="96"/>
        <v>207.11607964940754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178.56320966726986</v>
      </c>
      <c r="DU101" s="62">
        <f t="shared" si="98"/>
        <v>272.06842551411739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1.164642103968498</v>
      </c>
      <c r="EC101" s="23">
        <f>EXP(-LN(2)/2)*EC100+(1-EXP(-LN(2)/2))/(LN(2)/2)*DW101*DZ101*VLOOKUP('Données projet'!$B$14,Paramètres!$A$1:$I$89,3,0)*0.475*44/12</f>
        <v>9.6152186632428777E-10</v>
      </c>
      <c r="ED101" s="24">
        <f t="shared" si="72"/>
        <v>1.16464210493002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4.2</v>
      </c>
      <c r="EJ101" s="13">
        <f>IF('Données projet'!$A$192&gt;35,EJ100+EI101-ER100,IF(A101&lt;'Données projet'!$A$192,$EG$205^A101,IF(A101='Données projet'!$A$192,'Données projet'!$B$192,EJ100+EI101-ER100)))</f>
        <v>343.59999999999985</v>
      </c>
      <c r="EK101" s="18">
        <f>EJ101*VLOOKUP('Données projet'!$B$15,Paramètres!$A$1:$I$89,3,0)*VLOOKUP('Données projet'!$B$15,Paramètres!$A$1:$I$89,5,0)</f>
        <v>369.85103999999984</v>
      </c>
      <c r="EL101" s="14">
        <f t="shared" si="99"/>
        <v>85.636830338087535</v>
      </c>
      <c r="EM101" s="22">
        <f t="shared" si="73"/>
        <v>793.30804083883538</v>
      </c>
      <c r="EN101" s="62">
        <f t="shared" si="74"/>
        <v>1086.6413741721688</v>
      </c>
      <c r="EO101" s="62">
        <f ca="1">AVERAGE(OFFSET($EN$3,0,0,'Données projet'!$E$15+1,1))-AVERAGE(OFFSET($H$3,0,0,'Données projet'!$E$15+1,1))</f>
        <v>479.87943647026646</v>
      </c>
      <c r="EP101" s="62">
        <f t="shared" si="100"/>
        <v>242.41363045393223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4.2</v>
      </c>
      <c r="FE101" s="13">
        <f>IF('Données projet'!$A$218&gt;35,FE100+FD101-FM100,IF(A101&lt;'Données projet'!$A$218,$FB$205^A101,IF(A101='Données projet'!$A$218,'Données projet'!$B$218,FE100+FD101-FM100)))</f>
        <v>343.59999999999985</v>
      </c>
      <c r="FF101" s="18">
        <f>FE101*VLOOKUP('Données projet'!$B$16,Paramètres!$A$1:$I$89,3,0)*VLOOKUP('Données projet'!$B$16,Paramètres!$A$1:$I$89,5,0)</f>
        <v>332.32991999999985</v>
      </c>
      <c r="FG101" s="14">
        <f t="shared" si="101"/>
        <v>77.913161059178108</v>
      </c>
      <c r="FH101" s="22">
        <f t="shared" si="76"/>
        <v>714.50669951140151</v>
      </c>
      <c r="FI101" s="62">
        <f t="shared" si="77"/>
        <v>1007.8400328447349</v>
      </c>
      <c r="FJ101" s="62">
        <f ca="1">AVERAGE(OFFSET($FI$3,0,0,'Données projet'!$E$16+1,1))-AVERAGE(OFFSET($H$3,0,0,'Données projet'!$E$16+1,1))</f>
        <v>425.00152674093977</v>
      </c>
      <c r="FK101" s="62">
        <f t="shared" si="102"/>
        <v>214.96884469274687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12.7</v>
      </c>
      <c r="N102" s="14">
        <f>IF('Données projet'!$A$36&gt;35,N101+M102-V101,IF(A102&lt;'Données projet'!$A$36,$K$205^A102,IF(A102='Données projet'!$A$36,'Données projet'!$B$36,N101+M102-V101)))</f>
        <v>485.30000000000007</v>
      </c>
      <c r="O102" s="14">
        <f>N102*VLOOKUP('Données projet'!$B$9,Paramètres!$A$1:$I$89,3,0)*VLOOKUP('Données projet'!$B$9,Paramètres!$A$1:$I$89,5,0)</f>
        <v>233.42930000000004</v>
      </c>
      <c r="P102" s="14">
        <f t="shared" si="87"/>
        <v>57.023536469378378</v>
      </c>
      <c r="Q102" s="22">
        <f t="shared" si="107"/>
        <v>505.87202351750079</v>
      </c>
      <c r="R102" s="62">
        <f t="shared" si="55"/>
        <v>799.20535685083405</v>
      </c>
      <c r="S102" s="62">
        <f ca="1">AVERAGE(OFFSET($R$3,0,0,'Données projet'!$E$9+1,1))-AVERAGE(OFFSET($H$3,0,0,'Données projet'!$E$9+1,1))</f>
        <v>179.22241276165141</v>
      </c>
      <c r="T102" s="62">
        <f t="shared" si="88"/>
        <v>86.510654589692876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-6.7984728957526396E-14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157.42757749057949</v>
      </c>
      <c r="AO102" s="62">
        <f t="shared" si="90"/>
        <v>129.86070223892136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1.2672135266963678E-10</v>
      </c>
      <c r="AX102" s="23">
        <f t="shared" si="60"/>
        <v>1.2672135266963678E-10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4.2</v>
      </c>
      <c r="BD102" s="13">
        <f>IF('Données projet'!$A$88&gt;35,BD101+BC102-BL101,IF(A102&lt;'Données projet'!$A$88,$BA$205^A102,IF(A102='Données projet'!$A$88,'Données projet'!$B$88,BD101+BC102-BL101)))</f>
        <v>347.79999999999984</v>
      </c>
      <c r="BE102" s="14">
        <f>BD102*VLOOKUP('Données projet'!$B$11,Paramètres!$A$1:$I$89,3,0)*VLOOKUP('Données projet'!$B$11,Paramètres!$A$1:$I$89,5,0)</f>
        <v>363.52055999999988</v>
      </c>
      <c r="BF102" s="14">
        <f t="shared" si="91"/>
        <v>84.340363890746119</v>
      </c>
      <c r="BG102" s="22">
        <f t="shared" si="61"/>
        <v>780.02444244304934</v>
      </c>
      <c r="BH102" s="62">
        <f t="shared" si="62"/>
        <v>1073.3577757763826</v>
      </c>
      <c r="BI102" s="62">
        <f ca="1">AVERAGE(OFFSET($BH$3,0,0,'Données projet'!$E$11+1,1))-AVERAGE(OFFSET($H$3,0,0,'Données projet'!$E$11+1,1))</f>
        <v>464.21202287459482</v>
      </c>
      <c r="BJ102" s="62">
        <f t="shared" si="92"/>
        <v>234.57880205159688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1.7053025658242404E-13</v>
      </c>
      <c r="BZ102" s="14">
        <f>BY102*VLOOKUP('Données projet'!$B$12,Paramètres!$A$1:$I$89,3,0)*VLOOKUP('Données projet'!$B$12,Paramètres!$A$1:$I$89,5,0)</f>
        <v>1.3567387213697657E-13</v>
      </c>
      <c r="CA102" s="14">
        <f t="shared" si="93"/>
        <v>1.9670967679808581E-12</v>
      </c>
      <c r="CB102" s="22">
        <f t="shared" si="64"/>
        <v>3.6623255315385623E-12</v>
      </c>
      <c r="CC102" s="62">
        <f t="shared" si="65"/>
        <v>293.33333333333695</v>
      </c>
      <c r="CD102" s="62">
        <f ca="1">AVERAGE(OFFSET($CC$3,0,0,'Données projet'!$E$12+1,1))-AVERAGE(OFFSET($H$3,0,0,'Données projet'!$E$12+1,1))</f>
        <v>177.99876437322689</v>
      </c>
      <c r="CE102" s="62">
        <f t="shared" si="94"/>
        <v>165.68154380324592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4.4717948717948701</v>
      </c>
      <c r="CT102" s="13">
        <f>IF('Données projet'!$A$140&gt;35,CT101+CS102-DB101,IF(A102&lt;'Données projet'!$A$140,$CQ$205^A102,IF(A102='Données projet'!$A$140,'Données projet'!$B$140,CT101+CS102-DB101)))</f>
        <v>362.58461538461546</v>
      </c>
      <c r="CU102" s="18">
        <f>CT102*VLOOKUP('Données projet'!$B$13,Paramètres!$A$1:$I$89,3,0)*VLOOKUP('Données projet'!$B$13,Paramètres!$A$1:$I$89,5,0)</f>
        <v>202.68480000000002</v>
      </c>
      <c r="CV102" s="14">
        <f t="shared" si="95"/>
        <v>50.333746808369689</v>
      </c>
      <c r="CW102" s="22">
        <f t="shared" si="67"/>
        <v>440.67396902457722</v>
      </c>
      <c r="CX102" s="62">
        <f t="shared" si="68"/>
        <v>734.00730235791048</v>
      </c>
      <c r="CY102" s="62">
        <f ca="1">AVERAGE(OFFSET($CX$3,0,0,'Données projet'!$E$13+1,1))-AVERAGE(OFFSET($H$3,0,0,'Données projet'!$E$13+1,1))</f>
        <v>242.07451379051349</v>
      </c>
      <c r="CZ102" s="62">
        <f t="shared" si="96"/>
        <v>207.11607964940754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178.56320966726986</v>
      </c>
      <c r="DU102" s="62">
        <f t="shared" si="98"/>
        <v>272.06842551411739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1.1327949043896131</v>
      </c>
      <c r="EC102" s="23">
        <f>EXP(-LN(2)/2)*EC101+(1-EXP(-LN(2)/2))/(LN(2)/2)*DW102*DZ102*VLOOKUP('Données projet'!$B$14,Paramètres!$A$1:$I$89,3,0)*0.475*44/12</f>
        <v>6.7989863193704896E-10</v>
      </c>
      <c r="ED102" s="24">
        <f t="shared" si="72"/>
        <v>1.1327949050695116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4.2</v>
      </c>
      <c r="EJ102" s="13">
        <f>IF('Données projet'!$A$192&gt;35,EJ101+EI102-ER101,IF(A102&lt;'Données projet'!$A$192,$EG$205^A102,IF(A102='Données projet'!$A$192,'Données projet'!$B$192,EJ101+EI102-ER101)))</f>
        <v>347.79999999999984</v>
      </c>
      <c r="EK102" s="18">
        <f>EJ102*VLOOKUP('Données projet'!$B$15,Paramètres!$A$1:$I$89,3,0)*VLOOKUP('Données projet'!$B$15,Paramètres!$A$1:$I$89,5,0)</f>
        <v>374.37191999999982</v>
      </c>
      <c r="EL102" s="14">
        <f t="shared" si="99"/>
        <v>86.561112887276138</v>
      </c>
      <c r="EM102" s="22">
        <f t="shared" si="73"/>
        <v>802.79169894533891</v>
      </c>
      <c r="EN102" s="62">
        <f t="shared" si="74"/>
        <v>1096.1250322786723</v>
      </c>
      <c r="EO102" s="62">
        <f ca="1">AVERAGE(OFFSET($EN$3,0,0,'Données projet'!$E$15+1,1))-AVERAGE(OFFSET($H$3,0,0,'Données projet'!$E$15+1,1))</f>
        <v>479.87943647026646</v>
      </c>
      <c r="EP102" s="62">
        <f t="shared" si="100"/>
        <v>242.41363045393223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4.2</v>
      </c>
      <c r="FE102" s="13">
        <f>IF('Données projet'!$A$218&gt;35,FE101+FD102-FM101,IF(A102&lt;'Données projet'!$A$218,$FB$205^A102,IF(A102='Données projet'!$A$218,'Données projet'!$B$218,FE101+FD102-FM101)))</f>
        <v>347.79999999999984</v>
      </c>
      <c r="FF102" s="18">
        <f>FE102*VLOOKUP('Données projet'!$B$16,Paramètres!$A$1:$I$89,3,0)*VLOOKUP('Données projet'!$B$16,Paramètres!$A$1:$I$89,5,0)</f>
        <v>336.39215999999988</v>
      </c>
      <c r="FG102" s="14">
        <f t="shared" si="101"/>
        <v>78.75408166348835</v>
      </c>
      <c r="FH102" s="22">
        <f t="shared" si="76"/>
        <v>723.04637089724201</v>
      </c>
      <c r="FI102" s="62">
        <f t="shared" si="77"/>
        <v>1016.3797042305753</v>
      </c>
      <c r="FJ102" s="62">
        <f ca="1">AVERAGE(OFFSET($FI$3,0,0,'Données projet'!$E$16+1,1))-AVERAGE(OFFSET($H$3,0,0,'Données projet'!$E$16+1,1))</f>
        <v>425.00152674093977</v>
      </c>
      <c r="FK102" s="62">
        <f t="shared" si="102"/>
        <v>214.96884469274687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498</v>
      </c>
      <c r="L103" s="13">
        <f>VLOOKUP(A103,'Données projet'!$A$35:$I$55,9,0)</f>
        <v>12.7</v>
      </c>
      <c r="M103" s="13">
        <f t="array" ref="M103">INDEX(L:L,MIN(IF(ISNUMBER(L103:L299),ROW(L103:L299),"")))</f>
        <v>12.7</v>
      </c>
      <c r="N103" s="14">
        <f>IF('Données projet'!$A$36&gt;35,N102+M103-V102,IF(A103&lt;'Données projet'!$A$36,$K$205^A103,IF(A103='Données projet'!$A$36,'Données projet'!$B$36,N102+M103-V102)))</f>
        <v>498.00000000000006</v>
      </c>
      <c r="O103" s="14">
        <f>N103*VLOOKUP('Données projet'!$B$9,Paramètres!$A$1:$I$89,3,0)*VLOOKUP('Données projet'!$B$9,Paramètres!$A$1:$I$89,5,0)</f>
        <v>239.53800000000004</v>
      </c>
      <c r="P103" s="14">
        <f t="shared" si="87"/>
        <v>58.340117787192874</v>
      </c>
      <c r="Q103" s="22">
        <f t="shared" si="107"/>
        <v>518.80438847936102</v>
      </c>
      <c r="R103" s="62">
        <f t="shared" si="55"/>
        <v>812.13772181269428</v>
      </c>
      <c r="S103" s="62">
        <f ca="1">AVERAGE(OFFSET($R$3,0,0,'Données projet'!$E$9+1,1))-AVERAGE(OFFSET($H$3,0,0,'Données projet'!$E$9+1,1))</f>
        <v>179.22241276165141</v>
      </c>
      <c r="T103" s="62">
        <f t="shared" si="88"/>
        <v>86.510654589692876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45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-6.7984728957526396E-14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157.42757749057949</v>
      </c>
      <c r="AO103" s="62">
        <f t="shared" si="90"/>
        <v>129.86070223892136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8.9605527793832178E-11</v>
      </c>
      <c r="AX103" s="23">
        <f t="shared" si="60"/>
        <v>8.9605527793832178E-11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352</v>
      </c>
      <c r="BB103" s="13">
        <f>VLOOKUP(A103,'Données projet'!$A$87:$I$107,9,0)</f>
        <v>4.2</v>
      </c>
      <c r="BC103" s="13">
        <f t="array" ref="BC103">INDEX(BB:BB,MIN(IF(ISNUMBER(BB103:BB299),ROW(BB103:BB299),"")))</f>
        <v>4.2</v>
      </c>
      <c r="BD103" s="13">
        <f>IF('Données projet'!$A$88&gt;35,BD102+BC103-BL102,IF(A103&lt;'Données projet'!$A$88,$BA$205^A103,IF(A103='Données projet'!$A$88,'Données projet'!$B$88,BD102+BC103-BL102)))</f>
        <v>351.99999999999983</v>
      </c>
      <c r="BE103" s="14">
        <f>BD103*VLOOKUP('Données projet'!$B$11,Paramètres!$A$1:$I$89,3,0)*VLOOKUP('Données projet'!$B$11,Paramètres!$A$1:$I$89,5,0)</f>
        <v>367.91039999999987</v>
      </c>
      <c r="BF103" s="14">
        <f t="shared" si="91"/>
        <v>85.239668702551384</v>
      </c>
      <c r="BG103" s="22">
        <f t="shared" si="61"/>
        <v>789.23636965694334</v>
      </c>
      <c r="BH103" s="62">
        <f t="shared" si="62"/>
        <v>1082.5697029902767</v>
      </c>
      <c r="BI103" s="62">
        <f ca="1">AVERAGE(OFFSET($BH$3,0,0,'Données projet'!$E$11+1,1))-AVERAGE(OFFSET($H$3,0,0,'Données projet'!$E$11+1,1))</f>
        <v>464.21202287459482</v>
      </c>
      <c r="BJ103" s="62">
        <f t="shared" si="92"/>
        <v>234.57880205159688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1.7053025658242404E-13</v>
      </c>
      <c r="BZ103" s="14">
        <f>BY103*VLOOKUP('Données projet'!$B$12,Paramètres!$A$1:$I$89,3,0)*VLOOKUP('Données projet'!$B$12,Paramètres!$A$1:$I$89,5,0)</f>
        <v>1.3567387213697657E-13</v>
      </c>
      <c r="CA103" s="14">
        <f t="shared" si="93"/>
        <v>1.9670967679808581E-12</v>
      </c>
      <c r="CB103" s="22">
        <f t="shared" si="64"/>
        <v>3.6623255315385623E-12</v>
      </c>
      <c r="CC103" s="62">
        <f t="shared" si="65"/>
        <v>293.33333333333695</v>
      </c>
      <c r="CD103" s="62">
        <f ca="1">AVERAGE(OFFSET($CC$3,0,0,'Données projet'!$E$12+1,1))-AVERAGE(OFFSET($H$3,0,0,'Données projet'!$E$12+1,1))</f>
        <v>177.99876437322689</v>
      </c>
      <c r="CE103" s="62">
        <f t="shared" si="94"/>
        <v>165.68154380324592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4.4717948717948701</v>
      </c>
      <c r="CT103" s="13">
        <f>IF('Données projet'!$A$140&gt;35,CT102+CS103-DB102,IF(A103&lt;'Données projet'!$A$140,$CQ$205^A103,IF(A103='Données projet'!$A$140,'Données projet'!$B$140,CT102+CS103-DB102)))</f>
        <v>367.05641025641035</v>
      </c>
      <c r="CU103" s="18">
        <f>CT103*VLOOKUP('Données projet'!$B$13,Paramètres!$A$1:$I$89,3,0)*VLOOKUP('Données projet'!$B$13,Paramètres!$A$1:$I$89,5,0)</f>
        <v>205.18453333333338</v>
      </c>
      <c r="CV103" s="14">
        <f t="shared" si="95"/>
        <v>50.88186857366523</v>
      </c>
      <c r="CW103" s="22">
        <f t="shared" si="67"/>
        <v>445.98231665468933</v>
      </c>
      <c r="CX103" s="62">
        <f t="shared" si="68"/>
        <v>739.31564998802264</v>
      </c>
      <c r="CY103" s="62">
        <f ca="1">AVERAGE(OFFSET($CX$3,0,0,'Données projet'!$E$13+1,1))-AVERAGE(OFFSET($H$3,0,0,'Données projet'!$E$13+1,1))</f>
        <v>242.07451379051349</v>
      </c>
      <c r="CZ103" s="62">
        <f t="shared" si="96"/>
        <v>207.11607964940754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178.56320966726986</v>
      </c>
      <c r="DU103" s="62">
        <f t="shared" si="98"/>
        <v>272.06842551411739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1.1018185681579842</v>
      </c>
      <c r="EC103" s="23">
        <f>EXP(-LN(2)/2)*EC102+(1-EXP(-LN(2)/2))/(LN(2)/2)*DW103*DZ103*VLOOKUP('Données projet'!$B$14,Paramètres!$A$1:$I$89,3,0)*0.475*44/12</f>
        <v>4.8076093316214388E-10</v>
      </c>
      <c r="ED103" s="24">
        <f t="shared" si="72"/>
        <v>1.1018185686387452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352</v>
      </c>
      <c r="EH103" s="13">
        <f>VLOOKUP(A103,'Données projet'!$A$191:$I$211,9,0)</f>
        <v>4.2</v>
      </c>
      <c r="EI103" s="13">
        <f t="array" ref="EI103">INDEX(EH:EH,MIN(IF(ISNUMBER(EH103:EH299),ROW(EH103:EH299),"")))</f>
        <v>4.2</v>
      </c>
      <c r="EJ103" s="13">
        <f>IF('Données projet'!$A$192&gt;35,EJ102+EI103-ER102,IF(A103&lt;'Données projet'!$A$192,$EG$205^A103,IF(A103='Données projet'!$A$192,'Données projet'!$B$192,EJ102+EI103-ER102)))</f>
        <v>351.99999999999983</v>
      </c>
      <c r="EK103" s="18">
        <f>EJ103*VLOOKUP('Données projet'!$B$15,Paramètres!$A$1:$I$89,3,0)*VLOOKUP('Données projet'!$B$15,Paramètres!$A$1:$I$89,5,0)</f>
        <v>378.8927999999998</v>
      </c>
      <c r="EL103" s="14">
        <f t="shared" si="99"/>
        <v>87.484097111479699</v>
      </c>
      <c r="EM103" s="22">
        <f t="shared" si="73"/>
        <v>812.27309580249346</v>
      </c>
      <c r="EN103" s="62">
        <f t="shared" si="74"/>
        <v>1105.6064291358268</v>
      </c>
      <c r="EO103" s="62">
        <f ca="1">AVERAGE(OFFSET($EN$3,0,0,'Données projet'!$E$15+1,1))-AVERAGE(OFFSET($H$3,0,0,'Données projet'!$E$15+1,1))</f>
        <v>479.87943647026646</v>
      </c>
      <c r="EP103" s="62">
        <f t="shared" si="100"/>
        <v>242.41363045393223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352</v>
      </c>
      <c r="FC103" s="13">
        <f>VLOOKUP(A103,'Données projet'!$A$217:$I$237,9,0)</f>
        <v>4.2</v>
      </c>
      <c r="FD103" s="13">
        <f t="array" ref="FD103">INDEX(FC:FC,MIN(IF(ISNUMBER(FC103:FC299),ROW(FC103:FC299),"")))</f>
        <v>4.2</v>
      </c>
      <c r="FE103" s="13">
        <f>IF('Données projet'!$A$218&gt;35,FE102+FD103-FM102,IF(A103&lt;'Données projet'!$A$218,$FB$205^A103,IF(A103='Données projet'!$A$218,'Données projet'!$B$218,FE102+FD103-FM102)))</f>
        <v>351.99999999999983</v>
      </c>
      <c r="FF103" s="18">
        <f>FE103*VLOOKUP('Données projet'!$B$16,Paramètres!$A$1:$I$89,3,0)*VLOOKUP('Données projet'!$B$16,Paramètres!$A$1:$I$89,5,0)</f>
        <v>340.45439999999985</v>
      </c>
      <c r="FG103" s="14">
        <f t="shared" si="101"/>
        <v>79.593821040010667</v>
      </c>
      <c r="FH103" s="22">
        <f t="shared" si="76"/>
        <v>731.58398497801829</v>
      </c>
      <c r="FI103" s="62">
        <f t="shared" si="77"/>
        <v>1024.9173183113517</v>
      </c>
      <c r="FJ103" s="62">
        <f ca="1">AVERAGE(OFFSET($FI$3,0,0,'Données projet'!$E$16+1,1))-AVERAGE(OFFSET($H$3,0,0,'Données projet'!$E$16+1,1))</f>
        <v>425.00152674093977</v>
      </c>
      <c r="FK103" s="62">
        <f t="shared" si="102"/>
        <v>214.96884469274687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14</v>
      </c>
      <c r="N104" s="14">
        <f>IF('Données projet'!$A$36&gt;35,N103+M104-V103,IF(A104&lt;'Données projet'!$A$36,$K$205^A104,IF(A104='Données projet'!$A$36,'Données projet'!$B$36,N103+M104-V103)))</f>
        <v>467</v>
      </c>
      <c r="O104" s="14">
        <f>N104*VLOOKUP('Données projet'!$B$9,Paramètres!$A$1:$I$89,3,0)*VLOOKUP('Données projet'!$B$9,Paramètres!$A$1:$I$89,5,0)</f>
        <v>224.62700000000001</v>
      </c>
      <c r="P104" s="14">
        <f t="shared" si="87"/>
        <v>55.119319863505318</v>
      </c>
      <c r="Q104" s="22">
        <f t="shared" si="107"/>
        <v>487.22484042893842</v>
      </c>
      <c r="R104" s="62">
        <f t="shared" si="55"/>
        <v>780.55817376227174</v>
      </c>
      <c r="S104" s="62">
        <f ca="1">AVERAGE(OFFSET($R$3,0,0,'Données projet'!$E$9+1,1))-AVERAGE(OFFSET($H$3,0,0,'Données projet'!$E$9+1,1))</f>
        <v>179.22241276165141</v>
      </c>
      <c r="T104" s="62">
        <f t="shared" si="88"/>
        <v>86.510654589692876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-6.7984728957526396E-14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157.42757749057949</v>
      </c>
      <c r="AO104" s="62">
        <f t="shared" si="90"/>
        <v>129.86070223892136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6.3360676334818392E-11</v>
      </c>
      <c r="AX104" s="23">
        <f t="shared" si="60"/>
        <v>6.3360676334818392E-11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3.9</v>
      </c>
      <c r="BD104" s="13">
        <f>IF('Données projet'!$A$88&gt;35,BD103+BC104-BL103,IF(A104&lt;'Données projet'!$A$88,$BA$205^A104,IF(A104='Données projet'!$A$88,'Données projet'!$B$88,BD103+BC104-BL103)))</f>
        <v>355.89999999999981</v>
      </c>
      <c r="BE104" s="14">
        <f>BD104*VLOOKUP('Données projet'!$B$11,Paramètres!$A$1:$I$89,3,0)*VLOOKUP('Données projet'!$B$11,Paramètres!$A$1:$I$89,5,0)</f>
        <v>371.98667999999986</v>
      </c>
      <c r="BF104" s="14">
        <f t="shared" si="91"/>
        <v>86.073619476876075</v>
      </c>
      <c r="BG104" s="22">
        <f t="shared" si="61"/>
        <v>797.78835492222549</v>
      </c>
      <c r="BH104" s="62">
        <f t="shared" si="62"/>
        <v>1091.1216882555589</v>
      </c>
      <c r="BI104" s="62">
        <f ca="1">AVERAGE(OFFSET($BH$3,0,0,'Données projet'!$E$11+1,1))-AVERAGE(OFFSET($H$3,0,0,'Données projet'!$E$11+1,1))</f>
        <v>464.21202287459482</v>
      </c>
      <c r="BJ104" s="62">
        <f t="shared" si="92"/>
        <v>234.57880205159688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1.7053025658242404E-13</v>
      </c>
      <c r="BZ104" s="14">
        <f>BY104*VLOOKUP('Données projet'!$B$12,Paramètres!$A$1:$I$89,3,0)*VLOOKUP('Données projet'!$B$12,Paramètres!$A$1:$I$89,5,0)</f>
        <v>1.3567387213697657E-13</v>
      </c>
      <c r="CA104" s="14">
        <f t="shared" si="93"/>
        <v>1.9670967679808581E-12</v>
      </c>
      <c r="CB104" s="22">
        <f t="shared" si="64"/>
        <v>3.6623255315385623E-12</v>
      </c>
      <c r="CC104" s="62">
        <f t="shared" si="65"/>
        <v>293.33333333333695</v>
      </c>
      <c r="CD104" s="62">
        <f ca="1">AVERAGE(OFFSET($CC$3,0,0,'Données projet'!$E$12+1,1))-AVERAGE(OFFSET($H$3,0,0,'Données projet'!$E$12+1,1))</f>
        <v>177.99876437322689</v>
      </c>
      <c r="CE104" s="62">
        <f t="shared" si="94"/>
        <v>165.68154380324592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4.4717948717948701</v>
      </c>
      <c r="CT104" s="13">
        <f>IF('Données projet'!$A$140&gt;35,CT103+CS104-DB103,IF(A104&lt;'Données projet'!$A$140,$CQ$205^A104,IF(A104='Données projet'!$A$140,'Données projet'!$B$140,CT103+CS104-DB103)))</f>
        <v>371.52820512820523</v>
      </c>
      <c r="CU104" s="18">
        <f>CT104*VLOOKUP('Données projet'!$B$13,Paramètres!$A$1:$I$89,3,0)*VLOOKUP('Données projet'!$B$13,Paramètres!$A$1:$I$89,5,0)</f>
        <v>207.68426666666673</v>
      </c>
      <c r="CV104" s="14">
        <f t="shared" si="95"/>
        <v>51.429213586651969</v>
      </c>
      <c r="CW104" s="22">
        <f t="shared" si="67"/>
        <v>451.28931144119673</v>
      </c>
      <c r="CX104" s="62">
        <f t="shared" si="68"/>
        <v>744.62264477453004</v>
      </c>
      <c r="CY104" s="62">
        <f ca="1">AVERAGE(OFFSET($CX$3,0,0,'Données projet'!$E$13+1,1))-AVERAGE(OFFSET($H$3,0,0,'Données projet'!$E$13+1,1))</f>
        <v>242.07451379051349</v>
      </c>
      <c r="CZ104" s="62">
        <f t="shared" si="96"/>
        <v>207.11607964940754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178.56320966726986</v>
      </c>
      <c r="DU104" s="62">
        <f t="shared" si="98"/>
        <v>272.06842551411739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1.0716892814695838</v>
      </c>
      <c r="EC104" s="23">
        <f>EXP(-LN(2)/2)*EC103+(1-EXP(-LN(2)/2))/(LN(2)/2)*DW104*DZ104*VLOOKUP('Données projet'!$B$14,Paramètres!$A$1:$I$89,3,0)*0.475*44/12</f>
        <v>3.3994931596852448E-10</v>
      </c>
      <c r="ED104" s="24">
        <f t="shared" si="72"/>
        <v>1.0716892818095332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3.9</v>
      </c>
      <c r="EJ104" s="13">
        <f>IF('Données projet'!$A$192&gt;35,EJ103+EI104-ER103,IF(A104&lt;'Données projet'!$A$192,$EG$205^A104,IF(A104='Données projet'!$A$192,'Données projet'!$B$192,EJ103+EI104-ER103)))</f>
        <v>355.89999999999981</v>
      </c>
      <c r="EK104" s="18">
        <f>EJ104*VLOOKUP('Données projet'!$B$15,Paramètres!$A$1:$I$89,3,0)*VLOOKUP('Données projet'!$B$15,Paramètres!$A$1:$I$89,5,0)</f>
        <v>383.09075999999976</v>
      </c>
      <c r="EL104" s="14">
        <f t="shared" si="99"/>
        <v>88.340006474311664</v>
      </c>
      <c r="EM104" s="22">
        <f t="shared" si="73"/>
        <v>821.07525160942578</v>
      </c>
      <c r="EN104" s="62">
        <f t="shared" si="74"/>
        <v>1114.408584942759</v>
      </c>
      <c r="EO104" s="62">
        <f ca="1">AVERAGE(OFFSET($EN$3,0,0,'Données projet'!$E$15+1,1))-AVERAGE(OFFSET($H$3,0,0,'Données projet'!$E$15+1,1))</f>
        <v>479.87943647026646</v>
      </c>
      <c r="EP104" s="62">
        <f t="shared" si="100"/>
        <v>242.41363045393223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3.9</v>
      </c>
      <c r="FE104" s="13">
        <f>IF('Données projet'!$A$218&gt;35,FE103+FD104-FM103,IF(A104&lt;'Données projet'!$A$218,$FB$205^A104,IF(A104='Données projet'!$A$218,'Données projet'!$B$218,FE103+FD104-FM103)))</f>
        <v>355.89999999999981</v>
      </c>
      <c r="FF104" s="18">
        <f>FE104*VLOOKUP('Données projet'!$B$16,Paramètres!$A$1:$I$89,3,0)*VLOOKUP('Données projet'!$B$16,Paramètres!$A$1:$I$89,5,0)</f>
        <v>344.22647999999981</v>
      </c>
      <c r="FG104" s="14">
        <f t="shared" si="101"/>
        <v>80.372535102349403</v>
      </c>
      <c r="FH104" s="22">
        <f t="shared" si="76"/>
        <v>739.50995130325816</v>
      </c>
      <c r="FI104" s="62">
        <f t="shared" si="77"/>
        <v>1032.8432846365915</v>
      </c>
      <c r="FJ104" s="62">
        <f ca="1">AVERAGE(OFFSET($FI$3,0,0,'Données projet'!$E$16+1,1))-AVERAGE(OFFSET($H$3,0,0,'Données projet'!$E$16+1,1))</f>
        <v>425.00152674093977</v>
      </c>
      <c r="FK104" s="62">
        <f t="shared" si="102"/>
        <v>214.96884469274687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14</v>
      </c>
      <c r="N105" s="14">
        <f>IF('Données projet'!$A$36&gt;35,N104+M105-V104,IF(A105&lt;'Données projet'!$A$36,$K$205^A105,IF(A105='Données projet'!$A$36,'Données projet'!$B$36,N104+M105-V104)))</f>
        <v>481</v>
      </c>
      <c r="O105" s="14">
        <f>N105*VLOOKUP('Données projet'!$B$9,Paramètres!$A$1:$I$89,3,0)*VLOOKUP('Données projet'!$B$9,Paramètres!$A$1:$I$89,5,0)</f>
        <v>231.36100000000002</v>
      </c>
      <c r="P105" s="14">
        <f t="shared" si="87"/>
        <v>56.576860426068023</v>
      </c>
      <c r="Q105" s="22">
        <f t="shared" si="107"/>
        <v>501.49177357540179</v>
      </c>
      <c r="R105" s="62">
        <f t="shared" si="55"/>
        <v>794.82510690873505</v>
      </c>
      <c r="S105" s="62">
        <f ca="1">AVERAGE(OFFSET($R$3,0,0,'Données projet'!$E$9+1,1))-AVERAGE(OFFSET($H$3,0,0,'Données projet'!$E$9+1,1))</f>
        <v>179.22241276165141</v>
      </c>
      <c r="T105" s="62">
        <f t="shared" si="88"/>
        <v>86.510654589692876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-6.7984728957526396E-14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157.42757749057949</v>
      </c>
      <c r="AO105" s="62">
        <f t="shared" si="90"/>
        <v>129.86070223892136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4.4802763896916089E-11</v>
      </c>
      <c r="AX105" s="23">
        <f t="shared" si="60"/>
        <v>4.4802763896916089E-11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3.9</v>
      </c>
      <c r="BD105" s="13">
        <f>IF('Données projet'!$A$88&gt;35,BD104+BC105-BL104,IF(A105&lt;'Données projet'!$A$88,$BA$205^A105,IF(A105='Données projet'!$A$88,'Données projet'!$B$88,BD104+BC105-BL104)))</f>
        <v>359.79999999999978</v>
      </c>
      <c r="BE105" s="14">
        <f>BD105*VLOOKUP('Données projet'!$B$11,Paramètres!$A$1:$I$89,3,0)*VLOOKUP('Données projet'!$B$11,Paramètres!$A$1:$I$89,5,0)</f>
        <v>376.0629599999998</v>
      </c>
      <c r="BF105" s="14">
        <f t="shared" si="91"/>
        <v>86.906507180227635</v>
      </c>
      <c r="BG105" s="22">
        <f t="shared" si="61"/>
        <v>806.33848867222935</v>
      </c>
      <c r="BH105" s="62">
        <f t="shared" si="62"/>
        <v>1099.6718220055627</v>
      </c>
      <c r="BI105" s="62">
        <f ca="1">AVERAGE(OFFSET($BH$3,0,0,'Données projet'!$E$11+1,1))-AVERAGE(OFFSET($H$3,0,0,'Données projet'!$E$11+1,1))</f>
        <v>464.21202287459482</v>
      </c>
      <c r="BJ105" s="62">
        <f t="shared" si="92"/>
        <v>234.57880205159688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1.7053025658242404E-13</v>
      </c>
      <c r="BZ105" s="14">
        <f>BY105*VLOOKUP('Données projet'!$B$12,Paramètres!$A$1:$I$89,3,0)*VLOOKUP('Données projet'!$B$12,Paramètres!$A$1:$I$89,5,0)</f>
        <v>1.3567387213697657E-13</v>
      </c>
      <c r="CA105" s="14">
        <f t="shared" si="93"/>
        <v>1.9670967679808581E-12</v>
      </c>
      <c r="CB105" s="22">
        <f t="shared" si="64"/>
        <v>3.6623255315385623E-12</v>
      </c>
      <c r="CC105" s="62">
        <f t="shared" si="65"/>
        <v>293.33333333333695</v>
      </c>
      <c r="CD105" s="62">
        <f ca="1">AVERAGE(OFFSET($CC$3,0,0,'Données projet'!$E$12+1,1))-AVERAGE(OFFSET($H$3,0,0,'Données projet'!$E$12+1,1))</f>
        <v>177.99876437322689</v>
      </c>
      <c r="CE105" s="62">
        <f t="shared" si="94"/>
        <v>165.68154380324592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4.4717948717948701</v>
      </c>
      <c r="CT105" s="13">
        <f>IF('Données projet'!$A$140&gt;35,CT104+CS105-DB104,IF(A105&lt;'Données projet'!$A$140,$CQ$205^A105,IF(A105='Données projet'!$A$140,'Données projet'!$B$140,CT104+CS105-DB104)))</f>
        <v>376.00000000000011</v>
      </c>
      <c r="CU105" s="18">
        <f>CT105*VLOOKUP('Données projet'!$B$13,Paramètres!$A$1:$I$89,3,0)*VLOOKUP('Données projet'!$B$13,Paramètres!$A$1:$I$89,5,0)</f>
        <v>210.18400000000005</v>
      </c>
      <c r="CV105" s="14">
        <f t="shared" si="95"/>
        <v>51.975792277931433</v>
      </c>
      <c r="CW105" s="22">
        <f t="shared" si="67"/>
        <v>456.59497155073063</v>
      </c>
      <c r="CX105" s="62">
        <f t="shared" si="68"/>
        <v>749.92830488406389</v>
      </c>
      <c r="CY105" s="62">
        <f ca="1">AVERAGE(OFFSET($CX$3,0,0,'Données projet'!$E$13+1,1))-AVERAGE(OFFSET($H$3,0,0,'Données projet'!$E$13+1,1))</f>
        <v>242.07451379051349</v>
      </c>
      <c r="CZ105" s="62">
        <f t="shared" si="96"/>
        <v>207.11607964940754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178.56320966726986</v>
      </c>
      <c r="DU105" s="62">
        <f t="shared" si="98"/>
        <v>272.06842551411739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1.0423838817101081</v>
      </c>
      <c r="EC105" s="23">
        <f>EXP(-LN(2)/2)*EC104+(1-EXP(-LN(2)/2))/(LN(2)/2)*DW105*DZ105*VLOOKUP('Données projet'!$B$14,Paramètres!$A$1:$I$89,3,0)*0.475*44/12</f>
        <v>2.4038046658107194E-10</v>
      </c>
      <c r="ED105" s="24">
        <f t="shared" si="72"/>
        <v>1.0423838819504885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3.9</v>
      </c>
      <c r="EJ105" s="13">
        <f>IF('Données projet'!$A$192&gt;35,EJ104+EI105-ER104,IF(A105&lt;'Données projet'!$A$192,$EG$205^A105,IF(A105='Données projet'!$A$192,'Données projet'!$B$192,EJ104+EI105-ER104)))</f>
        <v>359.79999999999978</v>
      </c>
      <c r="EK105" s="18">
        <f>EJ105*VLOOKUP('Données projet'!$B$15,Paramètres!$A$1:$I$89,3,0)*VLOOKUP('Données projet'!$B$15,Paramètres!$A$1:$I$89,5,0)</f>
        <v>387.28871999999973</v>
      </c>
      <c r="EL105" s="14">
        <f t="shared" si="99"/>
        <v>89.194824774664625</v>
      </c>
      <c r="EM105" s="22">
        <f t="shared" si="73"/>
        <v>829.87550714920701</v>
      </c>
      <c r="EN105" s="62">
        <f t="shared" si="74"/>
        <v>1123.2088404825404</v>
      </c>
      <c r="EO105" s="62">
        <f ca="1">AVERAGE(OFFSET($EN$3,0,0,'Données projet'!$E$15+1,1))-AVERAGE(OFFSET($H$3,0,0,'Données projet'!$E$15+1,1))</f>
        <v>479.87943647026646</v>
      </c>
      <c r="EP105" s="62">
        <f t="shared" si="100"/>
        <v>242.41363045393223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3.9</v>
      </c>
      <c r="FE105" s="13">
        <f>IF('Données projet'!$A$218&gt;35,FE104+FD105-FM104,IF(A105&lt;'Données projet'!$A$218,$FB$205^A105,IF(A105='Données projet'!$A$218,'Données projet'!$B$218,FE104+FD105-FM104)))</f>
        <v>359.79999999999978</v>
      </c>
      <c r="FF105" s="18">
        <f>FE105*VLOOKUP('Données projet'!$B$16,Paramètres!$A$1:$I$89,3,0)*VLOOKUP('Données projet'!$B$16,Paramètres!$A$1:$I$89,5,0)</f>
        <v>347.99855999999977</v>
      </c>
      <c r="FG105" s="14">
        <f t="shared" si="101"/>
        <v>81.150256506198673</v>
      </c>
      <c r="FH105" s="22">
        <f t="shared" si="76"/>
        <v>747.43418874829558</v>
      </c>
      <c r="FI105" s="62">
        <f t="shared" si="77"/>
        <v>1040.7675220816288</v>
      </c>
      <c r="FJ105" s="62">
        <f ca="1">AVERAGE(OFFSET($FI$3,0,0,'Données projet'!$E$16+1,1))-AVERAGE(OFFSET($H$3,0,0,'Données projet'!$E$16+1,1))</f>
        <v>425.00152674093977</v>
      </c>
      <c r="FK105" s="62">
        <f t="shared" si="102"/>
        <v>214.96884469274687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14</v>
      </c>
      <c r="N106" s="14">
        <f>IF('Données projet'!$A$36&gt;35,N105+M106-V105,IF(A106&lt;'Données projet'!$A$36,$K$205^A106,IF(A106='Données projet'!$A$36,'Données projet'!$B$36,N105+M106-V105)))</f>
        <v>495</v>
      </c>
      <c r="O106" s="14">
        <f>N106*VLOOKUP('Données projet'!$B$9,Paramètres!$A$1:$I$89,3,0)*VLOOKUP('Données projet'!$B$9,Paramètres!$A$1:$I$89,5,0)</f>
        <v>238.09500000000003</v>
      </c>
      <c r="P106" s="14">
        <f t="shared" si="87"/>
        <v>58.02947054598085</v>
      </c>
      <c r="Q106" s="22">
        <f t="shared" si="107"/>
        <v>515.75011953425008</v>
      </c>
      <c r="R106" s="62">
        <f t="shared" si="55"/>
        <v>809.08345286758345</v>
      </c>
      <c r="S106" s="62">
        <f ca="1">AVERAGE(OFFSET($R$3,0,0,'Données projet'!$E$9+1,1))-AVERAGE(OFFSET($H$3,0,0,'Données projet'!$E$9+1,1))</f>
        <v>179.22241276165141</v>
      </c>
      <c r="T106" s="62">
        <f t="shared" si="88"/>
        <v>86.510654589692876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-6.7984728957526396E-14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157.42757749057949</v>
      </c>
      <c r="AO106" s="62">
        <f t="shared" si="90"/>
        <v>129.86070223892136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3.1680338167409196E-11</v>
      </c>
      <c r="AX106" s="23">
        <f t="shared" si="60"/>
        <v>3.1680338167409196E-11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3.9</v>
      </c>
      <c r="BD106" s="13">
        <f>IF('Données projet'!$A$88&gt;35,BD105+BC106-BL105,IF(A106&lt;'Données projet'!$A$88,$BA$205^A106,IF(A106='Données projet'!$A$88,'Données projet'!$B$88,BD105+BC106-BL105)))</f>
        <v>363.69999999999976</v>
      </c>
      <c r="BE106" s="14">
        <f>BD106*VLOOKUP('Données projet'!$B$11,Paramètres!$A$1:$I$89,3,0)*VLOOKUP('Données projet'!$B$11,Paramètres!$A$1:$I$89,5,0)</f>
        <v>380.1392399999998</v>
      </c>
      <c r="BF106" s="14">
        <f t="shared" si="91"/>
        <v>87.738344669281574</v>
      </c>
      <c r="BG106" s="22">
        <f t="shared" si="61"/>
        <v>814.88679329899833</v>
      </c>
      <c r="BH106" s="62">
        <f t="shared" si="62"/>
        <v>1108.2201266323316</v>
      </c>
      <c r="BI106" s="62">
        <f ca="1">AVERAGE(OFFSET($BH$3,0,0,'Données projet'!$E$11+1,1))-AVERAGE(OFFSET($H$3,0,0,'Données projet'!$E$11+1,1))</f>
        <v>464.21202287459482</v>
      </c>
      <c r="BJ106" s="62">
        <f t="shared" si="92"/>
        <v>234.57880205159688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1.7053025658242404E-13</v>
      </c>
      <c r="BZ106" s="14">
        <f>BY106*VLOOKUP('Données projet'!$B$12,Paramètres!$A$1:$I$89,3,0)*VLOOKUP('Données projet'!$B$12,Paramètres!$A$1:$I$89,5,0)</f>
        <v>1.3567387213697657E-13</v>
      </c>
      <c r="CA106" s="14">
        <f t="shared" si="93"/>
        <v>1.9670967679808581E-12</v>
      </c>
      <c r="CB106" s="22">
        <f t="shared" si="64"/>
        <v>3.6623255315385623E-12</v>
      </c>
      <c r="CC106" s="62">
        <f t="shared" si="65"/>
        <v>293.33333333333695</v>
      </c>
      <c r="CD106" s="62">
        <f ca="1">AVERAGE(OFFSET($CC$3,0,0,'Données projet'!$E$12+1,1))-AVERAGE(OFFSET($H$3,0,0,'Données projet'!$E$12+1,1))</f>
        <v>177.99876437322689</v>
      </c>
      <c r="CE106" s="62">
        <f t="shared" si="94"/>
        <v>165.68154380324592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4.4717948717948701</v>
      </c>
      <c r="CT106" s="13">
        <f>IF('Données projet'!$A$140&gt;35,CT105+CS106-DB105,IF(A106&lt;'Données projet'!$A$140,$CQ$205^A106,IF(A106='Données projet'!$A$140,'Données projet'!$B$140,CT105+CS106-DB105)))</f>
        <v>380.471794871795</v>
      </c>
      <c r="CU106" s="18">
        <f>CT106*VLOOKUP('Données projet'!$B$13,Paramètres!$A$1:$I$89,3,0)*VLOOKUP('Données projet'!$B$13,Paramètres!$A$1:$I$89,5,0)</f>
        <v>212.68373333333341</v>
      </c>
      <c r="CV106" s="14">
        <f t="shared" si="95"/>
        <v>52.521614815725137</v>
      </c>
      <c r="CW106" s="22">
        <f t="shared" si="67"/>
        <v>461.89931469294356</v>
      </c>
      <c r="CX106" s="62">
        <f t="shared" si="68"/>
        <v>755.23264802627682</v>
      </c>
      <c r="CY106" s="62">
        <f ca="1">AVERAGE(OFFSET($CX$3,0,0,'Données projet'!$E$13+1,1))-AVERAGE(OFFSET($H$3,0,0,'Données projet'!$E$13+1,1))</f>
        <v>242.07451379051349</v>
      </c>
      <c r="CZ106" s="62">
        <f t="shared" si="96"/>
        <v>207.11607964940754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178.56320966726986</v>
      </c>
      <c r="DU106" s="62">
        <f t="shared" si="98"/>
        <v>272.06842551411739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1.0138798396481592</v>
      </c>
      <c r="EC106" s="23">
        <f>EXP(-LN(2)/2)*EC105+(1-EXP(-LN(2)/2))/(LN(2)/2)*DW106*DZ106*VLOOKUP('Données projet'!$B$14,Paramètres!$A$1:$I$89,3,0)*0.475*44/12</f>
        <v>1.6997465798426224E-10</v>
      </c>
      <c r="ED106" s="24">
        <f t="shared" si="72"/>
        <v>1.0138798398181339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3.9</v>
      </c>
      <c r="EJ106" s="13">
        <f>IF('Données projet'!$A$192&gt;35,EJ105+EI106-ER105,IF(A106&lt;'Données projet'!$A$192,$EG$205^A106,IF(A106='Données projet'!$A$192,'Données projet'!$B$192,EJ105+EI106-ER105)))</f>
        <v>363.69999999999976</v>
      </c>
      <c r="EK106" s="18">
        <f>EJ106*VLOOKUP('Données projet'!$B$15,Paramètres!$A$1:$I$89,3,0)*VLOOKUP('Données projet'!$B$15,Paramètres!$A$1:$I$89,5,0)</f>
        <v>391.48667999999969</v>
      </c>
      <c r="EL106" s="14">
        <f t="shared" si="99"/>
        <v>90.048565207740637</v>
      </c>
      <c r="EM106" s="22">
        <f t="shared" si="73"/>
        <v>838.67388540348099</v>
      </c>
      <c r="EN106" s="62">
        <f t="shared" si="74"/>
        <v>1132.0072187368144</v>
      </c>
      <c r="EO106" s="62">
        <f ca="1">AVERAGE(OFFSET($EN$3,0,0,'Données projet'!$E$15+1,1))-AVERAGE(OFFSET($H$3,0,0,'Données projet'!$E$15+1,1))</f>
        <v>479.87943647026646</v>
      </c>
      <c r="EP106" s="62">
        <f t="shared" si="100"/>
        <v>242.41363045393223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3.9</v>
      </c>
      <c r="FE106" s="13">
        <f>IF('Données projet'!$A$218&gt;35,FE105+FD106-FM105,IF(A106&lt;'Données projet'!$A$218,$FB$205^A106,IF(A106='Données projet'!$A$218,'Données projet'!$B$218,FE105+FD106-FM105)))</f>
        <v>363.69999999999976</v>
      </c>
      <c r="FF106" s="18">
        <f>FE106*VLOOKUP('Données projet'!$B$16,Paramètres!$A$1:$I$89,3,0)*VLOOKUP('Données projet'!$B$16,Paramètres!$A$1:$I$89,5,0)</f>
        <v>351.77063999999979</v>
      </c>
      <c r="FG106" s="14">
        <f t="shared" si="101"/>
        <v>81.926997256672166</v>
      </c>
      <c r="FH106" s="22">
        <f t="shared" si="76"/>
        <v>755.35671822203687</v>
      </c>
      <c r="FI106" s="62">
        <f t="shared" si="77"/>
        <v>1048.6900515553702</v>
      </c>
      <c r="FJ106" s="62">
        <f ca="1">AVERAGE(OFFSET($FI$3,0,0,'Données projet'!$E$16+1,1))-AVERAGE(OFFSET($H$3,0,0,'Données projet'!$E$16+1,1))</f>
        <v>425.00152674093977</v>
      </c>
      <c r="FK106" s="62">
        <f t="shared" si="102"/>
        <v>214.96884469274687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14</v>
      </c>
      <c r="N107" s="14">
        <f>IF('Données projet'!$A$36&gt;35,N106+M107-V106,IF(A107&lt;'Données projet'!$A$36,$K$205^A107,IF(A107='Données projet'!$A$36,'Données projet'!$B$36,N106+M107-V106)))</f>
        <v>509</v>
      </c>
      <c r="O107" s="14">
        <f>N107*VLOOKUP('Données projet'!$B$9,Paramètres!$A$1:$I$89,3,0)*VLOOKUP('Données projet'!$B$9,Paramètres!$A$1:$I$89,5,0)</f>
        <v>244.82899999999998</v>
      </c>
      <c r="P107" s="14">
        <f t="shared" si="87"/>
        <v>59.477305687742081</v>
      </c>
      <c r="Q107" s="22">
        <f t="shared" si="107"/>
        <v>530.00014907281741</v>
      </c>
      <c r="R107" s="62">
        <f t="shared" si="55"/>
        <v>823.33348240615078</v>
      </c>
      <c r="S107" s="62">
        <f ca="1">AVERAGE(OFFSET($R$3,0,0,'Données projet'!$E$9+1,1))-AVERAGE(OFFSET($H$3,0,0,'Données projet'!$E$9+1,1))</f>
        <v>179.22241276165141</v>
      </c>
      <c r="T107" s="62">
        <f t="shared" si="88"/>
        <v>86.510654589692876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-6.7984728957526396E-14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157.42757749057949</v>
      </c>
      <c r="AO107" s="62">
        <f t="shared" si="90"/>
        <v>129.86070223892136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2.2401381948458044E-11</v>
      </c>
      <c r="AX107" s="23">
        <f t="shared" si="60"/>
        <v>2.2401381948458044E-11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3.9</v>
      </c>
      <c r="BD107" s="13">
        <f>IF('Données projet'!$A$88&gt;35,BD106+BC107-BL106,IF(A107&lt;'Données projet'!$A$88,$BA$205^A107,IF(A107='Données projet'!$A$88,'Données projet'!$B$88,BD106+BC107-BL106)))</f>
        <v>367.59999999999974</v>
      </c>
      <c r="BE107" s="14">
        <f>BD107*VLOOKUP('Données projet'!$B$11,Paramètres!$A$1:$I$89,3,0)*VLOOKUP('Données projet'!$B$11,Paramètres!$A$1:$I$89,5,0)</f>
        <v>384.21551999999974</v>
      </c>
      <c r="BF107" s="14">
        <f t="shared" si="91"/>
        <v>88.569144509104078</v>
      </c>
      <c r="BG107" s="22">
        <f t="shared" si="61"/>
        <v>823.43329068668925</v>
      </c>
      <c r="BH107" s="62">
        <f t="shared" si="62"/>
        <v>1116.7666240200226</v>
      </c>
      <c r="BI107" s="62">
        <f ca="1">AVERAGE(OFFSET($BH$3,0,0,'Données projet'!$E$11+1,1))-AVERAGE(OFFSET($H$3,0,0,'Données projet'!$E$11+1,1))</f>
        <v>464.21202287459482</v>
      </c>
      <c r="BJ107" s="62">
        <f t="shared" si="92"/>
        <v>234.57880205159688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1.7053025658242404E-13</v>
      </c>
      <c r="BZ107" s="14">
        <f>BY107*VLOOKUP('Données projet'!$B$12,Paramètres!$A$1:$I$89,3,0)*VLOOKUP('Données projet'!$B$12,Paramètres!$A$1:$I$89,5,0)</f>
        <v>1.3567387213697657E-13</v>
      </c>
      <c r="CA107" s="14">
        <f t="shared" si="93"/>
        <v>1.9670967679808581E-12</v>
      </c>
      <c r="CB107" s="22">
        <f t="shared" si="64"/>
        <v>3.6623255315385623E-12</v>
      </c>
      <c r="CC107" s="62">
        <f t="shared" si="65"/>
        <v>293.33333333333695</v>
      </c>
      <c r="CD107" s="62">
        <f ca="1">AVERAGE(OFFSET($CC$3,0,0,'Données projet'!$E$12+1,1))-AVERAGE(OFFSET($H$3,0,0,'Données projet'!$E$12+1,1))</f>
        <v>177.99876437322689</v>
      </c>
      <c r="CE107" s="62">
        <f t="shared" si="94"/>
        <v>165.68154380324592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4.4717948717948701</v>
      </c>
      <c r="CT107" s="13">
        <f>IF('Données projet'!$A$140&gt;35,CT106+CS107-DB106,IF(A107&lt;'Données projet'!$A$140,$CQ$205^A107,IF(A107='Données projet'!$A$140,'Données projet'!$B$140,CT106+CS107-DB106)))</f>
        <v>384.94358974358988</v>
      </c>
      <c r="CU107" s="18">
        <f>CT107*VLOOKUP('Données projet'!$B$13,Paramètres!$A$1:$I$89,3,0)*VLOOKUP('Données projet'!$B$13,Paramètres!$A$1:$I$89,5,0)</f>
        <v>215.18346666666676</v>
      </c>
      <c r="CV107" s="14">
        <f t="shared" si="95"/>
        <v>53.066691115479117</v>
      </c>
      <c r="CW107" s="22">
        <f t="shared" si="67"/>
        <v>467.20235813723747</v>
      </c>
      <c r="CX107" s="62">
        <f t="shared" si="68"/>
        <v>760.53569147057078</v>
      </c>
      <c r="CY107" s="62">
        <f ca="1">AVERAGE(OFFSET($CX$3,0,0,'Données projet'!$E$13+1,1))-AVERAGE(OFFSET($H$3,0,0,'Données projet'!$E$13+1,1))</f>
        <v>242.07451379051349</v>
      </c>
      <c r="CZ107" s="62">
        <f t="shared" si="96"/>
        <v>207.11607964940754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178.56320966726986</v>
      </c>
      <c r="DU107" s="62">
        <f t="shared" si="98"/>
        <v>272.06842551411739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0.98615524211535677</v>
      </c>
      <c r="EC107" s="23">
        <f>EXP(-LN(2)/2)*EC106+(1-EXP(-LN(2)/2))/(LN(2)/2)*DW107*DZ107*VLOOKUP('Données projet'!$B$14,Paramètres!$A$1:$I$89,3,0)*0.475*44/12</f>
        <v>1.2019023329053597E-10</v>
      </c>
      <c r="ED107" s="24">
        <f t="shared" si="72"/>
        <v>0.98615524223554696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3.9</v>
      </c>
      <c r="EJ107" s="13">
        <f>IF('Données projet'!$A$192&gt;35,EJ106+EI107-ER106,IF(A107&lt;'Données projet'!$A$192,$EG$205^A107,IF(A107='Données projet'!$A$192,'Données projet'!$B$192,EJ106+EI107-ER106)))</f>
        <v>367.59999999999974</v>
      </c>
      <c r="EK107" s="18">
        <f>EJ107*VLOOKUP('Données projet'!$B$15,Paramètres!$A$1:$I$89,3,0)*VLOOKUP('Données projet'!$B$15,Paramètres!$A$1:$I$89,5,0)</f>
        <v>395.68463999999972</v>
      </c>
      <c r="EL107" s="14">
        <f t="shared" si="99"/>
        <v>90.901240669453898</v>
      </c>
      <c r="EM107" s="22">
        <f t="shared" si="73"/>
        <v>847.47040883263162</v>
      </c>
      <c r="EN107" s="62">
        <f t="shared" si="74"/>
        <v>1140.8037421659649</v>
      </c>
      <c r="EO107" s="62">
        <f ca="1">AVERAGE(OFFSET($EN$3,0,0,'Données projet'!$E$15+1,1))-AVERAGE(OFFSET($H$3,0,0,'Données projet'!$E$15+1,1))</f>
        <v>479.87943647026646</v>
      </c>
      <c r="EP107" s="62">
        <f t="shared" si="100"/>
        <v>242.41363045393223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3.9</v>
      </c>
      <c r="FE107" s="13">
        <f>IF('Données projet'!$A$218&gt;35,FE106+FD107-FM106,IF(A107&lt;'Données projet'!$A$218,$FB$205^A107,IF(A107='Données projet'!$A$218,'Données projet'!$B$218,FE106+FD107-FM106)))</f>
        <v>367.59999999999974</v>
      </c>
      <c r="FF107" s="18">
        <f>FE107*VLOOKUP('Données projet'!$B$16,Paramètres!$A$1:$I$89,3,0)*VLOOKUP('Données projet'!$B$16,Paramètres!$A$1:$I$89,5,0)</f>
        <v>355.54271999999975</v>
      </c>
      <c r="FG107" s="14">
        <f t="shared" si="101"/>
        <v>82.702769086589143</v>
      </c>
      <c r="FH107" s="22">
        <f t="shared" si="76"/>
        <v>763.27756015914235</v>
      </c>
      <c r="FI107" s="62">
        <f t="shared" si="77"/>
        <v>1056.6108934924757</v>
      </c>
      <c r="FJ107" s="62">
        <f ca="1">AVERAGE(OFFSET($FI$3,0,0,'Données projet'!$E$16+1,1))-AVERAGE(OFFSET($H$3,0,0,'Données projet'!$E$16+1,1))</f>
        <v>425.00152674093977</v>
      </c>
      <c r="FK107" s="62">
        <f t="shared" si="102"/>
        <v>214.96884469274687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14</v>
      </c>
      <c r="N108" s="14">
        <f>IF('Données projet'!$A$36&gt;35,N107+M108-V107,IF(A108&lt;'Données projet'!$A$36,$K$205^A108,IF(A108='Données projet'!$A$36,'Données projet'!$B$36,N107+M108-V107)))</f>
        <v>523</v>
      </c>
      <c r="O108" s="14">
        <f>N108*VLOOKUP('Données projet'!$B$9,Paramètres!$A$1:$I$89,3,0)*VLOOKUP('Données projet'!$B$9,Paramètres!$A$1:$I$89,5,0)</f>
        <v>251.56299999999999</v>
      </c>
      <c r="P108" s="14">
        <f t="shared" si="87"/>
        <v>60.920512277071609</v>
      </c>
      <c r="Q108" s="22">
        <f t="shared" si="107"/>
        <v>544.24211721589973</v>
      </c>
      <c r="R108" s="62">
        <f t="shared" si="55"/>
        <v>837.57545054923298</v>
      </c>
      <c r="S108" s="62">
        <f ca="1">AVERAGE(OFFSET($R$3,0,0,'Données projet'!$E$9+1,1))-AVERAGE(OFFSET($H$3,0,0,'Données projet'!$E$9+1,1))</f>
        <v>179.22241276165141</v>
      </c>
      <c r="T108" s="62">
        <f t="shared" si="88"/>
        <v>86.510654589692876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-6.7984728957526396E-14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157.42757749057949</v>
      </c>
      <c r="AO108" s="62">
        <f t="shared" si="90"/>
        <v>129.86070223892136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1.5840169083704598E-11</v>
      </c>
      <c r="AX108" s="23">
        <f t="shared" si="60"/>
        <v>1.5840169083704598E-11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3.9</v>
      </c>
      <c r="BD108" s="13">
        <f>IF('Données projet'!$A$88&gt;35,BD107+BC108-BL107,IF(A108&lt;'Données projet'!$A$88,$BA$205^A108,IF(A108='Données projet'!$A$88,'Données projet'!$B$88,BD107+BC108-BL107)))</f>
        <v>371.49999999999972</v>
      </c>
      <c r="BE108" s="14">
        <f>BD108*VLOOKUP('Données projet'!$B$11,Paramètres!$A$1:$I$89,3,0)*VLOOKUP('Données projet'!$B$11,Paramètres!$A$1:$I$89,5,0)</f>
        <v>388.29179999999974</v>
      </c>
      <c r="BF108" s="14">
        <f t="shared" si="91"/>
        <v>89.39891898278799</v>
      </c>
      <c r="BG108" s="22">
        <f t="shared" si="61"/>
        <v>831.97800222835531</v>
      </c>
      <c r="BH108" s="62">
        <f t="shared" si="62"/>
        <v>1125.3113355616886</v>
      </c>
      <c r="BI108" s="62">
        <f ca="1">AVERAGE(OFFSET($BH$3,0,0,'Données projet'!$E$11+1,1))-AVERAGE(OFFSET($H$3,0,0,'Données projet'!$E$11+1,1))</f>
        <v>464.21202287459482</v>
      </c>
      <c r="BJ108" s="62">
        <f t="shared" si="92"/>
        <v>234.57880205159688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1.7053025658242404E-13</v>
      </c>
      <c r="BZ108" s="14">
        <f>BY108*VLOOKUP('Données projet'!$B$12,Paramètres!$A$1:$I$89,3,0)*VLOOKUP('Données projet'!$B$12,Paramètres!$A$1:$I$89,5,0)</f>
        <v>1.3567387213697657E-13</v>
      </c>
      <c r="CA108" s="14">
        <f t="shared" si="93"/>
        <v>1.9670967679808581E-12</v>
      </c>
      <c r="CB108" s="22">
        <f t="shared" si="64"/>
        <v>3.6623255315385623E-12</v>
      </c>
      <c r="CC108" s="62">
        <f t="shared" si="65"/>
        <v>293.33333333333695</v>
      </c>
      <c r="CD108" s="62">
        <f ca="1">AVERAGE(OFFSET($CC$3,0,0,'Données projet'!$E$12+1,1))-AVERAGE(OFFSET($H$3,0,0,'Données projet'!$E$12+1,1))</f>
        <v>177.99876437322689</v>
      </c>
      <c r="CE108" s="62">
        <f t="shared" si="94"/>
        <v>165.68154380324592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4.4717948717948701</v>
      </c>
      <c r="CT108" s="13">
        <f>IF('Données projet'!$A$140&gt;35,CT107+CS108-DB107,IF(A108&lt;'Données projet'!$A$140,$CQ$205^A108,IF(A108='Données projet'!$A$140,'Données projet'!$B$140,CT107+CS108-DB107)))</f>
        <v>389.41538461538477</v>
      </c>
      <c r="CU108" s="18">
        <f>CT108*VLOOKUP('Données projet'!$B$13,Paramètres!$A$1:$I$89,3,0)*VLOOKUP('Données projet'!$B$13,Paramètres!$A$1:$I$89,5,0)</f>
        <v>217.68320000000008</v>
      </c>
      <c r="CV108" s="14">
        <f t="shared" si="95"/>
        <v>53.611030849009659</v>
      </c>
      <c r="CW108" s="22">
        <f t="shared" si="67"/>
        <v>472.50411872869199</v>
      </c>
      <c r="CX108" s="62">
        <f t="shared" si="68"/>
        <v>765.83745206202525</v>
      </c>
      <c r="CY108" s="62">
        <f ca="1">AVERAGE(OFFSET($CX$3,0,0,'Données projet'!$E$13+1,1))-AVERAGE(OFFSET($H$3,0,0,'Données projet'!$E$13+1,1))</f>
        <v>242.07451379051349</v>
      </c>
      <c r="CZ108" s="62">
        <f t="shared" si="96"/>
        <v>207.11607964940754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178.56320966726986</v>
      </c>
      <c r="DU108" s="62">
        <f t="shared" si="98"/>
        <v>272.06842551411739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0.95918877516006207</v>
      </c>
      <c r="EC108" s="23">
        <f>EXP(-LN(2)/2)*EC107+(1-EXP(-LN(2)/2))/(LN(2)/2)*DW108*DZ108*VLOOKUP('Données projet'!$B$14,Paramètres!$A$1:$I$89,3,0)*0.475*44/12</f>
        <v>8.4987328992131119E-11</v>
      </c>
      <c r="ED108" s="24">
        <f t="shared" si="72"/>
        <v>0.95918877524504942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3.9</v>
      </c>
      <c r="EJ108" s="13">
        <f>IF('Données projet'!$A$192&gt;35,EJ107+EI108-ER107,IF(A108&lt;'Données projet'!$A$192,$EG$205^A108,IF(A108='Données projet'!$A$192,'Données projet'!$B$192,EJ107+EI108-ER107)))</f>
        <v>371.49999999999972</v>
      </c>
      <c r="EK108" s="18">
        <f>EJ108*VLOOKUP('Données projet'!$B$15,Paramètres!$A$1:$I$89,3,0)*VLOOKUP('Données projet'!$B$15,Paramètres!$A$1:$I$89,5,0)</f>
        <v>399.88259999999974</v>
      </c>
      <c r="EL108" s="14">
        <f t="shared" si="99"/>
        <v>91.752863766320971</v>
      </c>
      <c r="EM108" s="22">
        <f t="shared" si="73"/>
        <v>856.26509939300843</v>
      </c>
      <c r="EN108" s="62">
        <f t="shared" si="74"/>
        <v>1149.5984327263418</v>
      </c>
      <c r="EO108" s="62">
        <f ca="1">AVERAGE(OFFSET($EN$3,0,0,'Données projet'!$E$15+1,1))-AVERAGE(OFFSET($H$3,0,0,'Données projet'!$E$15+1,1))</f>
        <v>479.87943647026646</v>
      </c>
      <c r="EP108" s="62">
        <f t="shared" si="100"/>
        <v>242.41363045393223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3.9</v>
      </c>
      <c r="FE108" s="13">
        <f>IF('Données projet'!$A$218&gt;35,FE107+FD108-FM107,IF(A108&lt;'Données projet'!$A$218,$FB$205^A108,IF(A108='Données projet'!$A$218,'Données projet'!$B$218,FE107+FD108-FM107)))</f>
        <v>371.49999999999972</v>
      </c>
      <c r="FF108" s="18">
        <f>FE108*VLOOKUP('Données projet'!$B$16,Paramètres!$A$1:$I$89,3,0)*VLOOKUP('Données projet'!$B$16,Paramètres!$A$1:$I$89,5,0)</f>
        <v>359.31479999999971</v>
      </c>
      <c r="FG108" s="14">
        <f t="shared" si="101"/>
        <v>83.477583465472222</v>
      </c>
      <c r="FH108" s="22">
        <f t="shared" si="76"/>
        <v>771.19673453569692</v>
      </c>
      <c r="FI108" s="62">
        <f t="shared" si="77"/>
        <v>1064.5300678690303</v>
      </c>
      <c r="FJ108" s="62">
        <f ca="1">AVERAGE(OFFSET($FI$3,0,0,'Données projet'!$E$16+1,1))-AVERAGE(OFFSET($H$3,0,0,'Données projet'!$E$16+1,1))</f>
        <v>425.00152674093977</v>
      </c>
      <c r="FK108" s="62">
        <f t="shared" si="102"/>
        <v>214.96884469274687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14</v>
      </c>
      <c r="N109" s="14">
        <f>IF('Données projet'!$A$36&gt;35,N108+M109-V108,IF(A109&lt;'Données projet'!$A$36,$K$205^A109,IF(A109='Données projet'!$A$36,'Données projet'!$B$36,N108+M109-V108)))</f>
        <v>537</v>
      </c>
      <c r="O109" s="14">
        <f>N109*VLOOKUP('Données projet'!$B$9,Paramètres!$A$1:$I$89,3,0)*VLOOKUP('Données projet'!$B$9,Paramètres!$A$1:$I$89,5,0)</f>
        <v>258.29700000000003</v>
      </c>
      <c r="P109" s="14">
        <f t="shared" si="87"/>
        <v>62.3592284541322</v>
      </c>
      <c r="Q109" s="22">
        <f t="shared" si="107"/>
        <v>558.4762645576136</v>
      </c>
      <c r="R109" s="62">
        <f t="shared" si="55"/>
        <v>851.80959789094686</v>
      </c>
      <c r="S109" s="62">
        <f ca="1">AVERAGE(OFFSET($R$3,0,0,'Données projet'!$E$9+1,1))-AVERAGE(OFFSET($H$3,0,0,'Données projet'!$E$9+1,1))</f>
        <v>179.22241276165141</v>
      </c>
      <c r="T109" s="62">
        <f t="shared" si="88"/>
        <v>86.510654589692876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-6.7984728957526396E-14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157.42757749057949</v>
      </c>
      <c r="AO109" s="62">
        <f t="shared" si="90"/>
        <v>129.86070223892136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1.1200690974229022E-11</v>
      </c>
      <c r="AX109" s="23">
        <f t="shared" si="60"/>
        <v>1.1200690974229022E-11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3.9</v>
      </c>
      <c r="BD109" s="13">
        <f>IF('Données projet'!$A$88&gt;35,BD108+BC109-BL108,IF(A109&lt;'Données projet'!$A$88,$BA$205^A109,IF(A109='Données projet'!$A$88,'Données projet'!$B$88,BD108+BC109-BL108)))</f>
        <v>375.39999999999969</v>
      </c>
      <c r="BE109" s="14">
        <f>BD109*VLOOKUP('Données projet'!$B$11,Paramètres!$A$1:$I$89,3,0)*VLOOKUP('Données projet'!$B$11,Paramètres!$A$1:$I$89,5,0)</f>
        <v>392.36807999999968</v>
      </c>
      <c r="BF109" s="14">
        <f t="shared" si="91"/>
        <v>90.227680100673311</v>
      </c>
      <c r="BG109" s="22">
        <f t="shared" si="61"/>
        <v>840.5209488420054</v>
      </c>
      <c r="BH109" s="62">
        <f t="shared" si="62"/>
        <v>1133.8542821753388</v>
      </c>
      <c r="BI109" s="62">
        <f ca="1">AVERAGE(OFFSET($BH$3,0,0,'Données projet'!$E$11+1,1))-AVERAGE(OFFSET($H$3,0,0,'Données projet'!$E$11+1,1))</f>
        <v>464.21202287459482</v>
      </c>
      <c r="BJ109" s="62">
        <f t="shared" si="92"/>
        <v>234.57880205159688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1.7053025658242404E-13</v>
      </c>
      <c r="BZ109" s="14">
        <f>BY109*VLOOKUP('Données projet'!$B$12,Paramètres!$A$1:$I$89,3,0)*VLOOKUP('Données projet'!$B$12,Paramètres!$A$1:$I$89,5,0)</f>
        <v>1.3567387213697657E-13</v>
      </c>
      <c r="CA109" s="14">
        <f t="shared" si="93"/>
        <v>1.9670967679808581E-12</v>
      </c>
      <c r="CB109" s="22">
        <f t="shared" si="64"/>
        <v>3.6623255315385623E-12</v>
      </c>
      <c r="CC109" s="62">
        <f t="shared" si="65"/>
        <v>293.33333333333695</v>
      </c>
      <c r="CD109" s="62">
        <f ca="1">AVERAGE(OFFSET($CC$3,0,0,'Données projet'!$E$12+1,1))-AVERAGE(OFFSET($H$3,0,0,'Données projet'!$E$12+1,1))</f>
        <v>177.99876437322689</v>
      </c>
      <c r="CE109" s="62">
        <f t="shared" si="94"/>
        <v>165.68154380324592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4.4717948717948701</v>
      </c>
      <c r="CT109" s="13">
        <f>IF('Données projet'!$A$140&gt;35,CT108+CS109-DB108,IF(A109&lt;'Données projet'!$A$140,$CQ$205^A109,IF(A109='Données projet'!$A$140,'Données projet'!$B$140,CT108+CS109-DB108)))</f>
        <v>393.88717948717965</v>
      </c>
      <c r="CU109" s="18">
        <f>CT109*VLOOKUP('Données projet'!$B$13,Paramètres!$A$1:$I$89,3,0)*VLOOKUP('Données projet'!$B$13,Paramètres!$A$1:$I$89,5,0)</f>
        <v>220.18293333333344</v>
      </c>
      <c r="CV109" s="14">
        <f t="shared" si="95"/>
        <v>54.154643453217062</v>
      </c>
      <c r="CW109" s="22">
        <f t="shared" si="67"/>
        <v>477.80461290324206</v>
      </c>
      <c r="CX109" s="62">
        <f t="shared" si="68"/>
        <v>771.13794623657532</v>
      </c>
      <c r="CY109" s="62">
        <f ca="1">AVERAGE(OFFSET($CX$3,0,0,'Données projet'!$E$13+1,1))-AVERAGE(OFFSET($H$3,0,0,'Données projet'!$E$13+1,1))</f>
        <v>242.07451379051349</v>
      </c>
      <c r="CZ109" s="62">
        <f t="shared" si="96"/>
        <v>207.11607964940754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178.56320966726986</v>
      </c>
      <c r="DU109" s="62">
        <f t="shared" si="98"/>
        <v>272.06842551411739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0.93295970766176473</v>
      </c>
      <c r="EC109" s="23">
        <f>EXP(-LN(2)/2)*EC108+(1-EXP(-LN(2)/2))/(LN(2)/2)*DW109*DZ109*VLOOKUP('Données projet'!$B$14,Paramètres!$A$1:$I$89,3,0)*0.475*44/12</f>
        <v>6.0095116645267985E-11</v>
      </c>
      <c r="ED109" s="24">
        <f t="shared" si="72"/>
        <v>0.93295970772185988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3.9</v>
      </c>
      <c r="EJ109" s="13">
        <f>IF('Données projet'!$A$192&gt;35,EJ108+EI109-ER108,IF(A109&lt;'Données projet'!$A$192,$EG$205^A109,IF(A109='Données projet'!$A$192,'Données projet'!$B$192,EJ108+EI109-ER108)))</f>
        <v>375.39999999999969</v>
      </c>
      <c r="EK109" s="18">
        <f>EJ109*VLOOKUP('Données projet'!$B$15,Paramètres!$A$1:$I$89,3,0)*VLOOKUP('Données projet'!$B$15,Paramètres!$A$1:$I$89,5,0)</f>
        <v>404.08055999999965</v>
      </c>
      <c r="EL109" s="14">
        <f t="shared" si="99"/>
        <v>92.603446824923594</v>
      </c>
      <c r="EM109" s="22">
        <f t="shared" si="73"/>
        <v>865.05797855340791</v>
      </c>
      <c r="EN109" s="62">
        <f t="shared" si="74"/>
        <v>1158.3913118867413</v>
      </c>
      <c r="EO109" s="62">
        <f ca="1">AVERAGE(OFFSET($EN$3,0,0,'Données projet'!$E$15+1,1))-AVERAGE(OFFSET($H$3,0,0,'Données projet'!$E$15+1,1))</f>
        <v>479.87943647026646</v>
      </c>
      <c r="EP109" s="62">
        <f t="shared" si="100"/>
        <v>242.41363045393223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3.9</v>
      </c>
      <c r="FE109" s="13">
        <f>IF('Données projet'!$A$218&gt;35,FE108+FD109-FM108,IF(A109&lt;'Données projet'!$A$218,$FB$205^A109,IF(A109='Données projet'!$A$218,'Données projet'!$B$218,FE108+FD109-FM108)))</f>
        <v>375.39999999999969</v>
      </c>
      <c r="FF109" s="18">
        <f>FE109*VLOOKUP('Données projet'!$B$16,Paramètres!$A$1:$I$89,3,0)*VLOOKUP('Données projet'!$B$16,Paramètres!$A$1:$I$89,5,0)</f>
        <v>363.08687999999972</v>
      </c>
      <c r="FG109" s="14">
        <f t="shared" si="101"/>
        <v>84.251451608156685</v>
      </c>
      <c r="FH109" s="22">
        <f t="shared" si="76"/>
        <v>779.11426088420569</v>
      </c>
      <c r="FI109" s="62">
        <f t="shared" si="77"/>
        <v>1072.4475942175391</v>
      </c>
      <c r="FJ109" s="62">
        <f ca="1">AVERAGE(OFFSET($FI$3,0,0,'Données projet'!$E$16+1,1))-AVERAGE(OFFSET($H$3,0,0,'Données projet'!$E$16+1,1))</f>
        <v>425.00152674093977</v>
      </c>
      <c r="FK109" s="62">
        <f t="shared" si="102"/>
        <v>214.96884469274687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14</v>
      </c>
      <c r="N110" s="14">
        <f>IF('Données projet'!$A$36&gt;35,N109+M110-V109,IF(A110&lt;'Données projet'!$A$36,$K$205^A110,IF(A110='Données projet'!$A$36,'Données projet'!$B$36,N109+M110-V109)))</f>
        <v>551</v>
      </c>
      <c r="O110" s="14">
        <f>N110*VLOOKUP('Données projet'!$B$9,Paramètres!$A$1:$I$89,3,0)*VLOOKUP('Données projet'!$B$9,Paramètres!$A$1:$I$89,5,0)</f>
        <v>265.03100000000001</v>
      </c>
      <c r="P110" s="14">
        <f t="shared" si="87"/>
        <v>63.793584745992767</v>
      </c>
      <c r="Q110" s="22">
        <f t="shared" si="107"/>
        <v>572.70281843260398</v>
      </c>
      <c r="R110" s="62">
        <f t="shared" si="55"/>
        <v>866.03615176593735</v>
      </c>
      <c r="S110" s="62">
        <f ca="1">AVERAGE(OFFSET($R$3,0,0,'Données projet'!$E$9+1,1))-AVERAGE(OFFSET($H$3,0,0,'Données projet'!$E$9+1,1))</f>
        <v>179.22241276165141</v>
      </c>
      <c r="T110" s="62">
        <f t="shared" si="88"/>
        <v>86.510654589692876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-6.7984728957526396E-14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157.42757749057949</v>
      </c>
      <c r="AO110" s="62">
        <f t="shared" si="90"/>
        <v>129.86070223892136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7.920084541852299E-12</v>
      </c>
      <c r="AX110" s="23">
        <f t="shared" si="60"/>
        <v>7.920084541852299E-12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3.9</v>
      </c>
      <c r="BD110" s="13">
        <f>IF('Données projet'!$A$88&gt;35,BD109+BC110-BL109,IF(A110&lt;'Données projet'!$A$88,$BA$205^A110,IF(A110='Données projet'!$A$88,'Données projet'!$B$88,BD109+BC110-BL109)))</f>
        <v>379.29999999999967</v>
      </c>
      <c r="BE110" s="14">
        <f>BD110*VLOOKUP('Données projet'!$B$11,Paramètres!$A$1:$I$89,3,0)*VLOOKUP('Données projet'!$B$11,Paramètres!$A$1:$I$89,5,0)</f>
        <v>396.44435999999968</v>
      </c>
      <c r="BF110" s="14">
        <f t="shared" si="91"/>
        <v>91.055439609172751</v>
      </c>
      <c r="BG110" s="22">
        <f t="shared" si="61"/>
        <v>849.06215098597534</v>
      </c>
      <c r="BH110" s="62">
        <f t="shared" si="62"/>
        <v>1142.3954843193087</v>
      </c>
      <c r="BI110" s="62">
        <f ca="1">AVERAGE(OFFSET($BH$3,0,0,'Données projet'!$E$11+1,1))-AVERAGE(OFFSET($H$3,0,0,'Données projet'!$E$11+1,1))</f>
        <v>464.21202287459482</v>
      </c>
      <c r="BJ110" s="62">
        <f t="shared" si="92"/>
        <v>234.57880205159688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1.7053025658242404E-13</v>
      </c>
      <c r="BZ110" s="14">
        <f>BY110*VLOOKUP('Données projet'!$B$12,Paramètres!$A$1:$I$89,3,0)*VLOOKUP('Données projet'!$B$12,Paramètres!$A$1:$I$89,5,0)</f>
        <v>1.3567387213697657E-13</v>
      </c>
      <c r="CA110" s="14">
        <f t="shared" si="93"/>
        <v>1.9670967679808581E-12</v>
      </c>
      <c r="CB110" s="22">
        <f t="shared" si="64"/>
        <v>3.6623255315385623E-12</v>
      </c>
      <c r="CC110" s="62">
        <f t="shared" si="65"/>
        <v>293.33333333333695</v>
      </c>
      <c r="CD110" s="62">
        <f ca="1">AVERAGE(OFFSET($CC$3,0,0,'Données projet'!$E$12+1,1))-AVERAGE(OFFSET($H$3,0,0,'Données projet'!$E$12+1,1))</f>
        <v>177.99876437322689</v>
      </c>
      <c r="CE110" s="62">
        <f t="shared" si="94"/>
        <v>165.68154380324592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4.4717948717948701</v>
      </c>
      <c r="CT110" s="13">
        <f>IF('Données projet'!$A$140&gt;35,CT109+CS110-DB109,IF(A110&lt;'Données projet'!$A$140,$CQ$205^A110,IF(A110='Données projet'!$A$140,'Données projet'!$B$140,CT109+CS110-DB109)))</f>
        <v>398.35897435897454</v>
      </c>
      <c r="CU110" s="18">
        <f>CT110*VLOOKUP('Données projet'!$B$13,Paramètres!$A$1:$I$89,3,0)*VLOOKUP('Données projet'!$B$13,Paramètres!$A$1:$I$89,5,0)</f>
        <v>222.68266666666679</v>
      </c>
      <c r="CV110" s="14">
        <f t="shared" si="95"/>
        <v>54.697538138392133</v>
      </c>
      <c r="CW110" s="22">
        <f t="shared" si="67"/>
        <v>483.10385670214424</v>
      </c>
      <c r="CX110" s="62">
        <f t="shared" si="68"/>
        <v>776.43719003547756</v>
      </c>
      <c r="CY110" s="62">
        <f ca="1">AVERAGE(OFFSET($CX$3,0,0,'Données projet'!$E$13+1,1))-AVERAGE(OFFSET($H$3,0,0,'Données projet'!$E$13+1,1))</f>
        <v>242.07451379051349</v>
      </c>
      <c r="CZ110" s="62">
        <f t="shared" si="96"/>
        <v>207.11607964940754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178.56320966726986</v>
      </c>
      <c r="DU110" s="62">
        <f t="shared" si="98"/>
        <v>272.06842551411739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0.907447875393535</v>
      </c>
      <c r="EC110" s="23">
        <f>EXP(-LN(2)/2)*EC109+(1-EXP(-LN(2)/2))/(LN(2)/2)*DW110*DZ110*VLOOKUP('Données projet'!$B$14,Paramètres!$A$1:$I$89,3,0)*0.475*44/12</f>
        <v>4.249366449606556E-11</v>
      </c>
      <c r="ED110" s="24">
        <f t="shared" si="72"/>
        <v>0.90744787543602867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3.9</v>
      </c>
      <c r="EJ110" s="13">
        <f>IF('Données projet'!$A$192&gt;35,EJ109+EI110-ER109,IF(A110&lt;'Données projet'!$A$192,$EG$205^A110,IF(A110='Données projet'!$A$192,'Données projet'!$B$192,EJ109+EI110-ER109)))</f>
        <v>379.29999999999967</v>
      </c>
      <c r="EK110" s="18">
        <f>EJ110*VLOOKUP('Données projet'!$B$15,Paramètres!$A$1:$I$89,3,0)*VLOOKUP('Données projet'!$B$15,Paramètres!$A$1:$I$89,5,0)</f>
        <v>408.27851999999962</v>
      </c>
      <c r="EL110" s="14">
        <f t="shared" si="99"/>
        <v>93.453001900967067</v>
      </c>
      <c r="EM110" s="22">
        <f t="shared" si="73"/>
        <v>873.84906731085027</v>
      </c>
      <c r="EN110" s="62">
        <f t="shared" si="74"/>
        <v>1167.1824006441836</v>
      </c>
      <c r="EO110" s="62">
        <f ca="1">AVERAGE(OFFSET($EN$3,0,0,'Données projet'!$E$15+1,1))-AVERAGE(OFFSET($H$3,0,0,'Données projet'!$E$15+1,1))</f>
        <v>479.87943647026646</v>
      </c>
      <c r="EP110" s="62">
        <f t="shared" si="100"/>
        <v>242.41363045393223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3.9</v>
      </c>
      <c r="FE110" s="13">
        <f>IF('Données projet'!$A$218&gt;35,FE109+FD110-FM109,IF(A110&lt;'Données projet'!$A$218,$FB$205^A110,IF(A110='Données projet'!$A$218,'Données projet'!$B$218,FE109+FD110-FM109)))</f>
        <v>379.29999999999967</v>
      </c>
      <c r="FF110" s="18">
        <f>FE110*VLOOKUP('Données projet'!$B$16,Paramètres!$A$1:$I$89,3,0)*VLOOKUP('Données projet'!$B$16,Paramètres!$A$1:$I$89,5,0)</f>
        <v>366.85895999999968</v>
      </c>
      <c r="FG110" s="14">
        <f t="shared" si="101"/>
        <v>85.024384483031881</v>
      </c>
      <c r="FH110" s="22">
        <f t="shared" si="76"/>
        <v>787.03015830794664</v>
      </c>
      <c r="FI110" s="62">
        <f t="shared" si="77"/>
        <v>1080.36349164128</v>
      </c>
      <c r="FJ110" s="62">
        <f ca="1">AVERAGE(OFFSET($FI$3,0,0,'Données projet'!$E$16+1,1))-AVERAGE(OFFSET($H$3,0,0,'Données projet'!$E$16+1,1))</f>
        <v>425.00152674093977</v>
      </c>
      <c r="FK110" s="62">
        <f t="shared" si="102"/>
        <v>214.96884469274687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14</v>
      </c>
      <c r="N111" s="14">
        <f>IF('Données projet'!$A$36&gt;35,N110+M111-V110,IF(A111&lt;'Données projet'!$A$36,$K$205^A111,IF(A111='Données projet'!$A$36,'Données projet'!$B$36,N110+M111-V110)))</f>
        <v>565</v>
      </c>
      <c r="O111" s="14">
        <f>N111*VLOOKUP('Données projet'!$B$9,Paramètres!$A$1:$I$89,3,0)*VLOOKUP('Données projet'!$B$9,Paramètres!$A$1:$I$89,5,0)</f>
        <v>271.76500000000004</v>
      </c>
      <c r="P111" s="14">
        <f t="shared" si="87"/>
        <v>65.223704668824254</v>
      </c>
      <c r="Q111" s="22">
        <f t="shared" si="107"/>
        <v>586.92199396486899</v>
      </c>
      <c r="R111" s="62">
        <f t="shared" si="55"/>
        <v>880.25532729820225</v>
      </c>
      <c r="S111" s="62">
        <f ca="1">AVERAGE(OFFSET($R$3,0,0,'Données projet'!$E$9+1,1))-AVERAGE(OFFSET($H$3,0,0,'Données projet'!$E$9+1,1))</f>
        <v>179.22241276165141</v>
      </c>
      <c r="T111" s="62">
        <f t="shared" si="88"/>
        <v>86.510654589692876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-6.7984728957526396E-14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157.42757749057949</v>
      </c>
      <c r="AO111" s="62">
        <f t="shared" si="90"/>
        <v>129.86070223892136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5.6003454871145111E-12</v>
      </c>
      <c r="AX111" s="23">
        <f t="shared" si="60"/>
        <v>5.6003454871145111E-12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3.9</v>
      </c>
      <c r="BD111" s="13">
        <f>IF('Données projet'!$A$88&gt;35,BD110+BC111-BL110,IF(A111&lt;'Données projet'!$A$88,$BA$205^A111,IF(A111='Données projet'!$A$88,'Données projet'!$B$88,BD110+BC111-BL110)))</f>
        <v>383.19999999999965</v>
      </c>
      <c r="BE111" s="14">
        <f>BD111*VLOOKUP('Données projet'!$B$11,Paramètres!$A$1:$I$89,3,0)*VLOOKUP('Données projet'!$B$11,Paramètres!$A$1:$I$89,5,0)</f>
        <v>400.52063999999973</v>
      </c>
      <c r="BF111" s="14">
        <f t="shared" si="91"/>
        <v>91.882208999224503</v>
      </c>
      <c r="BG111" s="22">
        <f t="shared" si="61"/>
        <v>857.60162867364886</v>
      </c>
      <c r="BH111" s="62">
        <f t="shared" si="62"/>
        <v>1150.9349620069822</v>
      </c>
      <c r="BI111" s="62">
        <f ca="1">AVERAGE(OFFSET($BH$3,0,0,'Données projet'!$E$11+1,1))-AVERAGE(OFFSET($H$3,0,0,'Données projet'!$E$11+1,1))</f>
        <v>464.21202287459482</v>
      </c>
      <c r="BJ111" s="62">
        <f t="shared" si="92"/>
        <v>234.57880205159688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1.7053025658242404E-13</v>
      </c>
      <c r="BZ111" s="14">
        <f>BY111*VLOOKUP('Données projet'!$B$12,Paramètres!$A$1:$I$89,3,0)*VLOOKUP('Données projet'!$B$12,Paramètres!$A$1:$I$89,5,0)</f>
        <v>1.3567387213697657E-13</v>
      </c>
      <c r="CA111" s="14">
        <f t="shared" si="93"/>
        <v>1.9670967679808581E-12</v>
      </c>
      <c r="CB111" s="22">
        <f t="shared" si="64"/>
        <v>3.6623255315385623E-12</v>
      </c>
      <c r="CC111" s="62">
        <f t="shared" si="65"/>
        <v>293.33333333333695</v>
      </c>
      <c r="CD111" s="62">
        <f ca="1">AVERAGE(OFFSET($CC$3,0,0,'Données projet'!$E$12+1,1))-AVERAGE(OFFSET($H$3,0,0,'Données projet'!$E$12+1,1))</f>
        <v>177.99876437322689</v>
      </c>
      <c r="CE111" s="62">
        <f t="shared" si="94"/>
        <v>165.68154380324592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>
        <f>VLOOKUP(A111,'Données projet'!$A$139:$I$159,2,0)</f>
        <v>402.83076923076919</v>
      </c>
      <c r="CR111" s="13">
        <f>VLOOKUP(A111,'Données projet'!$A$139:$I$159,9,0)</f>
        <v>4.4717948717948701</v>
      </c>
      <c r="CS111" s="13">
        <f t="array" ref="CS111">INDEX(CR:CR,MIN(IF(ISNUMBER(CR111:CR307),ROW(CR111:CR307),"")))</f>
        <v>4.4717948717948701</v>
      </c>
      <c r="CT111" s="13">
        <f>IF('Données projet'!$A$140&gt;35,CT110+CS111-DB110,IF(A111&lt;'Données projet'!$A$140,$CQ$205^A111,IF(A111='Données projet'!$A$140,'Données projet'!$B$140,CT110+CS111-DB110)))</f>
        <v>402.83076923076942</v>
      </c>
      <c r="CU111" s="18">
        <f>CT111*VLOOKUP('Données projet'!$B$13,Paramètres!$A$1:$I$89,3,0)*VLOOKUP('Données projet'!$B$13,Paramètres!$A$1:$I$89,5,0)</f>
        <v>225.18240000000009</v>
      </c>
      <c r="CV111" s="14">
        <f t="shared" si="95"/>
        <v>55.239723896139161</v>
      </c>
      <c r="CW111" s="22">
        <f t="shared" si="67"/>
        <v>488.40186578577578</v>
      </c>
      <c r="CX111" s="62">
        <f t="shared" si="68"/>
        <v>781.7351991191091</v>
      </c>
      <c r="CY111" s="62">
        <f ca="1">AVERAGE(OFFSET($CX$3,0,0,'Données projet'!$E$13+1,1))-AVERAGE(OFFSET($H$3,0,0,'Données projet'!$E$13+1,1))</f>
        <v>242.07451379051349</v>
      </c>
      <c r="CZ111" s="62">
        <f t="shared" si="96"/>
        <v>207.11607964940754</v>
      </c>
      <c r="DA111" s="16">
        <f>IF(ISNA(VLOOKUP(A111,'Données projet'!$A$139:$I$159,3,0)),0,VLOOKUP(A111,'Données projet'!$A$139:$I$159,3,0))</f>
        <v>8</v>
      </c>
      <c r="DB111" s="16">
        <f>IF(ISNA(VLOOKUP(A111,'Données projet'!$A$139:$I$159,4,0)),0,VLOOKUP(A111,'Données projet'!$A$139:$I$159,4,0))</f>
        <v>52.361538461538451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178.56320966726986</v>
      </c>
      <c r="DU111" s="62">
        <f t="shared" si="98"/>
        <v>272.06842551411739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0.88263366552028899</v>
      </c>
      <c r="EC111" s="23">
        <f>EXP(-LN(2)/2)*EC110+(1-EXP(-LN(2)/2))/(LN(2)/2)*DW111*DZ111*VLOOKUP('Données projet'!$B$14,Paramètres!$A$1:$I$89,3,0)*0.475*44/12</f>
        <v>3.0047558322633993E-11</v>
      </c>
      <c r="ED111" s="24">
        <f t="shared" si="72"/>
        <v>0.88263366555033651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3.9</v>
      </c>
      <c r="EJ111" s="13">
        <f>IF('Données projet'!$A$192&gt;35,EJ110+EI111-ER110,IF(A111&lt;'Données projet'!$A$192,$EG$205^A111,IF(A111='Données projet'!$A$192,'Données projet'!$B$192,EJ110+EI111-ER110)))</f>
        <v>383.19999999999965</v>
      </c>
      <c r="EK111" s="18">
        <f>EJ111*VLOOKUP('Données projet'!$B$15,Paramètres!$A$1:$I$89,3,0)*VLOOKUP('Données projet'!$B$15,Paramètres!$A$1:$I$89,5,0)</f>
        <v>412.47647999999958</v>
      </c>
      <c r="EL111" s="14">
        <f t="shared" si="99"/>
        <v>94.301540787955119</v>
      </c>
      <c r="EM111" s="22">
        <f t="shared" si="73"/>
        <v>882.63838620568777</v>
      </c>
      <c r="EN111" s="62">
        <f t="shared" si="74"/>
        <v>1175.971719539021</v>
      </c>
      <c r="EO111" s="62">
        <f ca="1">AVERAGE(OFFSET($EN$3,0,0,'Données projet'!$E$15+1,1))-AVERAGE(OFFSET($H$3,0,0,'Données projet'!$E$15+1,1))</f>
        <v>479.87943647026646</v>
      </c>
      <c r="EP111" s="62">
        <f t="shared" si="100"/>
        <v>242.41363045393223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3.9</v>
      </c>
      <c r="FE111" s="13">
        <f>IF('Données projet'!$A$218&gt;35,FE110+FD111-FM110,IF(A111&lt;'Données projet'!$A$218,$FB$205^A111,IF(A111='Données projet'!$A$218,'Données projet'!$B$218,FE110+FD111-FM110)))</f>
        <v>383.19999999999965</v>
      </c>
      <c r="FF111" s="18">
        <f>FE111*VLOOKUP('Données projet'!$B$16,Paramètres!$A$1:$I$89,3,0)*VLOOKUP('Données projet'!$B$16,Paramètres!$A$1:$I$89,5,0)</f>
        <v>370.63103999999964</v>
      </c>
      <c r="FG111" s="14">
        <f t="shared" si="101"/>
        <v>85.796392819933928</v>
      </c>
      <c r="FH111" s="22">
        <f t="shared" si="76"/>
        <v>794.94444549471757</v>
      </c>
      <c r="FI111" s="62">
        <f t="shared" si="77"/>
        <v>1088.2777788280509</v>
      </c>
      <c r="FJ111" s="62">
        <f ca="1">AVERAGE(OFFSET($FI$3,0,0,'Données projet'!$E$16+1,1))-AVERAGE(OFFSET($H$3,0,0,'Données projet'!$E$16+1,1))</f>
        <v>425.00152674093977</v>
      </c>
      <c r="FK111" s="62">
        <f t="shared" si="102"/>
        <v>214.96884469274687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14</v>
      </c>
      <c r="N112" s="14">
        <f>IF('Données projet'!$A$36&gt;35,N111+M112-V111,IF(A112&lt;'Données projet'!$A$36,$K$205^A112,IF(A112='Données projet'!$A$36,'Données projet'!$B$36,N111+M112-V111)))</f>
        <v>579</v>
      </c>
      <c r="O112" s="14">
        <f>N112*VLOOKUP('Données projet'!$B$9,Paramètres!$A$1:$I$89,3,0)*VLOOKUP('Données projet'!$B$9,Paramètres!$A$1:$I$89,5,0)</f>
        <v>278.49900000000002</v>
      </c>
      <c r="P112" s="14">
        <f t="shared" si="87"/>
        <v>66.649705268727473</v>
      </c>
      <c r="Q112" s="22">
        <f t="shared" si="107"/>
        <v>601.13399500970036</v>
      </c>
      <c r="R112" s="62">
        <f t="shared" si="55"/>
        <v>894.46732834303361</v>
      </c>
      <c r="S112" s="62">
        <f ca="1">AVERAGE(OFFSET($R$3,0,0,'Données projet'!$E$9+1,1))-AVERAGE(OFFSET($H$3,0,0,'Données projet'!$E$9+1,1))</f>
        <v>179.22241276165141</v>
      </c>
      <c r="T112" s="62">
        <f t="shared" si="88"/>
        <v>86.510654589692876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-6.7984728957526396E-14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157.42757749057949</v>
      </c>
      <c r="AO112" s="62">
        <f t="shared" si="90"/>
        <v>129.86070223892136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3.9600422709261495E-12</v>
      </c>
      <c r="AX112" s="23">
        <f t="shared" si="60"/>
        <v>3.9600422709261495E-12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3.9</v>
      </c>
      <c r="BD112" s="13">
        <f>IF('Données projet'!$A$88&gt;35,BD111+BC112-BL111,IF(A112&lt;'Données projet'!$A$88,$BA$205^A112,IF(A112='Données projet'!$A$88,'Données projet'!$B$88,BD111+BC112-BL111)))</f>
        <v>387.09999999999962</v>
      </c>
      <c r="BE112" s="14">
        <f>BD112*VLOOKUP('Données projet'!$B$11,Paramètres!$A$1:$I$89,3,0)*VLOOKUP('Données projet'!$B$11,Paramètres!$A$1:$I$89,5,0)</f>
        <v>404.59691999999961</v>
      </c>
      <c r="BF112" s="14">
        <f t="shared" si="91"/>
        <v>92.707999514390892</v>
      </c>
      <c r="BG112" s="22">
        <f t="shared" si="61"/>
        <v>866.1394014875633</v>
      </c>
      <c r="BH112" s="62">
        <f t="shared" si="62"/>
        <v>1159.4727348208967</v>
      </c>
      <c r="BI112" s="62">
        <f ca="1">AVERAGE(OFFSET($BH$3,0,0,'Données projet'!$E$11+1,1))-AVERAGE(OFFSET($H$3,0,0,'Données projet'!$E$11+1,1))</f>
        <v>464.21202287459482</v>
      </c>
      <c r="BJ112" s="62">
        <f t="shared" si="92"/>
        <v>234.57880205159688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1.7053025658242404E-13</v>
      </c>
      <c r="BZ112" s="14">
        <f>BY112*VLOOKUP('Données projet'!$B$12,Paramètres!$A$1:$I$89,3,0)*VLOOKUP('Données projet'!$B$12,Paramètres!$A$1:$I$89,5,0)</f>
        <v>1.3567387213697657E-13</v>
      </c>
      <c r="CA112" s="14">
        <f t="shared" si="93"/>
        <v>1.9670967679808581E-12</v>
      </c>
      <c r="CB112" s="22">
        <f t="shared" si="64"/>
        <v>3.6623255315385623E-12</v>
      </c>
      <c r="CC112" s="62">
        <f t="shared" si="65"/>
        <v>293.33333333333695</v>
      </c>
      <c r="CD112" s="62">
        <f ca="1">AVERAGE(OFFSET($CC$3,0,0,'Données projet'!$E$12+1,1))-AVERAGE(OFFSET($H$3,0,0,'Données projet'!$E$12+1,1))</f>
        <v>177.99876437322689</v>
      </c>
      <c r="CE112" s="62">
        <f t="shared" si="94"/>
        <v>165.68154380324592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3.4711538461538445</v>
      </c>
      <c r="CT112" s="13">
        <f>IF('Données projet'!$A$140&gt;35,CT111+CS112-DB111,IF(A112&lt;'Données projet'!$A$140,$CQ$205^A112,IF(A112='Données projet'!$A$140,'Données projet'!$B$140,CT111+CS112-DB111)))</f>
        <v>353.94038461538486</v>
      </c>
      <c r="CU112" s="18">
        <f>CT112*VLOOKUP('Données projet'!$B$13,Paramètres!$A$1:$I$89,3,0)*VLOOKUP('Données projet'!$B$13,Paramètres!$A$1:$I$89,5,0)</f>
        <v>197.85267500000012</v>
      </c>
      <c r="CV112" s="14">
        <f t="shared" si="95"/>
        <v>49.271954610952193</v>
      </c>
      <c r="CW112" s="22">
        <f t="shared" si="67"/>
        <v>430.40872990574189</v>
      </c>
      <c r="CX112" s="62">
        <f t="shared" si="68"/>
        <v>723.74206323907515</v>
      </c>
      <c r="CY112" s="62">
        <f ca="1">AVERAGE(OFFSET($CX$3,0,0,'Données projet'!$E$13+1,1))-AVERAGE(OFFSET($H$3,0,0,'Données projet'!$E$13+1,1))</f>
        <v>242.07451379051349</v>
      </c>
      <c r="CZ112" s="62">
        <f t="shared" si="96"/>
        <v>207.11607964940754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178.56320966726986</v>
      </c>
      <c r="DU112" s="62">
        <f t="shared" si="98"/>
        <v>272.06842551411739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0.85849800152094946</v>
      </c>
      <c r="EC112" s="23">
        <f>EXP(-LN(2)/2)*EC111+(1-EXP(-LN(2)/2))/(LN(2)/2)*DW112*DZ112*VLOOKUP('Données projet'!$B$14,Paramètres!$A$1:$I$89,3,0)*0.475*44/12</f>
        <v>2.124683224803278E-11</v>
      </c>
      <c r="ED112" s="24">
        <f t="shared" si="72"/>
        <v>0.85849800154219624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3.9</v>
      </c>
      <c r="EJ112" s="13">
        <f>IF('Données projet'!$A$192&gt;35,EJ111+EI112-ER111,IF(A112&lt;'Données projet'!$A$192,$EG$205^A112,IF(A112='Données projet'!$A$192,'Données projet'!$B$192,EJ111+EI112-ER111)))</f>
        <v>387.09999999999962</v>
      </c>
      <c r="EK112" s="18">
        <f>EJ112*VLOOKUP('Données projet'!$B$15,Paramètres!$A$1:$I$89,3,0)*VLOOKUP('Données projet'!$B$15,Paramètres!$A$1:$I$89,5,0)</f>
        <v>416.67443999999955</v>
      </c>
      <c r="EL112" s="14">
        <f t="shared" si="99"/>
        <v>95.149075025501887</v>
      </c>
      <c r="EM112" s="22">
        <f t="shared" si="73"/>
        <v>891.42595533608164</v>
      </c>
      <c r="EN112" s="62">
        <f t="shared" si="74"/>
        <v>1184.7592886694149</v>
      </c>
      <c r="EO112" s="62">
        <f ca="1">AVERAGE(OFFSET($EN$3,0,0,'Données projet'!$E$15+1,1))-AVERAGE(OFFSET($H$3,0,0,'Données projet'!$E$15+1,1))</f>
        <v>479.87943647026646</v>
      </c>
      <c r="EP112" s="62">
        <f t="shared" si="100"/>
        <v>242.41363045393223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3.9</v>
      </c>
      <c r="FE112" s="13">
        <f>IF('Données projet'!$A$218&gt;35,FE111+FD112-FM111,IF(A112&lt;'Données projet'!$A$218,$FB$205^A112,IF(A112='Données projet'!$A$218,'Données projet'!$B$218,FE111+FD112-FM111)))</f>
        <v>387.09999999999962</v>
      </c>
      <c r="FF112" s="18">
        <f>FE112*VLOOKUP('Données projet'!$B$16,Paramètres!$A$1:$I$89,3,0)*VLOOKUP('Données projet'!$B$16,Paramètres!$A$1:$I$89,5,0)</f>
        <v>374.4031199999996</v>
      </c>
      <c r="FG112" s="14">
        <f t="shared" si="101"/>
        <v>86.567487117708112</v>
      </c>
      <c r="FH112" s="22">
        <f t="shared" si="76"/>
        <v>802.85714073000747</v>
      </c>
      <c r="FI112" s="62">
        <f t="shared" si="77"/>
        <v>1096.1904740633408</v>
      </c>
      <c r="FJ112" s="62">
        <f ca="1">AVERAGE(OFFSET($FI$3,0,0,'Données projet'!$E$16+1,1))-AVERAGE(OFFSET($H$3,0,0,'Données projet'!$E$16+1,1))</f>
        <v>425.00152674093977</v>
      </c>
      <c r="FK112" s="62">
        <f t="shared" si="102"/>
        <v>214.96884469274687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593</v>
      </c>
      <c r="L113" s="13">
        <f>VLOOKUP(A113,'Données projet'!$A$35:$I$55,9,0)</f>
        <v>14</v>
      </c>
      <c r="M113" s="13">
        <f t="array" ref="M113">INDEX(L:L,MIN(IF(ISNUMBER(L113:L309),ROW(L113:L309),"")))</f>
        <v>14</v>
      </c>
      <c r="N113" s="14">
        <f>IF('Données projet'!$A$36&gt;35,N112+M113-V112,IF(A113&lt;'Données projet'!$A$36,$K$205^A113,IF(A113='Données projet'!$A$36,'Données projet'!$B$36,N112+M113-V112)))</f>
        <v>593</v>
      </c>
      <c r="O113" s="14">
        <f>N113*VLOOKUP('Données projet'!$B$9,Paramètres!$A$1:$I$89,3,0)*VLOOKUP('Données projet'!$B$9,Paramètres!$A$1:$I$89,5,0)</f>
        <v>285.233</v>
      </c>
      <c r="P113" s="14">
        <f t="shared" si="87"/>
        <v>68.071697608780454</v>
      </c>
      <c r="Q113" s="22">
        <f t="shared" si="107"/>
        <v>615.33901500195918</v>
      </c>
      <c r="R113" s="62">
        <f t="shared" si="55"/>
        <v>908.67234833529255</v>
      </c>
      <c r="S113" s="62">
        <f ca="1">AVERAGE(OFFSET($R$3,0,0,'Données projet'!$E$9+1,1))-AVERAGE(OFFSET($H$3,0,0,'Données projet'!$E$9+1,1))</f>
        <v>179.22241276165141</v>
      </c>
      <c r="T113" s="62">
        <f t="shared" si="88"/>
        <v>86.510654589692876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593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-6.7984728957526396E-14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157.42757749057949</v>
      </c>
      <c r="AO113" s="62">
        <f t="shared" si="90"/>
        <v>129.86070223892136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2.8001727435572555E-12</v>
      </c>
      <c r="AX113" s="23">
        <f t="shared" si="60"/>
        <v>2.8001727435572555E-12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391</v>
      </c>
      <c r="BB113" s="13">
        <f>VLOOKUP(A113,'Données projet'!$A$87:$I$107,9,0)</f>
        <v>3.9</v>
      </c>
      <c r="BC113" s="13">
        <f t="array" ref="BC113">INDEX(BB:BB,MIN(IF(ISNUMBER(BB113:BB309),ROW(BB113:BB309),"")))</f>
        <v>3.9</v>
      </c>
      <c r="BD113" s="13">
        <f>IF('Données projet'!$A$88&gt;35,BD112+BC113-BL112,IF(A113&lt;'Données projet'!$A$88,$BA$205^A113,IF(A113='Données projet'!$A$88,'Données projet'!$B$88,BD112+BC113-BL112)))</f>
        <v>390.9999999999996</v>
      </c>
      <c r="BE113" s="14">
        <f>BD113*VLOOKUP('Données projet'!$B$11,Paramètres!$A$1:$I$89,3,0)*VLOOKUP('Données projet'!$B$11,Paramètres!$A$1:$I$89,5,0)</f>
        <v>408.67319999999961</v>
      </c>
      <c r="BF113" s="14">
        <f t="shared" si="91"/>
        <v>93.5328221586214</v>
      </c>
      <c r="BG113" s="22">
        <f t="shared" si="61"/>
        <v>874.67548859293163</v>
      </c>
      <c r="BH113" s="62">
        <f t="shared" si="62"/>
        <v>1168.008821926265</v>
      </c>
      <c r="BI113" s="62">
        <f ca="1">AVERAGE(OFFSET($BH$3,0,0,'Données projet'!$E$11+1,1))-AVERAGE(OFFSET($H$3,0,0,'Données projet'!$E$11+1,1))</f>
        <v>464.21202287459482</v>
      </c>
      <c r="BJ113" s="62">
        <f t="shared" si="92"/>
        <v>234.57880205159688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34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1.7053025658242404E-13</v>
      </c>
      <c r="BZ113" s="14">
        <f>BY113*VLOOKUP('Données projet'!$B$12,Paramètres!$A$1:$I$89,3,0)*VLOOKUP('Données projet'!$B$12,Paramètres!$A$1:$I$89,5,0)</f>
        <v>1.3567387213697657E-13</v>
      </c>
      <c r="CA113" s="14">
        <f t="shared" si="93"/>
        <v>1.9670967679808581E-12</v>
      </c>
      <c r="CB113" s="22">
        <f t="shared" si="64"/>
        <v>3.6623255315385623E-12</v>
      </c>
      <c r="CC113" s="62">
        <f t="shared" si="65"/>
        <v>293.33333333333695</v>
      </c>
      <c r="CD113" s="62">
        <f ca="1">AVERAGE(OFFSET($CC$3,0,0,'Données projet'!$E$12+1,1))-AVERAGE(OFFSET($H$3,0,0,'Données projet'!$E$12+1,1))</f>
        <v>177.99876437322689</v>
      </c>
      <c r="CE113" s="62">
        <f t="shared" si="94"/>
        <v>165.68154380324592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3.4711538461538445</v>
      </c>
      <c r="CT113" s="13">
        <f>IF('Données projet'!$A$140&gt;35,CT112+CS113-DB112,IF(A113&lt;'Données projet'!$A$140,$CQ$205^A113,IF(A113='Données projet'!$A$140,'Données projet'!$B$140,CT112+CS113-DB112)))</f>
        <v>357.41153846153873</v>
      </c>
      <c r="CU113" s="18">
        <f>CT113*VLOOKUP('Données projet'!$B$13,Paramètres!$A$1:$I$89,3,0)*VLOOKUP('Données projet'!$B$13,Paramètres!$A$1:$I$89,5,0)</f>
        <v>199.79305000000014</v>
      </c>
      <c r="CV113" s="14">
        <f t="shared" si="95"/>
        <v>49.698683639083264</v>
      </c>
      <c r="CW113" s="22">
        <f t="shared" si="67"/>
        <v>434.53143608807022</v>
      </c>
      <c r="CX113" s="62">
        <f t="shared" si="68"/>
        <v>727.86476942140348</v>
      </c>
      <c r="CY113" s="62">
        <f ca="1">AVERAGE(OFFSET($CX$3,0,0,'Données projet'!$E$13+1,1))-AVERAGE(OFFSET($H$3,0,0,'Données projet'!$E$13+1,1))</f>
        <v>242.07451379051349</v>
      </c>
      <c r="CZ113" s="62">
        <f t="shared" si="96"/>
        <v>207.11607964940754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178.56320966726986</v>
      </c>
      <c r="DU113" s="62">
        <f t="shared" si="98"/>
        <v>272.06842551411739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0.83502232852291136</v>
      </c>
      <c r="EC113" s="23">
        <f>EXP(-LN(2)/2)*EC112+(1-EXP(-LN(2)/2))/(LN(2)/2)*DW113*DZ113*VLOOKUP('Données projet'!$B$14,Paramètres!$A$1:$I$89,3,0)*0.475*44/12</f>
        <v>1.5023779161316996E-11</v>
      </c>
      <c r="ED113" s="24">
        <f t="shared" si="72"/>
        <v>0.83502232853793512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391</v>
      </c>
      <c r="EH113" s="13">
        <f>VLOOKUP(A113,'Données projet'!$A$191:$I$211,9,0)</f>
        <v>3.9</v>
      </c>
      <c r="EI113" s="13">
        <f t="array" ref="EI113">INDEX(EH:EH,MIN(IF(ISNUMBER(EH113:EH309),ROW(EH113:EH309),"")))</f>
        <v>3.9</v>
      </c>
      <c r="EJ113" s="13">
        <f>IF('Données projet'!$A$192&gt;35,EJ112+EI113-ER112,IF(A113&lt;'Données projet'!$A$192,$EG$205^A113,IF(A113='Données projet'!$A$192,'Données projet'!$B$192,EJ112+EI113-ER112)))</f>
        <v>390.9999999999996</v>
      </c>
      <c r="EK113" s="18">
        <f>EJ113*VLOOKUP('Données projet'!$B$15,Paramètres!$A$1:$I$89,3,0)*VLOOKUP('Données projet'!$B$15,Paramètres!$A$1:$I$89,5,0)</f>
        <v>420.87239999999952</v>
      </c>
      <c r="EL113" s="14">
        <f t="shared" si="99"/>
        <v>95.99561590729958</v>
      </c>
      <c r="EM113" s="22">
        <f t="shared" si="73"/>
        <v>900.21179437187914</v>
      </c>
      <c r="EN113" s="62">
        <f t="shared" si="74"/>
        <v>1193.5451277052125</v>
      </c>
      <c r="EO113" s="62">
        <f ca="1">AVERAGE(OFFSET($EN$3,0,0,'Données projet'!$E$15+1,1))-AVERAGE(OFFSET($H$3,0,0,'Données projet'!$E$15+1,1))</f>
        <v>479.87943647026646</v>
      </c>
      <c r="EP113" s="62">
        <f t="shared" si="100"/>
        <v>242.41363045393223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34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391</v>
      </c>
      <c r="FC113" s="13">
        <f>VLOOKUP(A113,'Données projet'!$A$217:$I$237,9,0)</f>
        <v>3.9</v>
      </c>
      <c r="FD113" s="13">
        <f t="array" ref="FD113">INDEX(FC:FC,MIN(IF(ISNUMBER(FC113:FC309),ROW(FC113:FC309),"")))</f>
        <v>3.9</v>
      </c>
      <c r="FE113" s="13">
        <f>IF('Données projet'!$A$218&gt;35,FE112+FD113-FM112,IF(A113&lt;'Données projet'!$A$218,$FB$205^A113,IF(A113='Données projet'!$A$218,'Données projet'!$B$218,FE112+FD113-FM112)))</f>
        <v>390.9999999999996</v>
      </c>
      <c r="FF113" s="18">
        <f>FE113*VLOOKUP('Données projet'!$B$16,Paramètres!$A$1:$I$89,3,0)*VLOOKUP('Données projet'!$B$16,Paramètres!$A$1:$I$89,5,0)</f>
        <v>378.17519999999962</v>
      </c>
      <c r="FG113" s="14">
        <f t="shared" si="101"/>
        <v>87.337677651457412</v>
      </c>
      <c r="FH113" s="22">
        <f t="shared" si="76"/>
        <v>810.76826190962095</v>
      </c>
      <c r="FI113" s="62">
        <f t="shared" si="77"/>
        <v>1104.1015952429543</v>
      </c>
      <c r="FJ113" s="62">
        <f ca="1">AVERAGE(OFFSET($FI$3,0,0,'Données projet'!$E$16+1,1))-AVERAGE(OFFSET($H$3,0,0,'Données projet'!$E$16+1,1))</f>
        <v>425.00152674093977</v>
      </c>
      <c r="FK113" s="62">
        <f t="shared" si="102"/>
        <v>214.96884469274687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34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179.22241276165141</v>
      </c>
      <c r="T114" s="62">
        <f t="shared" si="88"/>
        <v>86.510654589692876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-6.7984728957526396E-14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157.42757749057949</v>
      </c>
      <c r="AO114" s="62">
        <f t="shared" si="90"/>
        <v>129.86070223892136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1.9800211354630747E-12</v>
      </c>
      <c r="AX114" s="23">
        <f t="shared" si="60"/>
        <v>1.9800211354630747E-12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3.6</v>
      </c>
      <c r="BD114" s="13">
        <f>IF('Données projet'!$A$88&gt;35,BD113+BC114-BL113,IF(A114&lt;'Données projet'!$A$88,$BA$205^A114,IF(A114='Données projet'!$A$88,'Données projet'!$B$88,BD113+BC114-BL113)))</f>
        <v>360.59999999999962</v>
      </c>
      <c r="BE114" s="14">
        <f>BD114*VLOOKUP('Données projet'!$B$11,Paramètres!$A$1:$I$89,3,0)*VLOOKUP('Données projet'!$B$11,Paramètres!$A$1:$I$89,5,0)</f>
        <v>376.89911999999964</v>
      </c>
      <c r="BF114" s="14">
        <f t="shared" si="91"/>
        <v>87.07722571464322</v>
      </c>
      <c r="BG114" s="22">
        <f t="shared" si="61"/>
        <v>808.09213545300292</v>
      </c>
      <c r="BH114" s="62">
        <f t="shared" si="62"/>
        <v>1101.4254687863363</v>
      </c>
      <c r="BI114" s="62">
        <f ca="1">AVERAGE(OFFSET($BH$3,0,0,'Données projet'!$E$11+1,1))-AVERAGE(OFFSET($H$3,0,0,'Données projet'!$E$11+1,1))</f>
        <v>464.21202287459482</v>
      </c>
      <c r="BJ114" s="62">
        <f t="shared" si="92"/>
        <v>234.57880205159688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1.7053025658242404E-13</v>
      </c>
      <c r="BZ114" s="14">
        <f>BY114*VLOOKUP('Données projet'!$B$12,Paramètres!$A$1:$I$89,3,0)*VLOOKUP('Données projet'!$B$12,Paramètres!$A$1:$I$89,5,0)</f>
        <v>1.3567387213697657E-13</v>
      </c>
      <c r="CA114" s="14">
        <f t="shared" si="93"/>
        <v>1.9670967679808581E-12</v>
      </c>
      <c r="CB114" s="22">
        <f t="shared" si="64"/>
        <v>3.6623255315385623E-12</v>
      </c>
      <c r="CC114" s="62">
        <f t="shared" si="65"/>
        <v>293.33333333333695</v>
      </c>
      <c r="CD114" s="62">
        <f ca="1">AVERAGE(OFFSET($CC$3,0,0,'Données projet'!$E$12+1,1))-AVERAGE(OFFSET($H$3,0,0,'Données projet'!$E$12+1,1))</f>
        <v>177.99876437322689</v>
      </c>
      <c r="CE114" s="62">
        <f t="shared" si="94"/>
        <v>165.68154380324592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3.4711538461538445</v>
      </c>
      <c r="CT114" s="13">
        <f>IF('Données projet'!$A$140&gt;35,CT113+CS114-DB113,IF(A114&lt;'Données projet'!$A$140,$CQ$205^A114,IF(A114='Données projet'!$A$140,'Données projet'!$B$140,CT113+CS114-DB113)))</f>
        <v>360.88269230769259</v>
      </c>
      <c r="CU114" s="18">
        <f>CT114*VLOOKUP('Données projet'!$B$13,Paramètres!$A$1:$I$89,3,0)*VLOOKUP('Données projet'!$B$13,Paramètres!$A$1:$I$89,5,0)</f>
        <v>201.73342500000015</v>
      </c>
      <c r="CV114" s="14">
        <f t="shared" si="95"/>
        <v>50.124930528254644</v>
      </c>
      <c r="CW114" s="22">
        <f t="shared" si="67"/>
        <v>438.65330254504374</v>
      </c>
      <c r="CX114" s="62">
        <f t="shared" si="68"/>
        <v>731.986635878377</v>
      </c>
      <c r="CY114" s="62">
        <f ca="1">AVERAGE(OFFSET($CX$3,0,0,'Données projet'!$E$13+1,1))-AVERAGE(OFFSET($H$3,0,0,'Données projet'!$E$13+1,1))</f>
        <v>242.07451379051349</v>
      </c>
      <c r="CZ114" s="62">
        <f t="shared" si="96"/>
        <v>207.11607964940754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178.56320966726986</v>
      </c>
      <c r="DU114" s="62">
        <f t="shared" si="98"/>
        <v>272.06842551411739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0.8121885990375366</v>
      </c>
      <c r="EC114" s="23">
        <f>EXP(-LN(2)/2)*EC113+(1-EXP(-LN(2)/2))/(LN(2)/2)*DW114*DZ114*VLOOKUP('Données projet'!$B$14,Paramètres!$A$1:$I$89,3,0)*0.475*44/12</f>
        <v>1.062341612401639E-11</v>
      </c>
      <c r="ED114" s="24">
        <f t="shared" si="72"/>
        <v>0.81218859904815999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3.6</v>
      </c>
      <c r="EJ114" s="13">
        <f>IF('Données projet'!$A$192&gt;35,EJ113+EI114-ER113,IF(A114&lt;'Données projet'!$A$192,$EG$205^A114,IF(A114='Données projet'!$A$192,'Données projet'!$B$192,EJ113+EI114-ER113)))</f>
        <v>360.59999999999962</v>
      </c>
      <c r="EK114" s="18">
        <f>EJ114*VLOOKUP('Données projet'!$B$15,Paramètres!$A$1:$I$89,3,0)*VLOOKUP('Données projet'!$B$15,Paramètres!$A$1:$I$89,5,0)</f>
        <v>388.14983999999959</v>
      </c>
      <c r="EL114" s="14">
        <f t="shared" si="99"/>
        <v>89.370038464146063</v>
      </c>
      <c r="EM114" s="22">
        <f t="shared" si="73"/>
        <v>831.68045499172024</v>
      </c>
      <c r="EN114" s="62">
        <f t="shared" si="74"/>
        <v>1125.0137883250536</v>
      </c>
      <c r="EO114" s="62">
        <f ca="1">AVERAGE(OFFSET($EN$3,0,0,'Données projet'!$E$15+1,1))-AVERAGE(OFFSET($H$3,0,0,'Données projet'!$E$15+1,1))</f>
        <v>479.87943647026646</v>
      </c>
      <c r="EP114" s="62">
        <f t="shared" si="100"/>
        <v>242.41363045393223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3.6</v>
      </c>
      <c r="FE114" s="13">
        <f>IF('Données projet'!$A$218&gt;35,FE113+FD114-FM113,IF(A114&lt;'Données projet'!$A$218,$FB$205^A114,IF(A114='Données projet'!$A$218,'Données projet'!$B$218,FE113+FD114-FM113)))</f>
        <v>360.59999999999962</v>
      </c>
      <c r="FF114" s="18">
        <f>FE114*VLOOKUP('Données projet'!$B$16,Paramètres!$A$1:$I$89,3,0)*VLOOKUP('Données projet'!$B$16,Paramètres!$A$1:$I$89,5,0)</f>
        <v>348.77231999999964</v>
      </c>
      <c r="FG114" s="14">
        <f t="shared" si="101"/>
        <v>81.30966750208016</v>
      </c>
      <c r="FH114" s="22">
        <f t="shared" si="76"/>
        <v>749.0594615661222</v>
      </c>
      <c r="FI114" s="62">
        <f t="shared" si="77"/>
        <v>1042.3927948994556</v>
      </c>
      <c r="FJ114" s="62">
        <f ca="1">AVERAGE(OFFSET($FI$3,0,0,'Données projet'!$E$16+1,1))-AVERAGE(OFFSET($H$3,0,0,'Données projet'!$E$16+1,1))</f>
        <v>425.00152674093977</v>
      </c>
      <c r="FK114" s="62">
        <f t="shared" si="102"/>
        <v>214.96884469274687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179.22241276165141</v>
      </c>
      <c r="T115" s="62">
        <f t="shared" si="88"/>
        <v>86.510654589692876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-6.7984728957526396E-14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157.42757749057949</v>
      </c>
      <c r="AO115" s="62">
        <f t="shared" si="90"/>
        <v>129.86070223892136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1.4000863717786278E-12</v>
      </c>
      <c r="AX115" s="23">
        <f t="shared" si="60"/>
        <v>1.4000863717786278E-12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3.6</v>
      </c>
      <c r="BD115" s="13">
        <f>IF('Données projet'!$A$88&gt;35,BD114+BC115-BL114,IF(A115&lt;'Données projet'!$A$88,$BA$205^A115,IF(A115='Données projet'!$A$88,'Données projet'!$B$88,BD114+BC115-BL114)))</f>
        <v>364.19999999999965</v>
      </c>
      <c r="BE115" s="14">
        <f>BD115*VLOOKUP('Données projet'!$B$11,Paramètres!$A$1:$I$89,3,0)*VLOOKUP('Données projet'!$B$11,Paramètres!$A$1:$I$89,5,0)</f>
        <v>380.6618399999997</v>
      </c>
      <c r="BF115" s="14">
        <f t="shared" si="91"/>
        <v>87.844915196666875</v>
      </c>
      <c r="BG115" s="22">
        <f t="shared" si="61"/>
        <v>815.98259863419435</v>
      </c>
      <c r="BH115" s="62">
        <f t="shared" si="62"/>
        <v>1109.3159319675276</v>
      </c>
      <c r="BI115" s="62">
        <f ca="1">AVERAGE(OFFSET($BH$3,0,0,'Données projet'!$E$11+1,1))-AVERAGE(OFFSET($H$3,0,0,'Données projet'!$E$11+1,1))</f>
        <v>464.21202287459482</v>
      </c>
      <c r="BJ115" s="62">
        <f t="shared" si="92"/>
        <v>234.57880205159688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1.7053025658242404E-13</v>
      </c>
      <c r="BZ115" s="14">
        <f>BY115*VLOOKUP('Données projet'!$B$12,Paramètres!$A$1:$I$89,3,0)*VLOOKUP('Données projet'!$B$12,Paramètres!$A$1:$I$89,5,0)</f>
        <v>1.3567387213697657E-13</v>
      </c>
      <c r="CA115" s="14">
        <f t="shared" si="93"/>
        <v>1.9670967679808581E-12</v>
      </c>
      <c r="CB115" s="22">
        <f t="shared" si="64"/>
        <v>3.6623255315385623E-12</v>
      </c>
      <c r="CC115" s="62">
        <f t="shared" si="65"/>
        <v>293.33333333333695</v>
      </c>
      <c r="CD115" s="62">
        <f ca="1">AVERAGE(OFFSET($CC$3,0,0,'Données projet'!$E$12+1,1))-AVERAGE(OFFSET($H$3,0,0,'Données projet'!$E$12+1,1))</f>
        <v>177.99876437322689</v>
      </c>
      <c r="CE115" s="62">
        <f t="shared" si="94"/>
        <v>165.68154380324592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3.4711538461538445</v>
      </c>
      <c r="CT115" s="13">
        <f>IF('Données projet'!$A$140&gt;35,CT114+CS115-DB114,IF(A115&lt;'Données projet'!$A$140,$CQ$205^A115,IF(A115='Données projet'!$A$140,'Données projet'!$B$140,CT114+CS115-DB114)))</f>
        <v>364.35384615384646</v>
      </c>
      <c r="CU115" s="18">
        <f>CT115*VLOOKUP('Données projet'!$B$13,Paramètres!$A$1:$I$89,3,0)*VLOOKUP('Données projet'!$B$13,Paramètres!$A$1:$I$89,5,0)</f>
        <v>203.67380000000017</v>
      </c>
      <c r="CV115" s="14">
        <f t="shared" si="95"/>
        <v>50.550700452988153</v>
      </c>
      <c r="CW115" s="22">
        <f t="shared" si="67"/>
        <v>442.77433828895465</v>
      </c>
      <c r="CX115" s="62">
        <f t="shared" si="68"/>
        <v>736.10767162228797</v>
      </c>
      <c r="CY115" s="62">
        <f ca="1">AVERAGE(OFFSET($CX$3,0,0,'Données projet'!$E$13+1,1))-AVERAGE(OFFSET($H$3,0,0,'Données projet'!$E$13+1,1))</f>
        <v>242.07451379051349</v>
      </c>
      <c r="CZ115" s="62">
        <f t="shared" si="96"/>
        <v>207.11607964940754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178.56320966726986</v>
      </c>
      <c r="DU115" s="62">
        <f t="shared" si="98"/>
        <v>272.06842551411739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0.78997925908571298</v>
      </c>
      <c r="EC115" s="23">
        <f>EXP(-LN(2)/2)*EC114+(1-EXP(-LN(2)/2))/(LN(2)/2)*DW115*DZ115*VLOOKUP('Données projet'!$B$14,Paramètres!$A$1:$I$89,3,0)*0.475*44/12</f>
        <v>7.5118895806584982E-12</v>
      </c>
      <c r="ED115" s="24">
        <f t="shared" si="72"/>
        <v>0.78997925909322486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3.6</v>
      </c>
      <c r="EJ115" s="13">
        <f>IF('Données projet'!$A$192&gt;35,EJ114+EI115-ER114,IF(A115&lt;'Données projet'!$A$192,$EG$205^A115,IF(A115='Données projet'!$A$192,'Données projet'!$B$192,EJ114+EI115-ER114)))</f>
        <v>364.19999999999965</v>
      </c>
      <c r="EK115" s="18">
        <f>EJ115*VLOOKUP('Données projet'!$B$15,Paramètres!$A$1:$I$89,3,0)*VLOOKUP('Données projet'!$B$15,Paramètres!$A$1:$I$89,5,0)</f>
        <v>392.0248799999996</v>
      </c>
      <c r="EL115" s="14">
        <f t="shared" si="99"/>
        <v>90.157941822043668</v>
      </c>
      <c r="EM115" s="22">
        <f t="shared" si="73"/>
        <v>839.80174800672523</v>
      </c>
      <c r="EN115" s="62">
        <f t="shared" si="74"/>
        <v>1133.1350813400586</v>
      </c>
      <c r="EO115" s="62">
        <f ca="1">AVERAGE(OFFSET($EN$3,0,0,'Données projet'!$E$15+1,1))-AVERAGE(OFFSET($H$3,0,0,'Données projet'!$E$15+1,1))</f>
        <v>479.87943647026646</v>
      </c>
      <c r="EP115" s="62">
        <f t="shared" si="100"/>
        <v>242.41363045393223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3.6</v>
      </c>
      <c r="FE115" s="13">
        <f>IF('Données projet'!$A$218&gt;35,FE114+FD115-FM114,IF(A115&lt;'Données projet'!$A$218,$FB$205^A115,IF(A115='Données projet'!$A$218,'Données projet'!$B$218,FE114+FD115-FM114)))</f>
        <v>364.19999999999965</v>
      </c>
      <c r="FF115" s="18">
        <f>FE115*VLOOKUP('Données projet'!$B$16,Paramètres!$A$1:$I$89,3,0)*VLOOKUP('Données projet'!$B$16,Paramètres!$A$1:$I$89,5,0)</f>
        <v>352.25423999999964</v>
      </c>
      <c r="FG115" s="14">
        <f t="shared" si="101"/>
        <v>82.026509087419015</v>
      </c>
      <c r="FH115" s="22">
        <f t="shared" si="76"/>
        <v>756.37230466058747</v>
      </c>
      <c r="FI115" s="62">
        <f t="shared" si="77"/>
        <v>1049.7056379939208</v>
      </c>
      <c r="FJ115" s="62">
        <f ca="1">AVERAGE(OFFSET($FI$3,0,0,'Données projet'!$E$16+1,1))-AVERAGE(OFFSET($H$3,0,0,'Données projet'!$E$16+1,1))</f>
        <v>425.00152674093977</v>
      </c>
      <c r="FK115" s="62">
        <f t="shared" si="102"/>
        <v>214.96884469274687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179.22241276165141</v>
      </c>
      <c r="T116" s="62">
        <f t="shared" si="88"/>
        <v>86.510654589692876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-6.7984728957526396E-14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157.42757749057949</v>
      </c>
      <c r="AO116" s="62">
        <f t="shared" si="90"/>
        <v>129.86070223892136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9.9001056773153737E-13</v>
      </c>
      <c r="AX116" s="23">
        <f t="shared" si="60"/>
        <v>9.9001056773153737E-13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3.6</v>
      </c>
      <c r="BD116" s="13">
        <f>IF('Données projet'!$A$88&gt;35,BD115+BC116-BL115,IF(A116&lt;'Données projet'!$A$88,$BA$205^A116,IF(A116='Données projet'!$A$88,'Données projet'!$B$88,BD115+BC116-BL115)))</f>
        <v>367.79999999999967</v>
      </c>
      <c r="BE116" s="14">
        <f>BD116*VLOOKUP('Données projet'!$B$11,Paramètres!$A$1:$I$89,3,0)*VLOOKUP('Données projet'!$B$11,Paramètres!$A$1:$I$89,5,0)</f>
        <v>384.4245599999997</v>
      </c>
      <c r="BF116" s="14">
        <f t="shared" si="91"/>
        <v>88.611721885876648</v>
      </c>
      <c r="BG116" s="22">
        <f t="shared" si="61"/>
        <v>823.87152428456784</v>
      </c>
      <c r="BH116" s="62">
        <f t="shared" si="62"/>
        <v>1117.2048576179011</v>
      </c>
      <c r="BI116" s="62">
        <f ca="1">AVERAGE(OFFSET($BH$3,0,0,'Données projet'!$E$11+1,1))-AVERAGE(OFFSET($H$3,0,0,'Données projet'!$E$11+1,1))</f>
        <v>464.21202287459482</v>
      </c>
      <c r="BJ116" s="62">
        <f t="shared" si="92"/>
        <v>234.57880205159688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1.7053025658242404E-13</v>
      </c>
      <c r="BZ116" s="14">
        <f>BY116*VLOOKUP('Données projet'!$B$12,Paramètres!$A$1:$I$89,3,0)*VLOOKUP('Données projet'!$B$12,Paramètres!$A$1:$I$89,5,0)</f>
        <v>1.3567387213697657E-13</v>
      </c>
      <c r="CA116" s="14">
        <f t="shared" si="93"/>
        <v>1.9670967679808581E-12</v>
      </c>
      <c r="CB116" s="22">
        <f t="shared" si="64"/>
        <v>3.6623255315385623E-12</v>
      </c>
      <c r="CC116" s="62">
        <f t="shared" si="65"/>
        <v>293.33333333333695</v>
      </c>
      <c r="CD116" s="62">
        <f ca="1">AVERAGE(OFFSET($CC$3,0,0,'Données projet'!$E$12+1,1))-AVERAGE(OFFSET($H$3,0,0,'Données projet'!$E$12+1,1))</f>
        <v>177.99876437322689</v>
      </c>
      <c r="CE116" s="62">
        <f t="shared" si="94"/>
        <v>165.68154380324592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3.4711538461538445</v>
      </c>
      <c r="CT116" s="13">
        <f>IF('Données projet'!$A$140&gt;35,CT115+CS116-DB115,IF(A116&lt;'Données projet'!$A$140,$CQ$205^A116,IF(A116='Données projet'!$A$140,'Données projet'!$B$140,CT115+CS116-DB115)))</f>
        <v>367.82500000000033</v>
      </c>
      <c r="CU116" s="18">
        <f>CT116*VLOOKUP('Données projet'!$B$13,Paramètres!$A$1:$I$89,3,0)*VLOOKUP('Données projet'!$B$13,Paramètres!$A$1:$I$89,5,0)</f>
        <v>205.61417500000019</v>
      </c>
      <c r="CV116" s="14">
        <f t="shared" si="95"/>
        <v>50.975998483526425</v>
      </c>
      <c r="CW116" s="22">
        <f t="shared" si="67"/>
        <v>446.89455215047548</v>
      </c>
      <c r="CX116" s="62">
        <f t="shared" si="68"/>
        <v>740.22788548380879</v>
      </c>
      <c r="CY116" s="62">
        <f ca="1">AVERAGE(OFFSET($CX$3,0,0,'Données projet'!$E$13+1,1))-AVERAGE(OFFSET($H$3,0,0,'Données projet'!$E$13+1,1))</f>
        <v>242.07451379051349</v>
      </c>
      <c r="CZ116" s="62">
        <f t="shared" si="96"/>
        <v>207.11607964940754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178.56320966726986</v>
      </c>
      <c r="DU116" s="62">
        <f t="shared" si="98"/>
        <v>272.06842551411739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0.7683772347028105</v>
      </c>
      <c r="EC116" s="23">
        <f>EXP(-LN(2)/2)*EC115+(1-EXP(-LN(2)/2))/(LN(2)/2)*DW116*DZ116*VLOOKUP('Données projet'!$B$14,Paramètres!$A$1:$I$89,3,0)*0.475*44/12</f>
        <v>5.311708062008195E-12</v>
      </c>
      <c r="ED116" s="24">
        <f t="shared" si="72"/>
        <v>0.76837723470812225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3.6</v>
      </c>
      <c r="EJ116" s="13">
        <f>IF('Données projet'!$A$192&gt;35,EJ115+EI116-ER115,IF(A116&lt;'Données projet'!$A$192,$EG$205^A116,IF(A116='Données projet'!$A$192,'Données projet'!$B$192,EJ115+EI116-ER115)))</f>
        <v>367.79999999999967</v>
      </c>
      <c r="EK116" s="18">
        <f>EJ116*VLOOKUP('Données projet'!$B$15,Paramètres!$A$1:$I$89,3,0)*VLOOKUP('Données projet'!$B$15,Paramètres!$A$1:$I$89,5,0)</f>
        <v>395.89991999999961</v>
      </c>
      <c r="EL116" s="14">
        <f t="shared" si="99"/>
        <v>90.944939142489048</v>
      </c>
      <c r="EM116" s="22">
        <f t="shared" si="73"/>
        <v>847.92146300650109</v>
      </c>
      <c r="EN116" s="62">
        <f t="shared" si="74"/>
        <v>1141.2547963398345</v>
      </c>
      <c r="EO116" s="62">
        <f ca="1">AVERAGE(OFFSET($EN$3,0,0,'Données projet'!$E$15+1,1))-AVERAGE(OFFSET($H$3,0,0,'Données projet'!$E$15+1,1))</f>
        <v>479.87943647026646</v>
      </c>
      <c r="EP116" s="62">
        <f t="shared" si="100"/>
        <v>242.41363045393223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3.6</v>
      </c>
      <c r="FE116" s="13">
        <f>IF('Données projet'!$A$218&gt;35,FE115+FD116-FM115,IF(A116&lt;'Données projet'!$A$218,$FB$205^A116,IF(A116='Données projet'!$A$218,'Données projet'!$B$218,FE115+FD116-FM115)))</f>
        <v>367.79999999999967</v>
      </c>
      <c r="FF116" s="18">
        <f>FE116*VLOOKUP('Données projet'!$B$16,Paramètres!$A$1:$I$89,3,0)*VLOOKUP('Données projet'!$B$16,Paramètres!$A$1:$I$89,5,0)</f>
        <v>355.7361599999997</v>
      </c>
      <c r="FG116" s="14">
        <f t="shared" si="101"/>
        <v>82.742526351707284</v>
      </c>
      <c r="FH116" s="22">
        <f t="shared" si="76"/>
        <v>763.68371206255631</v>
      </c>
      <c r="FI116" s="62">
        <f t="shared" si="77"/>
        <v>1057.0170453958897</v>
      </c>
      <c r="FJ116" s="62">
        <f ca="1">AVERAGE(OFFSET($FI$3,0,0,'Données projet'!$E$16+1,1))-AVERAGE(OFFSET($H$3,0,0,'Données projet'!$E$16+1,1))</f>
        <v>425.00152674093977</v>
      </c>
      <c r="FK116" s="62">
        <f t="shared" si="102"/>
        <v>214.96884469274687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179.22241276165141</v>
      </c>
      <c r="T117" s="62">
        <f t="shared" si="88"/>
        <v>86.510654589692876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-6.7984728957526396E-14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157.42757749057949</v>
      </c>
      <c r="AO117" s="62">
        <f t="shared" si="90"/>
        <v>129.86070223892136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7.0004318588931389E-13</v>
      </c>
      <c r="AX117" s="23">
        <f t="shared" si="60"/>
        <v>7.0004318588931389E-13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3.6</v>
      </c>
      <c r="BD117" s="13">
        <f>IF('Données projet'!$A$88&gt;35,BD116+BC117-BL116,IF(A117&lt;'Données projet'!$A$88,$BA$205^A117,IF(A117='Données projet'!$A$88,'Données projet'!$B$88,BD116+BC117-BL116)))</f>
        <v>371.39999999999969</v>
      </c>
      <c r="BE117" s="14">
        <f>BD117*VLOOKUP('Données projet'!$B$11,Paramètres!$A$1:$I$89,3,0)*VLOOKUP('Données projet'!$B$11,Paramètres!$A$1:$I$89,5,0)</f>
        <v>388.18727999999976</v>
      </c>
      <c r="BF117" s="14">
        <f t="shared" si="91"/>
        <v>89.377655423580194</v>
      </c>
      <c r="BG117" s="22">
        <f t="shared" si="61"/>
        <v>831.75892919606849</v>
      </c>
      <c r="BH117" s="62">
        <f t="shared" si="62"/>
        <v>1125.0922625294018</v>
      </c>
      <c r="BI117" s="62">
        <f ca="1">AVERAGE(OFFSET($BH$3,0,0,'Données projet'!$E$11+1,1))-AVERAGE(OFFSET($H$3,0,0,'Données projet'!$E$11+1,1))</f>
        <v>464.21202287459482</v>
      </c>
      <c r="BJ117" s="62">
        <f t="shared" si="92"/>
        <v>234.57880205159688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1.7053025658242404E-13</v>
      </c>
      <c r="BZ117" s="14">
        <f>BY117*VLOOKUP('Données projet'!$B$12,Paramètres!$A$1:$I$89,3,0)*VLOOKUP('Données projet'!$B$12,Paramètres!$A$1:$I$89,5,0)</f>
        <v>1.3567387213697657E-13</v>
      </c>
      <c r="CA117" s="14">
        <f t="shared" si="93"/>
        <v>1.9670967679808581E-12</v>
      </c>
      <c r="CB117" s="22">
        <f t="shared" si="64"/>
        <v>3.6623255315385623E-12</v>
      </c>
      <c r="CC117" s="62">
        <f t="shared" si="65"/>
        <v>293.33333333333695</v>
      </c>
      <c r="CD117" s="62">
        <f ca="1">AVERAGE(OFFSET($CC$3,0,0,'Données projet'!$E$12+1,1))-AVERAGE(OFFSET($H$3,0,0,'Données projet'!$E$12+1,1))</f>
        <v>177.99876437322689</v>
      </c>
      <c r="CE117" s="62">
        <f t="shared" si="94"/>
        <v>165.68154380324592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3.4711538461538445</v>
      </c>
      <c r="CT117" s="13">
        <f>IF('Données projet'!$A$140&gt;35,CT116+CS117-DB116,IF(A117&lt;'Données projet'!$A$140,$CQ$205^A117,IF(A117='Données projet'!$A$140,'Données projet'!$B$140,CT116+CS117-DB116)))</f>
        <v>371.2961538461542</v>
      </c>
      <c r="CU117" s="18">
        <f>CT117*VLOOKUP('Données projet'!$B$13,Paramètres!$A$1:$I$89,3,0)*VLOOKUP('Données projet'!$B$13,Paramètres!$A$1:$I$89,5,0)</f>
        <v>207.55455000000021</v>
      </c>
      <c r="CV117" s="14">
        <f t="shared" si="95"/>
        <v>51.400829588898361</v>
      </c>
      <c r="CW117" s="22">
        <f t="shared" si="67"/>
        <v>451.01395278399832</v>
      </c>
      <c r="CX117" s="62">
        <f t="shared" si="68"/>
        <v>744.34728611733158</v>
      </c>
      <c r="CY117" s="62">
        <f ca="1">AVERAGE(OFFSET($CX$3,0,0,'Données projet'!$E$13+1,1))-AVERAGE(OFFSET($H$3,0,0,'Données projet'!$E$13+1,1))</f>
        <v>242.07451379051349</v>
      </c>
      <c r="CZ117" s="62">
        <f t="shared" si="96"/>
        <v>207.11607964940754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178.56320966726986</v>
      </c>
      <c r="DU117" s="62">
        <f t="shared" si="98"/>
        <v>272.06842551411739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0.74736591881265957</v>
      </c>
      <c r="EC117" s="23">
        <f>EXP(-LN(2)/2)*EC116+(1-EXP(-LN(2)/2))/(LN(2)/2)*DW117*DZ117*VLOOKUP('Données projet'!$B$14,Paramètres!$A$1:$I$89,3,0)*0.475*44/12</f>
        <v>3.7559447903292491E-12</v>
      </c>
      <c r="ED117" s="24">
        <f t="shared" si="72"/>
        <v>0.74736591881641556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3.6</v>
      </c>
      <c r="EJ117" s="13">
        <f>IF('Données projet'!$A$192&gt;35,EJ116+EI117-ER116,IF(A117&lt;'Données projet'!$A$192,$EG$205^A117,IF(A117='Données projet'!$A$192,'Données projet'!$B$192,EJ116+EI117-ER116)))</f>
        <v>371.39999999999969</v>
      </c>
      <c r="EK117" s="18">
        <f>EJ117*VLOOKUP('Données projet'!$B$15,Paramètres!$A$1:$I$89,3,0)*VLOOKUP('Données projet'!$B$15,Paramètres!$A$1:$I$89,5,0)</f>
        <v>399.77495999999968</v>
      </c>
      <c r="EL117" s="14">
        <f t="shared" si="99"/>
        <v>91.731040320653094</v>
      </c>
      <c r="EM117" s="22">
        <f t="shared" si="73"/>
        <v>856.03961722513702</v>
      </c>
      <c r="EN117" s="62">
        <f t="shared" si="74"/>
        <v>1149.3729505584704</v>
      </c>
      <c r="EO117" s="62">
        <f ca="1">AVERAGE(OFFSET($EN$3,0,0,'Données projet'!$E$15+1,1))-AVERAGE(OFFSET($H$3,0,0,'Données projet'!$E$15+1,1))</f>
        <v>479.87943647026646</v>
      </c>
      <c r="EP117" s="62">
        <f t="shared" si="100"/>
        <v>242.41363045393223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3.6</v>
      </c>
      <c r="FE117" s="13">
        <f>IF('Données projet'!$A$218&gt;35,FE116+FD117-FM116,IF(A117&lt;'Données projet'!$A$218,$FB$205^A117,IF(A117='Données projet'!$A$218,'Données projet'!$B$218,FE116+FD117-FM116)))</f>
        <v>371.39999999999969</v>
      </c>
      <c r="FF117" s="18">
        <f>FE117*VLOOKUP('Données projet'!$B$16,Paramètres!$A$1:$I$89,3,0)*VLOOKUP('Données projet'!$B$16,Paramètres!$A$1:$I$89,5,0)</f>
        <v>359.2180799999997</v>
      </c>
      <c r="FG117" s="14">
        <f t="shared" si="101"/>
        <v>83.457728297661106</v>
      </c>
      <c r="FH117" s="22">
        <f t="shared" si="76"/>
        <v>770.99369945175931</v>
      </c>
      <c r="FI117" s="62">
        <f t="shared" si="77"/>
        <v>1064.3270327850926</v>
      </c>
      <c r="FJ117" s="62">
        <f ca="1">AVERAGE(OFFSET($FI$3,0,0,'Données projet'!$E$16+1,1))-AVERAGE(OFFSET($H$3,0,0,'Données projet'!$E$16+1,1))</f>
        <v>425.00152674093977</v>
      </c>
      <c r="FK117" s="62">
        <f t="shared" si="102"/>
        <v>214.96884469274687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179.22241276165141</v>
      </c>
      <c r="T118" s="62">
        <f t="shared" si="88"/>
        <v>86.510654589692876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-6.7984728957526396E-14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157.42757749057949</v>
      </c>
      <c r="AO118" s="62">
        <f t="shared" si="90"/>
        <v>129.86070223892136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4.9500528386576868E-13</v>
      </c>
      <c r="AX118" s="23">
        <f t="shared" si="60"/>
        <v>4.9500528386576868E-13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3.6</v>
      </c>
      <c r="BD118" s="13">
        <f>IF('Données projet'!$A$88&gt;35,BD117+BC118-BL117,IF(A118&lt;'Données projet'!$A$88,$BA$205^A118,IF(A118='Données projet'!$A$88,'Données projet'!$B$88,BD117+BC118-BL117)))</f>
        <v>374.99999999999972</v>
      </c>
      <c r="BE118" s="14">
        <f>BD118*VLOOKUP('Données projet'!$B$11,Paramètres!$A$1:$I$89,3,0)*VLOOKUP('Données projet'!$B$11,Paramètres!$A$1:$I$89,5,0)</f>
        <v>391.94999999999976</v>
      </c>
      <c r="BF118" s="14">
        <f t="shared" si="91"/>
        <v>90.142725253402304</v>
      </c>
      <c r="BG118" s="22">
        <f t="shared" si="61"/>
        <v>839.64482981634194</v>
      </c>
      <c r="BH118" s="62">
        <f t="shared" si="62"/>
        <v>1132.9781631496753</v>
      </c>
      <c r="BI118" s="62">
        <f ca="1">AVERAGE(OFFSET($BH$3,0,0,'Données projet'!$E$11+1,1))-AVERAGE(OFFSET($H$3,0,0,'Données projet'!$E$11+1,1))</f>
        <v>464.21202287459482</v>
      </c>
      <c r="BJ118" s="62">
        <f t="shared" si="92"/>
        <v>234.57880205159688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1.7053025658242404E-13</v>
      </c>
      <c r="BZ118" s="14">
        <f>BY118*VLOOKUP('Données projet'!$B$12,Paramètres!$A$1:$I$89,3,0)*VLOOKUP('Données projet'!$B$12,Paramètres!$A$1:$I$89,5,0)</f>
        <v>1.3567387213697657E-13</v>
      </c>
      <c r="CA118" s="14">
        <f t="shared" si="93"/>
        <v>1.9670967679808581E-12</v>
      </c>
      <c r="CB118" s="22">
        <f t="shared" si="64"/>
        <v>3.6623255315385623E-12</v>
      </c>
      <c r="CC118" s="62">
        <f t="shared" si="65"/>
        <v>293.33333333333695</v>
      </c>
      <c r="CD118" s="62">
        <f ca="1">AVERAGE(OFFSET($CC$3,0,0,'Données projet'!$E$12+1,1))-AVERAGE(OFFSET($H$3,0,0,'Données projet'!$E$12+1,1))</f>
        <v>177.99876437322689</v>
      </c>
      <c r="CE118" s="62">
        <f t="shared" si="94"/>
        <v>165.68154380324592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3.4711538461538445</v>
      </c>
      <c r="CT118" s="13">
        <f>IF('Données projet'!$A$140&gt;35,CT117+CS118-DB117,IF(A118&lt;'Données projet'!$A$140,$CQ$205^A118,IF(A118='Données projet'!$A$140,'Données projet'!$B$140,CT117+CS118-DB117)))</f>
        <v>374.76730769230807</v>
      </c>
      <c r="CU118" s="18">
        <f>CT118*VLOOKUP('Données projet'!$B$13,Paramètres!$A$1:$I$89,3,0)*VLOOKUP('Données projet'!$B$13,Paramètres!$A$1:$I$89,5,0)</f>
        <v>209.49492500000022</v>
      </c>
      <c r="CV118" s="14">
        <f t="shared" si="95"/>
        <v>51.825198639866514</v>
      </c>
      <c r="CW118" s="22">
        <f t="shared" si="67"/>
        <v>455.13254867276783</v>
      </c>
      <c r="CX118" s="62">
        <f t="shared" si="68"/>
        <v>748.46588200610108</v>
      </c>
      <c r="CY118" s="62">
        <f ca="1">AVERAGE(OFFSET($CX$3,0,0,'Données projet'!$E$13+1,1))-AVERAGE(OFFSET($H$3,0,0,'Données projet'!$E$13+1,1))</f>
        <v>242.07451379051349</v>
      </c>
      <c r="CZ118" s="62">
        <f t="shared" si="96"/>
        <v>207.11607964940754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178.56320966726986</v>
      </c>
      <c r="DU118" s="62">
        <f t="shared" si="98"/>
        <v>272.06842551411739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0.7269291584604618</v>
      </c>
      <c r="EC118" s="23">
        <f>EXP(-LN(2)/2)*EC117+(1-EXP(-LN(2)/2))/(LN(2)/2)*DW118*DZ118*VLOOKUP('Données projet'!$B$14,Paramètres!$A$1:$I$89,3,0)*0.475*44/12</f>
        <v>2.6558540310040975E-12</v>
      </c>
      <c r="ED118" s="24">
        <f t="shared" si="72"/>
        <v>0.72692915846311768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3.6</v>
      </c>
      <c r="EJ118" s="13">
        <f>IF('Données projet'!$A$192&gt;35,EJ117+EI118-ER117,IF(A118&lt;'Données projet'!$A$192,$EG$205^A118,IF(A118='Données projet'!$A$192,'Données projet'!$B$192,EJ117+EI118-ER117)))</f>
        <v>374.99999999999972</v>
      </c>
      <c r="EK118" s="18">
        <f>EJ118*VLOOKUP('Données projet'!$B$15,Paramètres!$A$1:$I$89,3,0)*VLOOKUP('Données projet'!$B$15,Paramètres!$A$1:$I$89,5,0)</f>
        <v>403.64999999999964</v>
      </c>
      <c r="EL118" s="14">
        <f t="shared" si="99"/>
        <v>92.516255048818948</v>
      </c>
      <c r="EM118" s="22">
        <f t="shared" si="73"/>
        <v>864.15622754335902</v>
      </c>
      <c r="EN118" s="62">
        <f t="shared" si="74"/>
        <v>1157.4895608766924</v>
      </c>
      <c r="EO118" s="62">
        <f ca="1">AVERAGE(OFFSET($EN$3,0,0,'Données projet'!$E$15+1,1))-AVERAGE(OFFSET($H$3,0,0,'Données projet'!$E$15+1,1))</f>
        <v>479.87943647026646</v>
      </c>
      <c r="EP118" s="62">
        <f t="shared" si="100"/>
        <v>242.41363045393223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3.6</v>
      </c>
      <c r="FE118" s="13">
        <f>IF('Données projet'!$A$218&gt;35,FE117+FD118-FM117,IF(A118&lt;'Données projet'!$A$218,$FB$205^A118,IF(A118='Données projet'!$A$218,'Données projet'!$B$218,FE117+FD118-FM117)))</f>
        <v>374.99999999999972</v>
      </c>
      <c r="FF118" s="18">
        <f>FE118*VLOOKUP('Données projet'!$B$16,Paramètres!$A$1:$I$89,3,0)*VLOOKUP('Données projet'!$B$16,Paramètres!$A$1:$I$89,5,0)</f>
        <v>362.69999999999976</v>
      </c>
      <c r="FG118" s="14">
        <f t="shared" si="101"/>
        <v>84.172123743406701</v>
      </c>
      <c r="FH118" s="22">
        <f t="shared" si="76"/>
        <v>778.30228218643288</v>
      </c>
      <c r="FI118" s="62">
        <f t="shared" si="77"/>
        <v>1071.6356155197661</v>
      </c>
      <c r="FJ118" s="62">
        <f ca="1">AVERAGE(OFFSET($FI$3,0,0,'Données projet'!$E$16+1,1))-AVERAGE(OFFSET($H$3,0,0,'Données projet'!$E$16+1,1))</f>
        <v>425.00152674093977</v>
      </c>
      <c r="FK118" s="62">
        <f t="shared" si="102"/>
        <v>214.96884469274687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179.22241276165141</v>
      </c>
      <c r="T119" s="62">
        <f t="shared" si="88"/>
        <v>86.510654589692876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-6.7984728957526396E-14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157.42757749057949</v>
      </c>
      <c r="AO119" s="62">
        <f t="shared" si="90"/>
        <v>129.86070223892136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3.5002159294465694E-13</v>
      </c>
      <c r="AX119" s="23">
        <f t="shared" si="60"/>
        <v>3.5002159294465694E-13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378.59999999999974</v>
      </c>
      <c r="BE119" s="14">
        <f>BD119*VLOOKUP('Données projet'!$B$11,Paramètres!$A$1:$I$89,3,0)*VLOOKUP('Données projet'!$B$11,Paramètres!$A$1:$I$89,5,0)</f>
        <v>395.71271999999976</v>
      </c>
      <c r="BF119" s="14">
        <f t="shared" si="91"/>
        <v>90.906940627195638</v>
      </c>
      <c r="BG119" s="22">
        <f t="shared" si="61"/>
        <v>847.529242259032</v>
      </c>
      <c r="BH119" s="62">
        <f t="shared" si="62"/>
        <v>1140.8625755923654</v>
      </c>
      <c r="BI119" s="62">
        <f ca="1">AVERAGE(OFFSET($BH$3,0,0,'Données projet'!$E$11+1,1))-AVERAGE(OFFSET($H$3,0,0,'Données projet'!$E$11+1,1))</f>
        <v>464.21202287459482</v>
      </c>
      <c r="BJ119" s="62">
        <f t="shared" si="92"/>
        <v>234.57880205159688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1.7053025658242404E-13</v>
      </c>
      <c r="BZ119" s="14">
        <f>BY119*VLOOKUP('Données projet'!$B$12,Paramètres!$A$1:$I$89,3,0)*VLOOKUP('Données projet'!$B$12,Paramètres!$A$1:$I$89,5,0)</f>
        <v>1.3567387213697657E-13</v>
      </c>
      <c r="CA119" s="14">
        <f t="shared" si="93"/>
        <v>1.9670967679808581E-12</v>
      </c>
      <c r="CB119" s="22">
        <f t="shared" si="64"/>
        <v>3.6623255315385623E-12</v>
      </c>
      <c r="CC119" s="62">
        <f t="shared" si="65"/>
        <v>293.33333333333695</v>
      </c>
      <c r="CD119" s="62">
        <f ca="1">AVERAGE(OFFSET($CC$3,0,0,'Données projet'!$E$12+1,1))-AVERAGE(OFFSET($H$3,0,0,'Données projet'!$E$12+1,1))</f>
        <v>177.99876437322689</v>
      </c>
      <c r="CE119" s="62">
        <f t="shared" si="94"/>
        <v>165.68154380324592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3.4711538461538445</v>
      </c>
      <c r="CT119" s="13">
        <f>IF('Données projet'!$A$140&gt;35,CT118+CS119-DB118,IF(A119&lt;'Données projet'!$A$140,$CQ$205^A119,IF(A119='Données projet'!$A$140,'Données projet'!$B$140,CT118+CS119-DB118)))</f>
        <v>378.23846153846193</v>
      </c>
      <c r="CU119" s="18">
        <f>CT119*VLOOKUP('Données projet'!$B$13,Paramètres!$A$1:$I$89,3,0)*VLOOKUP('Données projet'!$B$13,Paramètres!$A$1:$I$89,5,0)</f>
        <v>211.43530000000024</v>
      </c>
      <c r="CV119" s="14">
        <f t="shared" si="95"/>
        <v>52.249110411761883</v>
      </c>
      <c r="CW119" s="22">
        <f t="shared" si="67"/>
        <v>459.25034813381905</v>
      </c>
      <c r="CX119" s="62">
        <f t="shared" si="68"/>
        <v>752.58368146715236</v>
      </c>
      <c r="CY119" s="62">
        <f ca="1">AVERAGE(OFFSET($CX$3,0,0,'Données projet'!$E$13+1,1))-AVERAGE(OFFSET($H$3,0,0,'Données projet'!$E$13+1,1))</f>
        <v>242.07451379051349</v>
      </c>
      <c r="CZ119" s="62">
        <f t="shared" si="96"/>
        <v>207.11607964940754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178.56320966726986</v>
      </c>
      <c r="DU119" s="62">
        <f t="shared" si="98"/>
        <v>272.06842551411739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0.70705124239481743</v>
      </c>
      <c r="EC119" s="23">
        <f>EXP(-LN(2)/2)*EC118+(1-EXP(-LN(2)/2))/(LN(2)/2)*DW119*DZ119*VLOOKUP('Données projet'!$B$14,Paramètres!$A$1:$I$89,3,0)*0.475*44/12</f>
        <v>1.8779723951646245E-12</v>
      </c>
      <c r="ED119" s="24">
        <f t="shared" si="72"/>
        <v>0.70705124239669537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3.6</v>
      </c>
      <c r="EJ119" s="13">
        <f>IF('Données projet'!$A$192&gt;35,EJ118+EI119-ER118,IF(A119&lt;'Données projet'!$A$192,$EG$205^A119,IF(A119='Données projet'!$A$192,'Données projet'!$B$192,EJ118+EI119-ER118)))</f>
        <v>378.59999999999974</v>
      </c>
      <c r="EK119" s="18">
        <f>EJ119*VLOOKUP('Données projet'!$B$15,Paramètres!$A$1:$I$89,3,0)*VLOOKUP('Données projet'!$B$15,Paramètres!$A$1:$I$89,5,0)</f>
        <v>407.52503999999971</v>
      </c>
      <c r="EL119" s="14">
        <f t="shared" si="99"/>
        <v>93.300592822447896</v>
      </c>
      <c r="EM119" s="22">
        <f t="shared" si="73"/>
        <v>872.27131049909622</v>
      </c>
      <c r="EN119" s="62">
        <f t="shared" si="74"/>
        <v>1165.6046438324295</v>
      </c>
      <c r="EO119" s="62">
        <f ca="1">AVERAGE(OFFSET($EN$3,0,0,'Données projet'!$E$15+1,1))-AVERAGE(OFFSET($H$3,0,0,'Données projet'!$E$15+1,1))</f>
        <v>479.87943647026646</v>
      </c>
      <c r="EP119" s="62">
        <f t="shared" si="100"/>
        <v>242.41363045393223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3.6</v>
      </c>
      <c r="FE119" s="13">
        <f>IF('Données projet'!$A$218&gt;35,FE118+FD119-FM118,IF(A119&lt;'Données projet'!$A$218,$FB$205^A119,IF(A119='Données projet'!$A$218,'Données projet'!$B$218,FE118+FD119-FM118)))</f>
        <v>378.59999999999974</v>
      </c>
      <c r="FF119" s="18">
        <f>FE119*VLOOKUP('Données projet'!$B$16,Paramètres!$A$1:$I$89,3,0)*VLOOKUP('Données projet'!$B$16,Paramètres!$A$1:$I$89,5,0)</f>
        <v>366.18191999999976</v>
      </c>
      <c r="FG119" s="14">
        <f t="shared" si="101"/>
        <v>84.885721328000756</v>
      </c>
      <c r="FH119" s="22">
        <f t="shared" si="76"/>
        <v>785.60947531293414</v>
      </c>
      <c r="FI119" s="62">
        <f t="shared" si="77"/>
        <v>1078.9428086462674</v>
      </c>
      <c r="FJ119" s="62">
        <f ca="1">AVERAGE(OFFSET($FI$3,0,0,'Données projet'!$E$16+1,1))-AVERAGE(OFFSET($H$3,0,0,'Données projet'!$E$16+1,1))</f>
        <v>425.00152674093977</v>
      </c>
      <c r="FK119" s="62">
        <f t="shared" si="102"/>
        <v>214.96884469274687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179.22241276165141</v>
      </c>
      <c r="T120" s="62">
        <f t="shared" si="88"/>
        <v>86.510654589692876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-6.7984728957526396E-14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157.42757749057949</v>
      </c>
      <c r="AO120" s="62">
        <f t="shared" si="90"/>
        <v>129.86070223892136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2.4750264193288434E-13</v>
      </c>
      <c r="AX120" s="23">
        <f t="shared" si="60"/>
        <v>2.4750264193288434E-13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382.19999999999976</v>
      </c>
      <c r="BE120" s="14">
        <f>BD120*VLOOKUP('Données projet'!$B$11,Paramètres!$A$1:$I$89,3,0)*VLOOKUP('Données projet'!$B$11,Paramètres!$A$1:$I$89,5,0)</f>
        <v>399.47543999999976</v>
      </c>
      <c r="BF120" s="14">
        <f t="shared" si="91"/>
        <v>91.670310610721359</v>
      </c>
      <c r="BG120" s="22">
        <f t="shared" si="61"/>
        <v>855.41218231367247</v>
      </c>
      <c r="BH120" s="62">
        <f t="shared" si="62"/>
        <v>1148.7455156470057</v>
      </c>
      <c r="BI120" s="62">
        <f ca="1">AVERAGE(OFFSET($BH$3,0,0,'Données projet'!$E$11+1,1))-AVERAGE(OFFSET($H$3,0,0,'Données projet'!$E$11+1,1))</f>
        <v>464.21202287459482</v>
      </c>
      <c r="BJ120" s="62">
        <f t="shared" si="92"/>
        <v>234.57880205159688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1.7053025658242404E-13</v>
      </c>
      <c r="BZ120" s="14">
        <f>BY120*VLOOKUP('Données projet'!$B$12,Paramètres!$A$1:$I$89,3,0)*VLOOKUP('Données projet'!$B$12,Paramètres!$A$1:$I$89,5,0)</f>
        <v>1.3567387213697657E-13</v>
      </c>
      <c r="CA120" s="14">
        <f t="shared" si="93"/>
        <v>1.9670967679808581E-12</v>
      </c>
      <c r="CB120" s="22">
        <f t="shared" si="64"/>
        <v>3.6623255315385623E-12</v>
      </c>
      <c r="CC120" s="62">
        <f t="shared" si="65"/>
        <v>293.33333333333695</v>
      </c>
      <c r="CD120" s="62">
        <f ca="1">AVERAGE(OFFSET($CC$3,0,0,'Données projet'!$E$12+1,1))-AVERAGE(OFFSET($H$3,0,0,'Données projet'!$E$12+1,1))</f>
        <v>177.99876437322689</v>
      </c>
      <c r="CE120" s="62">
        <f t="shared" si="94"/>
        <v>165.68154380324592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3.4711538461538445</v>
      </c>
      <c r="CT120" s="13">
        <f>IF('Données projet'!$A$140&gt;35,CT119+CS120-DB119,IF(A120&lt;'Données projet'!$A$140,$CQ$205^A120,IF(A120='Données projet'!$A$140,'Données projet'!$B$140,CT119+CS120-DB119)))</f>
        <v>381.7096153846158</v>
      </c>
      <c r="CU120" s="18">
        <f>CT120*VLOOKUP('Données projet'!$B$13,Paramètres!$A$1:$I$89,3,0)*VLOOKUP('Données projet'!$B$13,Paramètres!$A$1:$I$89,5,0)</f>
        <v>213.37567500000026</v>
      </c>
      <c r="CV120" s="14">
        <f t="shared" si="95"/>
        <v>52.672569587212166</v>
      </c>
      <c r="CW120" s="22">
        <f t="shared" si="67"/>
        <v>463.3673593227283</v>
      </c>
      <c r="CX120" s="62">
        <f t="shared" si="68"/>
        <v>756.70069265606162</v>
      </c>
      <c r="CY120" s="62">
        <f ca="1">AVERAGE(OFFSET($CX$3,0,0,'Données projet'!$E$13+1,1))-AVERAGE(OFFSET($H$3,0,0,'Données projet'!$E$13+1,1))</f>
        <v>242.07451379051349</v>
      </c>
      <c r="CZ120" s="62">
        <f t="shared" si="96"/>
        <v>207.11607964940754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178.56320966726986</v>
      </c>
      <c r="DU120" s="62">
        <f t="shared" si="98"/>
        <v>272.06842551411739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0.68771688898932226</v>
      </c>
      <c r="EC120" s="23">
        <f>EXP(-LN(2)/2)*EC119+(1-EXP(-LN(2)/2))/(LN(2)/2)*DW120*DZ120*VLOOKUP('Données projet'!$B$14,Paramètres!$A$1:$I$89,3,0)*0.475*44/12</f>
        <v>1.3279270155020487E-12</v>
      </c>
      <c r="ED120" s="24">
        <f t="shared" si="72"/>
        <v>0.6877168889906502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3.6</v>
      </c>
      <c r="EJ120" s="13">
        <f>IF('Données projet'!$A$192&gt;35,EJ119+EI120-ER119,IF(A120&lt;'Données projet'!$A$192,$EG$205^A120,IF(A120='Données projet'!$A$192,'Données projet'!$B$192,EJ119+EI120-ER119)))</f>
        <v>382.19999999999976</v>
      </c>
      <c r="EK120" s="18">
        <f>EJ120*VLOOKUP('Données projet'!$B$15,Paramètres!$A$1:$I$89,3,0)*VLOOKUP('Données projet'!$B$15,Paramètres!$A$1:$I$89,5,0)</f>
        <v>411.40007999999966</v>
      </c>
      <c r="EL120" s="14">
        <f t="shared" si="99"/>
        <v>94.084062946009681</v>
      </c>
      <c r="EM120" s="22">
        <f t="shared" si="73"/>
        <v>880.38488229763288</v>
      </c>
      <c r="EN120" s="62">
        <f t="shared" si="74"/>
        <v>1173.7182156309661</v>
      </c>
      <c r="EO120" s="62">
        <f ca="1">AVERAGE(OFFSET($EN$3,0,0,'Données projet'!$E$15+1,1))-AVERAGE(OFFSET($H$3,0,0,'Données projet'!$E$15+1,1))</f>
        <v>479.87943647026646</v>
      </c>
      <c r="EP120" s="62">
        <f t="shared" si="100"/>
        <v>242.41363045393223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3.6</v>
      </c>
      <c r="FE120" s="13">
        <f>IF('Données projet'!$A$218&gt;35,FE119+FD120-FM119,IF(A120&lt;'Données projet'!$A$218,$FB$205^A120,IF(A120='Données projet'!$A$218,'Données projet'!$B$218,FE119+FD120-FM119)))</f>
        <v>382.19999999999976</v>
      </c>
      <c r="FF120" s="18">
        <f>FE120*VLOOKUP('Données projet'!$B$16,Paramètres!$A$1:$I$89,3,0)*VLOOKUP('Données projet'!$B$16,Paramètres!$A$1:$I$89,5,0)</f>
        <v>369.66383999999977</v>
      </c>
      <c r="FG120" s="14">
        <f t="shared" si="101"/>
        <v>85.59852951673362</v>
      </c>
      <c r="FH120" s="22">
        <f t="shared" si="76"/>
        <v>792.91529357497723</v>
      </c>
      <c r="FI120" s="62">
        <f t="shared" si="77"/>
        <v>1086.2486269083106</v>
      </c>
      <c r="FJ120" s="62">
        <f ca="1">AVERAGE(OFFSET($FI$3,0,0,'Données projet'!$E$16+1,1))-AVERAGE(OFFSET($H$3,0,0,'Données projet'!$E$16+1,1))</f>
        <v>425.00152674093977</v>
      </c>
      <c r="FK120" s="62">
        <f t="shared" si="102"/>
        <v>214.96884469274687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179.22241276165141</v>
      </c>
      <c r="T121" s="62">
        <f t="shared" si="88"/>
        <v>86.510654589692876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-6.7984728957526396E-14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157.42757749057949</v>
      </c>
      <c r="AO121" s="62">
        <f t="shared" si="90"/>
        <v>129.86070223892136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1.7501079647232847E-13</v>
      </c>
      <c r="AX121" s="23">
        <f t="shared" si="60"/>
        <v>1.7501079647232847E-13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385.79999999999978</v>
      </c>
      <c r="BE121" s="14">
        <f>BD121*VLOOKUP('Données projet'!$B$11,Paramètres!$A$1:$I$89,3,0)*VLOOKUP('Données projet'!$B$11,Paramètres!$A$1:$I$89,5,0)</f>
        <v>403.23815999999982</v>
      </c>
      <c r="BF121" s="14">
        <f t="shared" si="91"/>
        <v>92.432844089108215</v>
      </c>
      <c r="BG121" s="22">
        <f t="shared" si="61"/>
        <v>863.29366545519645</v>
      </c>
      <c r="BH121" s="62">
        <f t="shared" si="62"/>
        <v>1156.6269987885298</v>
      </c>
      <c r="BI121" s="62">
        <f ca="1">AVERAGE(OFFSET($BH$3,0,0,'Données projet'!$E$11+1,1))-AVERAGE(OFFSET($H$3,0,0,'Données projet'!$E$11+1,1))</f>
        <v>464.21202287459482</v>
      </c>
      <c r="BJ121" s="62">
        <f t="shared" si="92"/>
        <v>234.57880205159688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1.7053025658242404E-13</v>
      </c>
      <c r="BZ121" s="14">
        <f>BY121*VLOOKUP('Données projet'!$B$12,Paramètres!$A$1:$I$89,3,0)*VLOOKUP('Données projet'!$B$12,Paramètres!$A$1:$I$89,5,0)</f>
        <v>1.3567387213697657E-13</v>
      </c>
      <c r="CA121" s="14">
        <f t="shared" si="93"/>
        <v>1.9670967679808581E-12</v>
      </c>
      <c r="CB121" s="22">
        <f t="shared" si="64"/>
        <v>3.6623255315385623E-12</v>
      </c>
      <c r="CC121" s="62">
        <f t="shared" si="65"/>
        <v>293.33333333333695</v>
      </c>
      <c r="CD121" s="62">
        <f ca="1">AVERAGE(OFFSET($CC$3,0,0,'Données projet'!$E$12+1,1))-AVERAGE(OFFSET($H$3,0,0,'Données projet'!$E$12+1,1))</f>
        <v>177.99876437322689</v>
      </c>
      <c r="CE121" s="62">
        <f t="shared" si="94"/>
        <v>165.68154380324592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3.4711538461538445</v>
      </c>
      <c r="CT121" s="13">
        <f>IF('Données projet'!$A$140&gt;35,CT120+CS121-DB120,IF(A121&lt;'Données projet'!$A$140,$CQ$205^A121,IF(A121='Données projet'!$A$140,'Données projet'!$B$140,CT120+CS121-DB120)))</f>
        <v>385.18076923076967</v>
      </c>
      <c r="CU121" s="18">
        <f>CT121*VLOOKUP('Données projet'!$B$13,Paramètres!$A$1:$I$89,3,0)*VLOOKUP('Données projet'!$B$13,Paramètres!$A$1:$I$89,5,0)</f>
        <v>215.31605000000027</v>
      </c>
      <c r="CV121" s="14">
        <f t="shared" si="95"/>
        <v>53.095580758767674</v>
      </c>
      <c r="CW121" s="22">
        <f t="shared" si="67"/>
        <v>467.48359023818756</v>
      </c>
      <c r="CX121" s="62">
        <f t="shared" si="68"/>
        <v>760.81692357152087</v>
      </c>
      <c r="CY121" s="62">
        <f ca="1">AVERAGE(OFFSET($CX$3,0,0,'Données projet'!$E$13+1,1))-AVERAGE(OFFSET($H$3,0,0,'Données projet'!$E$13+1,1))</f>
        <v>242.07451379051349</v>
      </c>
      <c r="CZ121" s="62">
        <f t="shared" si="96"/>
        <v>207.11607964940754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178.56320966726986</v>
      </c>
      <c r="DU121" s="62">
        <f t="shared" si="98"/>
        <v>272.06842551411739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0.66891123449444989</v>
      </c>
      <c r="EC121" s="23">
        <f>EXP(-LN(2)/2)*EC120+(1-EXP(-LN(2)/2))/(LN(2)/2)*DW121*DZ121*VLOOKUP('Données projet'!$B$14,Paramètres!$A$1:$I$89,3,0)*0.475*44/12</f>
        <v>9.3898619758231227E-13</v>
      </c>
      <c r="ED121" s="24">
        <f t="shared" si="72"/>
        <v>0.66891123449538892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3.6</v>
      </c>
      <c r="EJ121" s="13">
        <f>IF('Données projet'!$A$192&gt;35,EJ120+EI121-ER120,IF(A121&lt;'Données projet'!$A$192,$EG$205^A121,IF(A121='Données projet'!$A$192,'Données projet'!$B$192,EJ120+EI121-ER120)))</f>
        <v>385.79999999999978</v>
      </c>
      <c r="EK121" s="18">
        <f>EJ121*VLOOKUP('Données projet'!$B$15,Paramètres!$A$1:$I$89,3,0)*VLOOKUP('Données projet'!$B$15,Paramètres!$A$1:$I$89,5,0)</f>
        <v>415.27511999999973</v>
      </c>
      <c r="EL121" s="14">
        <f t="shared" si="99"/>
        <v>94.866674538585627</v>
      </c>
      <c r="EM121" s="22">
        <f t="shared" si="73"/>
        <v>888.4969588213695</v>
      </c>
      <c r="EN121" s="62">
        <f t="shared" si="74"/>
        <v>1181.8302921547029</v>
      </c>
      <c r="EO121" s="62">
        <f ca="1">AVERAGE(OFFSET($EN$3,0,0,'Données projet'!$E$15+1,1))-AVERAGE(OFFSET($H$3,0,0,'Données projet'!$E$15+1,1))</f>
        <v>479.87943647026646</v>
      </c>
      <c r="EP121" s="62">
        <f t="shared" si="100"/>
        <v>242.41363045393223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3.6</v>
      </c>
      <c r="FE121" s="13">
        <f>IF('Données projet'!$A$218&gt;35,FE120+FD121-FM120,IF(A121&lt;'Données projet'!$A$218,$FB$205^A121,IF(A121='Données projet'!$A$218,'Données projet'!$B$218,FE120+FD121-FM120)))</f>
        <v>385.79999999999978</v>
      </c>
      <c r="FF121" s="18">
        <f>FE121*VLOOKUP('Données projet'!$B$16,Paramètres!$A$1:$I$89,3,0)*VLOOKUP('Données projet'!$B$16,Paramètres!$A$1:$I$89,5,0)</f>
        <v>373.14575999999977</v>
      </c>
      <c r="FG121" s="14">
        <f t="shared" si="101"/>
        <v>86.310556606227976</v>
      </c>
      <c r="FH121" s="22">
        <f t="shared" si="76"/>
        <v>800.21975142251324</v>
      </c>
      <c r="FI121" s="62">
        <f t="shared" si="77"/>
        <v>1093.5530847558466</v>
      </c>
      <c r="FJ121" s="62">
        <f ca="1">AVERAGE(OFFSET($FI$3,0,0,'Données projet'!$E$16+1,1))-AVERAGE(OFFSET($H$3,0,0,'Données projet'!$E$16+1,1))</f>
        <v>425.00152674093977</v>
      </c>
      <c r="FK121" s="62">
        <f t="shared" si="102"/>
        <v>214.96884469274687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179.22241276165141</v>
      </c>
      <c r="T122" s="62">
        <f t="shared" si="88"/>
        <v>86.510654589692876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-6.7984728957526396E-14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157.42757749057949</v>
      </c>
      <c r="AO122" s="62">
        <f t="shared" si="90"/>
        <v>129.86070223892136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1.2375132096644217E-13</v>
      </c>
      <c r="AX122" s="23">
        <f t="shared" si="60"/>
        <v>1.2375132096644217E-13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389.39999999999981</v>
      </c>
      <c r="BE122" s="14">
        <f>BD122*VLOOKUP('Données projet'!$B$11,Paramètres!$A$1:$I$89,3,0)*VLOOKUP('Données projet'!$B$11,Paramètres!$A$1:$I$89,5,0)</f>
        <v>407.00087999999988</v>
      </c>
      <c r="BF122" s="14">
        <f t="shared" si="91"/>
        <v>93.194549772103301</v>
      </c>
      <c r="BG122" s="22">
        <f t="shared" si="61"/>
        <v>871.17370685307969</v>
      </c>
      <c r="BH122" s="62">
        <f t="shared" si="62"/>
        <v>1164.507040186413</v>
      </c>
      <c r="BI122" s="62">
        <f ca="1">AVERAGE(OFFSET($BH$3,0,0,'Données projet'!$E$11+1,1))-AVERAGE(OFFSET($H$3,0,0,'Données projet'!$E$11+1,1))</f>
        <v>464.21202287459482</v>
      </c>
      <c r="BJ122" s="62">
        <f t="shared" si="92"/>
        <v>234.57880205159688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1.7053025658242404E-13</v>
      </c>
      <c r="BZ122" s="14">
        <f>BY122*VLOOKUP('Données projet'!$B$12,Paramètres!$A$1:$I$89,3,0)*VLOOKUP('Données projet'!$B$12,Paramètres!$A$1:$I$89,5,0)</f>
        <v>1.3567387213697657E-13</v>
      </c>
      <c r="CA122" s="14">
        <f t="shared" si="93"/>
        <v>1.9670967679808581E-12</v>
      </c>
      <c r="CB122" s="22">
        <f t="shared" si="64"/>
        <v>3.6623255315385623E-12</v>
      </c>
      <c r="CC122" s="62">
        <f t="shared" si="65"/>
        <v>293.33333333333695</v>
      </c>
      <c r="CD122" s="62">
        <f ca="1">AVERAGE(OFFSET($CC$3,0,0,'Données projet'!$E$12+1,1))-AVERAGE(OFFSET($H$3,0,0,'Données projet'!$E$12+1,1))</f>
        <v>177.99876437322689</v>
      </c>
      <c r="CE122" s="62">
        <f t="shared" si="94"/>
        <v>165.68154380324592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3.4711538461538445</v>
      </c>
      <c r="CT122" s="13">
        <f>IF('Données projet'!$A$140&gt;35,CT121+CS122-DB121,IF(A122&lt;'Données projet'!$A$140,$CQ$205^A122,IF(A122='Données projet'!$A$140,'Données projet'!$B$140,CT121+CS122-DB121)))</f>
        <v>388.65192307692354</v>
      </c>
      <c r="CU122" s="18">
        <f>CT122*VLOOKUP('Données projet'!$B$13,Paramètres!$A$1:$I$89,3,0)*VLOOKUP('Données projet'!$B$13,Paramètres!$A$1:$I$89,5,0)</f>
        <v>217.25642500000026</v>
      </c>
      <c r="CV122" s="14">
        <f t="shared" si="95"/>
        <v>53.518148431429744</v>
      </c>
      <c r="CW122" s="22">
        <f t="shared" si="67"/>
        <v>471.59904872640726</v>
      </c>
      <c r="CX122" s="62">
        <f t="shared" si="68"/>
        <v>764.93238205974058</v>
      </c>
      <c r="CY122" s="62">
        <f ca="1">AVERAGE(OFFSET($CX$3,0,0,'Données projet'!$E$13+1,1))-AVERAGE(OFFSET($H$3,0,0,'Données projet'!$E$13+1,1))</f>
        <v>242.07451379051349</v>
      </c>
      <c r="CZ122" s="62">
        <f t="shared" si="96"/>
        <v>207.11607964940754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178.56320966726986</v>
      </c>
      <c r="DU122" s="62">
        <f t="shared" si="98"/>
        <v>272.06842551411739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0.6506198216106861</v>
      </c>
      <c r="EC122" s="23">
        <f>EXP(-LN(2)/2)*EC121+(1-EXP(-LN(2)/2))/(LN(2)/2)*DW122*DZ122*VLOOKUP('Données projet'!$B$14,Paramètres!$A$1:$I$89,3,0)*0.475*44/12</f>
        <v>6.6396350775102437E-13</v>
      </c>
      <c r="ED122" s="24">
        <f t="shared" si="72"/>
        <v>0.65061982161135001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3.6</v>
      </c>
      <c r="EJ122" s="13">
        <f>IF('Données projet'!$A$192&gt;35,EJ121+EI122-ER121,IF(A122&lt;'Données projet'!$A$192,$EG$205^A122,IF(A122='Données projet'!$A$192,'Données projet'!$B$192,EJ121+EI122-ER121)))</f>
        <v>389.39999999999981</v>
      </c>
      <c r="EK122" s="18">
        <f>EJ122*VLOOKUP('Données projet'!$B$15,Paramètres!$A$1:$I$89,3,0)*VLOOKUP('Données projet'!$B$15,Paramètres!$A$1:$I$89,5,0)</f>
        <v>419.1501599999998</v>
      </c>
      <c r="EL122" s="14">
        <f t="shared" si="99"/>
        <v>95.648436539257347</v>
      </c>
      <c r="EM122" s="22">
        <f t="shared" si="73"/>
        <v>896.60755563920611</v>
      </c>
      <c r="EN122" s="62">
        <f t="shared" si="74"/>
        <v>1189.9408889725394</v>
      </c>
      <c r="EO122" s="62">
        <f ca="1">AVERAGE(OFFSET($EN$3,0,0,'Données projet'!$E$15+1,1))-AVERAGE(OFFSET($H$3,0,0,'Données projet'!$E$15+1,1))</f>
        <v>479.87943647026646</v>
      </c>
      <c r="EP122" s="62">
        <f t="shared" si="100"/>
        <v>242.41363045393223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3.6</v>
      </c>
      <c r="FE122" s="13">
        <f>IF('Données projet'!$A$218&gt;35,FE121+FD122-FM121,IF(A122&lt;'Données projet'!$A$218,$FB$205^A122,IF(A122='Données projet'!$A$218,'Données projet'!$B$218,FE121+FD122-FM121)))</f>
        <v>389.39999999999981</v>
      </c>
      <c r="FF122" s="18">
        <f>FE122*VLOOKUP('Données projet'!$B$16,Paramètres!$A$1:$I$89,3,0)*VLOOKUP('Données projet'!$B$16,Paramètres!$A$1:$I$89,5,0)</f>
        <v>376.62767999999983</v>
      </c>
      <c r="FG122" s="14">
        <f t="shared" si="101"/>
        <v>87.021810729340984</v>
      </c>
      <c r="FH122" s="22">
        <f t="shared" si="76"/>
        <v>807.52286302026857</v>
      </c>
      <c r="FI122" s="62">
        <f t="shared" si="77"/>
        <v>1100.8561963536019</v>
      </c>
      <c r="FJ122" s="62">
        <f ca="1">AVERAGE(OFFSET($FI$3,0,0,'Données projet'!$E$16+1,1))-AVERAGE(OFFSET($H$3,0,0,'Données projet'!$E$16+1,1))</f>
        <v>425.00152674093977</v>
      </c>
      <c r="FK122" s="62">
        <f t="shared" si="102"/>
        <v>214.96884469274687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179.22241276165141</v>
      </c>
      <c r="T123" s="62">
        <f t="shared" si="88"/>
        <v>86.510654589692876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-6.7984728957526396E-14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157.42757749057949</v>
      </c>
      <c r="AO123" s="62">
        <f t="shared" si="90"/>
        <v>129.86070223892136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8.7505398236164236E-14</v>
      </c>
      <c r="AX123" s="23">
        <f t="shared" si="60"/>
        <v>8.7505398236164236E-14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393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392.99999999999983</v>
      </c>
      <c r="BE123" s="14">
        <f>BD123*VLOOKUP('Données projet'!$B$11,Paramètres!$A$1:$I$89,3,0)*VLOOKUP('Données projet'!$B$11,Paramètres!$A$1:$I$89,5,0)</f>
        <v>410.76359999999983</v>
      </c>
      <c r="BF123" s="14">
        <f t="shared" si="91"/>
        <v>93.955436199122204</v>
      </c>
      <c r="BG123" s="22">
        <f t="shared" si="61"/>
        <v>879.05232138013741</v>
      </c>
      <c r="BH123" s="62">
        <f t="shared" si="62"/>
        <v>1172.3856547134708</v>
      </c>
      <c r="BI123" s="62">
        <f ca="1">AVERAGE(OFFSET($BH$3,0,0,'Données projet'!$E$11+1,1))-AVERAGE(OFFSET($H$3,0,0,'Données projet'!$E$11+1,1))</f>
        <v>464.21202287459482</v>
      </c>
      <c r="BJ123" s="62">
        <f t="shared" si="92"/>
        <v>234.57880205159688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1.7053025658242404E-13</v>
      </c>
      <c r="BZ123" s="14">
        <f>BY123*VLOOKUP('Données projet'!$B$12,Paramètres!$A$1:$I$89,3,0)*VLOOKUP('Données projet'!$B$12,Paramètres!$A$1:$I$89,5,0)</f>
        <v>1.3567387213697657E-13</v>
      </c>
      <c r="CA123" s="14">
        <f t="shared" si="93"/>
        <v>1.9670967679808581E-12</v>
      </c>
      <c r="CB123" s="22">
        <f t="shared" si="64"/>
        <v>3.6623255315385623E-12</v>
      </c>
      <c r="CC123" s="62">
        <f t="shared" si="65"/>
        <v>293.33333333333695</v>
      </c>
      <c r="CD123" s="62">
        <f ca="1">AVERAGE(OFFSET($CC$3,0,0,'Données projet'!$E$12+1,1))-AVERAGE(OFFSET($H$3,0,0,'Données projet'!$E$12+1,1))</f>
        <v>177.99876437322689</v>
      </c>
      <c r="CE123" s="62">
        <f t="shared" si="94"/>
        <v>165.68154380324592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392.12307692307689</v>
      </c>
      <c r="CR123" s="13">
        <f>VLOOKUP(A123,'Données projet'!$A$139:$I$159,9,0)</f>
        <v>3.4711538461538445</v>
      </c>
      <c r="CS123" s="13">
        <f t="array" ref="CS123">INDEX(CR:CR,MIN(IF(ISNUMBER(CR123:CR319),ROW(CR123:CR319),"")))</f>
        <v>3.4711538461538445</v>
      </c>
      <c r="CT123" s="13">
        <f>IF('Données projet'!$A$140&gt;35,CT122+CS123-DB122,IF(A123&lt;'Données projet'!$A$140,$CQ$205^A123,IF(A123='Données projet'!$A$140,'Données projet'!$B$140,CT122+CS123-DB122)))</f>
        <v>392.12307692307741</v>
      </c>
      <c r="CU123" s="18">
        <f>CT123*VLOOKUP('Données projet'!$B$13,Paramètres!$A$1:$I$89,3,0)*VLOOKUP('Données projet'!$B$13,Paramètres!$A$1:$I$89,5,0)</f>
        <v>219.19680000000028</v>
      </c>
      <c r="CV123" s="14">
        <f t="shared" si="95"/>
        <v>53.940277025086473</v>
      </c>
      <c r="CW123" s="22">
        <f t="shared" si="67"/>
        <v>475.71374248535932</v>
      </c>
      <c r="CX123" s="62">
        <f t="shared" si="68"/>
        <v>769.04707581869263</v>
      </c>
      <c r="CY123" s="62">
        <f ca="1">AVERAGE(OFFSET($CX$3,0,0,'Données projet'!$E$13+1,1))-AVERAGE(OFFSET($H$3,0,0,'Données projet'!$E$13+1,1))</f>
        <v>242.07451379051349</v>
      </c>
      <c r="CZ123" s="62">
        <f t="shared" si="96"/>
        <v>207.11607964940754</v>
      </c>
      <c r="DA123" s="16">
        <f>IF(ISNA(VLOOKUP(A123,'Données projet'!$A$139:$I$159,3,0)),0,VLOOKUP(A123,'Données projet'!$A$139:$I$159,3,0))</f>
        <v>9</v>
      </c>
      <c r="DB123" s="16">
        <f>IF(ISNA(VLOOKUP(A123,'Données projet'!$A$139:$I$159,4,0)),0,VLOOKUP(A123,'Données projet'!$A$139:$I$159,4,0))</f>
        <v>392.12307692307689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178.56320966726986</v>
      </c>
      <c r="DU123" s="62">
        <f t="shared" si="98"/>
        <v>272.06842551411739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0.63282858837413247</v>
      </c>
      <c r="EC123" s="23">
        <f>EXP(-LN(2)/2)*EC122+(1-EXP(-LN(2)/2))/(LN(2)/2)*DW123*DZ123*VLOOKUP('Données projet'!$B$14,Paramètres!$A$1:$I$89,3,0)*0.475*44/12</f>
        <v>4.6949309879115614E-13</v>
      </c>
      <c r="ED123" s="24">
        <f t="shared" si="72"/>
        <v>0.63282858837460199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393</v>
      </c>
      <c r="EH123" s="13">
        <f>VLOOKUP(A123,'Données projet'!$A$191:$I$211,9,0)</f>
        <v>3.6</v>
      </c>
      <c r="EI123" s="13">
        <f t="array" ref="EI123">INDEX(EH:EH,MIN(IF(ISNUMBER(EH123:EH319),ROW(EH123:EH319),"")))</f>
        <v>3.6</v>
      </c>
      <c r="EJ123" s="13">
        <f>IF('Données projet'!$A$192&gt;35,EJ122+EI123-ER122,IF(A123&lt;'Données projet'!$A$192,$EG$205^A123,IF(A123='Données projet'!$A$192,'Données projet'!$B$192,EJ122+EI123-ER122)))</f>
        <v>392.99999999999983</v>
      </c>
      <c r="EK123" s="18">
        <f>EJ123*VLOOKUP('Données projet'!$B$15,Paramètres!$A$1:$I$89,3,0)*VLOOKUP('Données projet'!$B$15,Paramètres!$A$1:$I$89,5,0)</f>
        <v>423.02519999999976</v>
      </c>
      <c r="EL123" s="14">
        <f t="shared" si="99"/>
        <v>96.429357712290283</v>
      </c>
      <c r="EM123" s="22">
        <f t="shared" si="73"/>
        <v>904.71668801557178</v>
      </c>
      <c r="EN123" s="62">
        <f t="shared" si="74"/>
        <v>1198.0500213489051</v>
      </c>
      <c r="EO123" s="62">
        <f ca="1">AVERAGE(OFFSET($EN$3,0,0,'Données projet'!$E$15+1,1))-AVERAGE(OFFSET($H$3,0,0,'Données projet'!$E$15+1,1))</f>
        <v>479.87943647026646</v>
      </c>
      <c r="EP123" s="62">
        <f t="shared" si="100"/>
        <v>242.41363045393223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393</v>
      </c>
      <c r="FC123" s="13">
        <f>VLOOKUP(A123,'Données projet'!$A$217:$I$237,9,0)</f>
        <v>3.6</v>
      </c>
      <c r="FD123" s="13">
        <f t="array" ref="FD123">INDEX(FC:FC,MIN(IF(ISNUMBER(FC123:FC319),ROW(FC123:FC319),"")))</f>
        <v>3.6</v>
      </c>
      <c r="FE123" s="13">
        <f>IF('Données projet'!$A$218&gt;35,FE122+FD123-FM122,IF(A123&lt;'Données projet'!$A$218,$FB$205^A123,IF(A123='Données projet'!$A$218,'Données projet'!$B$218,FE122+FD123-FM122)))</f>
        <v>392.99999999999983</v>
      </c>
      <c r="FF123" s="18">
        <f>FE123*VLOOKUP('Données projet'!$B$16,Paramètres!$A$1:$I$89,3,0)*VLOOKUP('Données projet'!$B$16,Paramètres!$A$1:$I$89,5,0)</f>
        <v>380.10959999999983</v>
      </c>
      <c r="FG123" s="14">
        <f t="shared" si="101"/>
        <v>87.732299859880072</v>
      </c>
      <c r="FH123" s="22">
        <f t="shared" si="76"/>
        <v>814.82464225595743</v>
      </c>
      <c r="FI123" s="62">
        <f t="shared" si="77"/>
        <v>1108.1579755892908</v>
      </c>
      <c r="FJ123" s="62">
        <f ca="1">AVERAGE(OFFSET($FI$3,0,0,'Données projet'!$E$16+1,1))-AVERAGE(OFFSET($H$3,0,0,'Données projet'!$E$16+1,1))</f>
        <v>425.00152674093977</v>
      </c>
      <c r="FK123" s="62">
        <f t="shared" si="102"/>
        <v>214.96884469274687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179.22241276165141</v>
      </c>
      <c r="T124" s="62">
        <f t="shared" si="88"/>
        <v>86.510654589692876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-6.7984728957526396E-14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157.42757749057949</v>
      </c>
      <c r="AO124" s="62">
        <f t="shared" si="90"/>
        <v>129.86070223892136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6.1875660483221086E-14</v>
      </c>
      <c r="AX124" s="23">
        <f t="shared" si="60"/>
        <v>6.1875660483221086E-14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396.19999999999982</v>
      </c>
      <c r="BE124" s="14">
        <f>BD124*VLOOKUP('Données projet'!$B$11,Paramètres!$A$1:$I$89,3,0)*VLOOKUP('Données projet'!$B$11,Paramètres!$A$1:$I$89,5,0)</f>
        <v>414.10823999999985</v>
      </c>
      <c r="BF124" s="14">
        <f t="shared" si="91"/>
        <v>94.631098692598755</v>
      </c>
      <c r="BG124" s="22">
        <f t="shared" si="61"/>
        <v>886.05434822294262</v>
      </c>
      <c r="BH124" s="62">
        <f t="shared" si="62"/>
        <v>1179.387681556276</v>
      </c>
      <c r="BI124" s="62">
        <f ca="1">AVERAGE(OFFSET($BH$3,0,0,'Données projet'!$E$11+1,1))-AVERAGE(OFFSET($H$3,0,0,'Données projet'!$E$11+1,1))</f>
        <v>464.21202287459482</v>
      </c>
      <c r="BJ124" s="62">
        <f t="shared" si="92"/>
        <v>234.57880205159688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1.7053025658242404E-13</v>
      </c>
      <c r="BZ124" s="14">
        <f>BY124*VLOOKUP('Données projet'!$B$12,Paramètres!$A$1:$I$89,3,0)*VLOOKUP('Données projet'!$B$12,Paramètres!$A$1:$I$89,5,0)</f>
        <v>1.3567387213697657E-13</v>
      </c>
      <c r="CA124" s="14">
        <f t="shared" si="93"/>
        <v>1.9670967679808581E-12</v>
      </c>
      <c r="CB124" s="22">
        <f t="shared" si="64"/>
        <v>3.6623255315385623E-12</v>
      </c>
      <c r="CC124" s="62">
        <f t="shared" si="65"/>
        <v>293.33333333333695</v>
      </c>
      <c r="CD124" s="62">
        <f ca="1">AVERAGE(OFFSET($CC$3,0,0,'Données projet'!$E$12+1,1))-AVERAGE(OFFSET($H$3,0,0,'Données projet'!$E$12+1,1))</f>
        <v>177.99876437322689</v>
      </c>
      <c r="CE124" s="62">
        <f t="shared" si="94"/>
        <v>165.68154380324592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5.1159076974727213E-13</v>
      </c>
      <c r="CU124" s="18">
        <f>CT124*VLOOKUP('Données projet'!$B$13,Paramètres!$A$1:$I$89,3,0)*VLOOKUP('Données projet'!$B$13,Paramètres!$A$1:$I$89,5,0)</f>
        <v>2.8597924028872516E-13</v>
      </c>
      <c r="CV124" s="14">
        <f t="shared" si="95"/>
        <v>3.8016246610825715E-12</v>
      </c>
      <c r="CW124" s="22">
        <f t="shared" si="67"/>
        <v>7.1192434615550094E-12</v>
      </c>
      <c r="CX124" s="62">
        <f t="shared" si="68"/>
        <v>293.33333333334042</v>
      </c>
      <c r="CY124" s="62">
        <f ca="1">AVERAGE(OFFSET($CX$3,0,0,'Données projet'!$E$13+1,1))-AVERAGE(OFFSET($H$3,0,0,'Données projet'!$E$13+1,1))</f>
        <v>242.07451379051349</v>
      </c>
      <c r="CZ124" s="62">
        <f t="shared" si="96"/>
        <v>207.11607964940754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178.56320966726986</v>
      </c>
      <c r="DU124" s="62">
        <f t="shared" si="98"/>
        <v>272.06842551411739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0.61552385734603265</v>
      </c>
      <c r="EC124" s="23">
        <f>EXP(-LN(2)/2)*EC123+(1-EXP(-LN(2)/2))/(LN(2)/2)*DW124*DZ124*VLOOKUP('Données projet'!$B$14,Paramètres!$A$1:$I$89,3,0)*0.475*44/12</f>
        <v>3.3198175387551219E-13</v>
      </c>
      <c r="ED124" s="24">
        <f t="shared" si="72"/>
        <v>0.61552385734636461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396.19999999999982</v>
      </c>
      <c r="EK124" s="18">
        <f>EJ124*VLOOKUP('Données projet'!$B$15,Paramètres!$A$1:$I$89,3,0)*VLOOKUP('Données projet'!$B$15,Paramètres!$A$1:$I$89,5,0)</f>
        <v>426.46967999999981</v>
      </c>
      <c r="EL124" s="14">
        <f t="shared" si="99"/>
        <v>97.12281093769117</v>
      </c>
      <c r="EM124" s="22">
        <f t="shared" si="73"/>
        <v>911.9235883831451</v>
      </c>
      <c r="EN124" s="62">
        <f t="shared" si="74"/>
        <v>1205.2569217164785</v>
      </c>
      <c r="EO124" s="62">
        <f ca="1">AVERAGE(OFFSET($EN$3,0,0,'Données projet'!$E$15+1,1))-AVERAGE(OFFSET($H$3,0,0,'Données projet'!$E$15+1,1))</f>
        <v>479.87943647026646</v>
      </c>
      <c r="EP124" s="62">
        <f t="shared" si="100"/>
        <v>242.41363045393223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396.19999999999982</v>
      </c>
      <c r="FF124" s="18">
        <f>FE124*VLOOKUP('Données projet'!$B$16,Paramètres!$A$1:$I$89,3,0)*VLOOKUP('Données projet'!$B$16,Paramètres!$A$1:$I$89,5,0)</f>
        <v>383.20463999999987</v>
      </c>
      <c r="FG124" s="14">
        <f t="shared" si="101"/>
        <v>88.363209862321256</v>
      </c>
      <c r="FH124" s="22">
        <f t="shared" si="76"/>
        <v>821.31400517687587</v>
      </c>
      <c r="FI124" s="62">
        <f t="shared" si="77"/>
        <v>1114.6473385102092</v>
      </c>
      <c r="FJ124" s="62">
        <f ca="1">AVERAGE(OFFSET($FI$3,0,0,'Données projet'!$E$16+1,1))-AVERAGE(OFFSET($H$3,0,0,'Données projet'!$E$16+1,1))</f>
        <v>425.00152674093977</v>
      </c>
      <c r="FK124" s="62">
        <f t="shared" si="102"/>
        <v>214.96884469274687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179.22241276165141</v>
      </c>
      <c r="T125" s="62">
        <f t="shared" si="88"/>
        <v>86.510654589692876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-6.7984728957526396E-14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157.42757749057949</v>
      </c>
      <c r="AO125" s="62">
        <f t="shared" si="90"/>
        <v>129.86070223892136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4.3752699118082118E-14</v>
      </c>
      <c r="AX125" s="23">
        <f t="shared" si="60"/>
        <v>4.3752699118082118E-14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399.39999999999981</v>
      </c>
      <c r="BE125" s="14">
        <f>BD125*VLOOKUP('Données projet'!$B$11,Paramètres!$A$1:$I$89,3,0)*VLOOKUP('Données projet'!$B$11,Paramètres!$A$1:$I$89,5,0)</f>
        <v>417.45287999999988</v>
      </c>
      <c r="BF125" s="14">
        <f t="shared" si="91"/>
        <v>95.306126265848832</v>
      </c>
      <c r="BG125" s="22">
        <f t="shared" si="61"/>
        <v>893.05526924635308</v>
      </c>
      <c r="BH125" s="62">
        <f t="shared" si="62"/>
        <v>1186.3886025796864</v>
      </c>
      <c r="BI125" s="62">
        <f ca="1">AVERAGE(OFFSET($BH$3,0,0,'Données projet'!$E$11+1,1))-AVERAGE(OFFSET($H$3,0,0,'Données projet'!$E$11+1,1))</f>
        <v>464.21202287459482</v>
      </c>
      <c r="BJ125" s="62">
        <f t="shared" si="92"/>
        <v>234.57880205159688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1.7053025658242404E-13</v>
      </c>
      <c r="BZ125" s="14">
        <f>BY125*VLOOKUP('Données projet'!$B$12,Paramètres!$A$1:$I$89,3,0)*VLOOKUP('Données projet'!$B$12,Paramètres!$A$1:$I$89,5,0)</f>
        <v>1.3567387213697657E-13</v>
      </c>
      <c r="CA125" s="14">
        <f t="shared" si="93"/>
        <v>1.9670967679808581E-12</v>
      </c>
      <c r="CB125" s="22">
        <f t="shared" si="64"/>
        <v>3.6623255315385623E-12</v>
      </c>
      <c r="CC125" s="62">
        <f t="shared" si="65"/>
        <v>293.33333333333695</v>
      </c>
      <c r="CD125" s="62">
        <f ca="1">AVERAGE(OFFSET($CC$3,0,0,'Données projet'!$E$12+1,1))-AVERAGE(OFFSET($H$3,0,0,'Données projet'!$E$12+1,1))</f>
        <v>177.99876437322689</v>
      </c>
      <c r="CE125" s="62">
        <f t="shared" si="94"/>
        <v>165.68154380324592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5.1159076974727213E-13</v>
      </c>
      <c r="CU125" s="18">
        <f>CT125*VLOOKUP('Données projet'!$B$13,Paramètres!$A$1:$I$89,3,0)*VLOOKUP('Données projet'!$B$13,Paramètres!$A$1:$I$89,5,0)</f>
        <v>2.8597924028872516E-13</v>
      </c>
      <c r="CV125" s="14">
        <f t="shared" si="95"/>
        <v>3.8016246610825715E-12</v>
      </c>
      <c r="CW125" s="22">
        <f t="shared" si="67"/>
        <v>7.1192434615550094E-12</v>
      </c>
      <c r="CX125" s="62">
        <f t="shared" si="68"/>
        <v>293.33333333334042</v>
      </c>
      <c r="CY125" s="62">
        <f ca="1">AVERAGE(OFFSET($CX$3,0,0,'Données projet'!$E$13+1,1))-AVERAGE(OFFSET($H$3,0,0,'Données projet'!$E$13+1,1))</f>
        <v>242.07451379051349</v>
      </c>
      <c r="CZ125" s="62">
        <f t="shared" si="96"/>
        <v>207.11607964940754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178.56320966726986</v>
      </c>
      <c r="DU125" s="62">
        <f t="shared" si="98"/>
        <v>272.06842551411739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0.59869232509791248</v>
      </c>
      <c r="EC125" s="23">
        <f>EXP(-LN(2)/2)*EC124+(1-EXP(-LN(2)/2))/(LN(2)/2)*DW125*DZ125*VLOOKUP('Données projet'!$B$14,Paramètres!$A$1:$I$89,3,0)*0.475*44/12</f>
        <v>2.3474654939557807E-13</v>
      </c>
      <c r="ED125" s="24">
        <f t="shared" si="72"/>
        <v>0.59869232509814718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399.39999999999981</v>
      </c>
      <c r="EK125" s="18">
        <f>EJ125*VLOOKUP('Données projet'!$B$15,Paramètres!$A$1:$I$89,3,0)*VLOOKUP('Données projet'!$B$15,Paramètres!$A$1:$I$89,5,0)</f>
        <v>429.91415999999975</v>
      </c>
      <c r="EL125" s="14">
        <f t="shared" si="99"/>
        <v>97.815612524910023</v>
      </c>
      <c r="EM125" s="22">
        <f t="shared" si="73"/>
        <v>919.12935381421778</v>
      </c>
      <c r="EN125" s="62">
        <f t="shared" si="74"/>
        <v>1212.4626871475512</v>
      </c>
      <c r="EO125" s="62">
        <f ca="1">AVERAGE(OFFSET($EN$3,0,0,'Données projet'!$E$15+1,1))-AVERAGE(OFFSET($H$3,0,0,'Données projet'!$E$15+1,1))</f>
        <v>479.87943647026646</v>
      </c>
      <c r="EP125" s="62">
        <f t="shared" si="100"/>
        <v>242.41363045393223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399.39999999999981</v>
      </c>
      <c r="FF125" s="18">
        <f>FE125*VLOOKUP('Données projet'!$B$16,Paramètres!$A$1:$I$89,3,0)*VLOOKUP('Données projet'!$B$16,Paramètres!$A$1:$I$89,5,0)</f>
        <v>386.2996799999998</v>
      </c>
      <c r="FG125" s="14">
        <f t="shared" si="101"/>
        <v>88.993526998463906</v>
      </c>
      <c r="FH125" s="22">
        <f t="shared" si="76"/>
        <v>827.80233552232414</v>
      </c>
      <c r="FI125" s="62">
        <f t="shared" si="77"/>
        <v>1121.1356688556575</v>
      </c>
      <c r="FJ125" s="62">
        <f ca="1">AVERAGE(OFFSET($FI$3,0,0,'Données projet'!$E$16+1,1))-AVERAGE(OFFSET($H$3,0,0,'Données projet'!$E$16+1,1))</f>
        <v>425.00152674093977</v>
      </c>
      <c r="FK125" s="62">
        <f t="shared" si="102"/>
        <v>214.96884469274687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179.22241276165141</v>
      </c>
      <c r="T126" s="62">
        <f t="shared" si="88"/>
        <v>86.510654589692876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-6.7984728957526396E-14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157.42757749057949</v>
      </c>
      <c r="AO126" s="62">
        <f t="shared" si="90"/>
        <v>129.86070223892136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3.0937830241610543E-14</v>
      </c>
      <c r="AX126" s="23">
        <f t="shared" si="60"/>
        <v>3.0937830241610543E-14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402.5999999999998</v>
      </c>
      <c r="BE126" s="14">
        <f>BD126*VLOOKUP('Données projet'!$B$11,Paramètres!$A$1:$I$89,3,0)*VLOOKUP('Données projet'!$B$11,Paramètres!$A$1:$I$89,5,0)</f>
        <v>420.79751999999985</v>
      </c>
      <c r="BF126" s="14">
        <f t="shared" si="91"/>
        <v>95.980524595465255</v>
      </c>
      <c r="BG126" s="22">
        <f t="shared" si="61"/>
        <v>900.05509433710165</v>
      </c>
      <c r="BH126" s="62">
        <f t="shared" si="62"/>
        <v>1193.388427670435</v>
      </c>
      <c r="BI126" s="62">
        <f ca="1">AVERAGE(OFFSET($BH$3,0,0,'Données projet'!$E$11+1,1))-AVERAGE(OFFSET($H$3,0,0,'Données projet'!$E$11+1,1))</f>
        <v>464.21202287459482</v>
      </c>
      <c r="BJ126" s="62">
        <f t="shared" si="92"/>
        <v>234.57880205159688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1.7053025658242404E-13</v>
      </c>
      <c r="BZ126" s="14">
        <f>BY126*VLOOKUP('Données projet'!$B$12,Paramètres!$A$1:$I$89,3,0)*VLOOKUP('Données projet'!$B$12,Paramètres!$A$1:$I$89,5,0)</f>
        <v>1.3567387213697657E-13</v>
      </c>
      <c r="CA126" s="14">
        <f t="shared" si="93"/>
        <v>1.9670967679808581E-12</v>
      </c>
      <c r="CB126" s="22">
        <f t="shared" si="64"/>
        <v>3.6623255315385623E-12</v>
      </c>
      <c r="CC126" s="62">
        <f t="shared" si="65"/>
        <v>293.33333333333695</v>
      </c>
      <c r="CD126" s="62">
        <f ca="1">AVERAGE(OFFSET($CC$3,0,0,'Données projet'!$E$12+1,1))-AVERAGE(OFFSET($H$3,0,0,'Données projet'!$E$12+1,1))</f>
        <v>177.99876437322689</v>
      </c>
      <c r="CE126" s="62">
        <f t="shared" si="94"/>
        <v>165.68154380324592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5.1159076974727213E-13</v>
      </c>
      <c r="CU126" s="18">
        <f>CT126*VLOOKUP('Données projet'!$B$13,Paramètres!$A$1:$I$89,3,0)*VLOOKUP('Données projet'!$B$13,Paramètres!$A$1:$I$89,5,0)</f>
        <v>2.8597924028872516E-13</v>
      </c>
      <c r="CV126" s="14">
        <f t="shared" si="95"/>
        <v>3.8016246610825715E-12</v>
      </c>
      <c r="CW126" s="22">
        <f t="shared" si="67"/>
        <v>7.1192434615550094E-12</v>
      </c>
      <c r="CX126" s="62">
        <f t="shared" si="68"/>
        <v>293.33333333334042</v>
      </c>
      <c r="CY126" s="62">
        <f ca="1">AVERAGE(OFFSET($CX$3,0,0,'Données projet'!$E$13+1,1))-AVERAGE(OFFSET($H$3,0,0,'Données projet'!$E$13+1,1))</f>
        <v>242.07451379051349</v>
      </c>
      <c r="CZ126" s="62">
        <f t="shared" si="96"/>
        <v>207.11607964940754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178.56320966726986</v>
      </c>
      <c r="DU126" s="62">
        <f t="shared" si="98"/>
        <v>272.06842551411739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0.58232105198424899</v>
      </c>
      <c r="EC126" s="23">
        <f>EXP(-LN(2)/2)*EC125+(1-EXP(-LN(2)/2))/(LN(2)/2)*DW126*DZ126*VLOOKUP('Données projet'!$B$14,Paramètres!$A$1:$I$89,3,0)*0.475*44/12</f>
        <v>1.6599087693775609E-13</v>
      </c>
      <c r="ED126" s="24">
        <f t="shared" si="72"/>
        <v>0.58232105198441497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402.5999999999998</v>
      </c>
      <c r="EK126" s="18">
        <f>EJ126*VLOOKUP('Données projet'!$B$15,Paramètres!$A$1:$I$89,3,0)*VLOOKUP('Données projet'!$B$15,Paramètres!$A$1:$I$89,5,0)</f>
        <v>433.3586399999997</v>
      </c>
      <c r="EL126" s="14">
        <f t="shared" si="99"/>
        <v>98.507768300008863</v>
      </c>
      <c r="EM126" s="22">
        <f t="shared" si="73"/>
        <v>926.33399445584803</v>
      </c>
      <c r="EN126" s="62">
        <f t="shared" si="74"/>
        <v>1219.6673277891814</v>
      </c>
      <c r="EO126" s="62">
        <f ca="1">AVERAGE(OFFSET($EN$3,0,0,'Données projet'!$E$15+1,1))-AVERAGE(OFFSET($H$3,0,0,'Données projet'!$E$15+1,1))</f>
        <v>479.87943647026646</v>
      </c>
      <c r="EP126" s="62">
        <f t="shared" si="100"/>
        <v>242.41363045393223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402.5999999999998</v>
      </c>
      <c r="FF126" s="18">
        <f>FE126*VLOOKUP('Données projet'!$B$16,Paramètres!$A$1:$I$89,3,0)*VLOOKUP('Données projet'!$B$16,Paramètres!$A$1:$I$89,5,0)</f>
        <v>389.39471999999984</v>
      </c>
      <c r="FG126" s="14">
        <f t="shared" si="101"/>
        <v>89.623256568911799</v>
      </c>
      <c r="FH126" s="22">
        <f t="shared" si="76"/>
        <v>834.2896425241878</v>
      </c>
      <c r="FI126" s="62">
        <f t="shared" si="77"/>
        <v>1127.6229758575212</v>
      </c>
      <c r="FJ126" s="62">
        <f ca="1">AVERAGE(OFFSET($FI$3,0,0,'Données projet'!$E$16+1,1))-AVERAGE(OFFSET($H$3,0,0,'Données projet'!$E$16+1,1))</f>
        <v>425.00152674093977</v>
      </c>
      <c r="FK126" s="62">
        <f t="shared" si="102"/>
        <v>214.96884469274687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179.22241276165141</v>
      </c>
      <c r="T127" s="62">
        <f t="shared" si="88"/>
        <v>86.510654589692876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-6.7984728957526396E-14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157.42757749057949</v>
      </c>
      <c r="AO127" s="62">
        <f t="shared" si="90"/>
        <v>129.86070223892136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2.1876349559041059E-14</v>
      </c>
      <c r="AX127" s="23">
        <f t="shared" si="60"/>
        <v>2.1876349559041059E-14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405.79999999999978</v>
      </c>
      <c r="BE127" s="14">
        <f>BD127*VLOOKUP('Données projet'!$B$11,Paramètres!$A$1:$I$89,3,0)*VLOOKUP('Données projet'!$B$11,Paramètres!$A$1:$I$89,5,0)</f>
        <v>424.14215999999976</v>
      </c>
      <c r="BF127" s="14">
        <f t="shared" si="91"/>
        <v>96.654299262591294</v>
      </c>
      <c r="BG127" s="22">
        <f t="shared" si="61"/>
        <v>907.05383321567933</v>
      </c>
      <c r="BH127" s="62">
        <f t="shared" si="62"/>
        <v>1200.3871665490126</v>
      </c>
      <c r="BI127" s="62">
        <f ca="1">AVERAGE(OFFSET($BH$3,0,0,'Données projet'!$E$11+1,1))-AVERAGE(OFFSET($H$3,0,0,'Données projet'!$E$11+1,1))</f>
        <v>464.21202287459482</v>
      </c>
      <c r="BJ127" s="62">
        <f t="shared" si="92"/>
        <v>234.57880205159688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1.7053025658242404E-13</v>
      </c>
      <c r="BZ127" s="14">
        <f>BY127*VLOOKUP('Données projet'!$B$12,Paramètres!$A$1:$I$89,3,0)*VLOOKUP('Données projet'!$B$12,Paramètres!$A$1:$I$89,5,0)</f>
        <v>1.3567387213697657E-13</v>
      </c>
      <c r="CA127" s="14">
        <f t="shared" si="93"/>
        <v>1.9670967679808581E-12</v>
      </c>
      <c r="CB127" s="22">
        <f t="shared" si="64"/>
        <v>3.6623255315385623E-12</v>
      </c>
      <c r="CC127" s="62">
        <f t="shared" si="65"/>
        <v>293.33333333333695</v>
      </c>
      <c r="CD127" s="62">
        <f ca="1">AVERAGE(OFFSET($CC$3,0,0,'Données projet'!$E$12+1,1))-AVERAGE(OFFSET($H$3,0,0,'Données projet'!$E$12+1,1))</f>
        <v>177.99876437322689</v>
      </c>
      <c r="CE127" s="62">
        <f t="shared" si="94"/>
        <v>165.68154380324592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5.1159076974727213E-13</v>
      </c>
      <c r="CU127" s="18">
        <f>CT127*VLOOKUP('Données projet'!$B$13,Paramètres!$A$1:$I$89,3,0)*VLOOKUP('Données projet'!$B$13,Paramètres!$A$1:$I$89,5,0)</f>
        <v>2.8597924028872516E-13</v>
      </c>
      <c r="CV127" s="14">
        <f t="shared" si="95"/>
        <v>3.8016246610825715E-12</v>
      </c>
      <c r="CW127" s="22">
        <f t="shared" si="67"/>
        <v>7.1192434615550094E-12</v>
      </c>
      <c r="CX127" s="62">
        <f t="shared" si="68"/>
        <v>293.33333333334042</v>
      </c>
      <c r="CY127" s="62">
        <f ca="1">AVERAGE(OFFSET($CX$3,0,0,'Données projet'!$E$13+1,1))-AVERAGE(OFFSET($H$3,0,0,'Données projet'!$E$13+1,1))</f>
        <v>242.07451379051349</v>
      </c>
      <c r="CZ127" s="62">
        <f t="shared" si="96"/>
        <v>207.11607964940754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178.56320966726986</v>
      </c>
      <c r="DU127" s="62">
        <f t="shared" si="98"/>
        <v>272.06842551411739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0.56639745219480653</v>
      </c>
      <c r="EC127" s="23">
        <f>EXP(-LN(2)/2)*EC126+(1-EXP(-LN(2)/2))/(LN(2)/2)*DW127*DZ127*VLOOKUP('Données projet'!$B$14,Paramètres!$A$1:$I$89,3,0)*0.475*44/12</f>
        <v>1.1737327469778903E-13</v>
      </c>
      <c r="ED127" s="24">
        <f t="shared" si="72"/>
        <v>0.56639745219492388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405.79999999999978</v>
      </c>
      <c r="EK127" s="18">
        <f>EJ127*VLOOKUP('Données projet'!$B$15,Paramètres!$A$1:$I$89,3,0)*VLOOKUP('Données projet'!$B$15,Paramètres!$A$1:$I$89,5,0)</f>
        <v>436.80311999999975</v>
      </c>
      <c r="EL127" s="14">
        <f t="shared" si="99"/>
        <v>99.19928399108683</v>
      </c>
      <c r="EM127" s="22">
        <f t="shared" si="73"/>
        <v>933.5375202844757</v>
      </c>
      <c r="EN127" s="62">
        <f t="shared" si="74"/>
        <v>1226.870853617809</v>
      </c>
      <c r="EO127" s="62">
        <f ca="1">AVERAGE(OFFSET($EN$3,0,0,'Données projet'!$E$15+1,1))-AVERAGE(OFFSET($H$3,0,0,'Données projet'!$E$15+1,1))</f>
        <v>479.87943647026646</v>
      </c>
      <c r="EP127" s="62">
        <f t="shared" si="100"/>
        <v>242.41363045393223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405.79999999999978</v>
      </c>
      <c r="FF127" s="18">
        <f>FE127*VLOOKUP('Données projet'!$B$16,Paramètres!$A$1:$I$89,3,0)*VLOOKUP('Données projet'!$B$16,Paramètres!$A$1:$I$89,5,0)</f>
        <v>392.48975999999982</v>
      </c>
      <c r="FG127" s="14">
        <f t="shared" si="101"/>
        <v>90.25240378514107</v>
      </c>
      <c r="FH127" s="22">
        <f t="shared" si="76"/>
        <v>840.77593525912027</v>
      </c>
      <c r="FI127" s="62">
        <f t="shared" si="77"/>
        <v>1134.1092685924536</v>
      </c>
      <c r="FJ127" s="62">
        <f ca="1">AVERAGE(OFFSET($FI$3,0,0,'Données projet'!$E$16+1,1))-AVERAGE(OFFSET($H$3,0,0,'Données projet'!$E$16+1,1))</f>
        <v>425.00152674093977</v>
      </c>
      <c r="FK127" s="62">
        <f t="shared" si="102"/>
        <v>214.96884469274687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179.22241276165141</v>
      </c>
      <c r="T128" s="62">
        <f t="shared" si="88"/>
        <v>86.510654589692876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-6.7984728957526396E-14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157.42757749057949</v>
      </c>
      <c r="AO128" s="62">
        <f t="shared" si="90"/>
        <v>129.86070223892136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1.5468915120805271E-14</v>
      </c>
      <c r="AX128" s="23">
        <f t="shared" si="60"/>
        <v>1.5468915120805271E-14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408.99999999999977</v>
      </c>
      <c r="BE128" s="14">
        <f>BD128*VLOOKUP('Données projet'!$B$11,Paramètres!$A$1:$I$89,3,0)*VLOOKUP('Données projet'!$B$11,Paramètres!$A$1:$I$89,5,0)</f>
        <v>427.48679999999979</v>
      </c>
      <c r="BF128" s="14">
        <f t="shared" si="91"/>
        <v>97.327455755264751</v>
      </c>
      <c r="BG128" s="22">
        <f t="shared" si="61"/>
        <v>914.05149544041899</v>
      </c>
      <c r="BH128" s="62">
        <f t="shared" si="62"/>
        <v>1207.3848287737524</v>
      </c>
      <c r="BI128" s="62">
        <f ca="1">AVERAGE(OFFSET($BH$3,0,0,'Données projet'!$E$11+1,1))-AVERAGE(OFFSET($H$3,0,0,'Données projet'!$E$11+1,1))</f>
        <v>464.21202287459482</v>
      </c>
      <c r="BJ128" s="62">
        <f t="shared" si="92"/>
        <v>234.57880205159688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1.7053025658242404E-13</v>
      </c>
      <c r="BZ128" s="14">
        <f>BY128*VLOOKUP('Données projet'!$B$12,Paramètres!$A$1:$I$89,3,0)*VLOOKUP('Données projet'!$B$12,Paramètres!$A$1:$I$89,5,0)</f>
        <v>1.3567387213697657E-13</v>
      </c>
      <c r="CA128" s="14">
        <f t="shared" si="93"/>
        <v>1.9670967679808581E-12</v>
      </c>
      <c r="CB128" s="22">
        <f t="shared" si="64"/>
        <v>3.6623255315385623E-12</v>
      </c>
      <c r="CC128" s="62">
        <f t="shared" si="65"/>
        <v>293.33333333333695</v>
      </c>
      <c r="CD128" s="62">
        <f ca="1">AVERAGE(OFFSET($CC$3,0,0,'Données projet'!$E$12+1,1))-AVERAGE(OFFSET($H$3,0,0,'Données projet'!$E$12+1,1))</f>
        <v>177.99876437322689</v>
      </c>
      <c r="CE128" s="62">
        <f t="shared" si="94"/>
        <v>165.68154380324592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5.1159076974727213E-13</v>
      </c>
      <c r="CU128" s="18">
        <f>CT128*VLOOKUP('Données projet'!$B$13,Paramètres!$A$1:$I$89,3,0)*VLOOKUP('Données projet'!$B$13,Paramètres!$A$1:$I$89,5,0)</f>
        <v>2.8597924028872516E-13</v>
      </c>
      <c r="CV128" s="14">
        <f t="shared" si="95"/>
        <v>3.8016246610825715E-12</v>
      </c>
      <c r="CW128" s="22">
        <f t="shared" si="67"/>
        <v>7.1192434615550094E-12</v>
      </c>
      <c r="CX128" s="62">
        <f t="shared" si="68"/>
        <v>293.33333333334042</v>
      </c>
      <c r="CY128" s="62">
        <f ca="1">AVERAGE(OFFSET($CX$3,0,0,'Données projet'!$E$13+1,1))-AVERAGE(OFFSET($H$3,0,0,'Données projet'!$E$13+1,1))</f>
        <v>242.07451379051349</v>
      </c>
      <c r="CZ128" s="62">
        <f t="shared" si="96"/>
        <v>207.11607964940754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178.56320966726986</v>
      </c>
      <c r="DU128" s="62">
        <f t="shared" si="98"/>
        <v>272.06842551411739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0.55090928407899209</v>
      </c>
      <c r="EC128" s="23">
        <f>EXP(-LN(2)/2)*EC127+(1-EXP(-LN(2)/2))/(LN(2)/2)*DW128*DZ128*VLOOKUP('Données projet'!$B$14,Paramètres!$A$1:$I$89,3,0)*0.475*44/12</f>
        <v>8.2995438468878046E-14</v>
      </c>
      <c r="ED128" s="24">
        <f t="shared" si="72"/>
        <v>0.55090928407907513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408.99999999999977</v>
      </c>
      <c r="EK128" s="18">
        <f>EJ128*VLOOKUP('Données projet'!$B$15,Paramètres!$A$1:$I$89,3,0)*VLOOKUP('Données projet'!$B$15,Paramètres!$A$1:$I$89,5,0)</f>
        <v>440.24759999999969</v>
      </c>
      <c r="EL128" s="14">
        <f t="shared" si="99"/>
        <v>99.890165230686392</v>
      </c>
      <c r="EM128" s="22">
        <f t="shared" si="73"/>
        <v>940.73994111011177</v>
      </c>
      <c r="EN128" s="62">
        <f t="shared" si="74"/>
        <v>1234.0732744434451</v>
      </c>
      <c r="EO128" s="62">
        <f ca="1">AVERAGE(OFFSET($EN$3,0,0,'Données projet'!$E$15+1,1))-AVERAGE(OFFSET($H$3,0,0,'Données projet'!$E$15+1,1))</f>
        <v>479.87943647026646</v>
      </c>
      <c r="EP128" s="62">
        <f t="shared" si="100"/>
        <v>242.41363045393223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408.99999999999977</v>
      </c>
      <c r="FF128" s="18">
        <f>FE128*VLOOKUP('Données projet'!$B$16,Paramètres!$A$1:$I$89,3,0)*VLOOKUP('Données projet'!$B$16,Paramètres!$A$1:$I$89,5,0)</f>
        <v>395.5847999999998</v>
      </c>
      <c r="FG128" s="14">
        <f t="shared" si="101"/>
        <v>90.880973771689781</v>
      </c>
      <c r="FH128" s="22">
        <f t="shared" si="76"/>
        <v>847.26122265235927</v>
      </c>
      <c r="FI128" s="62">
        <f t="shared" si="77"/>
        <v>1140.5945559856925</v>
      </c>
      <c r="FJ128" s="62">
        <f ca="1">AVERAGE(OFFSET($FI$3,0,0,'Données projet'!$E$16+1,1))-AVERAGE(OFFSET($H$3,0,0,'Données projet'!$E$16+1,1))</f>
        <v>425.00152674093977</v>
      </c>
      <c r="FK128" s="62">
        <f t="shared" si="102"/>
        <v>214.96884469274687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179.22241276165141</v>
      </c>
      <c r="T129" s="62">
        <f t="shared" si="88"/>
        <v>86.510654589692876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-6.7984728957526396E-14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157.42757749057949</v>
      </c>
      <c r="AO129" s="62">
        <f t="shared" si="90"/>
        <v>129.86070223892136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1.0938174779520529E-14</v>
      </c>
      <c r="AX129" s="23">
        <f t="shared" si="60"/>
        <v>1.0938174779520529E-14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412.19999999999976</v>
      </c>
      <c r="BE129" s="14">
        <f>BD129*VLOOKUP('Données projet'!$B$11,Paramètres!$A$1:$I$89,3,0)*VLOOKUP('Données projet'!$B$11,Paramètres!$A$1:$I$89,5,0)</f>
        <v>430.83143999999982</v>
      </c>
      <c r="BF129" s="14">
        <f t="shared" si="91"/>
        <v>97.999999470688238</v>
      </c>
      <c r="BG129" s="22">
        <f t="shared" si="61"/>
        <v>921.04809041144836</v>
      </c>
      <c r="BH129" s="62">
        <f t="shared" si="62"/>
        <v>1214.3814237447816</v>
      </c>
      <c r="BI129" s="62">
        <f ca="1">AVERAGE(OFFSET($BH$3,0,0,'Données projet'!$E$11+1,1))-AVERAGE(OFFSET($H$3,0,0,'Données projet'!$E$11+1,1))</f>
        <v>464.21202287459482</v>
      </c>
      <c r="BJ129" s="62">
        <f t="shared" si="92"/>
        <v>234.57880205159688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1.7053025658242404E-13</v>
      </c>
      <c r="BZ129" s="14">
        <f>BY129*VLOOKUP('Données projet'!$B$12,Paramètres!$A$1:$I$89,3,0)*VLOOKUP('Données projet'!$B$12,Paramètres!$A$1:$I$89,5,0)</f>
        <v>1.3567387213697657E-13</v>
      </c>
      <c r="CA129" s="14">
        <f t="shared" si="93"/>
        <v>1.9670967679808581E-12</v>
      </c>
      <c r="CB129" s="22">
        <f t="shared" si="64"/>
        <v>3.6623255315385623E-12</v>
      </c>
      <c r="CC129" s="62">
        <f t="shared" si="65"/>
        <v>293.33333333333695</v>
      </c>
      <c r="CD129" s="62">
        <f ca="1">AVERAGE(OFFSET($CC$3,0,0,'Données projet'!$E$12+1,1))-AVERAGE(OFFSET($H$3,0,0,'Données projet'!$E$12+1,1))</f>
        <v>177.99876437322689</v>
      </c>
      <c r="CE129" s="62">
        <f t="shared" si="94"/>
        <v>165.68154380324592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5.1159076974727213E-13</v>
      </c>
      <c r="CU129" s="18">
        <f>CT129*VLOOKUP('Données projet'!$B$13,Paramètres!$A$1:$I$89,3,0)*VLOOKUP('Données projet'!$B$13,Paramètres!$A$1:$I$89,5,0)</f>
        <v>2.8597924028872516E-13</v>
      </c>
      <c r="CV129" s="14">
        <f t="shared" si="95"/>
        <v>3.8016246610825715E-12</v>
      </c>
      <c r="CW129" s="22">
        <f t="shared" si="67"/>
        <v>7.1192434615550094E-12</v>
      </c>
      <c r="CX129" s="62">
        <f t="shared" si="68"/>
        <v>293.33333333334042</v>
      </c>
      <c r="CY129" s="62">
        <f ca="1">AVERAGE(OFFSET($CX$3,0,0,'Données projet'!$E$13+1,1))-AVERAGE(OFFSET($H$3,0,0,'Données projet'!$E$13+1,1))</f>
        <v>242.07451379051349</v>
      </c>
      <c r="CZ129" s="62">
        <f t="shared" si="96"/>
        <v>207.11607964940754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178.56320966726986</v>
      </c>
      <c r="DU129" s="62">
        <f t="shared" si="98"/>
        <v>272.06842551411739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0.53584464073479188</v>
      </c>
      <c r="EC129" s="23">
        <f>EXP(-LN(2)/2)*EC128+(1-EXP(-LN(2)/2))/(LN(2)/2)*DW129*DZ129*VLOOKUP('Données projet'!$B$14,Paramètres!$A$1:$I$89,3,0)*0.475*44/12</f>
        <v>5.8686637348894517E-14</v>
      </c>
      <c r="ED129" s="24">
        <f t="shared" si="72"/>
        <v>0.53584464073485061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412.19999999999976</v>
      </c>
      <c r="EK129" s="18">
        <f>EJ129*VLOOKUP('Données projet'!$B$15,Paramètres!$A$1:$I$89,3,0)*VLOOKUP('Données projet'!$B$15,Paramètres!$A$1:$I$89,5,0)</f>
        <v>443.69207999999975</v>
      </c>
      <c r="EL129" s="14">
        <f t="shared" si="99"/>
        <v>100.58041755812256</v>
      </c>
      <c r="EM129" s="22">
        <f t="shared" si="73"/>
        <v>947.94126658039625</v>
      </c>
      <c r="EN129" s="62">
        <f t="shared" si="74"/>
        <v>1241.2745999137296</v>
      </c>
      <c r="EO129" s="62">
        <f ca="1">AVERAGE(OFFSET($EN$3,0,0,'Données projet'!$E$15+1,1))-AVERAGE(OFFSET($H$3,0,0,'Données projet'!$E$15+1,1))</f>
        <v>479.87943647026646</v>
      </c>
      <c r="EP129" s="62">
        <f t="shared" si="100"/>
        <v>242.41363045393223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412.19999999999976</v>
      </c>
      <c r="FF129" s="18">
        <f>FE129*VLOOKUP('Données projet'!$B$16,Paramètres!$A$1:$I$89,3,0)*VLOOKUP('Données projet'!$B$16,Paramètres!$A$1:$I$89,5,0)</f>
        <v>398.67983999999979</v>
      </c>
      <c r="FG129" s="14">
        <f t="shared" si="101"/>
        <v>91.508971568276692</v>
      </c>
      <c r="FH129" s="22">
        <f t="shared" si="76"/>
        <v>853.74551348141495</v>
      </c>
      <c r="FI129" s="62">
        <f t="shared" si="77"/>
        <v>1147.0788468147482</v>
      </c>
      <c r="FJ129" s="62">
        <f ca="1">AVERAGE(OFFSET($FI$3,0,0,'Données projet'!$E$16+1,1))-AVERAGE(OFFSET($H$3,0,0,'Données projet'!$E$16+1,1))</f>
        <v>425.00152674093977</v>
      </c>
      <c r="FK129" s="62">
        <f t="shared" si="102"/>
        <v>214.96884469274687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179.22241276165141</v>
      </c>
      <c r="T130" s="62">
        <f t="shared" si="88"/>
        <v>86.510654589692876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-6.7984728957526396E-14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157.42757749057949</v>
      </c>
      <c r="AO130" s="62">
        <f t="shared" si="90"/>
        <v>129.86070223892136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7.7344575604026357E-15</v>
      </c>
      <c r="AX130" s="23">
        <f t="shared" si="60"/>
        <v>7.7344575604026357E-15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415.39999999999975</v>
      </c>
      <c r="BE130" s="14">
        <f>BD130*VLOOKUP('Données projet'!$B$11,Paramètres!$A$1:$I$89,3,0)*VLOOKUP('Données projet'!$B$11,Paramètres!$A$1:$I$89,5,0)</f>
        <v>434.17607999999979</v>
      </c>
      <c r="BF130" s="14">
        <f t="shared" si="91"/>
        <v>98.671935717424986</v>
      </c>
      <c r="BG130" s="22">
        <f t="shared" si="61"/>
        <v>928.04362737451481</v>
      </c>
      <c r="BH130" s="62">
        <f t="shared" si="62"/>
        <v>1221.3769607078482</v>
      </c>
      <c r="BI130" s="62">
        <f ca="1">AVERAGE(OFFSET($BH$3,0,0,'Données projet'!$E$11+1,1))-AVERAGE(OFFSET($H$3,0,0,'Données projet'!$E$11+1,1))</f>
        <v>464.21202287459482</v>
      </c>
      <c r="BJ130" s="62">
        <f t="shared" si="92"/>
        <v>234.57880205159688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1.7053025658242404E-13</v>
      </c>
      <c r="BZ130" s="14">
        <f>BY130*VLOOKUP('Données projet'!$B$12,Paramètres!$A$1:$I$89,3,0)*VLOOKUP('Données projet'!$B$12,Paramètres!$A$1:$I$89,5,0)</f>
        <v>1.3567387213697657E-13</v>
      </c>
      <c r="CA130" s="14">
        <f t="shared" si="93"/>
        <v>1.9670967679808581E-12</v>
      </c>
      <c r="CB130" s="22">
        <f t="shared" si="64"/>
        <v>3.6623255315385623E-12</v>
      </c>
      <c r="CC130" s="62">
        <f t="shared" si="65"/>
        <v>293.33333333333695</v>
      </c>
      <c r="CD130" s="62">
        <f ca="1">AVERAGE(OFFSET($CC$3,0,0,'Données projet'!$E$12+1,1))-AVERAGE(OFFSET($H$3,0,0,'Données projet'!$E$12+1,1))</f>
        <v>177.99876437322689</v>
      </c>
      <c r="CE130" s="62">
        <f t="shared" si="94"/>
        <v>165.68154380324592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5.1159076974727213E-13</v>
      </c>
      <c r="CU130" s="18">
        <f>CT130*VLOOKUP('Données projet'!$B$13,Paramètres!$A$1:$I$89,3,0)*VLOOKUP('Données projet'!$B$13,Paramètres!$A$1:$I$89,5,0)</f>
        <v>2.8597924028872516E-13</v>
      </c>
      <c r="CV130" s="14">
        <f t="shared" si="95"/>
        <v>3.8016246610825715E-12</v>
      </c>
      <c r="CW130" s="22">
        <f t="shared" si="67"/>
        <v>7.1192434615550094E-12</v>
      </c>
      <c r="CX130" s="62">
        <f t="shared" si="68"/>
        <v>293.33333333334042</v>
      </c>
      <c r="CY130" s="62">
        <f ca="1">AVERAGE(OFFSET($CX$3,0,0,'Données projet'!$E$13+1,1))-AVERAGE(OFFSET($H$3,0,0,'Données projet'!$E$13+1,1))</f>
        <v>242.07451379051349</v>
      </c>
      <c r="CZ130" s="62">
        <f t="shared" si="96"/>
        <v>207.11607964940754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178.56320966726986</v>
      </c>
      <c r="DU130" s="62">
        <f t="shared" si="98"/>
        <v>272.06842551411739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0.52119194085505405</v>
      </c>
      <c r="EC130" s="23">
        <f>EXP(-LN(2)/2)*EC129+(1-EXP(-LN(2)/2))/(LN(2)/2)*DW130*DZ130*VLOOKUP('Données projet'!$B$14,Paramètres!$A$1:$I$89,3,0)*0.475*44/12</f>
        <v>4.1497719234439023E-14</v>
      </c>
      <c r="ED130" s="24">
        <f t="shared" si="72"/>
        <v>0.52119194085509557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415.39999999999975</v>
      </c>
      <c r="EK130" s="18">
        <f>EJ130*VLOOKUP('Données projet'!$B$15,Paramètres!$A$1:$I$89,3,0)*VLOOKUP('Données projet'!$B$15,Paramètres!$A$1:$I$89,5,0)</f>
        <v>447.13655999999969</v>
      </c>
      <c r="EL130" s="14">
        <f t="shared" si="99"/>
        <v>101.27004642173725</v>
      </c>
      <c r="EM130" s="22">
        <f t="shared" si="73"/>
        <v>955.14150618452504</v>
      </c>
      <c r="EN130" s="62">
        <f t="shared" si="74"/>
        <v>1248.4748395178583</v>
      </c>
      <c r="EO130" s="62">
        <f ca="1">AVERAGE(OFFSET($EN$3,0,0,'Données projet'!$E$15+1,1))-AVERAGE(OFFSET($H$3,0,0,'Données projet'!$E$15+1,1))</f>
        <v>479.87943647026646</v>
      </c>
      <c r="EP130" s="62">
        <f t="shared" si="100"/>
        <v>242.41363045393223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415.39999999999975</v>
      </c>
      <c r="FF130" s="18">
        <f>FE130*VLOOKUP('Données projet'!$B$16,Paramètres!$A$1:$I$89,3,0)*VLOOKUP('Données projet'!$B$16,Paramètres!$A$1:$I$89,5,0)</f>
        <v>401.77487999999977</v>
      </c>
      <c r="FG130" s="14">
        <f t="shared" si="101"/>
        <v>92.136402131852549</v>
      </c>
      <c r="FH130" s="22">
        <f t="shared" si="76"/>
        <v>860.22881637964281</v>
      </c>
      <c r="FI130" s="62">
        <f t="shared" si="77"/>
        <v>1153.5621497129762</v>
      </c>
      <c r="FJ130" s="62">
        <f ca="1">AVERAGE(OFFSET($FI$3,0,0,'Données projet'!$E$16+1,1))-AVERAGE(OFFSET($H$3,0,0,'Données projet'!$E$16+1,1))</f>
        <v>425.00152674093977</v>
      </c>
      <c r="FK130" s="62">
        <f t="shared" si="102"/>
        <v>214.96884469274687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179.22241276165141</v>
      </c>
      <c r="T131" s="62">
        <f t="shared" si="88"/>
        <v>86.510654589692876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-6.7984728957526396E-14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157.42757749057949</v>
      </c>
      <c r="AO131" s="62">
        <f t="shared" si="90"/>
        <v>129.86070223892136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5.4690873897602647E-15</v>
      </c>
      <c r="AX131" s="23">
        <f t="shared" si="60"/>
        <v>5.4690873897602647E-15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418.59999999999974</v>
      </c>
      <c r="BE131" s="14">
        <f>BD131*VLOOKUP('Données projet'!$B$11,Paramètres!$A$1:$I$89,3,0)*VLOOKUP('Données projet'!$B$11,Paramètres!$A$1:$I$89,5,0)</f>
        <v>437.52071999999976</v>
      </c>
      <c r="BF131" s="14">
        <f t="shared" si="91"/>
        <v>99.343269717526198</v>
      </c>
      <c r="BG131" s="22">
        <f t="shared" si="61"/>
        <v>935.03811542469111</v>
      </c>
      <c r="BH131" s="62">
        <f t="shared" si="62"/>
        <v>1228.3714487580244</v>
      </c>
      <c r="BI131" s="62">
        <f ca="1">AVERAGE(OFFSET($BH$3,0,0,'Données projet'!$E$11+1,1))-AVERAGE(OFFSET($H$3,0,0,'Données projet'!$E$11+1,1))</f>
        <v>464.21202287459482</v>
      </c>
      <c r="BJ131" s="62">
        <f t="shared" si="92"/>
        <v>234.57880205159688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1.7053025658242404E-13</v>
      </c>
      <c r="BZ131" s="14">
        <f>BY131*VLOOKUP('Données projet'!$B$12,Paramètres!$A$1:$I$89,3,0)*VLOOKUP('Données projet'!$B$12,Paramètres!$A$1:$I$89,5,0)</f>
        <v>1.3567387213697657E-13</v>
      </c>
      <c r="CA131" s="14">
        <f t="shared" si="93"/>
        <v>1.9670967679808581E-12</v>
      </c>
      <c r="CB131" s="22">
        <f t="shared" si="64"/>
        <v>3.6623255315385623E-12</v>
      </c>
      <c r="CC131" s="62">
        <f t="shared" si="65"/>
        <v>293.33333333333695</v>
      </c>
      <c r="CD131" s="62">
        <f ca="1">AVERAGE(OFFSET($CC$3,0,0,'Données projet'!$E$12+1,1))-AVERAGE(OFFSET($H$3,0,0,'Données projet'!$E$12+1,1))</f>
        <v>177.99876437322689</v>
      </c>
      <c r="CE131" s="62">
        <f t="shared" si="94"/>
        <v>165.68154380324592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5.1159076974727213E-13</v>
      </c>
      <c r="CU131" s="18">
        <f>CT131*VLOOKUP('Données projet'!$B$13,Paramètres!$A$1:$I$89,3,0)*VLOOKUP('Données projet'!$B$13,Paramètres!$A$1:$I$89,5,0)</f>
        <v>2.8597924028872516E-13</v>
      </c>
      <c r="CV131" s="14">
        <f t="shared" si="95"/>
        <v>3.8016246610825715E-12</v>
      </c>
      <c r="CW131" s="22">
        <f t="shared" si="67"/>
        <v>7.1192434615550094E-12</v>
      </c>
      <c r="CX131" s="62">
        <f t="shared" si="68"/>
        <v>293.33333333334042</v>
      </c>
      <c r="CY131" s="62">
        <f ca="1">AVERAGE(OFFSET($CX$3,0,0,'Données projet'!$E$13+1,1))-AVERAGE(OFFSET($H$3,0,0,'Données projet'!$E$13+1,1))</f>
        <v>242.07451379051349</v>
      </c>
      <c r="CZ131" s="62">
        <f t="shared" si="96"/>
        <v>207.11607964940754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178.56320966726986</v>
      </c>
      <c r="DU131" s="62">
        <f t="shared" si="98"/>
        <v>272.06842551411739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0.5069399198240796</v>
      </c>
      <c r="EC131" s="23">
        <f>EXP(-LN(2)/2)*EC130+(1-EXP(-LN(2)/2))/(LN(2)/2)*DW131*DZ131*VLOOKUP('Données projet'!$B$14,Paramètres!$A$1:$I$89,3,0)*0.475*44/12</f>
        <v>2.9343318674447259E-14</v>
      </c>
      <c r="ED131" s="24">
        <f t="shared" si="72"/>
        <v>0.50693991982410891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418.59999999999974</v>
      </c>
      <c r="EK131" s="18">
        <f>EJ131*VLOOKUP('Données projet'!$B$15,Paramètres!$A$1:$I$89,3,0)*VLOOKUP('Données projet'!$B$15,Paramètres!$A$1:$I$89,5,0)</f>
        <v>450.58103999999969</v>
      </c>
      <c r="EL131" s="14">
        <f t="shared" si="99"/>
        <v>101.95905718108261</v>
      </c>
      <c r="EM131" s="22">
        <f t="shared" si="73"/>
        <v>962.34066925705156</v>
      </c>
      <c r="EN131" s="62">
        <f t="shared" si="74"/>
        <v>1255.6740025903848</v>
      </c>
      <c r="EO131" s="62">
        <f ca="1">AVERAGE(OFFSET($EN$3,0,0,'Données projet'!$E$15+1,1))-AVERAGE(OFFSET($H$3,0,0,'Données projet'!$E$15+1,1))</f>
        <v>479.87943647026646</v>
      </c>
      <c r="EP131" s="62">
        <f t="shared" si="100"/>
        <v>242.41363045393223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418.59999999999974</v>
      </c>
      <c r="FF131" s="18">
        <f>FE131*VLOOKUP('Données projet'!$B$16,Paramètres!$A$1:$I$89,3,0)*VLOOKUP('Données projet'!$B$16,Paramètres!$A$1:$I$89,5,0)</f>
        <v>404.86991999999969</v>
      </c>
      <c r="FG131" s="14">
        <f t="shared" si="101"/>
        <v>92.763270338586025</v>
      </c>
      <c r="FH131" s="22">
        <f t="shared" si="76"/>
        <v>866.71113983970338</v>
      </c>
      <c r="FI131" s="62">
        <f t="shared" si="77"/>
        <v>1160.0444731730367</v>
      </c>
      <c r="FJ131" s="62">
        <f ca="1">AVERAGE(OFFSET($FI$3,0,0,'Données projet'!$E$16+1,1))-AVERAGE(OFFSET($H$3,0,0,'Données projet'!$E$16+1,1))</f>
        <v>425.00152674093977</v>
      </c>
      <c r="FK131" s="62">
        <f t="shared" si="102"/>
        <v>214.96884469274687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179.22241276165141</v>
      </c>
      <c r="T132" s="62">
        <f t="shared" si="88"/>
        <v>86.510654589692876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-6.7984728957526396E-14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157.42757749057949</v>
      </c>
      <c r="AO132" s="62">
        <f t="shared" si="90"/>
        <v>129.86070223892136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3.8672287802013178E-15</v>
      </c>
      <c r="AX132" s="23">
        <f t="shared" ref="AX132:AX153" si="114">SUM(AU132:AW132)</f>
        <v>3.8672287802013178E-15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421.79999999999973</v>
      </c>
      <c r="BE132" s="14">
        <f>BD132*VLOOKUP('Données projet'!$B$11,Paramètres!$A$1:$I$89,3,0)*VLOOKUP('Données projet'!$B$11,Paramètres!$A$1:$I$89,5,0)</f>
        <v>440.86535999999973</v>
      </c>
      <c r="BF132" s="14">
        <f t="shared" si="91"/>
        <v>100.01400660859143</v>
      </c>
      <c r="BG132" s="22">
        <f t="shared" ref="BG132:BG153" si="115">(BE132+BF132)*0.475*44/12</f>
        <v>942.03156350996278</v>
      </c>
      <c r="BH132" s="62">
        <f t="shared" ref="BH132:BH195" si="116">BG132+(AY132+AZ132)*44/12</f>
        <v>1235.364896843296</v>
      </c>
      <c r="BI132" s="62">
        <f ca="1">AVERAGE(OFFSET($BH$3,0,0,'Données projet'!$E$11+1,1))-AVERAGE(OFFSET($H$3,0,0,'Données projet'!$E$11+1,1))</f>
        <v>464.21202287459482</v>
      </c>
      <c r="BJ132" s="62">
        <f t="shared" si="92"/>
        <v>234.57880205159688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1.7053025658242404E-13</v>
      </c>
      <c r="BZ132" s="14">
        <f>BY132*VLOOKUP('Données projet'!$B$12,Paramètres!$A$1:$I$89,3,0)*VLOOKUP('Données projet'!$B$12,Paramètres!$A$1:$I$89,5,0)</f>
        <v>1.3567387213697657E-13</v>
      </c>
      <c r="CA132" s="14">
        <f t="shared" si="93"/>
        <v>1.9670967679808581E-12</v>
      </c>
      <c r="CB132" s="22">
        <f t="shared" ref="CB132:CB153" si="118">(BZ132+CA132)*0.475*44/12</f>
        <v>3.6623255315385623E-12</v>
      </c>
      <c r="CC132" s="62">
        <f t="shared" ref="CC132:CC195" si="119">CB132+(BT132+BU132)*44/12</f>
        <v>293.33333333333695</v>
      </c>
      <c r="CD132" s="62">
        <f ca="1">AVERAGE(OFFSET($CC$3,0,0,'Données projet'!$E$12+1,1))-AVERAGE(OFFSET($H$3,0,0,'Données projet'!$E$12+1,1))</f>
        <v>177.99876437322689</v>
      </c>
      <c r="CE132" s="62">
        <f t="shared" si="94"/>
        <v>165.68154380324592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5.1159076974727213E-13</v>
      </c>
      <c r="CU132" s="18">
        <f>CT132*VLOOKUP('Données projet'!$B$13,Paramètres!$A$1:$I$89,3,0)*VLOOKUP('Données projet'!$B$13,Paramètres!$A$1:$I$89,5,0)</f>
        <v>2.8597924028872516E-13</v>
      </c>
      <c r="CV132" s="14">
        <f t="shared" si="95"/>
        <v>3.8016246610825715E-12</v>
      </c>
      <c r="CW132" s="22">
        <f t="shared" ref="CW132:CW153" si="121">(CU132+CV132)*0.475*44/12</f>
        <v>7.1192434615550094E-12</v>
      </c>
      <c r="CX132" s="62">
        <f t="shared" ref="CX132:CX195" si="122">CW132+(CO132+CP132)*44/12</f>
        <v>293.33333333334042</v>
      </c>
      <c r="CY132" s="62">
        <f ca="1">AVERAGE(OFFSET($CX$3,0,0,'Données projet'!$E$13+1,1))-AVERAGE(OFFSET($H$3,0,0,'Données projet'!$E$13+1,1))</f>
        <v>242.07451379051349</v>
      </c>
      <c r="CZ132" s="62">
        <f t="shared" si="96"/>
        <v>207.11607964940754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178.56320966726986</v>
      </c>
      <c r="DU132" s="62">
        <f t="shared" si="98"/>
        <v>272.06842551411739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0.49307762105767838</v>
      </c>
      <c r="EC132" s="23">
        <f>EXP(-LN(2)/2)*EC131+(1-EXP(-LN(2)/2))/(LN(2)/2)*DW132*DZ132*VLOOKUP('Données projet'!$B$14,Paramètres!$A$1:$I$89,3,0)*0.475*44/12</f>
        <v>2.0748859617219512E-14</v>
      </c>
      <c r="ED132" s="24">
        <f t="shared" ref="ED132:ED153" si="126">SUM(EA132:EC132)</f>
        <v>0.49307762105769914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421.79999999999973</v>
      </c>
      <c r="EK132" s="18">
        <f>EJ132*VLOOKUP('Données projet'!$B$15,Paramètres!$A$1:$I$89,3,0)*VLOOKUP('Données projet'!$B$15,Paramètres!$A$1:$I$89,5,0)</f>
        <v>454.02551999999969</v>
      </c>
      <c r="EL132" s="14">
        <f t="shared" si="99"/>
        <v>102.64745510903522</v>
      </c>
      <c r="EM132" s="22">
        <f t="shared" ref="EM132:EM153" si="127">(EK132+EL132)*0.475*44/12</f>
        <v>969.53876498156899</v>
      </c>
      <c r="EN132" s="62">
        <f t="shared" ref="EN132:EN195" si="128">EM132+(EE132+EF132)*44/12</f>
        <v>1262.8720983149024</v>
      </c>
      <c r="EO132" s="62">
        <f ca="1">AVERAGE(OFFSET($EN$3,0,0,'Données projet'!$E$15+1,1))-AVERAGE(OFFSET($H$3,0,0,'Données projet'!$E$15+1,1))</f>
        <v>479.87943647026646</v>
      </c>
      <c r="EP132" s="62">
        <f t="shared" si="100"/>
        <v>242.41363045393223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421.79999999999973</v>
      </c>
      <c r="FF132" s="18">
        <f>FE132*VLOOKUP('Données projet'!$B$16,Paramètres!$A$1:$I$89,3,0)*VLOOKUP('Données projet'!$B$16,Paramètres!$A$1:$I$89,5,0)</f>
        <v>407.96495999999979</v>
      </c>
      <c r="FG132" s="14">
        <f t="shared" si="101"/>
        <v>93.389580985788101</v>
      </c>
      <c r="FH132" s="22">
        <f t="shared" ref="FH132:FH153" si="130">(FF132+FG132)*0.475*44/12</f>
        <v>873.19249221691382</v>
      </c>
      <c r="FI132" s="62">
        <f t="shared" ref="FI132:FI195" si="131">FH132+(EZ132+FA132)*44/12</f>
        <v>1166.5258255502472</v>
      </c>
      <c r="FJ132" s="62">
        <f ca="1">AVERAGE(OFFSET($FI$3,0,0,'Données projet'!$E$16+1,1))-AVERAGE(OFFSET($H$3,0,0,'Données projet'!$E$16+1,1))</f>
        <v>425.00152674093977</v>
      </c>
      <c r="FK132" s="62">
        <f t="shared" si="102"/>
        <v>214.96884469274687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179.22241276165141</v>
      </c>
      <c r="T133" s="62">
        <f t="shared" ref="T133:T196" si="142">$T$3</f>
        <v>86.510654589692876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-6.7984728957526396E-14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157.42757749057949</v>
      </c>
      <c r="AO133" s="62">
        <f t="shared" ref="AO133:AO196" si="144">$AO$3</f>
        <v>129.86070223892136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2.7345436948801324E-15</v>
      </c>
      <c r="AX133" s="23">
        <f t="shared" si="114"/>
        <v>2.7345436948801324E-15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425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424.99999999999972</v>
      </c>
      <c r="BE133" s="14">
        <f>BD133*VLOOKUP('Données projet'!$B$11,Paramètres!$A$1:$I$89,3,0)*VLOOKUP('Données projet'!$B$11,Paramètres!$A$1:$I$89,5,0)</f>
        <v>444.20999999999975</v>
      </c>
      <c r="BF133" s="14">
        <f t="shared" ref="BF133:BF153" si="145">EXP(-1.0587+0.8836*LN(BE133)+0.284)</f>
        <v>100.68415144576416</v>
      </c>
      <c r="BG133" s="22">
        <f t="shared" si="115"/>
        <v>949.02398043470532</v>
      </c>
      <c r="BH133" s="62">
        <f t="shared" si="116"/>
        <v>1242.3573137680387</v>
      </c>
      <c r="BI133" s="62">
        <f ca="1">AVERAGE(OFFSET($BH$3,0,0,'Données projet'!$E$11+1,1))-AVERAGE(OFFSET($H$3,0,0,'Données projet'!$E$11+1,1))</f>
        <v>464.21202287459482</v>
      </c>
      <c r="BJ133" s="62">
        <f t="shared" ref="BJ133:BJ196" si="146">$BJ$3</f>
        <v>234.57880205159688</v>
      </c>
      <c r="BK133" s="16">
        <f>IF(ISNA(VLOOKUP(A133,'Données projet'!$A$87:$I$107,3,0)),0,VLOOKUP(A133,'Données projet'!$A$87:$I$107,3,0))</f>
        <v>10</v>
      </c>
      <c r="BL133" s="16">
        <f>IF(ISNA(VLOOKUP(A133,'Données projet'!$A$87:$I$107,4,0)),0,VLOOKUP(A133,'Données projet'!$A$87:$I$107,4,0))</f>
        <v>425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1.7053025658242404E-13</v>
      </c>
      <c r="BZ133" s="14">
        <f>BY133*VLOOKUP('Données projet'!$B$12,Paramètres!$A$1:$I$89,3,0)*VLOOKUP('Données projet'!$B$12,Paramètres!$A$1:$I$89,5,0)</f>
        <v>1.3567387213697657E-13</v>
      </c>
      <c r="CA133" s="14">
        <f t="shared" ref="CA133:CA153" si="147">EXP(-1.0587+0.8836*LN(BZ133)+0.284)</f>
        <v>1.9670967679808581E-12</v>
      </c>
      <c r="CB133" s="22">
        <f t="shared" si="118"/>
        <v>3.6623255315385623E-12</v>
      </c>
      <c r="CC133" s="62">
        <f t="shared" si="119"/>
        <v>293.33333333333695</v>
      </c>
      <c r="CD133" s="62">
        <f ca="1">AVERAGE(OFFSET($CC$3,0,0,'Données projet'!$E$12+1,1))-AVERAGE(OFFSET($H$3,0,0,'Données projet'!$E$12+1,1))</f>
        <v>177.99876437322689</v>
      </c>
      <c r="CE133" s="62">
        <f t="shared" ref="CE133:CE196" si="148">$CE$3</f>
        <v>165.68154380324592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5.1159076974727213E-13</v>
      </c>
      <c r="CU133" s="18">
        <f>CT133*VLOOKUP('Données projet'!$B$13,Paramètres!$A$1:$I$89,3,0)*VLOOKUP('Données projet'!$B$13,Paramètres!$A$1:$I$89,5,0)</f>
        <v>2.8597924028872516E-13</v>
      </c>
      <c r="CV133" s="14">
        <f t="shared" ref="CV133:CV153" si="149">EXP(-1.0587+0.8836*LN(CU133)+0.284)</f>
        <v>3.8016246610825715E-12</v>
      </c>
      <c r="CW133" s="22">
        <f t="shared" si="121"/>
        <v>7.1192434615550094E-12</v>
      </c>
      <c r="CX133" s="62">
        <f t="shared" si="122"/>
        <v>293.33333333334042</v>
      </c>
      <c r="CY133" s="62">
        <f ca="1">AVERAGE(OFFSET($CX$3,0,0,'Données projet'!$E$13+1,1))-AVERAGE(OFFSET($H$3,0,0,'Données projet'!$E$13+1,1))</f>
        <v>242.07451379051349</v>
      </c>
      <c r="CZ133" s="62">
        <f t="shared" ref="CZ133:CZ196" si="150">$CZ$3</f>
        <v>207.11607964940754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178.56320966726986</v>
      </c>
      <c r="DU133" s="62">
        <f t="shared" ref="DU133:DU196" si="152">$DU$3</f>
        <v>272.06842551411739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0.47959438758003103</v>
      </c>
      <c r="EC133" s="23">
        <f>EXP(-LN(2)/2)*EC132+(1-EXP(-LN(2)/2))/(LN(2)/2)*DW133*DZ133*VLOOKUP('Données projet'!$B$14,Paramètres!$A$1:$I$89,3,0)*0.475*44/12</f>
        <v>1.4671659337223629E-14</v>
      </c>
      <c r="ED133" s="24">
        <f t="shared" si="126"/>
        <v>0.47959438758004569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425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424.99999999999972</v>
      </c>
      <c r="EK133" s="18">
        <f>EJ133*VLOOKUP('Données projet'!$B$15,Paramètres!$A$1:$I$89,3,0)*VLOOKUP('Données projet'!$B$15,Paramètres!$A$1:$I$89,5,0)</f>
        <v>457.46999999999969</v>
      </c>
      <c r="EL133" s="14">
        <f t="shared" ref="EL133:EL153" si="153">EXP(-1.0587+0.8836*LN(EK133)+0.284)</f>
        <v>103.33524539384459</v>
      </c>
      <c r="EM133" s="22">
        <f t="shared" si="127"/>
        <v>976.73580239427883</v>
      </c>
      <c r="EN133" s="62">
        <f t="shared" si="128"/>
        <v>1270.0691357276121</v>
      </c>
      <c r="EO133" s="62">
        <f ca="1">AVERAGE(OFFSET($EN$3,0,0,'Données projet'!$E$15+1,1))-AVERAGE(OFFSET($H$3,0,0,'Données projet'!$E$15+1,1))</f>
        <v>479.87943647026646</v>
      </c>
      <c r="EP133" s="62">
        <f t="shared" ref="EP133:EP196" si="154">$EP$3</f>
        <v>242.41363045393223</v>
      </c>
      <c r="EQ133" s="16">
        <f>IF(ISNA(VLOOKUP(A133,'Données projet'!$A$191:$I$211,3,0)),0,VLOOKUP(A133,'Données projet'!$A$191:$I$211,3,0))</f>
        <v>10</v>
      </c>
      <c r="ER133" s="16">
        <f>IF(ISNA(VLOOKUP(A133,'Données projet'!$A$191:$I$211,4,0)),0,VLOOKUP(A133,'Données projet'!$A$191:$I$211,4,0))</f>
        <v>425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425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424.99999999999972</v>
      </c>
      <c r="FF133" s="18">
        <f>FE133*VLOOKUP('Données projet'!$B$16,Paramètres!$A$1:$I$89,3,0)*VLOOKUP('Données projet'!$B$16,Paramètres!$A$1:$I$89,5,0)</f>
        <v>411.05999999999977</v>
      </c>
      <c r="FG133" s="14">
        <f t="shared" ref="FG133:FG153" si="155">EXP(-1.0587+0.8836*LN(FF133)+0.284)</f>
        <v>94.015338793774802</v>
      </c>
      <c r="FH133" s="22">
        <f t="shared" si="130"/>
        <v>879.67288173249062</v>
      </c>
      <c r="FI133" s="62">
        <f t="shared" si="131"/>
        <v>1173.0062150658239</v>
      </c>
      <c r="FJ133" s="62">
        <f ca="1">AVERAGE(OFFSET($FI$3,0,0,'Données projet'!$E$16+1,1))-AVERAGE(OFFSET($H$3,0,0,'Données projet'!$E$16+1,1))</f>
        <v>425.00152674093977</v>
      </c>
      <c r="FK133" s="62">
        <f t="shared" ref="FK133:FK196" si="156">$FK$3</f>
        <v>214.96884469274687</v>
      </c>
      <c r="FL133" s="16">
        <f>IF(ISNA(VLOOKUP(A133,'Données projet'!$A$217:$I$237,3,0)),0,VLOOKUP(A133,'Données projet'!$A$217:$I$237,3,0))</f>
        <v>10</v>
      </c>
      <c r="FM133" s="16">
        <f>IF(ISNA(VLOOKUP(A133,'Données projet'!$A$217:$I$237,4,0)),0,VLOOKUP(A133,'Données projet'!$A$217:$I$237,4,0))</f>
        <v>425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179.22241276165141</v>
      </c>
      <c r="T134" s="62">
        <f t="shared" si="142"/>
        <v>86.510654589692876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-6.7984728957526396E-14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157.42757749057949</v>
      </c>
      <c r="AO134" s="62">
        <f t="shared" si="144"/>
        <v>129.86070223892136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1.9336143901006589E-15</v>
      </c>
      <c r="AX134" s="23">
        <f t="shared" si="114"/>
        <v>1.9336143901006589E-15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projet'!$B$11,Paramètres!$A$1:$I$89,3,0)*VLOOKUP('Données projet'!$B$11,Paramètres!$A$1:$I$89,5,0)</f>
        <v>-2.9706370696658268E-13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464.21202287459482</v>
      </c>
      <c r="BJ134" s="62">
        <f t="shared" si="146"/>
        <v>234.57880205159688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1.7053025658242404E-13</v>
      </c>
      <c r="BZ134" s="14">
        <f>BY134*VLOOKUP('Données projet'!$B$12,Paramètres!$A$1:$I$89,3,0)*VLOOKUP('Données projet'!$B$12,Paramètres!$A$1:$I$89,5,0)</f>
        <v>1.3567387213697657E-13</v>
      </c>
      <c r="CA134" s="14">
        <f t="shared" si="147"/>
        <v>1.9670967679808581E-12</v>
      </c>
      <c r="CB134" s="22">
        <f t="shared" si="118"/>
        <v>3.6623255315385623E-12</v>
      </c>
      <c r="CC134" s="62">
        <f t="shared" si="119"/>
        <v>293.33333333333695</v>
      </c>
      <c r="CD134" s="62">
        <f ca="1">AVERAGE(OFFSET($CC$3,0,0,'Données projet'!$E$12+1,1))-AVERAGE(OFFSET($H$3,0,0,'Données projet'!$E$12+1,1))</f>
        <v>177.99876437322689</v>
      </c>
      <c r="CE134" s="62">
        <f t="shared" si="148"/>
        <v>165.68154380324592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5.1159076974727213E-13</v>
      </c>
      <c r="CU134" s="18">
        <f>CT134*VLOOKUP('Données projet'!$B$13,Paramètres!$A$1:$I$89,3,0)*VLOOKUP('Données projet'!$B$13,Paramètres!$A$1:$I$89,5,0)</f>
        <v>2.8597924028872516E-13</v>
      </c>
      <c r="CV134" s="14">
        <f t="shared" si="149"/>
        <v>3.8016246610825715E-12</v>
      </c>
      <c r="CW134" s="22">
        <f t="shared" si="121"/>
        <v>7.1192434615550094E-12</v>
      </c>
      <c r="CX134" s="62">
        <f t="shared" si="122"/>
        <v>293.33333333334042</v>
      </c>
      <c r="CY134" s="62">
        <f ca="1">AVERAGE(OFFSET($CX$3,0,0,'Données projet'!$E$13+1,1))-AVERAGE(OFFSET($H$3,0,0,'Données projet'!$E$13+1,1))</f>
        <v>242.07451379051349</v>
      </c>
      <c r="CZ134" s="62">
        <f t="shared" si="150"/>
        <v>207.11607964940754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178.56320966726986</v>
      </c>
      <c r="DU134" s="62">
        <f t="shared" si="152"/>
        <v>272.06842551411739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0.46647985383088236</v>
      </c>
      <c r="EC134" s="23">
        <f>EXP(-LN(2)/2)*EC133+(1-EXP(-LN(2)/2))/(LN(2)/2)*DW134*DZ134*VLOOKUP('Données projet'!$B$14,Paramètres!$A$1:$I$89,3,0)*0.475*44/12</f>
        <v>1.0374429808609756E-14</v>
      </c>
      <c r="ED134" s="24">
        <f t="shared" si="126"/>
        <v>0.46647985383089274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-2.8421709430404007E-13</v>
      </c>
      <c r="EK134" s="18">
        <f>EJ134*VLOOKUP('Données projet'!$B$15,Paramètres!$A$1:$I$89,3,0)*VLOOKUP('Données projet'!$B$15,Paramètres!$A$1:$I$89,5,0)</f>
        <v>-3.0593128030886872E-13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479.87943647026646</v>
      </c>
      <c r="EP134" s="62">
        <f t="shared" si="154"/>
        <v>242.41363045393223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-2.8421709430404007E-13</v>
      </c>
      <c r="FF134" s="18">
        <f>FE134*VLOOKUP('Données projet'!$B$16,Paramètres!$A$1:$I$89,3,0)*VLOOKUP('Données projet'!$B$16,Paramètres!$A$1:$I$89,5,0)</f>
        <v>-2.7489477361086758E-13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425.00152674093977</v>
      </c>
      <c r="FK134" s="62">
        <f t="shared" si="156"/>
        <v>214.96884469274687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179.22241276165141</v>
      </c>
      <c r="T135" s="62">
        <f t="shared" si="142"/>
        <v>86.510654589692876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-6.7984728957526396E-14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157.42757749057949</v>
      </c>
      <c r="AO135" s="62">
        <f t="shared" si="144"/>
        <v>129.86070223892136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1.3672718474400662E-15</v>
      </c>
      <c r="AX135" s="23">
        <f t="shared" si="114"/>
        <v>1.3672718474400662E-15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projet'!$B$11,Paramètres!$A$1:$I$89,3,0)*VLOOKUP('Données projet'!$B$11,Paramètres!$A$1:$I$89,5,0)</f>
        <v>-2.9706370696658268E-13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464.21202287459482</v>
      </c>
      <c r="BJ135" s="62">
        <f t="shared" si="146"/>
        <v>234.57880205159688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1.7053025658242404E-13</v>
      </c>
      <c r="BZ135" s="14">
        <f>BY135*VLOOKUP('Données projet'!$B$12,Paramètres!$A$1:$I$89,3,0)*VLOOKUP('Données projet'!$B$12,Paramètres!$A$1:$I$89,5,0)</f>
        <v>1.3567387213697657E-13</v>
      </c>
      <c r="CA135" s="14">
        <f t="shared" si="147"/>
        <v>1.9670967679808581E-12</v>
      </c>
      <c r="CB135" s="22">
        <f t="shared" si="118"/>
        <v>3.6623255315385623E-12</v>
      </c>
      <c r="CC135" s="62">
        <f t="shared" si="119"/>
        <v>293.33333333333695</v>
      </c>
      <c r="CD135" s="62">
        <f ca="1">AVERAGE(OFFSET($CC$3,0,0,'Données projet'!$E$12+1,1))-AVERAGE(OFFSET($H$3,0,0,'Données projet'!$E$12+1,1))</f>
        <v>177.99876437322689</v>
      </c>
      <c r="CE135" s="62">
        <f t="shared" si="148"/>
        <v>165.68154380324592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5.1159076974727213E-13</v>
      </c>
      <c r="CU135" s="18">
        <f>CT135*VLOOKUP('Données projet'!$B$13,Paramètres!$A$1:$I$89,3,0)*VLOOKUP('Données projet'!$B$13,Paramètres!$A$1:$I$89,5,0)</f>
        <v>2.8597924028872516E-13</v>
      </c>
      <c r="CV135" s="14">
        <f t="shared" si="149"/>
        <v>3.8016246610825715E-12</v>
      </c>
      <c r="CW135" s="22">
        <f t="shared" si="121"/>
        <v>7.1192434615550094E-12</v>
      </c>
      <c r="CX135" s="62">
        <f t="shared" si="122"/>
        <v>293.33333333334042</v>
      </c>
      <c r="CY135" s="62">
        <f ca="1">AVERAGE(OFFSET($CX$3,0,0,'Données projet'!$E$13+1,1))-AVERAGE(OFFSET($H$3,0,0,'Données projet'!$E$13+1,1))</f>
        <v>242.07451379051349</v>
      </c>
      <c r="CZ135" s="62">
        <f t="shared" si="150"/>
        <v>207.11607964940754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178.56320966726986</v>
      </c>
      <c r="DU135" s="62">
        <f t="shared" si="152"/>
        <v>272.06842551411739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0.4537239376967675</v>
      </c>
      <c r="EC135" s="23">
        <f>EXP(-LN(2)/2)*EC134+(1-EXP(-LN(2)/2))/(LN(2)/2)*DW135*DZ135*VLOOKUP('Données projet'!$B$14,Paramètres!$A$1:$I$89,3,0)*0.475*44/12</f>
        <v>7.3358296686118146E-15</v>
      </c>
      <c r="ED135" s="24">
        <f t="shared" si="126"/>
        <v>0.45372393769677483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-2.8421709430404007E-13</v>
      </c>
      <c r="EK135" s="18">
        <f>EJ135*VLOOKUP('Données projet'!$B$15,Paramètres!$A$1:$I$89,3,0)*VLOOKUP('Données projet'!$B$15,Paramètres!$A$1:$I$89,5,0)</f>
        <v>-3.0593128030886872E-13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479.87943647026646</v>
      </c>
      <c r="EP135" s="62">
        <f t="shared" si="154"/>
        <v>242.41363045393223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-2.8421709430404007E-13</v>
      </c>
      <c r="FF135" s="18">
        <f>FE135*VLOOKUP('Données projet'!$B$16,Paramètres!$A$1:$I$89,3,0)*VLOOKUP('Données projet'!$B$16,Paramètres!$A$1:$I$89,5,0)</f>
        <v>-2.7489477361086758E-13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425.00152674093977</v>
      </c>
      <c r="FK135" s="62">
        <f t="shared" si="156"/>
        <v>214.96884469274687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179.22241276165141</v>
      </c>
      <c r="T136" s="62">
        <f t="shared" si="142"/>
        <v>86.510654589692876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-6.7984728957526396E-14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157.42757749057949</v>
      </c>
      <c r="AO136" s="62">
        <f t="shared" si="144"/>
        <v>129.86070223892136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9.6680719505032946E-16</v>
      </c>
      <c r="AX136" s="23">
        <f t="shared" si="114"/>
        <v>9.6680719505032946E-16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projet'!$B$11,Paramètres!$A$1:$I$89,3,0)*VLOOKUP('Données projet'!$B$11,Paramètres!$A$1:$I$89,5,0)</f>
        <v>-2.9706370696658268E-13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464.21202287459482</v>
      </c>
      <c r="BJ136" s="62">
        <f t="shared" si="146"/>
        <v>234.57880205159688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1.7053025658242404E-13</v>
      </c>
      <c r="BZ136" s="14">
        <f>BY136*VLOOKUP('Données projet'!$B$12,Paramètres!$A$1:$I$89,3,0)*VLOOKUP('Données projet'!$B$12,Paramètres!$A$1:$I$89,5,0)</f>
        <v>1.3567387213697657E-13</v>
      </c>
      <c r="CA136" s="14">
        <f t="shared" si="147"/>
        <v>1.9670967679808581E-12</v>
      </c>
      <c r="CB136" s="22">
        <f t="shared" si="118"/>
        <v>3.6623255315385623E-12</v>
      </c>
      <c r="CC136" s="62">
        <f t="shared" si="119"/>
        <v>293.33333333333695</v>
      </c>
      <c r="CD136" s="62">
        <f ca="1">AVERAGE(OFFSET($CC$3,0,0,'Données projet'!$E$12+1,1))-AVERAGE(OFFSET($H$3,0,0,'Données projet'!$E$12+1,1))</f>
        <v>177.99876437322689</v>
      </c>
      <c r="CE136" s="62">
        <f t="shared" si="148"/>
        <v>165.68154380324592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5.1159076974727213E-13</v>
      </c>
      <c r="CU136" s="18">
        <f>CT136*VLOOKUP('Données projet'!$B$13,Paramètres!$A$1:$I$89,3,0)*VLOOKUP('Données projet'!$B$13,Paramètres!$A$1:$I$89,5,0)</f>
        <v>2.8597924028872516E-13</v>
      </c>
      <c r="CV136" s="14">
        <f t="shared" si="149"/>
        <v>3.8016246610825715E-12</v>
      </c>
      <c r="CW136" s="22">
        <f t="shared" si="121"/>
        <v>7.1192434615550094E-12</v>
      </c>
      <c r="CX136" s="62">
        <f t="shared" si="122"/>
        <v>293.33333333334042</v>
      </c>
      <c r="CY136" s="62">
        <f ca="1">AVERAGE(OFFSET($CX$3,0,0,'Données projet'!$E$13+1,1))-AVERAGE(OFFSET($H$3,0,0,'Données projet'!$E$13+1,1))</f>
        <v>242.07451379051349</v>
      </c>
      <c r="CZ136" s="62">
        <f t="shared" si="150"/>
        <v>207.11607964940754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178.56320966726986</v>
      </c>
      <c r="DU136" s="62">
        <f t="shared" si="152"/>
        <v>272.06842551411739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0.4413168327601445</v>
      </c>
      <c r="EC136" s="23">
        <f>EXP(-LN(2)/2)*EC135+(1-EXP(-LN(2)/2))/(LN(2)/2)*DW136*DZ136*VLOOKUP('Données projet'!$B$14,Paramètres!$A$1:$I$89,3,0)*0.475*44/12</f>
        <v>5.1872149043048779E-15</v>
      </c>
      <c r="ED136" s="24">
        <f t="shared" si="126"/>
        <v>0.44131683276014966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-2.8421709430404007E-13</v>
      </c>
      <c r="EK136" s="18">
        <f>EJ136*VLOOKUP('Données projet'!$B$15,Paramètres!$A$1:$I$89,3,0)*VLOOKUP('Données projet'!$B$15,Paramètres!$A$1:$I$89,5,0)</f>
        <v>-3.0593128030886872E-13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479.87943647026646</v>
      </c>
      <c r="EP136" s="62">
        <f t="shared" si="154"/>
        <v>242.41363045393223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-2.8421709430404007E-13</v>
      </c>
      <c r="FF136" s="18">
        <f>FE136*VLOOKUP('Données projet'!$B$16,Paramètres!$A$1:$I$89,3,0)*VLOOKUP('Données projet'!$B$16,Paramètres!$A$1:$I$89,5,0)</f>
        <v>-2.7489477361086758E-13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425.00152674093977</v>
      </c>
      <c r="FK136" s="62">
        <f t="shared" si="156"/>
        <v>214.96884469274687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179.22241276165141</v>
      </c>
      <c r="T137" s="62">
        <f t="shared" si="142"/>
        <v>86.510654589692876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-6.7984728957526396E-14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157.42757749057949</v>
      </c>
      <c r="AO137" s="62">
        <f t="shared" si="144"/>
        <v>129.86070223892136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6.8363592372003309E-16</v>
      </c>
      <c r="AX137" s="23">
        <f t="shared" si="114"/>
        <v>6.8363592372003309E-16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projet'!$B$11,Paramètres!$A$1:$I$89,3,0)*VLOOKUP('Données projet'!$B$11,Paramètres!$A$1:$I$89,5,0)</f>
        <v>-2.9706370696658268E-13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464.21202287459482</v>
      </c>
      <c r="BJ137" s="62">
        <f t="shared" si="146"/>
        <v>234.57880205159688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1.7053025658242404E-13</v>
      </c>
      <c r="BZ137" s="14">
        <f>BY137*VLOOKUP('Données projet'!$B$12,Paramètres!$A$1:$I$89,3,0)*VLOOKUP('Données projet'!$B$12,Paramètres!$A$1:$I$89,5,0)</f>
        <v>1.3567387213697657E-13</v>
      </c>
      <c r="CA137" s="14">
        <f t="shared" si="147"/>
        <v>1.9670967679808581E-12</v>
      </c>
      <c r="CB137" s="22">
        <f t="shared" si="118"/>
        <v>3.6623255315385623E-12</v>
      </c>
      <c r="CC137" s="62">
        <f t="shared" si="119"/>
        <v>293.33333333333695</v>
      </c>
      <c r="CD137" s="62">
        <f ca="1">AVERAGE(OFFSET($CC$3,0,0,'Données projet'!$E$12+1,1))-AVERAGE(OFFSET($H$3,0,0,'Données projet'!$E$12+1,1))</f>
        <v>177.99876437322689</v>
      </c>
      <c r="CE137" s="62">
        <f t="shared" si="148"/>
        <v>165.68154380324592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5.1159076974727213E-13</v>
      </c>
      <c r="CU137" s="18">
        <f>CT137*VLOOKUP('Données projet'!$B$13,Paramètres!$A$1:$I$89,3,0)*VLOOKUP('Données projet'!$B$13,Paramètres!$A$1:$I$89,5,0)</f>
        <v>2.8597924028872516E-13</v>
      </c>
      <c r="CV137" s="14">
        <f t="shared" si="149"/>
        <v>3.8016246610825715E-12</v>
      </c>
      <c r="CW137" s="22">
        <f t="shared" si="121"/>
        <v>7.1192434615550094E-12</v>
      </c>
      <c r="CX137" s="62">
        <f t="shared" si="122"/>
        <v>293.33333333334042</v>
      </c>
      <c r="CY137" s="62">
        <f ca="1">AVERAGE(OFFSET($CX$3,0,0,'Données projet'!$E$13+1,1))-AVERAGE(OFFSET($H$3,0,0,'Données projet'!$E$13+1,1))</f>
        <v>242.07451379051349</v>
      </c>
      <c r="CZ137" s="62">
        <f t="shared" si="150"/>
        <v>207.11607964940754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178.56320966726986</v>
      </c>
      <c r="DU137" s="62">
        <f t="shared" si="152"/>
        <v>272.06842551411739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0.42924900076047473</v>
      </c>
      <c r="EC137" s="23">
        <f>EXP(-LN(2)/2)*EC136+(1-EXP(-LN(2)/2))/(LN(2)/2)*DW137*DZ137*VLOOKUP('Données projet'!$B$14,Paramètres!$A$1:$I$89,3,0)*0.475*44/12</f>
        <v>3.6679148343059073E-15</v>
      </c>
      <c r="ED137" s="24">
        <f t="shared" si="126"/>
        <v>0.42924900076047839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-2.8421709430404007E-13</v>
      </c>
      <c r="EK137" s="18">
        <f>EJ137*VLOOKUP('Données projet'!$B$15,Paramètres!$A$1:$I$89,3,0)*VLOOKUP('Données projet'!$B$15,Paramètres!$A$1:$I$89,5,0)</f>
        <v>-3.0593128030886872E-13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479.87943647026646</v>
      </c>
      <c r="EP137" s="62">
        <f t="shared" si="154"/>
        <v>242.41363045393223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-2.8421709430404007E-13</v>
      </c>
      <c r="FF137" s="18">
        <f>FE137*VLOOKUP('Données projet'!$B$16,Paramètres!$A$1:$I$89,3,0)*VLOOKUP('Données projet'!$B$16,Paramètres!$A$1:$I$89,5,0)</f>
        <v>-2.7489477361086758E-13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425.00152674093977</v>
      </c>
      <c r="FK137" s="62">
        <f t="shared" si="156"/>
        <v>214.96884469274687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179.22241276165141</v>
      </c>
      <c r="T138" s="62">
        <f t="shared" si="142"/>
        <v>86.510654589692876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-6.7984728957526396E-14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157.42757749057949</v>
      </c>
      <c r="AO138" s="62">
        <f t="shared" si="144"/>
        <v>129.86070223892136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4.8340359752516473E-16</v>
      </c>
      <c r="AX138" s="23">
        <f t="shared" si="114"/>
        <v>4.8340359752516473E-16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projet'!$B$11,Paramètres!$A$1:$I$89,3,0)*VLOOKUP('Données projet'!$B$11,Paramètres!$A$1:$I$89,5,0)</f>
        <v>-2.9706370696658268E-13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464.21202287459482</v>
      </c>
      <c r="BJ138" s="62">
        <f t="shared" si="146"/>
        <v>234.57880205159688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1.7053025658242404E-13</v>
      </c>
      <c r="BZ138" s="14">
        <f>BY138*VLOOKUP('Données projet'!$B$12,Paramètres!$A$1:$I$89,3,0)*VLOOKUP('Données projet'!$B$12,Paramètres!$A$1:$I$89,5,0)</f>
        <v>1.3567387213697657E-13</v>
      </c>
      <c r="CA138" s="14">
        <f t="shared" si="147"/>
        <v>1.9670967679808581E-12</v>
      </c>
      <c r="CB138" s="22">
        <f t="shared" si="118"/>
        <v>3.6623255315385623E-12</v>
      </c>
      <c r="CC138" s="62">
        <f t="shared" si="119"/>
        <v>293.33333333333695</v>
      </c>
      <c r="CD138" s="62">
        <f ca="1">AVERAGE(OFFSET($CC$3,0,0,'Données projet'!$E$12+1,1))-AVERAGE(OFFSET($H$3,0,0,'Données projet'!$E$12+1,1))</f>
        <v>177.99876437322689</v>
      </c>
      <c r="CE138" s="62">
        <f t="shared" si="148"/>
        <v>165.68154380324592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5.1159076974727213E-13</v>
      </c>
      <c r="CU138" s="18">
        <f>CT138*VLOOKUP('Données projet'!$B$13,Paramètres!$A$1:$I$89,3,0)*VLOOKUP('Données projet'!$B$13,Paramètres!$A$1:$I$89,5,0)</f>
        <v>2.8597924028872516E-13</v>
      </c>
      <c r="CV138" s="14">
        <f t="shared" si="149"/>
        <v>3.8016246610825715E-12</v>
      </c>
      <c r="CW138" s="22">
        <f t="shared" si="121"/>
        <v>7.1192434615550094E-12</v>
      </c>
      <c r="CX138" s="62">
        <f t="shared" si="122"/>
        <v>293.33333333334042</v>
      </c>
      <c r="CY138" s="62">
        <f ca="1">AVERAGE(OFFSET($CX$3,0,0,'Données projet'!$E$13+1,1))-AVERAGE(OFFSET($H$3,0,0,'Données projet'!$E$13+1,1))</f>
        <v>242.07451379051349</v>
      </c>
      <c r="CZ138" s="62">
        <f t="shared" si="150"/>
        <v>207.11607964940754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178.56320966726986</v>
      </c>
      <c r="DU138" s="62">
        <f t="shared" si="152"/>
        <v>272.06842551411739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0.41751116426145568</v>
      </c>
      <c r="EC138" s="23">
        <f>EXP(-LN(2)/2)*EC137+(1-EXP(-LN(2)/2))/(LN(2)/2)*DW138*DZ138*VLOOKUP('Données projet'!$B$14,Paramètres!$A$1:$I$89,3,0)*0.475*44/12</f>
        <v>2.5936074521524389E-15</v>
      </c>
      <c r="ED138" s="24">
        <f t="shared" si="126"/>
        <v>0.41751116426145829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-2.8421709430404007E-13</v>
      </c>
      <c r="EK138" s="18">
        <f>EJ138*VLOOKUP('Données projet'!$B$15,Paramètres!$A$1:$I$89,3,0)*VLOOKUP('Données projet'!$B$15,Paramètres!$A$1:$I$89,5,0)</f>
        <v>-3.0593128030886872E-13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479.87943647026646</v>
      </c>
      <c r="EP138" s="62">
        <f t="shared" si="154"/>
        <v>242.41363045393223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-2.8421709430404007E-13</v>
      </c>
      <c r="FF138" s="18">
        <f>FE138*VLOOKUP('Données projet'!$B$16,Paramètres!$A$1:$I$89,3,0)*VLOOKUP('Données projet'!$B$16,Paramètres!$A$1:$I$89,5,0)</f>
        <v>-2.7489477361086758E-13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425.00152674093977</v>
      </c>
      <c r="FK138" s="62">
        <f t="shared" si="156"/>
        <v>214.96884469274687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179.22241276165141</v>
      </c>
      <c r="T139" s="62">
        <f t="shared" si="142"/>
        <v>86.510654589692876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-6.7984728957526396E-14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157.42757749057949</v>
      </c>
      <c r="AO139" s="62">
        <f t="shared" si="144"/>
        <v>129.86070223892136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3.4181796186001655E-16</v>
      </c>
      <c r="AX139" s="23">
        <f t="shared" si="114"/>
        <v>3.4181796186001655E-16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projet'!$B$11,Paramètres!$A$1:$I$89,3,0)*VLOOKUP('Données projet'!$B$11,Paramètres!$A$1:$I$89,5,0)</f>
        <v>-2.9706370696658268E-13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464.21202287459482</v>
      </c>
      <c r="BJ139" s="62">
        <f t="shared" si="146"/>
        <v>234.57880205159688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1.7053025658242404E-13</v>
      </c>
      <c r="BZ139" s="14">
        <f>BY139*VLOOKUP('Données projet'!$B$12,Paramètres!$A$1:$I$89,3,0)*VLOOKUP('Données projet'!$B$12,Paramètres!$A$1:$I$89,5,0)</f>
        <v>1.3567387213697657E-13</v>
      </c>
      <c r="CA139" s="14">
        <f t="shared" si="147"/>
        <v>1.9670967679808581E-12</v>
      </c>
      <c r="CB139" s="22">
        <f t="shared" si="118"/>
        <v>3.6623255315385623E-12</v>
      </c>
      <c r="CC139" s="62">
        <f t="shared" si="119"/>
        <v>293.33333333333695</v>
      </c>
      <c r="CD139" s="62">
        <f ca="1">AVERAGE(OFFSET($CC$3,0,0,'Données projet'!$E$12+1,1))-AVERAGE(OFFSET($H$3,0,0,'Données projet'!$E$12+1,1))</f>
        <v>177.99876437322689</v>
      </c>
      <c r="CE139" s="62">
        <f t="shared" si="148"/>
        <v>165.68154380324592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5.1159076974727213E-13</v>
      </c>
      <c r="CU139" s="18">
        <f>CT139*VLOOKUP('Données projet'!$B$13,Paramètres!$A$1:$I$89,3,0)*VLOOKUP('Données projet'!$B$13,Paramètres!$A$1:$I$89,5,0)</f>
        <v>2.8597924028872516E-13</v>
      </c>
      <c r="CV139" s="14">
        <f t="shared" si="149"/>
        <v>3.8016246610825715E-12</v>
      </c>
      <c r="CW139" s="22">
        <f t="shared" si="121"/>
        <v>7.1192434615550094E-12</v>
      </c>
      <c r="CX139" s="62">
        <f t="shared" si="122"/>
        <v>293.33333333334042</v>
      </c>
      <c r="CY139" s="62">
        <f ca="1">AVERAGE(OFFSET($CX$3,0,0,'Données projet'!$E$13+1,1))-AVERAGE(OFFSET($H$3,0,0,'Données projet'!$E$13+1,1))</f>
        <v>242.07451379051349</v>
      </c>
      <c r="CZ139" s="62">
        <f t="shared" si="150"/>
        <v>207.11607964940754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178.56320966726986</v>
      </c>
      <c r="DU139" s="62">
        <f t="shared" si="152"/>
        <v>272.06842551411739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0.4060942995187683</v>
      </c>
      <c r="EC139" s="23">
        <f>EXP(-LN(2)/2)*EC138+(1-EXP(-LN(2)/2))/(LN(2)/2)*DW139*DZ139*VLOOKUP('Données projet'!$B$14,Paramètres!$A$1:$I$89,3,0)*0.475*44/12</f>
        <v>1.8339574171529537E-15</v>
      </c>
      <c r="ED139" s="24">
        <f t="shared" si="126"/>
        <v>0.40609429951877013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-2.8421709430404007E-13</v>
      </c>
      <c r="EK139" s="18">
        <f>EJ139*VLOOKUP('Données projet'!$B$15,Paramètres!$A$1:$I$89,3,0)*VLOOKUP('Données projet'!$B$15,Paramètres!$A$1:$I$89,5,0)</f>
        <v>-3.0593128030886872E-13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479.87943647026646</v>
      </c>
      <c r="EP139" s="62">
        <f t="shared" si="154"/>
        <v>242.41363045393223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-2.8421709430404007E-13</v>
      </c>
      <c r="FF139" s="18">
        <f>FE139*VLOOKUP('Données projet'!$B$16,Paramètres!$A$1:$I$89,3,0)*VLOOKUP('Données projet'!$B$16,Paramètres!$A$1:$I$89,5,0)</f>
        <v>-2.7489477361086758E-13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425.00152674093977</v>
      </c>
      <c r="FK139" s="62">
        <f t="shared" si="156"/>
        <v>214.96884469274687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179.22241276165141</v>
      </c>
      <c r="T140" s="62">
        <f t="shared" si="142"/>
        <v>86.510654589692876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-6.7984728957526396E-14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157.42757749057949</v>
      </c>
      <c r="AO140" s="62">
        <f t="shared" si="144"/>
        <v>129.86070223892136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2.4170179876258237E-16</v>
      </c>
      <c r="AX140" s="23">
        <f t="shared" si="114"/>
        <v>2.4170179876258237E-16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projet'!$B$11,Paramètres!$A$1:$I$89,3,0)*VLOOKUP('Données projet'!$B$11,Paramètres!$A$1:$I$89,5,0)</f>
        <v>-2.9706370696658268E-13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464.21202287459482</v>
      </c>
      <c r="BJ140" s="62">
        <f t="shared" si="146"/>
        <v>234.57880205159688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1.7053025658242404E-13</v>
      </c>
      <c r="BZ140" s="14">
        <f>BY140*VLOOKUP('Données projet'!$B$12,Paramètres!$A$1:$I$89,3,0)*VLOOKUP('Données projet'!$B$12,Paramètres!$A$1:$I$89,5,0)</f>
        <v>1.3567387213697657E-13</v>
      </c>
      <c r="CA140" s="14">
        <f t="shared" si="147"/>
        <v>1.9670967679808581E-12</v>
      </c>
      <c r="CB140" s="22">
        <f t="shared" si="118"/>
        <v>3.6623255315385623E-12</v>
      </c>
      <c r="CC140" s="62">
        <f t="shared" si="119"/>
        <v>293.33333333333695</v>
      </c>
      <c r="CD140" s="62">
        <f ca="1">AVERAGE(OFFSET($CC$3,0,0,'Données projet'!$E$12+1,1))-AVERAGE(OFFSET($H$3,0,0,'Données projet'!$E$12+1,1))</f>
        <v>177.99876437322689</v>
      </c>
      <c r="CE140" s="62">
        <f t="shared" si="148"/>
        <v>165.68154380324592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5.1159076974727213E-13</v>
      </c>
      <c r="CU140" s="18">
        <f>CT140*VLOOKUP('Données projet'!$B$13,Paramètres!$A$1:$I$89,3,0)*VLOOKUP('Données projet'!$B$13,Paramètres!$A$1:$I$89,5,0)</f>
        <v>2.8597924028872516E-13</v>
      </c>
      <c r="CV140" s="14">
        <f t="shared" si="149"/>
        <v>3.8016246610825715E-12</v>
      </c>
      <c r="CW140" s="22">
        <f t="shared" si="121"/>
        <v>7.1192434615550094E-12</v>
      </c>
      <c r="CX140" s="62">
        <f t="shared" si="122"/>
        <v>293.33333333334042</v>
      </c>
      <c r="CY140" s="62">
        <f ca="1">AVERAGE(OFFSET($CX$3,0,0,'Données projet'!$E$13+1,1))-AVERAGE(OFFSET($H$3,0,0,'Données projet'!$E$13+1,1))</f>
        <v>242.07451379051349</v>
      </c>
      <c r="CZ140" s="62">
        <f t="shared" si="150"/>
        <v>207.11607964940754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178.56320966726986</v>
      </c>
      <c r="DU140" s="62">
        <f t="shared" si="152"/>
        <v>272.06842551411739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0.39498962954285649</v>
      </c>
      <c r="EC140" s="23">
        <f>EXP(-LN(2)/2)*EC139+(1-EXP(-LN(2)/2))/(LN(2)/2)*DW140*DZ140*VLOOKUP('Données projet'!$B$14,Paramètres!$A$1:$I$89,3,0)*0.475*44/12</f>
        <v>1.2968037260762195E-15</v>
      </c>
      <c r="ED140" s="24">
        <f t="shared" si="126"/>
        <v>0.39498962954285777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-2.8421709430404007E-13</v>
      </c>
      <c r="EK140" s="18">
        <f>EJ140*VLOOKUP('Données projet'!$B$15,Paramètres!$A$1:$I$89,3,0)*VLOOKUP('Données projet'!$B$15,Paramètres!$A$1:$I$89,5,0)</f>
        <v>-3.0593128030886872E-13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479.87943647026646</v>
      </c>
      <c r="EP140" s="62">
        <f t="shared" si="154"/>
        <v>242.41363045393223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-2.8421709430404007E-13</v>
      </c>
      <c r="FF140" s="18">
        <f>FE140*VLOOKUP('Données projet'!$B$16,Paramètres!$A$1:$I$89,3,0)*VLOOKUP('Données projet'!$B$16,Paramètres!$A$1:$I$89,5,0)</f>
        <v>-2.7489477361086758E-13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425.00152674093977</v>
      </c>
      <c r="FK140" s="62">
        <f t="shared" si="156"/>
        <v>214.96884469274687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179.22241276165141</v>
      </c>
      <c r="T141" s="62">
        <f t="shared" si="142"/>
        <v>86.510654589692876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-6.7984728957526396E-14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157.42757749057949</v>
      </c>
      <c r="AO141" s="62">
        <f t="shared" si="144"/>
        <v>129.86070223892136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1.7090898093000827E-16</v>
      </c>
      <c r="AX141" s="23">
        <f t="shared" si="114"/>
        <v>1.7090898093000827E-16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projet'!$B$11,Paramètres!$A$1:$I$89,3,0)*VLOOKUP('Données projet'!$B$11,Paramètres!$A$1:$I$89,5,0)</f>
        <v>-2.9706370696658268E-13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464.21202287459482</v>
      </c>
      <c r="BJ141" s="62">
        <f t="shared" si="146"/>
        <v>234.57880205159688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1.7053025658242404E-13</v>
      </c>
      <c r="BZ141" s="14">
        <f>BY141*VLOOKUP('Données projet'!$B$12,Paramètres!$A$1:$I$89,3,0)*VLOOKUP('Données projet'!$B$12,Paramètres!$A$1:$I$89,5,0)</f>
        <v>1.3567387213697657E-13</v>
      </c>
      <c r="CA141" s="14">
        <f t="shared" si="147"/>
        <v>1.9670967679808581E-12</v>
      </c>
      <c r="CB141" s="22">
        <f t="shared" si="118"/>
        <v>3.6623255315385623E-12</v>
      </c>
      <c r="CC141" s="62">
        <f t="shared" si="119"/>
        <v>293.33333333333695</v>
      </c>
      <c r="CD141" s="62">
        <f ca="1">AVERAGE(OFFSET($CC$3,0,0,'Données projet'!$E$12+1,1))-AVERAGE(OFFSET($H$3,0,0,'Données projet'!$E$12+1,1))</f>
        <v>177.99876437322689</v>
      </c>
      <c r="CE141" s="62">
        <f t="shared" si="148"/>
        <v>165.68154380324592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5.1159076974727213E-13</v>
      </c>
      <c r="CU141" s="18">
        <f>CT141*VLOOKUP('Données projet'!$B$13,Paramètres!$A$1:$I$89,3,0)*VLOOKUP('Données projet'!$B$13,Paramètres!$A$1:$I$89,5,0)</f>
        <v>2.8597924028872516E-13</v>
      </c>
      <c r="CV141" s="14">
        <f t="shared" si="149"/>
        <v>3.8016246610825715E-12</v>
      </c>
      <c r="CW141" s="22">
        <f t="shared" si="121"/>
        <v>7.1192434615550094E-12</v>
      </c>
      <c r="CX141" s="62">
        <f t="shared" si="122"/>
        <v>293.33333333334042</v>
      </c>
      <c r="CY141" s="62">
        <f ca="1">AVERAGE(OFFSET($CX$3,0,0,'Données projet'!$E$13+1,1))-AVERAGE(OFFSET($H$3,0,0,'Données projet'!$E$13+1,1))</f>
        <v>242.07451379051349</v>
      </c>
      <c r="CZ141" s="62">
        <f t="shared" si="150"/>
        <v>207.11607964940754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178.56320966726986</v>
      </c>
      <c r="DU141" s="62">
        <f t="shared" si="152"/>
        <v>272.06842551411739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0.38418861735140525</v>
      </c>
      <c r="EC141" s="23">
        <f>EXP(-LN(2)/2)*EC140+(1-EXP(-LN(2)/2))/(LN(2)/2)*DW141*DZ141*VLOOKUP('Données projet'!$B$14,Paramètres!$A$1:$I$89,3,0)*0.475*44/12</f>
        <v>9.1697870857647683E-16</v>
      </c>
      <c r="ED141" s="24">
        <f t="shared" si="126"/>
        <v>0.38418861735140619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-2.8421709430404007E-13</v>
      </c>
      <c r="EK141" s="18">
        <f>EJ141*VLOOKUP('Données projet'!$B$15,Paramètres!$A$1:$I$89,3,0)*VLOOKUP('Données projet'!$B$15,Paramètres!$A$1:$I$89,5,0)</f>
        <v>-3.0593128030886872E-13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479.87943647026646</v>
      </c>
      <c r="EP141" s="62">
        <f t="shared" si="154"/>
        <v>242.41363045393223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-2.8421709430404007E-13</v>
      </c>
      <c r="FF141" s="18">
        <f>FE141*VLOOKUP('Données projet'!$B$16,Paramètres!$A$1:$I$89,3,0)*VLOOKUP('Données projet'!$B$16,Paramètres!$A$1:$I$89,5,0)</f>
        <v>-2.7489477361086758E-13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425.00152674093977</v>
      </c>
      <c r="FK141" s="62">
        <f t="shared" si="156"/>
        <v>214.96884469274687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179.22241276165141</v>
      </c>
      <c r="T142" s="62">
        <f t="shared" si="142"/>
        <v>86.510654589692876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-6.7984728957526396E-14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157.42757749057949</v>
      </c>
      <c r="AO142" s="62">
        <f t="shared" si="144"/>
        <v>129.86070223892136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1.2085089938129118E-16</v>
      </c>
      <c r="AX142" s="23">
        <f t="shared" si="114"/>
        <v>1.2085089938129118E-16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projet'!$B$11,Paramètres!$A$1:$I$89,3,0)*VLOOKUP('Données projet'!$B$11,Paramètres!$A$1:$I$89,5,0)</f>
        <v>-2.9706370696658268E-13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464.21202287459482</v>
      </c>
      <c r="BJ142" s="62">
        <f t="shared" si="146"/>
        <v>234.57880205159688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1.7053025658242404E-13</v>
      </c>
      <c r="BZ142" s="14">
        <f>BY142*VLOOKUP('Données projet'!$B$12,Paramètres!$A$1:$I$89,3,0)*VLOOKUP('Données projet'!$B$12,Paramètres!$A$1:$I$89,5,0)</f>
        <v>1.3567387213697657E-13</v>
      </c>
      <c r="CA142" s="14">
        <f t="shared" si="147"/>
        <v>1.9670967679808581E-12</v>
      </c>
      <c r="CB142" s="22">
        <f t="shared" si="118"/>
        <v>3.6623255315385623E-12</v>
      </c>
      <c r="CC142" s="62">
        <f t="shared" si="119"/>
        <v>293.33333333333695</v>
      </c>
      <c r="CD142" s="62">
        <f ca="1">AVERAGE(OFFSET($CC$3,0,0,'Données projet'!$E$12+1,1))-AVERAGE(OFFSET($H$3,0,0,'Données projet'!$E$12+1,1))</f>
        <v>177.99876437322689</v>
      </c>
      <c r="CE142" s="62">
        <f t="shared" si="148"/>
        <v>165.68154380324592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5.1159076974727213E-13</v>
      </c>
      <c r="CU142" s="18">
        <f>CT142*VLOOKUP('Données projet'!$B$13,Paramètres!$A$1:$I$89,3,0)*VLOOKUP('Données projet'!$B$13,Paramètres!$A$1:$I$89,5,0)</f>
        <v>2.8597924028872516E-13</v>
      </c>
      <c r="CV142" s="14">
        <f t="shared" si="149"/>
        <v>3.8016246610825715E-12</v>
      </c>
      <c r="CW142" s="22">
        <f t="shared" si="121"/>
        <v>7.1192434615550094E-12</v>
      </c>
      <c r="CX142" s="62">
        <f t="shared" si="122"/>
        <v>293.33333333334042</v>
      </c>
      <c r="CY142" s="62">
        <f ca="1">AVERAGE(OFFSET($CX$3,0,0,'Données projet'!$E$13+1,1))-AVERAGE(OFFSET($H$3,0,0,'Données projet'!$E$13+1,1))</f>
        <v>242.07451379051349</v>
      </c>
      <c r="CZ142" s="62">
        <f t="shared" si="150"/>
        <v>207.11607964940754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178.56320966726986</v>
      </c>
      <c r="DU142" s="62">
        <f t="shared" si="152"/>
        <v>272.06842551411739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0.37368295940632978</v>
      </c>
      <c r="EC142" s="23">
        <f>EXP(-LN(2)/2)*EC141+(1-EXP(-LN(2)/2))/(LN(2)/2)*DW142*DZ142*VLOOKUP('Données projet'!$B$14,Paramètres!$A$1:$I$89,3,0)*0.475*44/12</f>
        <v>6.4840186303810974E-16</v>
      </c>
      <c r="ED142" s="24">
        <f t="shared" si="126"/>
        <v>0.37368295940633045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-2.8421709430404007E-13</v>
      </c>
      <c r="EK142" s="18">
        <f>EJ142*VLOOKUP('Données projet'!$B$15,Paramètres!$A$1:$I$89,3,0)*VLOOKUP('Données projet'!$B$15,Paramètres!$A$1:$I$89,5,0)</f>
        <v>-3.0593128030886872E-13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479.87943647026646</v>
      </c>
      <c r="EP142" s="62">
        <f t="shared" si="154"/>
        <v>242.41363045393223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-2.8421709430404007E-13</v>
      </c>
      <c r="FF142" s="18">
        <f>FE142*VLOOKUP('Données projet'!$B$16,Paramètres!$A$1:$I$89,3,0)*VLOOKUP('Données projet'!$B$16,Paramètres!$A$1:$I$89,5,0)</f>
        <v>-2.7489477361086758E-13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425.00152674093977</v>
      </c>
      <c r="FK142" s="62">
        <f t="shared" si="156"/>
        <v>214.96884469274687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179.22241276165141</v>
      </c>
      <c r="T143" s="62">
        <f t="shared" si="142"/>
        <v>86.510654589692876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-6.7984728957526396E-14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157.42757749057949</v>
      </c>
      <c r="AO143" s="62">
        <f t="shared" si="144"/>
        <v>129.86070223892136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8.5454490465004137E-17</v>
      </c>
      <c r="AX143" s="23">
        <f t="shared" si="114"/>
        <v>8.5454490465004137E-17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projet'!$B$11,Paramètres!$A$1:$I$89,3,0)*VLOOKUP('Données projet'!$B$11,Paramètres!$A$1:$I$89,5,0)</f>
        <v>-2.9706370696658268E-13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464.21202287459482</v>
      </c>
      <c r="BJ143" s="62">
        <f t="shared" si="146"/>
        <v>234.57880205159688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1.7053025658242404E-13</v>
      </c>
      <c r="BZ143" s="14">
        <f>BY143*VLOOKUP('Données projet'!$B$12,Paramètres!$A$1:$I$89,3,0)*VLOOKUP('Données projet'!$B$12,Paramètres!$A$1:$I$89,5,0)</f>
        <v>1.3567387213697657E-13</v>
      </c>
      <c r="CA143" s="14">
        <f t="shared" si="147"/>
        <v>1.9670967679808581E-12</v>
      </c>
      <c r="CB143" s="22">
        <f t="shared" si="118"/>
        <v>3.6623255315385623E-12</v>
      </c>
      <c r="CC143" s="62">
        <f t="shared" si="119"/>
        <v>293.33333333333695</v>
      </c>
      <c r="CD143" s="62">
        <f ca="1">AVERAGE(OFFSET($CC$3,0,0,'Données projet'!$E$12+1,1))-AVERAGE(OFFSET($H$3,0,0,'Données projet'!$E$12+1,1))</f>
        <v>177.99876437322689</v>
      </c>
      <c r="CE143" s="62">
        <f t="shared" si="148"/>
        <v>165.68154380324592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5.1159076974727213E-13</v>
      </c>
      <c r="CU143" s="18">
        <f>CT143*VLOOKUP('Données projet'!$B$13,Paramètres!$A$1:$I$89,3,0)*VLOOKUP('Données projet'!$B$13,Paramètres!$A$1:$I$89,5,0)</f>
        <v>2.8597924028872516E-13</v>
      </c>
      <c r="CV143" s="14">
        <f t="shared" si="149"/>
        <v>3.8016246610825715E-12</v>
      </c>
      <c r="CW143" s="22">
        <f t="shared" si="121"/>
        <v>7.1192434615550094E-12</v>
      </c>
      <c r="CX143" s="62">
        <f t="shared" si="122"/>
        <v>293.33333333334042</v>
      </c>
      <c r="CY143" s="62">
        <f ca="1">AVERAGE(OFFSET($CX$3,0,0,'Données projet'!$E$13+1,1))-AVERAGE(OFFSET($H$3,0,0,'Données projet'!$E$13+1,1))</f>
        <v>242.07451379051349</v>
      </c>
      <c r="CZ143" s="62">
        <f t="shared" si="150"/>
        <v>207.11607964940754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178.56320966726986</v>
      </c>
      <c r="DU143" s="62">
        <f t="shared" si="152"/>
        <v>272.06842551411739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0.3634645792302309</v>
      </c>
      <c r="EC143" s="23">
        <f>EXP(-LN(2)/2)*EC142+(1-EXP(-LN(2)/2))/(LN(2)/2)*DW143*DZ143*VLOOKUP('Données projet'!$B$14,Paramètres!$A$1:$I$89,3,0)*0.475*44/12</f>
        <v>4.5848935428823841E-16</v>
      </c>
      <c r="ED143" s="24">
        <f t="shared" si="126"/>
        <v>0.36346457923023134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-2.8421709430404007E-13</v>
      </c>
      <c r="EK143" s="18">
        <f>EJ143*VLOOKUP('Données projet'!$B$15,Paramètres!$A$1:$I$89,3,0)*VLOOKUP('Données projet'!$B$15,Paramètres!$A$1:$I$89,5,0)</f>
        <v>-3.0593128030886872E-13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479.87943647026646</v>
      </c>
      <c r="EP143" s="62">
        <f t="shared" si="154"/>
        <v>242.41363045393223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-2.8421709430404007E-13</v>
      </c>
      <c r="FF143" s="18">
        <f>FE143*VLOOKUP('Données projet'!$B$16,Paramètres!$A$1:$I$89,3,0)*VLOOKUP('Données projet'!$B$16,Paramètres!$A$1:$I$89,5,0)</f>
        <v>-2.7489477361086758E-13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425.00152674093977</v>
      </c>
      <c r="FK143" s="62">
        <f t="shared" si="156"/>
        <v>214.96884469274687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179.22241276165141</v>
      </c>
      <c r="T144" s="62">
        <f t="shared" si="142"/>
        <v>86.510654589692876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-6.7984728957526396E-14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157.42757749057949</v>
      </c>
      <c r="AO144" s="62">
        <f t="shared" si="144"/>
        <v>129.86070223892136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6.0425449690645591E-17</v>
      </c>
      <c r="AX144" s="23">
        <f t="shared" si="114"/>
        <v>6.0425449690645591E-17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projet'!$B$11,Paramètres!$A$1:$I$89,3,0)*VLOOKUP('Données projet'!$B$11,Paramètres!$A$1:$I$89,5,0)</f>
        <v>-2.9706370696658268E-13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464.21202287459482</v>
      </c>
      <c r="BJ144" s="62">
        <f t="shared" si="146"/>
        <v>234.57880205159688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1.7053025658242404E-13</v>
      </c>
      <c r="BZ144" s="14">
        <f>BY144*VLOOKUP('Données projet'!$B$12,Paramètres!$A$1:$I$89,3,0)*VLOOKUP('Données projet'!$B$12,Paramètres!$A$1:$I$89,5,0)</f>
        <v>1.3567387213697657E-13</v>
      </c>
      <c r="CA144" s="14">
        <f t="shared" si="147"/>
        <v>1.9670967679808581E-12</v>
      </c>
      <c r="CB144" s="22">
        <f t="shared" si="118"/>
        <v>3.6623255315385623E-12</v>
      </c>
      <c r="CC144" s="62">
        <f t="shared" si="119"/>
        <v>293.33333333333695</v>
      </c>
      <c r="CD144" s="62">
        <f ca="1">AVERAGE(OFFSET($CC$3,0,0,'Données projet'!$E$12+1,1))-AVERAGE(OFFSET($H$3,0,0,'Données projet'!$E$12+1,1))</f>
        <v>177.99876437322689</v>
      </c>
      <c r="CE144" s="62">
        <f t="shared" si="148"/>
        <v>165.68154380324592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5.1159076974727213E-13</v>
      </c>
      <c r="CU144" s="18">
        <f>CT144*VLOOKUP('Données projet'!$B$13,Paramètres!$A$1:$I$89,3,0)*VLOOKUP('Données projet'!$B$13,Paramètres!$A$1:$I$89,5,0)</f>
        <v>2.8597924028872516E-13</v>
      </c>
      <c r="CV144" s="14">
        <f t="shared" si="149"/>
        <v>3.8016246610825715E-12</v>
      </c>
      <c r="CW144" s="22">
        <f t="shared" si="121"/>
        <v>7.1192434615550094E-12</v>
      </c>
      <c r="CX144" s="62">
        <f t="shared" si="122"/>
        <v>293.33333333334042</v>
      </c>
      <c r="CY144" s="62">
        <f ca="1">AVERAGE(OFFSET($CX$3,0,0,'Données projet'!$E$13+1,1))-AVERAGE(OFFSET($H$3,0,0,'Données projet'!$E$13+1,1))</f>
        <v>242.07451379051349</v>
      </c>
      <c r="CZ144" s="62">
        <f t="shared" si="150"/>
        <v>207.11607964940754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178.56320966726986</v>
      </c>
      <c r="DU144" s="62">
        <f t="shared" si="152"/>
        <v>272.06842551411739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0.35352562119740871</v>
      </c>
      <c r="EC144" s="23">
        <f>EXP(-LN(2)/2)*EC143+(1-EXP(-LN(2)/2))/(LN(2)/2)*DW144*DZ144*VLOOKUP('Données projet'!$B$14,Paramètres!$A$1:$I$89,3,0)*0.475*44/12</f>
        <v>3.2420093151905487E-16</v>
      </c>
      <c r="ED144" s="24">
        <f t="shared" si="126"/>
        <v>0.35352562119740905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-2.8421709430404007E-13</v>
      </c>
      <c r="EK144" s="18">
        <f>EJ144*VLOOKUP('Données projet'!$B$15,Paramètres!$A$1:$I$89,3,0)*VLOOKUP('Données projet'!$B$15,Paramètres!$A$1:$I$89,5,0)</f>
        <v>-3.0593128030886872E-13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479.87943647026646</v>
      </c>
      <c r="EP144" s="62">
        <f t="shared" si="154"/>
        <v>242.41363045393223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-2.8421709430404007E-13</v>
      </c>
      <c r="FF144" s="18">
        <f>FE144*VLOOKUP('Données projet'!$B$16,Paramètres!$A$1:$I$89,3,0)*VLOOKUP('Données projet'!$B$16,Paramètres!$A$1:$I$89,5,0)</f>
        <v>-2.7489477361086758E-13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425.00152674093977</v>
      </c>
      <c r="FK144" s="62">
        <f t="shared" si="156"/>
        <v>214.96884469274687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179.22241276165141</v>
      </c>
      <c r="T145" s="62">
        <f t="shared" si="142"/>
        <v>86.510654589692876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-6.7984728957526396E-14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157.42757749057949</v>
      </c>
      <c r="AO145" s="62">
        <f t="shared" si="144"/>
        <v>129.86070223892136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4.2727245232502068E-17</v>
      </c>
      <c r="AX145" s="23">
        <f t="shared" si="114"/>
        <v>4.2727245232502068E-17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projet'!$B$11,Paramètres!$A$1:$I$89,3,0)*VLOOKUP('Données projet'!$B$11,Paramètres!$A$1:$I$89,5,0)</f>
        <v>-2.9706370696658268E-13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464.21202287459482</v>
      </c>
      <c r="BJ145" s="62">
        <f t="shared" si="146"/>
        <v>234.57880205159688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1.7053025658242404E-13</v>
      </c>
      <c r="BZ145" s="14">
        <f>BY145*VLOOKUP('Données projet'!$B$12,Paramètres!$A$1:$I$89,3,0)*VLOOKUP('Données projet'!$B$12,Paramètres!$A$1:$I$89,5,0)</f>
        <v>1.3567387213697657E-13</v>
      </c>
      <c r="CA145" s="14">
        <f t="shared" si="147"/>
        <v>1.9670967679808581E-12</v>
      </c>
      <c r="CB145" s="22">
        <f t="shared" si="118"/>
        <v>3.6623255315385623E-12</v>
      </c>
      <c r="CC145" s="62">
        <f t="shared" si="119"/>
        <v>293.33333333333695</v>
      </c>
      <c r="CD145" s="62">
        <f ca="1">AVERAGE(OFFSET($CC$3,0,0,'Données projet'!$E$12+1,1))-AVERAGE(OFFSET($H$3,0,0,'Données projet'!$E$12+1,1))</f>
        <v>177.99876437322689</v>
      </c>
      <c r="CE145" s="62">
        <f t="shared" si="148"/>
        <v>165.68154380324592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5.1159076974727213E-13</v>
      </c>
      <c r="CU145" s="18">
        <f>CT145*VLOOKUP('Données projet'!$B$13,Paramètres!$A$1:$I$89,3,0)*VLOOKUP('Données projet'!$B$13,Paramètres!$A$1:$I$89,5,0)</f>
        <v>2.8597924028872516E-13</v>
      </c>
      <c r="CV145" s="14">
        <f t="shared" si="149"/>
        <v>3.8016246610825715E-12</v>
      </c>
      <c r="CW145" s="22">
        <f t="shared" si="121"/>
        <v>7.1192434615550094E-12</v>
      </c>
      <c r="CX145" s="62">
        <f t="shared" si="122"/>
        <v>293.33333333334042</v>
      </c>
      <c r="CY145" s="62">
        <f ca="1">AVERAGE(OFFSET($CX$3,0,0,'Données projet'!$E$13+1,1))-AVERAGE(OFFSET($H$3,0,0,'Données projet'!$E$13+1,1))</f>
        <v>242.07451379051349</v>
      </c>
      <c r="CZ145" s="62">
        <f t="shared" si="150"/>
        <v>207.11607964940754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178.56320966726986</v>
      </c>
      <c r="DU145" s="62">
        <f t="shared" si="152"/>
        <v>272.06842551411739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0.34385844449466113</v>
      </c>
      <c r="EC145" s="23">
        <f>EXP(-LN(2)/2)*EC144+(1-EXP(-LN(2)/2))/(LN(2)/2)*DW145*DZ145*VLOOKUP('Données projet'!$B$14,Paramètres!$A$1:$I$89,3,0)*0.475*44/12</f>
        <v>2.2924467714411921E-16</v>
      </c>
      <c r="ED145" s="24">
        <f t="shared" si="126"/>
        <v>0.34385844449466135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-2.8421709430404007E-13</v>
      </c>
      <c r="EK145" s="18">
        <f>EJ145*VLOOKUP('Données projet'!$B$15,Paramètres!$A$1:$I$89,3,0)*VLOOKUP('Données projet'!$B$15,Paramètres!$A$1:$I$89,5,0)</f>
        <v>-3.0593128030886872E-13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479.87943647026646</v>
      </c>
      <c r="EP145" s="62">
        <f t="shared" si="154"/>
        <v>242.41363045393223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-2.8421709430404007E-13</v>
      </c>
      <c r="FF145" s="18">
        <f>FE145*VLOOKUP('Données projet'!$B$16,Paramètres!$A$1:$I$89,3,0)*VLOOKUP('Données projet'!$B$16,Paramètres!$A$1:$I$89,5,0)</f>
        <v>-2.7489477361086758E-13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425.00152674093977</v>
      </c>
      <c r="FK145" s="62">
        <f t="shared" si="156"/>
        <v>214.96884469274687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179.22241276165141</v>
      </c>
      <c r="T146" s="62">
        <f t="shared" si="142"/>
        <v>86.510654589692876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-6.7984728957526396E-14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157.42757749057949</v>
      </c>
      <c r="AO146" s="62">
        <f t="shared" si="144"/>
        <v>129.86070223892136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3.0212724845322796E-17</v>
      </c>
      <c r="AX146" s="23">
        <f t="shared" si="114"/>
        <v>3.0212724845322796E-17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projet'!$B$11,Paramètres!$A$1:$I$89,3,0)*VLOOKUP('Données projet'!$B$11,Paramètres!$A$1:$I$89,5,0)</f>
        <v>-2.9706370696658268E-13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464.21202287459482</v>
      </c>
      <c r="BJ146" s="62">
        <f t="shared" si="146"/>
        <v>234.57880205159688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1.7053025658242404E-13</v>
      </c>
      <c r="BZ146" s="14">
        <f>BY146*VLOOKUP('Données projet'!$B$12,Paramètres!$A$1:$I$89,3,0)*VLOOKUP('Données projet'!$B$12,Paramètres!$A$1:$I$89,5,0)</f>
        <v>1.3567387213697657E-13</v>
      </c>
      <c r="CA146" s="14">
        <f t="shared" si="147"/>
        <v>1.9670967679808581E-12</v>
      </c>
      <c r="CB146" s="22">
        <f t="shared" si="118"/>
        <v>3.6623255315385623E-12</v>
      </c>
      <c r="CC146" s="62">
        <f t="shared" si="119"/>
        <v>293.33333333333695</v>
      </c>
      <c r="CD146" s="62">
        <f ca="1">AVERAGE(OFFSET($CC$3,0,0,'Données projet'!$E$12+1,1))-AVERAGE(OFFSET($H$3,0,0,'Données projet'!$E$12+1,1))</f>
        <v>177.99876437322689</v>
      </c>
      <c r="CE146" s="62">
        <f t="shared" si="148"/>
        <v>165.68154380324592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5.1159076974727213E-13</v>
      </c>
      <c r="CU146" s="18">
        <f>CT146*VLOOKUP('Données projet'!$B$13,Paramètres!$A$1:$I$89,3,0)*VLOOKUP('Données projet'!$B$13,Paramètres!$A$1:$I$89,5,0)</f>
        <v>2.8597924028872516E-13</v>
      </c>
      <c r="CV146" s="14">
        <f t="shared" si="149"/>
        <v>3.8016246610825715E-12</v>
      </c>
      <c r="CW146" s="22">
        <f t="shared" si="121"/>
        <v>7.1192434615550094E-12</v>
      </c>
      <c r="CX146" s="62">
        <f t="shared" si="122"/>
        <v>293.33333333334042</v>
      </c>
      <c r="CY146" s="62">
        <f ca="1">AVERAGE(OFFSET($CX$3,0,0,'Données projet'!$E$13+1,1))-AVERAGE(OFFSET($H$3,0,0,'Données projet'!$E$13+1,1))</f>
        <v>242.07451379051349</v>
      </c>
      <c r="CZ146" s="62">
        <f t="shared" si="150"/>
        <v>207.11607964940754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178.56320966726986</v>
      </c>
      <c r="DU146" s="62">
        <f t="shared" si="152"/>
        <v>272.06842551411739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0.33445561724722495</v>
      </c>
      <c r="EC146" s="23">
        <f>EXP(-LN(2)/2)*EC145+(1-EXP(-LN(2)/2))/(LN(2)/2)*DW146*DZ146*VLOOKUP('Données projet'!$B$14,Paramètres!$A$1:$I$89,3,0)*0.475*44/12</f>
        <v>1.6210046575952743E-16</v>
      </c>
      <c r="ED146" s="24">
        <f t="shared" si="126"/>
        <v>0.33445561724722511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-2.8421709430404007E-13</v>
      </c>
      <c r="EK146" s="18">
        <f>EJ146*VLOOKUP('Données projet'!$B$15,Paramètres!$A$1:$I$89,3,0)*VLOOKUP('Données projet'!$B$15,Paramètres!$A$1:$I$89,5,0)</f>
        <v>-3.0593128030886872E-13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479.87943647026646</v>
      </c>
      <c r="EP146" s="62">
        <f t="shared" si="154"/>
        <v>242.41363045393223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-2.8421709430404007E-13</v>
      </c>
      <c r="FF146" s="18">
        <f>FE146*VLOOKUP('Données projet'!$B$16,Paramètres!$A$1:$I$89,3,0)*VLOOKUP('Données projet'!$B$16,Paramètres!$A$1:$I$89,5,0)</f>
        <v>-2.7489477361086758E-13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425.00152674093977</v>
      </c>
      <c r="FK146" s="62">
        <f t="shared" si="156"/>
        <v>214.96884469274687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179.22241276165141</v>
      </c>
      <c r="T147" s="62">
        <f t="shared" si="142"/>
        <v>86.510654589692876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-6.7984728957526396E-14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157.42757749057949</v>
      </c>
      <c r="AO147" s="62">
        <f t="shared" si="144"/>
        <v>129.86070223892136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2.1363622616251034E-17</v>
      </c>
      <c r="AX147" s="23">
        <f t="shared" si="114"/>
        <v>2.1363622616251034E-17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projet'!$B$11,Paramètres!$A$1:$I$89,3,0)*VLOOKUP('Données projet'!$B$11,Paramètres!$A$1:$I$89,5,0)</f>
        <v>-2.9706370696658268E-13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464.21202287459482</v>
      </c>
      <c r="BJ147" s="62">
        <f t="shared" si="146"/>
        <v>234.57880205159688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1.7053025658242404E-13</v>
      </c>
      <c r="BZ147" s="14">
        <f>BY147*VLOOKUP('Données projet'!$B$12,Paramètres!$A$1:$I$89,3,0)*VLOOKUP('Données projet'!$B$12,Paramètres!$A$1:$I$89,5,0)</f>
        <v>1.3567387213697657E-13</v>
      </c>
      <c r="CA147" s="14">
        <f t="shared" si="147"/>
        <v>1.9670967679808581E-12</v>
      </c>
      <c r="CB147" s="22">
        <f t="shared" si="118"/>
        <v>3.6623255315385623E-12</v>
      </c>
      <c r="CC147" s="62">
        <f t="shared" si="119"/>
        <v>293.33333333333695</v>
      </c>
      <c r="CD147" s="62">
        <f ca="1">AVERAGE(OFFSET($CC$3,0,0,'Données projet'!$E$12+1,1))-AVERAGE(OFFSET($H$3,0,0,'Données projet'!$E$12+1,1))</f>
        <v>177.99876437322689</v>
      </c>
      <c r="CE147" s="62">
        <f t="shared" si="148"/>
        <v>165.68154380324592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5.1159076974727213E-13</v>
      </c>
      <c r="CU147" s="18">
        <f>CT147*VLOOKUP('Données projet'!$B$13,Paramètres!$A$1:$I$89,3,0)*VLOOKUP('Données projet'!$B$13,Paramètres!$A$1:$I$89,5,0)</f>
        <v>2.8597924028872516E-13</v>
      </c>
      <c r="CV147" s="14">
        <f t="shared" si="149"/>
        <v>3.8016246610825715E-12</v>
      </c>
      <c r="CW147" s="22">
        <f t="shared" si="121"/>
        <v>7.1192434615550094E-12</v>
      </c>
      <c r="CX147" s="62">
        <f t="shared" si="122"/>
        <v>293.33333333334042</v>
      </c>
      <c r="CY147" s="62">
        <f ca="1">AVERAGE(OFFSET($CX$3,0,0,'Données projet'!$E$13+1,1))-AVERAGE(OFFSET($H$3,0,0,'Données projet'!$E$13+1,1))</f>
        <v>242.07451379051349</v>
      </c>
      <c r="CZ147" s="62">
        <f t="shared" si="150"/>
        <v>207.11607964940754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178.56320966726986</v>
      </c>
      <c r="DU147" s="62">
        <f t="shared" si="152"/>
        <v>272.06842551411739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0.32530991080534305</v>
      </c>
      <c r="EC147" s="23">
        <f>EXP(-LN(2)/2)*EC146+(1-EXP(-LN(2)/2))/(LN(2)/2)*DW147*DZ147*VLOOKUP('Données projet'!$B$14,Paramètres!$A$1:$I$89,3,0)*0.475*44/12</f>
        <v>1.146223385720596E-16</v>
      </c>
      <c r="ED147" s="24">
        <f t="shared" si="126"/>
        <v>0.32530991080534316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-2.8421709430404007E-13</v>
      </c>
      <c r="EK147" s="18">
        <f>EJ147*VLOOKUP('Données projet'!$B$15,Paramètres!$A$1:$I$89,3,0)*VLOOKUP('Données projet'!$B$15,Paramètres!$A$1:$I$89,5,0)</f>
        <v>-3.0593128030886872E-13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479.87943647026646</v>
      </c>
      <c r="EP147" s="62">
        <f t="shared" si="154"/>
        <v>242.41363045393223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-2.8421709430404007E-13</v>
      </c>
      <c r="FF147" s="18">
        <f>FE147*VLOOKUP('Données projet'!$B$16,Paramètres!$A$1:$I$89,3,0)*VLOOKUP('Données projet'!$B$16,Paramètres!$A$1:$I$89,5,0)</f>
        <v>-2.7489477361086758E-13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425.00152674093977</v>
      </c>
      <c r="FK147" s="62">
        <f t="shared" si="156"/>
        <v>214.96884469274687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179.22241276165141</v>
      </c>
      <c r="T148" s="62">
        <f t="shared" si="142"/>
        <v>86.510654589692876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-6.7984728957526396E-14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157.42757749057949</v>
      </c>
      <c r="AO148" s="62">
        <f t="shared" si="144"/>
        <v>129.86070223892136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1.5106362422661398E-17</v>
      </c>
      <c r="AX148" s="23">
        <f t="shared" si="114"/>
        <v>1.5106362422661398E-17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projet'!$B$11,Paramètres!$A$1:$I$89,3,0)*VLOOKUP('Données projet'!$B$11,Paramètres!$A$1:$I$89,5,0)</f>
        <v>-2.9706370696658268E-13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464.21202287459482</v>
      </c>
      <c r="BJ148" s="62">
        <f t="shared" si="146"/>
        <v>234.57880205159688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1.7053025658242404E-13</v>
      </c>
      <c r="BZ148" s="14">
        <f>BY148*VLOOKUP('Données projet'!$B$12,Paramètres!$A$1:$I$89,3,0)*VLOOKUP('Données projet'!$B$12,Paramètres!$A$1:$I$89,5,0)</f>
        <v>1.3567387213697657E-13</v>
      </c>
      <c r="CA148" s="14">
        <f t="shared" si="147"/>
        <v>1.9670967679808581E-12</v>
      </c>
      <c r="CB148" s="22">
        <f t="shared" si="118"/>
        <v>3.6623255315385623E-12</v>
      </c>
      <c r="CC148" s="62">
        <f t="shared" si="119"/>
        <v>293.33333333333695</v>
      </c>
      <c r="CD148" s="62">
        <f ca="1">AVERAGE(OFFSET($CC$3,0,0,'Données projet'!$E$12+1,1))-AVERAGE(OFFSET($H$3,0,0,'Données projet'!$E$12+1,1))</f>
        <v>177.99876437322689</v>
      </c>
      <c r="CE148" s="62">
        <f t="shared" si="148"/>
        <v>165.68154380324592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5.1159076974727213E-13</v>
      </c>
      <c r="CU148" s="18">
        <f>CT148*VLOOKUP('Données projet'!$B$13,Paramètres!$A$1:$I$89,3,0)*VLOOKUP('Données projet'!$B$13,Paramètres!$A$1:$I$89,5,0)</f>
        <v>2.8597924028872516E-13</v>
      </c>
      <c r="CV148" s="14">
        <f t="shared" si="149"/>
        <v>3.8016246610825715E-12</v>
      </c>
      <c r="CW148" s="22">
        <f t="shared" si="121"/>
        <v>7.1192434615550094E-12</v>
      </c>
      <c r="CX148" s="62">
        <f t="shared" si="122"/>
        <v>293.33333333334042</v>
      </c>
      <c r="CY148" s="62">
        <f ca="1">AVERAGE(OFFSET($CX$3,0,0,'Données projet'!$E$13+1,1))-AVERAGE(OFFSET($H$3,0,0,'Données projet'!$E$13+1,1))</f>
        <v>242.07451379051349</v>
      </c>
      <c r="CZ148" s="62">
        <f t="shared" si="150"/>
        <v>207.11607964940754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178.56320966726986</v>
      </c>
      <c r="DU148" s="62">
        <f t="shared" si="152"/>
        <v>272.06842551411739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0.31641429418706624</v>
      </c>
      <c r="EC148" s="23">
        <f>EXP(-LN(2)/2)*EC147+(1-EXP(-LN(2)/2))/(LN(2)/2)*DW148*DZ148*VLOOKUP('Données projet'!$B$14,Paramètres!$A$1:$I$89,3,0)*0.475*44/12</f>
        <v>8.1050232879763717E-17</v>
      </c>
      <c r="ED148" s="24">
        <f t="shared" si="126"/>
        <v>0.31641429418706629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-2.8421709430404007E-13</v>
      </c>
      <c r="EK148" s="18">
        <f>EJ148*VLOOKUP('Données projet'!$B$15,Paramètres!$A$1:$I$89,3,0)*VLOOKUP('Données projet'!$B$15,Paramètres!$A$1:$I$89,5,0)</f>
        <v>-3.0593128030886872E-13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479.87943647026646</v>
      </c>
      <c r="EP148" s="62">
        <f t="shared" si="154"/>
        <v>242.41363045393223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-2.8421709430404007E-13</v>
      </c>
      <c r="FF148" s="18">
        <f>FE148*VLOOKUP('Données projet'!$B$16,Paramètres!$A$1:$I$89,3,0)*VLOOKUP('Données projet'!$B$16,Paramètres!$A$1:$I$89,5,0)</f>
        <v>-2.7489477361086758E-13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425.00152674093977</v>
      </c>
      <c r="FK148" s="62">
        <f t="shared" si="156"/>
        <v>214.96884469274687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179.22241276165141</v>
      </c>
      <c r="T149" s="62">
        <f t="shared" si="142"/>
        <v>86.510654589692876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-6.7984728957526396E-14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157.42757749057949</v>
      </c>
      <c r="AO149" s="62">
        <f t="shared" si="144"/>
        <v>129.86070223892136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1.0681811308125517E-17</v>
      </c>
      <c r="AX149" s="23">
        <f t="shared" si="114"/>
        <v>1.0681811308125517E-17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projet'!$B$11,Paramètres!$A$1:$I$89,3,0)*VLOOKUP('Données projet'!$B$11,Paramètres!$A$1:$I$89,5,0)</f>
        <v>-2.9706370696658268E-13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464.21202287459482</v>
      </c>
      <c r="BJ149" s="62">
        <f t="shared" si="146"/>
        <v>234.57880205159688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1.7053025658242404E-13</v>
      </c>
      <c r="BZ149" s="14">
        <f>BY149*VLOOKUP('Données projet'!$B$12,Paramètres!$A$1:$I$89,3,0)*VLOOKUP('Données projet'!$B$12,Paramètres!$A$1:$I$89,5,0)</f>
        <v>1.3567387213697657E-13</v>
      </c>
      <c r="CA149" s="14">
        <f t="shared" si="147"/>
        <v>1.9670967679808581E-12</v>
      </c>
      <c r="CB149" s="22">
        <f t="shared" si="118"/>
        <v>3.6623255315385623E-12</v>
      </c>
      <c r="CC149" s="62">
        <f t="shared" si="119"/>
        <v>293.33333333333695</v>
      </c>
      <c r="CD149" s="62">
        <f ca="1">AVERAGE(OFFSET($CC$3,0,0,'Données projet'!$E$12+1,1))-AVERAGE(OFFSET($H$3,0,0,'Données projet'!$E$12+1,1))</f>
        <v>177.99876437322689</v>
      </c>
      <c r="CE149" s="62">
        <f t="shared" si="148"/>
        <v>165.68154380324592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5.1159076974727213E-13</v>
      </c>
      <c r="CU149" s="18">
        <f>CT149*VLOOKUP('Données projet'!$B$13,Paramètres!$A$1:$I$89,3,0)*VLOOKUP('Données projet'!$B$13,Paramètres!$A$1:$I$89,5,0)</f>
        <v>2.8597924028872516E-13</v>
      </c>
      <c r="CV149" s="14">
        <f t="shared" si="149"/>
        <v>3.8016246610825715E-12</v>
      </c>
      <c r="CW149" s="22">
        <f t="shared" si="121"/>
        <v>7.1192434615550094E-12</v>
      </c>
      <c r="CX149" s="62">
        <f t="shared" si="122"/>
        <v>293.33333333334042</v>
      </c>
      <c r="CY149" s="62">
        <f ca="1">AVERAGE(OFFSET($CX$3,0,0,'Données projet'!$E$13+1,1))-AVERAGE(OFFSET($H$3,0,0,'Données projet'!$E$13+1,1))</f>
        <v>242.07451379051349</v>
      </c>
      <c r="CZ149" s="62">
        <f t="shared" si="150"/>
        <v>207.11607964940754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178.56320966726986</v>
      </c>
      <c r="DU149" s="62">
        <f t="shared" si="152"/>
        <v>272.06842551411739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0.30776192867301633</v>
      </c>
      <c r="EC149" s="23">
        <f>EXP(-LN(2)/2)*EC148+(1-EXP(-LN(2)/2))/(LN(2)/2)*DW149*DZ149*VLOOKUP('Données projet'!$B$14,Paramètres!$A$1:$I$89,3,0)*0.475*44/12</f>
        <v>5.7311169286029802E-17</v>
      </c>
      <c r="ED149" s="24">
        <f t="shared" si="126"/>
        <v>0.30776192867301638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-2.8421709430404007E-13</v>
      </c>
      <c r="EK149" s="18">
        <f>EJ149*VLOOKUP('Données projet'!$B$15,Paramètres!$A$1:$I$89,3,0)*VLOOKUP('Données projet'!$B$15,Paramètres!$A$1:$I$89,5,0)</f>
        <v>-3.0593128030886872E-13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479.87943647026646</v>
      </c>
      <c r="EP149" s="62">
        <f t="shared" si="154"/>
        <v>242.41363045393223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-2.8421709430404007E-13</v>
      </c>
      <c r="FF149" s="18">
        <f>FE149*VLOOKUP('Données projet'!$B$16,Paramètres!$A$1:$I$89,3,0)*VLOOKUP('Données projet'!$B$16,Paramètres!$A$1:$I$89,5,0)</f>
        <v>-2.7489477361086758E-13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425.00152674093977</v>
      </c>
      <c r="FK149" s="62">
        <f t="shared" si="156"/>
        <v>214.96884469274687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179.22241276165141</v>
      </c>
      <c r="T150" s="62">
        <f t="shared" si="142"/>
        <v>86.510654589692876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-6.7984728957526396E-14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157.42757749057949</v>
      </c>
      <c r="AO150" s="62">
        <f t="shared" si="144"/>
        <v>129.86070223892136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7.5531812113306989E-18</v>
      </c>
      <c r="AX150" s="23">
        <f t="shared" si="114"/>
        <v>7.5531812113306989E-18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projet'!$B$11,Paramètres!$A$1:$I$89,3,0)*VLOOKUP('Données projet'!$B$11,Paramètres!$A$1:$I$89,5,0)</f>
        <v>-2.9706370696658268E-13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464.21202287459482</v>
      </c>
      <c r="BJ150" s="62">
        <f t="shared" si="146"/>
        <v>234.57880205159688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1.7053025658242404E-13</v>
      </c>
      <c r="BZ150" s="14">
        <f>BY150*VLOOKUP('Données projet'!$B$12,Paramètres!$A$1:$I$89,3,0)*VLOOKUP('Données projet'!$B$12,Paramètres!$A$1:$I$89,5,0)</f>
        <v>1.3567387213697657E-13</v>
      </c>
      <c r="CA150" s="14">
        <f t="shared" si="147"/>
        <v>1.9670967679808581E-12</v>
      </c>
      <c r="CB150" s="22">
        <f t="shared" si="118"/>
        <v>3.6623255315385623E-12</v>
      </c>
      <c r="CC150" s="62">
        <f t="shared" si="119"/>
        <v>293.33333333333695</v>
      </c>
      <c r="CD150" s="62">
        <f ca="1">AVERAGE(OFFSET($CC$3,0,0,'Données projet'!$E$12+1,1))-AVERAGE(OFFSET($H$3,0,0,'Données projet'!$E$12+1,1))</f>
        <v>177.99876437322689</v>
      </c>
      <c r="CE150" s="62">
        <f t="shared" si="148"/>
        <v>165.68154380324592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5.1159076974727213E-13</v>
      </c>
      <c r="CU150" s="18">
        <f>CT150*VLOOKUP('Données projet'!$B$13,Paramètres!$A$1:$I$89,3,0)*VLOOKUP('Données projet'!$B$13,Paramètres!$A$1:$I$89,5,0)</f>
        <v>2.8597924028872516E-13</v>
      </c>
      <c r="CV150" s="14">
        <f t="shared" si="149"/>
        <v>3.8016246610825715E-12</v>
      </c>
      <c r="CW150" s="22">
        <f t="shared" si="121"/>
        <v>7.1192434615550094E-12</v>
      </c>
      <c r="CX150" s="62">
        <f t="shared" si="122"/>
        <v>293.33333333334042</v>
      </c>
      <c r="CY150" s="62">
        <f ca="1">AVERAGE(OFFSET($CX$3,0,0,'Données projet'!$E$13+1,1))-AVERAGE(OFFSET($H$3,0,0,'Données projet'!$E$13+1,1))</f>
        <v>242.07451379051349</v>
      </c>
      <c r="CZ150" s="62">
        <f t="shared" si="150"/>
        <v>207.11607964940754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178.56320966726986</v>
      </c>
      <c r="DU150" s="62">
        <f t="shared" si="152"/>
        <v>272.06842551411739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0.29934616254895624</v>
      </c>
      <c r="EC150" s="23">
        <f>EXP(-LN(2)/2)*EC149+(1-EXP(-LN(2)/2))/(LN(2)/2)*DW150*DZ150*VLOOKUP('Données projet'!$B$14,Paramètres!$A$1:$I$89,3,0)*0.475*44/12</f>
        <v>4.0525116439881859E-17</v>
      </c>
      <c r="ED150" s="24">
        <f t="shared" si="126"/>
        <v>0.2993461625489563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-2.8421709430404007E-13</v>
      </c>
      <c r="EK150" s="18">
        <f>EJ150*VLOOKUP('Données projet'!$B$15,Paramètres!$A$1:$I$89,3,0)*VLOOKUP('Données projet'!$B$15,Paramètres!$A$1:$I$89,5,0)</f>
        <v>-3.0593128030886872E-13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479.87943647026646</v>
      </c>
      <c r="EP150" s="62">
        <f t="shared" si="154"/>
        <v>242.41363045393223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-2.8421709430404007E-13</v>
      </c>
      <c r="FF150" s="18">
        <f>FE150*VLOOKUP('Données projet'!$B$16,Paramètres!$A$1:$I$89,3,0)*VLOOKUP('Données projet'!$B$16,Paramètres!$A$1:$I$89,5,0)</f>
        <v>-2.7489477361086758E-13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425.00152674093977</v>
      </c>
      <c r="FK150" s="62">
        <f t="shared" si="156"/>
        <v>214.96884469274687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179.22241276165141</v>
      </c>
      <c r="T151" s="62">
        <f t="shared" si="142"/>
        <v>86.510654589692876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-6.7984728957526396E-14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157.42757749057949</v>
      </c>
      <c r="AO151" s="62">
        <f t="shared" si="144"/>
        <v>129.86070223892136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5.3409056540627585E-18</v>
      </c>
      <c r="AX151" s="23">
        <f t="shared" si="114"/>
        <v>5.3409056540627585E-18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projet'!$B$11,Paramètres!$A$1:$I$89,3,0)*VLOOKUP('Données projet'!$B$11,Paramètres!$A$1:$I$89,5,0)</f>
        <v>-2.9706370696658268E-13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464.21202287459482</v>
      </c>
      <c r="BJ151" s="62">
        <f t="shared" si="146"/>
        <v>234.57880205159688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1.7053025658242404E-13</v>
      </c>
      <c r="BZ151" s="14">
        <f>BY151*VLOOKUP('Données projet'!$B$12,Paramètres!$A$1:$I$89,3,0)*VLOOKUP('Données projet'!$B$12,Paramètres!$A$1:$I$89,5,0)</f>
        <v>1.3567387213697657E-13</v>
      </c>
      <c r="CA151" s="14">
        <f t="shared" si="147"/>
        <v>1.9670967679808581E-12</v>
      </c>
      <c r="CB151" s="22">
        <f t="shared" si="118"/>
        <v>3.6623255315385623E-12</v>
      </c>
      <c r="CC151" s="62">
        <f t="shared" si="119"/>
        <v>293.33333333333695</v>
      </c>
      <c r="CD151" s="62">
        <f ca="1">AVERAGE(OFFSET($CC$3,0,0,'Données projet'!$E$12+1,1))-AVERAGE(OFFSET($H$3,0,0,'Données projet'!$E$12+1,1))</f>
        <v>177.99876437322689</v>
      </c>
      <c r="CE151" s="62">
        <f t="shared" si="148"/>
        <v>165.68154380324592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5.1159076974727213E-13</v>
      </c>
      <c r="CU151" s="18">
        <f>CT151*VLOOKUP('Données projet'!$B$13,Paramètres!$A$1:$I$89,3,0)*VLOOKUP('Données projet'!$B$13,Paramètres!$A$1:$I$89,5,0)</f>
        <v>2.8597924028872516E-13</v>
      </c>
      <c r="CV151" s="14">
        <f t="shared" si="149"/>
        <v>3.8016246610825715E-12</v>
      </c>
      <c r="CW151" s="22">
        <f t="shared" si="121"/>
        <v>7.1192434615550094E-12</v>
      </c>
      <c r="CX151" s="62">
        <f t="shared" si="122"/>
        <v>293.33333333334042</v>
      </c>
      <c r="CY151" s="62">
        <f ca="1">AVERAGE(OFFSET($CX$3,0,0,'Données projet'!$E$13+1,1))-AVERAGE(OFFSET($H$3,0,0,'Données projet'!$E$13+1,1))</f>
        <v>242.07451379051349</v>
      </c>
      <c r="CZ151" s="62">
        <f t="shared" si="150"/>
        <v>207.11607964940754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178.56320966726986</v>
      </c>
      <c r="DU151" s="62">
        <f t="shared" si="152"/>
        <v>272.06842551411739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0.2911605259921245</v>
      </c>
      <c r="EC151" s="23">
        <f>EXP(-LN(2)/2)*EC150+(1-EXP(-LN(2)/2))/(LN(2)/2)*DW151*DZ151*VLOOKUP('Données projet'!$B$14,Paramètres!$A$1:$I$89,3,0)*0.475*44/12</f>
        <v>2.8655584643014901E-17</v>
      </c>
      <c r="ED151" s="24">
        <f t="shared" si="126"/>
        <v>0.29116052599212455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-2.8421709430404007E-13</v>
      </c>
      <c r="EK151" s="18">
        <f>EJ151*VLOOKUP('Données projet'!$B$15,Paramètres!$A$1:$I$89,3,0)*VLOOKUP('Données projet'!$B$15,Paramètres!$A$1:$I$89,5,0)</f>
        <v>-3.0593128030886872E-13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479.87943647026646</v>
      </c>
      <c r="EP151" s="62">
        <f t="shared" si="154"/>
        <v>242.41363045393223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-2.8421709430404007E-13</v>
      </c>
      <c r="FF151" s="18">
        <f>FE151*VLOOKUP('Données projet'!$B$16,Paramètres!$A$1:$I$89,3,0)*VLOOKUP('Données projet'!$B$16,Paramètres!$A$1:$I$89,5,0)</f>
        <v>-2.7489477361086758E-13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425.00152674093977</v>
      </c>
      <c r="FK151" s="62">
        <f t="shared" si="156"/>
        <v>214.96884469274687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179.22241276165141</v>
      </c>
      <c r="T152" s="62">
        <f t="shared" si="142"/>
        <v>86.510654589692876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-6.7984728957526396E-14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157.42757749057949</v>
      </c>
      <c r="AO152" s="62">
        <f t="shared" si="144"/>
        <v>129.86070223892136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3.7765906056653495E-18</v>
      </c>
      <c r="AX152" s="23">
        <f t="shared" si="114"/>
        <v>3.7765906056653495E-18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projet'!$B$11,Paramètres!$A$1:$I$89,3,0)*VLOOKUP('Données projet'!$B$11,Paramètres!$A$1:$I$89,5,0)</f>
        <v>-2.9706370696658268E-13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464.21202287459482</v>
      </c>
      <c r="BJ152" s="62">
        <f t="shared" si="146"/>
        <v>234.57880205159688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1.7053025658242404E-13</v>
      </c>
      <c r="BZ152" s="14">
        <f>BY152*VLOOKUP('Données projet'!$B$12,Paramètres!$A$1:$I$89,3,0)*VLOOKUP('Données projet'!$B$12,Paramètres!$A$1:$I$89,5,0)</f>
        <v>1.3567387213697657E-13</v>
      </c>
      <c r="CA152" s="14">
        <f t="shared" si="147"/>
        <v>1.9670967679808581E-12</v>
      </c>
      <c r="CB152" s="22">
        <f t="shared" si="118"/>
        <v>3.6623255315385623E-12</v>
      </c>
      <c r="CC152" s="62">
        <f t="shared" si="119"/>
        <v>293.33333333333695</v>
      </c>
      <c r="CD152" s="62">
        <f ca="1">AVERAGE(OFFSET($CC$3,0,0,'Données projet'!$E$12+1,1))-AVERAGE(OFFSET($H$3,0,0,'Données projet'!$E$12+1,1))</f>
        <v>177.99876437322689</v>
      </c>
      <c r="CE152" s="62">
        <f t="shared" si="148"/>
        <v>165.68154380324592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5.1159076974727213E-13</v>
      </c>
      <c r="CU152" s="18">
        <f>CT152*VLOOKUP('Données projet'!$B$13,Paramètres!$A$1:$I$89,3,0)*VLOOKUP('Données projet'!$B$13,Paramètres!$A$1:$I$89,5,0)</f>
        <v>2.8597924028872516E-13</v>
      </c>
      <c r="CV152" s="14">
        <f t="shared" si="149"/>
        <v>3.8016246610825715E-12</v>
      </c>
      <c r="CW152" s="22">
        <f t="shared" si="121"/>
        <v>7.1192434615550094E-12</v>
      </c>
      <c r="CX152" s="62">
        <f t="shared" si="122"/>
        <v>293.33333333334042</v>
      </c>
      <c r="CY152" s="62">
        <f ca="1">AVERAGE(OFFSET($CX$3,0,0,'Données projet'!$E$13+1,1))-AVERAGE(OFFSET($H$3,0,0,'Données projet'!$E$13+1,1))</f>
        <v>242.07451379051349</v>
      </c>
      <c r="CZ152" s="62">
        <f t="shared" si="150"/>
        <v>207.11607964940754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178.56320966726986</v>
      </c>
      <c r="DU152" s="62">
        <f t="shared" si="152"/>
        <v>272.06842551411739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0.28319872609740326</v>
      </c>
      <c r="EC152" s="23">
        <f>EXP(-LN(2)/2)*EC151+(1-EXP(-LN(2)/2))/(LN(2)/2)*DW152*DZ152*VLOOKUP('Données projet'!$B$14,Paramètres!$A$1:$I$89,3,0)*0.475*44/12</f>
        <v>2.0262558219940929E-17</v>
      </c>
      <c r="ED152" s="24">
        <f t="shared" si="126"/>
        <v>0.28319872609740326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-2.8421709430404007E-13</v>
      </c>
      <c r="EK152" s="18">
        <f>EJ152*VLOOKUP('Données projet'!$B$15,Paramètres!$A$1:$I$89,3,0)*VLOOKUP('Données projet'!$B$15,Paramètres!$A$1:$I$89,5,0)</f>
        <v>-3.0593128030886872E-13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479.87943647026646</v>
      </c>
      <c r="EP152" s="62">
        <f t="shared" si="154"/>
        <v>242.41363045393223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-2.8421709430404007E-13</v>
      </c>
      <c r="FF152" s="18">
        <f>FE152*VLOOKUP('Données projet'!$B$16,Paramètres!$A$1:$I$89,3,0)*VLOOKUP('Données projet'!$B$16,Paramètres!$A$1:$I$89,5,0)</f>
        <v>-2.7489477361086758E-13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425.00152674093977</v>
      </c>
      <c r="FK152" s="62">
        <f t="shared" si="156"/>
        <v>214.96884469274687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179.22241276165141</v>
      </c>
      <c r="T153" s="62">
        <f t="shared" si="142"/>
        <v>86.510654589692876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-6.7984728957526396E-14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157.42757749057949</v>
      </c>
      <c r="AO153" s="62">
        <f t="shared" si="144"/>
        <v>129.86070223892136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2.6704528270313793E-18</v>
      </c>
      <c r="AX153" s="23">
        <f t="shared" si="114"/>
        <v>2.6704528270313793E-18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projet'!$B$11,Paramètres!$A$1:$I$89,3,0)*VLOOKUP('Données projet'!$B$11,Paramètres!$A$1:$I$89,5,0)</f>
        <v>-2.9706370696658268E-13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464.21202287459482</v>
      </c>
      <c r="BJ153" s="62">
        <f t="shared" si="146"/>
        <v>234.57880205159688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1.7053025658242404E-13</v>
      </c>
      <c r="BZ153" s="14">
        <f>BY153*VLOOKUP('Données projet'!$B$12,Paramètres!$A$1:$I$89,3,0)*VLOOKUP('Données projet'!$B$12,Paramètres!$A$1:$I$89,5,0)</f>
        <v>1.3567387213697657E-13</v>
      </c>
      <c r="CA153" s="14">
        <f t="shared" si="147"/>
        <v>1.9670967679808581E-12</v>
      </c>
      <c r="CB153" s="22">
        <f t="shared" si="118"/>
        <v>3.6623255315385623E-12</v>
      </c>
      <c r="CC153" s="62">
        <f t="shared" si="119"/>
        <v>293.33333333333695</v>
      </c>
      <c r="CD153" s="62">
        <f ca="1">AVERAGE(OFFSET($CC$3,0,0,'Données projet'!$E$12+1,1))-AVERAGE(OFFSET($H$3,0,0,'Données projet'!$E$12+1,1))</f>
        <v>177.99876437322689</v>
      </c>
      <c r="CE153" s="62">
        <f t="shared" si="148"/>
        <v>165.68154380324592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5.1159076974727213E-13</v>
      </c>
      <c r="CU153" s="18">
        <f>CT153*VLOOKUP('Données projet'!$B$13,Paramètres!$A$1:$I$89,3,0)*VLOOKUP('Données projet'!$B$13,Paramètres!$A$1:$I$89,5,0)</f>
        <v>2.8597924028872516E-13</v>
      </c>
      <c r="CV153" s="14">
        <f t="shared" si="149"/>
        <v>3.8016246610825715E-12</v>
      </c>
      <c r="CW153" s="22">
        <f t="shared" si="121"/>
        <v>7.1192434615550094E-12</v>
      </c>
      <c r="CX153" s="62">
        <f t="shared" si="122"/>
        <v>293.33333333334042</v>
      </c>
      <c r="CY153" s="62">
        <f ca="1">AVERAGE(OFFSET($CX$3,0,0,'Données projet'!$E$13+1,1))-AVERAGE(OFFSET($H$3,0,0,'Données projet'!$E$13+1,1))</f>
        <v>242.07451379051349</v>
      </c>
      <c r="CZ153" s="62">
        <f t="shared" si="150"/>
        <v>207.11607964940754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178.56320966726986</v>
      </c>
      <c r="DU153" s="62">
        <f t="shared" si="152"/>
        <v>272.06842551411739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0.27545464203949604</v>
      </c>
      <c r="EC153" s="23">
        <f>EXP(-LN(2)/2)*EC152+(1-EXP(-LN(2)/2))/(LN(2)/2)*DW153*DZ153*VLOOKUP('Données projet'!$B$14,Paramètres!$A$1:$I$89,3,0)*0.475*44/12</f>
        <v>1.432779232150745E-17</v>
      </c>
      <c r="ED153" s="24">
        <f t="shared" si="126"/>
        <v>0.27545464203949604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-2.8421709430404007E-13</v>
      </c>
      <c r="EK153" s="18">
        <f>EJ153*VLOOKUP('Données projet'!$B$15,Paramètres!$A$1:$I$89,3,0)*VLOOKUP('Données projet'!$B$15,Paramètres!$A$1:$I$89,5,0)</f>
        <v>-3.0593128030886872E-13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479.87943647026646</v>
      </c>
      <c r="EP153" s="62">
        <f t="shared" si="154"/>
        <v>242.41363045393223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-2.8421709430404007E-13</v>
      </c>
      <c r="FF153" s="18">
        <f>FE153*VLOOKUP('Données projet'!$B$16,Paramètres!$A$1:$I$89,3,0)*VLOOKUP('Données projet'!$B$16,Paramètres!$A$1:$I$89,5,0)</f>
        <v>-2.7489477361086758E-13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425.00152674093977</v>
      </c>
      <c r="FK153" s="62">
        <f t="shared" si="156"/>
        <v>214.96884469274687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179.22241276165141</v>
      </c>
      <c r="T154" s="62">
        <f t="shared" si="142"/>
        <v>86.510654589692876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-6.7984728957526396E-14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157.42757749057949</v>
      </c>
      <c r="AO154" s="62">
        <f t="shared" si="144"/>
        <v>129.86070223892136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1.8882953028326747E-18</v>
      </c>
      <c r="AX154" s="23">
        <f t="shared" ref="AX154:AX203" si="166">SUM(AU154:AW154)</f>
        <v>1.8882953028326747E-18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projet'!$B$11,Paramètres!$A$1:$I$89,3,0)*VLOOKUP('Données projet'!$B$11,Paramètres!$A$1:$I$89,5,0)</f>
        <v>-2.9706370696658268E-13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464.21202287459482</v>
      </c>
      <c r="BJ154" s="62">
        <f t="shared" si="146"/>
        <v>234.57880205159688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projet'!$B$12,Paramètres!$A$1:$I$89,3,0)*VLOOKUP('Données projet'!$B$12,Paramètres!$A$1:$I$89,5,0)</f>
        <v>1.3567387213697657E-13</v>
      </c>
      <c r="CA154" s="14">
        <f t="shared" ref="CA154:CA203" si="170">EXP(-1.0587+0.8836*LN(BZ154)+0.284)</f>
        <v>1.9670967679808581E-12</v>
      </c>
      <c r="CB154" s="22">
        <f t="shared" ref="CB154:CB203" si="171">(BZ154+CA154)*0.475*44/12</f>
        <v>3.6623255315385623E-12</v>
      </c>
      <c r="CC154" s="62">
        <f t="shared" si="119"/>
        <v>293.33333333333695</v>
      </c>
      <c r="CD154" s="62">
        <f ca="1">AVERAGE(OFFSET($CC$3,0,0,'Données projet'!$E$12+1,1))-AVERAGE(OFFSET($H$3,0,0,'Données projet'!$E$12+1,1))</f>
        <v>177.99876437322689</v>
      </c>
      <c r="CE154" s="62">
        <f t="shared" si="148"/>
        <v>165.68154380324592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5.1159076974727213E-13</v>
      </c>
      <c r="CU154" s="18">
        <f>CT154*VLOOKUP('Données projet'!$B$13,Paramètres!$A$1:$I$89,3,0)*VLOOKUP('Données projet'!$B$13,Paramètres!$A$1:$I$89,5,0)</f>
        <v>2.8597924028872516E-13</v>
      </c>
      <c r="CV154" s="14">
        <f t="shared" ref="CV154:CV203" si="173">EXP(-1.0587+0.8836*LN(CU154)+0.284)</f>
        <v>3.8016246610825715E-12</v>
      </c>
      <c r="CW154" s="22">
        <f t="shared" ref="CW154:CW203" si="174">(CU154+CV154)*0.475*44/12</f>
        <v>7.1192434615550094E-12</v>
      </c>
      <c r="CX154" s="62">
        <f t="shared" si="122"/>
        <v>293.33333333334042</v>
      </c>
      <c r="CY154" s="62">
        <f ca="1">AVERAGE(OFFSET($CX$3,0,0,'Données projet'!$E$13+1,1))-AVERAGE(OFFSET($H$3,0,0,'Données projet'!$E$13+1,1))</f>
        <v>242.07451379051349</v>
      </c>
      <c r="CZ154" s="62">
        <f t="shared" si="150"/>
        <v>207.11607964940754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178.56320966726986</v>
      </c>
      <c r="DU154" s="62">
        <f t="shared" si="152"/>
        <v>272.06842551411739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0.26792232036739594</v>
      </c>
      <c r="EC154" s="23">
        <f>EXP(-LN(2)/2)*EC153+(1-EXP(-LN(2)/2))/(LN(2)/2)*DW154*DZ154*VLOOKUP('Données projet'!$B$14,Paramètres!$A$1:$I$89,3,0)*0.475*44/12</f>
        <v>1.0131279109970465E-17</v>
      </c>
      <c r="ED154" s="24">
        <f t="shared" ref="ED154:ED203" si="178">SUM(EA154:EC154)</f>
        <v>0.26792232036739594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-2.8421709430404007E-13</v>
      </c>
      <c r="EK154" s="18">
        <f>EJ154*VLOOKUP('Données projet'!$B$15,Paramètres!$A$1:$I$89,3,0)*VLOOKUP('Données projet'!$B$15,Paramètres!$A$1:$I$89,5,0)</f>
        <v>-3.0593128030886872E-13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479.87943647026646</v>
      </c>
      <c r="EP154" s="62">
        <f t="shared" si="154"/>
        <v>242.41363045393223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-2.8421709430404007E-13</v>
      </c>
      <c r="FF154" s="18">
        <f>FE154*VLOOKUP('Données projet'!$B$16,Paramètres!$A$1:$I$89,3,0)*VLOOKUP('Données projet'!$B$16,Paramètres!$A$1:$I$89,5,0)</f>
        <v>-2.7489477361086758E-13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425.00152674093977</v>
      </c>
      <c r="FK154" s="62">
        <f t="shared" si="156"/>
        <v>214.96884469274687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179.22241276165141</v>
      </c>
      <c r="T155" s="62">
        <f t="shared" si="142"/>
        <v>86.510654589692876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-6.7984728957526396E-14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157.42757749057949</v>
      </c>
      <c r="AO155" s="62">
        <f t="shared" si="144"/>
        <v>129.86070223892136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1.3352264135156896E-18</v>
      </c>
      <c r="AX155" s="23">
        <f t="shared" si="166"/>
        <v>1.3352264135156896E-18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projet'!$B$11,Paramètres!$A$1:$I$89,3,0)*VLOOKUP('Données projet'!$B$11,Paramètres!$A$1:$I$89,5,0)</f>
        <v>-2.9706370696658268E-13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464.21202287459482</v>
      </c>
      <c r="BJ155" s="62">
        <f t="shared" si="146"/>
        <v>234.57880205159688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projet'!$B$12,Paramètres!$A$1:$I$89,3,0)*VLOOKUP('Données projet'!$B$12,Paramètres!$A$1:$I$89,5,0)</f>
        <v>1.3567387213697657E-13</v>
      </c>
      <c r="CA155" s="14">
        <f t="shared" si="170"/>
        <v>1.9670967679808581E-12</v>
      </c>
      <c r="CB155" s="22">
        <f t="shared" si="171"/>
        <v>3.6623255315385623E-12</v>
      </c>
      <c r="CC155" s="62">
        <f t="shared" si="119"/>
        <v>293.33333333333695</v>
      </c>
      <c r="CD155" s="62">
        <f ca="1">AVERAGE(OFFSET($CC$3,0,0,'Données projet'!$E$12+1,1))-AVERAGE(OFFSET($H$3,0,0,'Données projet'!$E$12+1,1))</f>
        <v>177.99876437322689</v>
      </c>
      <c r="CE155" s="62">
        <f t="shared" si="148"/>
        <v>165.68154380324592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5.1159076974727213E-13</v>
      </c>
      <c r="CU155" s="18">
        <f>CT155*VLOOKUP('Données projet'!$B$13,Paramètres!$A$1:$I$89,3,0)*VLOOKUP('Données projet'!$B$13,Paramètres!$A$1:$I$89,5,0)</f>
        <v>2.8597924028872516E-13</v>
      </c>
      <c r="CV155" s="14">
        <f t="shared" si="173"/>
        <v>3.8016246610825715E-12</v>
      </c>
      <c r="CW155" s="22">
        <f t="shared" si="174"/>
        <v>7.1192434615550094E-12</v>
      </c>
      <c r="CX155" s="62">
        <f t="shared" si="122"/>
        <v>293.33333333334042</v>
      </c>
      <c r="CY155" s="62">
        <f ca="1">AVERAGE(OFFSET($CX$3,0,0,'Données projet'!$E$13+1,1))-AVERAGE(OFFSET($H$3,0,0,'Données projet'!$E$13+1,1))</f>
        <v>242.07451379051349</v>
      </c>
      <c r="CZ155" s="62">
        <f t="shared" si="150"/>
        <v>207.11607964940754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178.56320966726986</v>
      </c>
      <c r="DU155" s="62">
        <f t="shared" si="152"/>
        <v>272.06842551411739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0.26059597042752702</v>
      </c>
      <c r="EC155" s="23">
        <f>EXP(-LN(2)/2)*EC154+(1-EXP(-LN(2)/2))/(LN(2)/2)*DW155*DZ155*VLOOKUP('Données projet'!$B$14,Paramètres!$A$1:$I$89,3,0)*0.475*44/12</f>
        <v>7.1638961607537252E-18</v>
      </c>
      <c r="ED155" s="24">
        <f t="shared" si="178"/>
        <v>0.26059597042752702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-2.8421709430404007E-13</v>
      </c>
      <c r="EK155" s="18">
        <f>EJ155*VLOOKUP('Données projet'!$B$15,Paramètres!$A$1:$I$89,3,0)*VLOOKUP('Données projet'!$B$15,Paramètres!$A$1:$I$89,5,0)</f>
        <v>-3.0593128030886872E-13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479.87943647026646</v>
      </c>
      <c r="EP155" s="62">
        <f t="shared" si="154"/>
        <v>242.41363045393223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-2.8421709430404007E-13</v>
      </c>
      <c r="FF155" s="18">
        <f>FE155*VLOOKUP('Données projet'!$B$16,Paramètres!$A$1:$I$89,3,0)*VLOOKUP('Données projet'!$B$16,Paramètres!$A$1:$I$89,5,0)</f>
        <v>-2.7489477361086758E-13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425.00152674093977</v>
      </c>
      <c r="FK155" s="62">
        <f t="shared" si="156"/>
        <v>214.96884469274687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179.22241276165141</v>
      </c>
      <c r="T156" s="62">
        <f t="shared" si="142"/>
        <v>86.510654589692876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-6.7984728957526396E-14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157.42757749057949</v>
      </c>
      <c r="AO156" s="62">
        <f t="shared" si="144"/>
        <v>129.86070223892136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9.4414765141633737E-19</v>
      </c>
      <c r="AX156" s="23">
        <f t="shared" si="166"/>
        <v>9.4414765141633737E-19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projet'!$B$11,Paramètres!$A$1:$I$89,3,0)*VLOOKUP('Données projet'!$B$11,Paramètres!$A$1:$I$89,5,0)</f>
        <v>-2.9706370696658268E-13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464.21202287459482</v>
      </c>
      <c r="BJ156" s="62">
        <f t="shared" si="146"/>
        <v>234.57880205159688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projet'!$B$12,Paramètres!$A$1:$I$89,3,0)*VLOOKUP('Données projet'!$B$12,Paramètres!$A$1:$I$89,5,0)</f>
        <v>1.3567387213697657E-13</v>
      </c>
      <c r="CA156" s="14">
        <f t="shared" si="170"/>
        <v>1.9670967679808581E-12</v>
      </c>
      <c r="CB156" s="22">
        <f t="shared" si="171"/>
        <v>3.6623255315385623E-12</v>
      </c>
      <c r="CC156" s="62">
        <f t="shared" si="119"/>
        <v>293.33333333333695</v>
      </c>
      <c r="CD156" s="62">
        <f ca="1">AVERAGE(OFFSET($CC$3,0,0,'Données projet'!$E$12+1,1))-AVERAGE(OFFSET($H$3,0,0,'Données projet'!$E$12+1,1))</f>
        <v>177.99876437322689</v>
      </c>
      <c r="CE156" s="62">
        <f t="shared" si="148"/>
        <v>165.68154380324592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5.1159076974727213E-13</v>
      </c>
      <c r="CU156" s="18">
        <f>CT156*VLOOKUP('Données projet'!$B$13,Paramètres!$A$1:$I$89,3,0)*VLOOKUP('Données projet'!$B$13,Paramètres!$A$1:$I$89,5,0)</f>
        <v>2.8597924028872516E-13</v>
      </c>
      <c r="CV156" s="14">
        <f t="shared" si="173"/>
        <v>3.8016246610825715E-12</v>
      </c>
      <c r="CW156" s="22">
        <f t="shared" si="174"/>
        <v>7.1192434615550094E-12</v>
      </c>
      <c r="CX156" s="62">
        <f t="shared" si="122"/>
        <v>293.33333333334042</v>
      </c>
      <c r="CY156" s="62">
        <f ca="1">AVERAGE(OFFSET($CX$3,0,0,'Données projet'!$E$13+1,1))-AVERAGE(OFFSET($H$3,0,0,'Données projet'!$E$13+1,1))</f>
        <v>242.07451379051349</v>
      </c>
      <c r="CZ156" s="62">
        <f t="shared" si="150"/>
        <v>207.11607964940754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178.56320966726986</v>
      </c>
      <c r="DU156" s="62">
        <f t="shared" si="152"/>
        <v>272.06842551411739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0.2534699599120398</v>
      </c>
      <c r="EC156" s="23">
        <f>EXP(-LN(2)/2)*EC155+(1-EXP(-LN(2)/2))/(LN(2)/2)*DW156*DZ156*VLOOKUP('Données projet'!$B$14,Paramètres!$A$1:$I$89,3,0)*0.475*44/12</f>
        <v>5.0656395549852323E-18</v>
      </c>
      <c r="ED156" s="24">
        <f t="shared" si="178"/>
        <v>0.2534699599120398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-2.8421709430404007E-13</v>
      </c>
      <c r="EK156" s="18">
        <f>EJ156*VLOOKUP('Données projet'!$B$15,Paramètres!$A$1:$I$89,3,0)*VLOOKUP('Données projet'!$B$15,Paramètres!$A$1:$I$89,5,0)</f>
        <v>-3.0593128030886872E-13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479.87943647026646</v>
      </c>
      <c r="EP156" s="62">
        <f t="shared" si="154"/>
        <v>242.41363045393223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-2.8421709430404007E-13</v>
      </c>
      <c r="FF156" s="18">
        <f>FE156*VLOOKUP('Données projet'!$B$16,Paramètres!$A$1:$I$89,3,0)*VLOOKUP('Données projet'!$B$16,Paramètres!$A$1:$I$89,5,0)</f>
        <v>-2.7489477361086758E-13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425.00152674093977</v>
      </c>
      <c r="FK156" s="62">
        <f t="shared" si="156"/>
        <v>214.96884469274687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179.22241276165141</v>
      </c>
      <c r="T157" s="62">
        <f t="shared" si="142"/>
        <v>86.510654589692876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-6.7984728957526396E-14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157.42757749057949</v>
      </c>
      <c r="AO157" s="62">
        <f t="shared" si="144"/>
        <v>129.86070223892136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6.6761320675784482E-19</v>
      </c>
      <c r="AX157" s="23">
        <f t="shared" si="166"/>
        <v>6.6761320675784482E-19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projet'!$B$11,Paramètres!$A$1:$I$89,3,0)*VLOOKUP('Données projet'!$B$11,Paramètres!$A$1:$I$89,5,0)</f>
        <v>-2.9706370696658268E-13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464.21202287459482</v>
      </c>
      <c r="BJ157" s="62">
        <f t="shared" si="146"/>
        <v>234.57880205159688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projet'!$B$12,Paramètres!$A$1:$I$89,3,0)*VLOOKUP('Données projet'!$B$12,Paramètres!$A$1:$I$89,5,0)</f>
        <v>1.3567387213697657E-13</v>
      </c>
      <c r="CA157" s="14">
        <f t="shared" si="170"/>
        <v>1.9670967679808581E-12</v>
      </c>
      <c r="CB157" s="22">
        <f t="shared" si="171"/>
        <v>3.6623255315385623E-12</v>
      </c>
      <c r="CC157" s="62">
        <f t="shared" si="119"/>
        <v>293.33333333333695</v>
      </c>
      <c r="CD157" s="62">
        <f ca="1">AVERAGE(OFFSET($CC$3,0,0,'Données projet'!$E$12+1,1))-AVERAGE(OFFSET($H$3,0,0,'Données projet'!$E$12+1,1))</f>
        <v>177.99876437322689</v>
      </c>
      <c r="CE157" s="62">
        <f t="shared" si="148"/>
        <v>165.68154380324592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5.1159076974727213E-13</v>
      </c>
      <c r="CU157" s="18">
        <f>CT157*VLOOKUP('Données projet'!$B$13,Paramètres!$A$1:$I$89,3,0)*VLOOKUP('Données projet'!$B$13,Paramètres!$A$1:$I$89,5,0)</f>
        <v>2.8597924028872516E-13</v>
      </c>
      <c r="CV157" s="14">
        <f t="shared" si="173"/>
        <v>3.8016246610825715E-12</v>
      </c>
      <c r="CW157" s="22">
        <f t="shared" si="174"/>
        <v>7.1192434615550094E-12</v>
      </c>
      <c r="CX157" s="62">
        <f t="shared" si="122"/>
        <v>293.33333333334042</v>
      </c>
      <c r="CY157" s="62">
        <f ca="1">AVERAGE(OFFSET($CX$3,0,0,'Données projet'!$E$13+1,1))-AVERAGE(OFFSET($H$3,0,0,'Données projet'!$E$13+1,1))</f>
        <v>242.07451379051349</v>
      </c>
      <c r="CZ157" s="62">
        <f t="shared" si="150"/>
        <v>207.11607964940754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178.56320966726986</v>
      </c>
      <c r="DU157" s="62">
        <f t="shared" si="152"/>
        <v>272.06842551411739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0.24653881052883919</v>
      </c>
      <c r="EC157" s="23">
        <f>EXP(-LN(2)/2)*EC156+(1-EXP(-LN(2)/2))/(LN(2)/2)*DW157*DZ157*VLOOKUP('Données projet'!$B$14,Paramètres!$A$1:$I$89,3,0)*0.475*44/12</f>
        <v>3.5819480803768626E-18</v>
      </c>
      <c r="ED157" s="24">
        <f t="shared" si="178"/>
        <v>0.24653881052883919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-2.8421709430404007E-13</v>
      </c>
      <c r="EK157" s="18">
        <f>EJ157*VLOOKUP('Données projet'!$B$15,Paramètres!$A$1:$I$89,3,0)*VLOOKUP('Données projet'!$B$15,Paramètres!$A$1:$I$89,5,0)</f>
        <v>-3.0593128030886872E-13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479.87943647026646</v>
      </c>
      <c r="EP157" s="62">
        <f t="shared" si="154"/>
        <v>242.41363045393223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-2.8421709430404007E-13</v>
      </c>
      <c r="FF157" s="18">
        <f>FE157*VLOOKUP('Données projet'!$B$16,Paramètres!$A$1:$I$89,3,0)*VLOOKUP('Données projet'!$B$16,Paramètres!$A$1:$I$89,5,0)</f>
        <v>-2.7489477361086758E-13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425.00152674093977</v>
      </c>
      <c r="FK157" s="62">
        <f t="shared" si="156"/>
        <v>214.96884469274687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179.22241276165141</v>
      </c>
      <c r="T158" s="62">
        <f t="shared" si="142"/>
        <v>86.510654589692876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-6.7984728957526396E-14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157.42757749057949</v>
      </c>
      <c r="AO158" s="62">
        <f t="shared" si="144"/>
        <v>129.86070223892136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4.7207382570816868E-19</v>
      </c>
      <c r="AX158" s="23">
        <f t="shared" si="166"/>
        <v>4.7207382570816868E-19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projet'!$B$11,Paramètres!$A$1:$I$89,3,0)*VLOOKUP('Données projet'!$B$11,Paramètres!$A$1:$I$89,5,0)</f>
        <v>-2.9706370696658268E-13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464.21202287459482</v>
      </c>
      <c r="BJ158" s="62">
        <f t="shared" si="146"/>
        <v>234.57880205159688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projet'!$B$12,Paramètres!$A$1:$I$89,3,0)*VLOOKUP('Données projet'!$B$12,Paramètres!$A$1:$I$89,5,0)</f>
        <v>1.3567387213697657E-13</v>
      </c>
      <c r="CA158" s="14">
        <f t="shared" si="170"/>
        <v>1.9670967679808581E-12</v>
      </c>
      <c r="CB158" s="22">
        <f t="shared" si="171"/>
        <v>3.6623255315385623E-12</v>
      </c>
      <c r="CC158" s="62">
        <f t="shared" si="119"/>
        <v>293.33333333333695</v>
      </c>
      <c r="CD158" s="62">
        <f ca="1">AVERAGE(OFFSET($CC$3,0,0,'Données projet'!$E$12+1,1))-AVERAGE(OFFSET($H$3,0,0,'Données projet'!$E$12+1,1))</f>
        <v>177.99876437322689</v>
      </c>
      <c r="CE158" s="62">
        <f t="shared" si="148"/>
        <v>165.68154380324592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5.1159076974727213E-13</v>
      </c>
      <c r="CU158" s="18">
        <f>CT158*VLOOKUP('Données projet'!$B$13,Paramètres!$A$1:$I$89,3,0)*VLOOKUP('Données projet'!$B$13,Paramètres!$A$1:$I$89,5,0)</f>
        <v>2.8597924028872516E-13</v>
      </c>
      <c r="CV158" s="14">
        <f t="shared" si="173"/>
        <v>3.8016246610825715E-12</v>
      </c>
      <c r="CW158" s="22">
        <f t="shared" si="174"/>
        <v>7.1192434615550094E-12</v>
      </c>
      <c r="CX158" s="62">
        <f t="shared" si="122"/>
        <v>293.33333333334042</v>
      </c>
      <c r="CY158" s="62">
        <f ca="1">AVERAGE(OFFSET($CX$3,0,0,'Données projet'!$E$13+1,1))-AVERAGE(OFFSET($H$3,0,0,'Données projet'!$E$13+1,1))</f>
        <v>242.07451379051349</v>
      </c>
      <c r="CZ158" s="62">
        <f t="shared" si="150"/>
        <v>207.11607964940754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178.56320966726986</v>
      </c>
      <c r="DU158" s="62">
        <f t="shared" si="152"/>
        <v>272.06842551411739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0.23979719379001552</v>
      </c>
      <c r="EC158" s="23">
        <f>EXP(-LN(2)/2)*EC157+(1-EXP(-LN(2)/2))/(LN(2)/2)*DW158*DZ158*VLOOKUP('Données projet'!$B$14,Paramètres!$A$1:$I$89,3,0)*0.475*44/12</f>
        <v>2.5328197774926162E-18</v>
      </c>
      <c r="ED158" s="24">
        <f t="shared" si="178"/>
        <v>0.23979719379001552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-2.8421709430404007E-13</v>
      </c>
      <c r="EK158" s="18">
        <f>EJ158*VLOOKUP('Données projet'!$B$15,Paramètres!$A$1:$I$89,3,0)*VLOOKUP('Données projet'!$B$15,Paramètres!$A$1:$I$89,5,0)</f>
        <v>-3.0593128030886872E-13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479.87943647026646</v>
      </c>
      <c r="EP158" s="62">
        <f t="shared" si="154"/>
        <v>242.41363045393223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-2.8421709430404007E-13</v>
      </c>
      <c r="FF158" s="18">
        <f>FE158*VLOOKUP('Données projet'!$B$16,Paramètres!$A$1:$I$89,3,0)*VLOOKUP('Données projet'!$B$16,Paramètres!$A$1:$I$89,5,0)</f>
        <v>-2.7489477361086758E-13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425.00152674093977</v>
      </c>
      <c r="FK158" s="62">
        <f t="shared" si="156"/>
        <v>214.96884469274687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179.22241276165141</v>
      </c>
      <c r="T159" s="62">
        <f t="shared" si="142"/>
        <v>86.510654589692876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-6.7984728957526396E-14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157.42757749057949</v>
      </c>
      <c r="AO159" s="62">
        <f t="shared" si="144"/>
        <v>129.86070223892136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3.3380660337892241E-19</v>
      </c>
      <c r="AX159" s="23">
        <f t="shared" si="166"/>
        <v>3.3380660337892241E-19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projet'!$B$11,Paramètres!$A$1:$I$89,3,0)*VLOOKUP('Données projet'!$B$11,Paramètres!$A$1:$I$89,5,0)</f>
        <v>-2.9706370696658268E-13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464.21202287459482</v>
      </c>
      <c r="BJ159" s="62">
        <f t="shared" si="146"/>
        <v>234.57880205159688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projet'!$B$12,Paramètres!$A$1:$I$89,3,0)*VLOOKUP('Données projet'!$B$12,Paramètres!$A$1:$I$89,5,0)</f>
        <v>1.3567387213697657E-13</v>
      </c>
      <c r="CA159" s="14">
        <f t="shared" si="170"/>
        <v>1.9670967679808581E-12</v>
      </c>
      <c r="CB159" s="22">
        <f t="shared" si="171"/>
        <v>3.6623255315385623E-12</v>
      </c>
      <c r="CC159" s="62">
        <f t="shared" si="119"/>
        <v>293.33333333333695</v>
      </c>
      <c r="CD159" s="62">
        <f ca="1">AVERAGE(OFFSET($CC$3,0,0,'Données projet'!$E$12+1,1))-AVERAGE(OFFSET($H$3,0,0,'Données projet'!$E$12+1,1))</f>
        <v>177.99876437322689</v>
      </c>
      <c r="CE159" s="62">
        <f t="shared" si="148"/>
        <v>165.68154380324592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5.1159076974727213E-13</v>
      </c>
      <c r="CU159" s="18">
        <f>CT159*VLOOKUP('Données projet'!$B$13,Paramètres!$A$1:$I$89,3,0)*VLOOKUP('Données projet'!$B$13,Paramètres!$A$1:$I$89,5,0)</f>
        <v>2.8597924028872516E-13</v>
      </c>
      <c r="CV159" s="14">
        <f t="shared" si="173"/>
        <v>3.8016246610825715E-12</v>
      </c>
      <c r="CW159" s="22">
        <f t="shared" si="174"/>
        <v>7.1192434615550094E-12</v>
      </c>
      <c r="CX159" s="62">
        <f t="shared" si="122"/>
        <v>293.33333333334042</v>
      </c>
      <c r="CY159" s="62">
        <f ca="1">AVERAGE(OFFSET($CX$3,0,0,'Données projet'!$E$13+1,1))-AVERAGE(OFFSET($H$3,0,0,'Données projet'!$E$13+1,1))</f>
        <v>242.07451379051349</v>
      </c>
      <c r="CZ159" s="62">
        <f t="shared" si="150"/>
        <v>207.11607964940754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178.56320966726986</v>
      </c>
      <c r="DU159" s="62">
        <f t="shared" si="152"/>
        <v>272.06842551411739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0.23323992691544118</v>
      </c>
      <c r="EC159" s="23">
        <f>EXP(-LN(2)/2)*EC158+(1-EXP(-LN(2)/2))/(LN(2)/2)*DW159*DZ159*VLOOKUP('Données projet'!$B$14,Paramètres!$A$1:$I$89,3,0)*0.475*44/12</f>
        <v>1.7909740401884313E-18</v>
      </c>
      <c r="ED159" s="24">
        <f t="shared" si="178"/>
        <v>0.23323992691544118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-2.8421709430404007E-13</v>
      </c>
      <c r="EK159" s="18">
        <f>EJ159*VLOOKUP('Données projet'!$B$15,Paramètres!$A$1:$I$89,3,0)*VLOOKUP('Données projet'!$B$15,Paramètres!$A$1:$I$89,5,0)</f>
        <v>-3.0593128030886872E-13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479.87943647026646</v>
      </c>
      <c r="EP159" s="62">
        <f t="shared" si="154"/>
        <v>242.41363045393223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-2.8421709430404007E-13</v>
      </c>
      <c r="FF159" s="18">
        <f>FE159*VLOOKUP('Données projet'!$B$16,Paramètres!$A$1:$I$89,3,0)*VLOOKUP('Données projet'!$B$16,Paramètres!$A$1:$I$89,5,0)</f>
        <v>-2.7489477361086758E-13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425.00152674093977</v>
      </c>
      <c r="FK159" s="62">
        <f t="shared" si="156"/>
        <v>214.96884469274687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179.22241276165141</v>
      </c>
      <c r="T160" s="62">
        <f t="shared" si="142"/>
        <v>86.510654589692876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-6.7984728957526396E-14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157.42757749057949</v>
      </c>
      <c r="AO160" s="62">
        <f t="shared" si="144"/>
        <v>129.86070223892136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2.3603691285408434E-19</v>
      </c>
      <c r="AX160" s="23">
        <f t="shared" si="166"/>
        <v>2.3603691285408434E-19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projet'!$B$11,Paramètres!$A$1:$I$89,3,0)*VLOOKUP('Données projet'!$B$11,Paramètres!$A$1:$I$89,5,0)</f>
        <v>-2.9706370696658268E-13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464.21202287459482</v>
      </c>
      <c r="BJ160" s="62">
        <f t="shared" si="146"/>
        <v>234.57880205159688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projet'!$B$12,Paramètres!$A$1:$I$89,3,0)*VLOOKUP('Données projet'!$B$12,Paramètres!$A$1:$I$89,5,0)</f>
        <v>1.3567387213697657E-13</v>
      </c>
      <c r="CA160" s="14">
        <f t="shared" si="170"/>
        <v>1.9670967679808581E-12</v>
      </c>
      <c r="CB160" s="22">
        <f t="shared" si="171"/>
        <v>3.6623255315385623E-12</v>
      </c>
      <c r="CC160" s="62">
        <f t="shared" si="119"/>
        <v>293.33333333333695</v>
      </c>
      <c r="CD160" s="62">
        <f ca="1">AVERAGE(OFFSET($CC$3,0,0,'Données projet'!$E$12+1,1))-AVERAGE(OFFSET($H$3,0,0,'Données projet'!$E$12+1,1))</f>
        <v>177.99876437322689</v>
      </c>
      <c r="CE160" s="62">
        <f t="shared" si="148"/>
        <v>165.68154380324592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5.1159076974727213E-13</v>
      </c>
      <c r="CU160" s="18">
        <f>CT160*VLOOKUP('Données projet'!$B$13,Paramètres!$A$1:$I$89,3,0)*VLOOKUP('Données projet'!$B$13,Paramètres!$A$1:$I$89,5,0)</f>
        <v>2.8597924028872516E-13</v>
      </c>
      <c r="CV160" s="14">
        <f t="shared" si="173"/>
        <v>3.8016246610825715E-12</v>
      </c>
      <c r="CW160" s="22">
        <f t="shared" si="174"/>
        <v>7.1192434615550094E-12</v>
      </c>
      <c r="CX160" s="62">
        <f t="shared" si="122"/>
        <v>293.33333333334042</v>
      </c>
      <c r="CY160" s="62">
        <f ca="1">AVERAGE(OFFSET($CX$3,0,0,'Données projet'!$E$13+1,1))-AVERAGE(OFFSET($H$3,0,0,'Données projet'!$E$13+1,1))</f>
        <v>242.07451379051349</v>
      </c>
      <c r="CZ160" s="62">
        <f t="shared" si="150"/>
        <v>207.11607964940754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178.56320966726986</v>
      </c>
      <c r="DU160" s="62">
        <f t="shared" si="152"/>
        <v>272.06842551411739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0.22686196884838375</v>
      </c>
      <c r="EC160" s="23">
        <f>EXP(-LN(2)/2)*EC159+(1-EXP(-LN(2)/2))/(LN(2)/2)*DW160*DZ160*VLOOKUP('Données projet'!$B$14,Paramètres!$A$1:$I$89,3,0)*0.475*44/12</f>
        <v>1.2664098887463081E-18</v>
      </c>
      <c r="ED160" s="24">
        <f t="shared" si="178"/>
        <v>0.22686196884838375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-2.8421709430404007E-13</v>
      </c>
      <c r="EK160" s="18">
        <f>EJ160*VLOOKUP('Données projet'!$B$15,Paramètres!$A$1:$I$89,3,0)*VLOOKUP('Données projet'!$B$15,Paramètres!$A$1:$I$89,5,0)</f>
        <v>-3.0593128030886872E-13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479.87943647026646</v>
      </c>
      <c r="EP160" s="62">
        <f t="shared" si="154"/>
        <v>242.41363045393223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-2.8421709430404007E-13</v>
      </c>
      <c r="FF160" s="18">
        <f>FE160*VLOOKUP('Données projet'!$B$16,Paramètres!$A$1:$I$89,3,0)*VLOOKUP('Données projet'!$B$16,Paramètres!$A$1:$I$89,5,0)</f>
        <v>-2.7489477361086758E-13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425.00152674093977</v>
      </c>
      <c r="FK160" s="62">
        <f t="shared" si="156"/>
        <v>214.96884469274687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179.22241276165141</v>
      </c>
      <c r="T161" s="62">
        <f t="shared" si="142"/>
        <v>86.510654589692876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-6.7984728957526396E-14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157.42757749057949</v>
      </c>
      <c r="AO161" s="62">
        <f t="shared" si="144"/>
        <v>129.86070223892136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1.669033016894612E-19</v>
      </c>
      <c r="AX161" s="23">
        <f t="shared" si="166"/>
        <v>1.669033016894612E-19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projet'!$B$11,Paramètres!$A$1:$I$89,3,0)*VLOOKUP('Données projet'!$B$11,Paramètres!$A$1:$I$89,5,0)</f>
        <v>-2.9706370696658268E-13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464.21202287459482</v>
      </c>
      <c r="BJ161" s="62">
        <f t="shared" si="146"/>
        <v>234.57880205159688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projet'!$B$12,Paramètres!$A$1:$I$89,3,0)*VLOOKUP('Données projet'!$B$12,Paramètres!$A$1:$I$89,5,0)</f>
        <v>1.3567387213697657E-13</v>
      </c>
      <c r="CA161" s="14">
        <f t="shared" si="170"/>
        <v>1.9670967679808581E-12</v>
      </c>
      <c r="CB161" s="22">
        <f t="shared" si="171"/>
        <v>3.6623255315385623E-12</v>
      </c>
      <c r="CC161" s="62">
        <f t="shared" si="119"/>
        <v>293.33333333333695</v>
      </c>
      <c r="CD161" s="62">
        <f ca="1">AVERAGE(OFFSET($CC$3,0,0,'Données projet'!$E$12+1,1))-AVERAGE(OFFSET($H$3,0,0,'Données projet'!$E$12+1,1))</f>
        <v>177.99876437322689</v>
      </c>
      <c r="CE161" s="62">
        <f t="shared" si="148"/>
        <v>165.68154380324592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5.1159076974727213E-13</v>
      </c>
      <c r="CU161" s="18">
        <f>CT161*VLOOKUP('Données projet'!$B$13,Paramètres!$A$1:$I$89,3,0)*VLOOKUP('Données projet'!$B$13,Paramètres!$A$1:$I$89,5,0)</f>
        <v>2.8597924028872516E-13</v>
      </c>
      <c r="CV161" s="14">
        <f t="shared" si="173"/>
        <v>3.8016246610825715E-12</v>
      </c>
      <c r="CW161" s="22">
        <f t="shared" si="174"/>
        <v>7.1192434615550094E-12</v>
      </c>
      <c r="CX161" s="62">
        <f t="shared" si="122"/>
        <v>293.33333333334042</v>
      </c>
      <c r="CY161" s="62">
        <f ca="1">AVERAGE(OFFSET($CX$3,0,0,'Données projet'!$E$13+1,1))-AVERAGE(OFFSET($H$3,0,0,'Données projet'!$E$13+1,1))</f>
        <v>242.07451379051349</v>
      </c>
      <c r="CZ161" s="62">
        <f t="shared" si="150"/>
        <v>207.11607964940754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178.56320966726986</v>
      </c>
      <c r="DU161" s="62">
        <f t="shared" si="152"/>
        <v>272.06842551411739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0.22065841638007225</v>
      </c>
      <c r="EC161" s="23">
        <f>EXP(-LN(2)/2)*EC160+(1-EXP(-LN(2)/2))/(LN(2)/2)*DW161*DZ161*VLOOKUP('Données projet'!$B$14,Paramètres!$A$1:$I$89,3,0)*0.475*44/12</f>
        <v>8.9548702009421565E-19</v>
      </c>
      <c r="ED161" s="24">
        <f t="shared" si="178"/>
        <v>0.22065841638007225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-2.8421709430404007E-13</v>
      </c>
      <c r="EK161" s="18">
        <f>EJ161*VLOOKUP('Données projet'!$B$15,Paramètres!$A$1:$I$89,3,0)*VLOOKUP('Données projet'!$B$15,Paramètres!$A$1:$I$89,5,0)</f>
        <v>-3.0593128030886872E-13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479.87943647026646</v>
      </c>
      <c r="EP161" s="62">
        <f t="shared" si="154"/>
        <v>242.41363045393223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-2.8421709430404007E-13</v>
      </c>
      <c r="FF161" s="18">
        <f>FE161*VLOOKUP('Données projet'!$B$16,Paramètres!$A$1:$I$89,3,0)*VLOOKUP('Données projet'!$B$16,Paramètres!$A$1:$I$89,5,0)</f>
        <v>-2.7489477361086758E-13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425.00152674093977</v>
      </c>
      <c r="FK161" s="62">
        <f t="shared" si="156"/>
        <v>214.96884469274687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179.22241276165141</v>
      </c>
      <c r="T162" s="62">
        <f t="shared" si="142"/>
        <v>86.510654589692876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-6.7984728957526396E-14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157.42757749057949</v>
      </c>
      <c r="AO162" s="62">
        <f t="shared" si="144"/>
        <v>129.86070223892136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1.1801845642704217E-19</v>
      </c>
      <c r="AX162" s="23">
        <f t="shared" si="166"/>
        <v>1.1801845642704217E-19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projet'!$B$11,Paramètres!$A$1:$I$89,3,0)*VLOOKUP('Données projet'!$B$11,Paramètres!$A$1:$I$89,5,0)</f>
        <v>-2.9706370696658268E-13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464.21202287459482</v>
      </c>
      <c r="BJ162" s="62">
        <f t="shared" si="146"/>
        <v>234.57880205159688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projet'!$B$12,Paramètres!$A$1:$I$89,3,0)*VLOOKUP('Données projet'!$B$12,Paramètres!$A$1:$I$89,5,0)</f>
        <v>1.3567387213697657E-13</v>
      </c>
      <c r="CA162" s="14">
        <f t="shared" si="170"/>
        <v>1.9670967679808581E-12</v>
      </c>
      <c r="CB162" s="22">
        <f t="shared" si="171"/>
        <v>3.6623255315385623E-12</v>
      </c>
      <c r="CC162" s="62">
        <f t="shared" si="119"/>
        <v>293.33333333333695</v>
      </c>
      <c r="CD162" s="62">
        <f ca="1">AVERAGE(OFFSET($CC$3,0,0,'Données projet'!$E$12+1,1))-AVERAGE(OFFSET($H$3,0,0,'Données projet'!$E$12+1,1))</f>
        <v>177.99876437322689</v>
      </c>
      <c r="CE162" s="62">
        <f t="shared" si="148"/>
        <v>165.68154380324592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5.1159076974727213E-13</v>
      </c>
      <c r="CU162" s="18">
        <f>CT162*VLOOKUP('Données projet'!$B$13,Paramètres!$A$1:$I$89,3,0)*VLOOKUP('Données projet'!$B$13,Paramètres!$A$1:$I$89,5,0)</f>
        <v>2.8597924028872516E-13</v>
      </c>
      <c r="CV162" s="14">
        <f t="shared" si="173"/>
        <v>3.8016246610825715E-12</v>
      </c>
      <c r="CW162" s="22">
        <f t="shared" si="174"/>
        <v>7.1192434615550094E-12</v>
      </c>
      <c r="CX162" s="62">
        <f t="shared" si="122"/>
        <v>293.33333333334042</v>
      </c>
      <c r="CY162" s="62">
        <f ca="1">AVERAGE(OFFSET($CX$3,0,0,'Données projet'!$E$13+1,1))-AVERAGE(OFFSET($H$3,0,0,'Données projet'!$E$13+1,1))</f>
        <v>242.07451379051349</v>
      </c>
      <c r="CZ162" s="62">
        <f t="shared" si="150"/>
        <v>207.11607964940754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178.56320966726986</v>
      </c>
      <c r="DU162" s="62">
        <f t="shared" si="152"/>
        <v>272.06842551411739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0.21462450038023737</v>
      </c>
      <c r="EC162" s="23">
        <f>EXP(-LN(2)/2)*EC161+(1-EXP(-LN(2)/2))/(LN(2)/2)*DW162*DZ162*VLOOKUP('Données projet'!$B$14,Paramètres!$A$1:$I$89,3,0)*0.475*44/12</f>
        <v>6.3320494437315404E-19</v>
      </c>
      <c r="ED162" s="24">
        <f t="shared" si="178"/>
        <v>0.21462450038023737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-2.8421709430404007E-13</v>
      </c>
      <c r="EK162" s="18">
        <f>EJ162*VLOOKUP('Données projet'!$B$15,Paramètres!$A$1:$I$89,3,0)*VLOOKUP('Données projet'!$B$15,Paramètres!$A$1:$I$89,5,0)</f>
        <v>-3.0593128030886872E-13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479.87943647026646</v>
      </c>
      <c r="EP162" s="62">
        <f t="shared" si="154"/>
        <v>242.41363045393223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-2.8421709430404007E-13</v>
      </c>
      <c r="FF162" s="18">
        <f>FE162*VLOOKUP('Données projet'!$B$16,Paramètres!$A$1:$I$89,3,0)*VLOOKUP('Données projet'!$B$16,Paramètres!$A$1:$I$89,5,0)</f>
        <v>-2.7489477361086758E-13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425.00152674093977</v>
      </c>
      <c r="FK162" s="62">
        <f t="shared" si="156"/>
        <v>214.96884469274687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179.22241276165141</v>
      </c>
      <c r="T163" s="62">
        <f t="shared" si="142"/>
        <v>86.510654589692876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-6.7984728957526396E-14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157.42757749057949</v>
      </c>
      <c r="AO163" s="62">
        <f t="shared" si="144"/>
        <v>129.86070223892136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8.3451650844730602E-20</v>
      </c>
      <c r="AX163" s="23">
        <f t="shared" si="166"/>
        <v>8.3451650844730602E-20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projet'!$B$11,Paramètres!$A$1:$I$89,3,0)*VLOOKUP('Données projet'!$B$11,Paramètres!$A$1:$I$89,5,0)</f>
        <v>-2.9706370696658268E-13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464.21202287459482</v>
      </c>
      <c r="BJ163" s="62">
        <f t="shared" si="146"/>
        <v>234.57880205159688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projet'!$B$12,Paramètres!$A$1:$I$89,3,0)*VLOOKUP('Données projet'!$B$12,Paramètres!$A$1:$I$89,5,0)</f>
        <v>1.3567387213697657E-13</v>
      </c>
      <c r="CA163" s="14">
        <f t="shared" si="170"/>
        <v>1.9670967679808581E-12</v>
      </c>
      <c r="CB163" s="22">
        <f t="shared" si="171"/>
        <v>3.6623255315385623E-12</v>
      </c>
      <c r="CC163" s="62">
        <f t="shared" si="119"/>
        <v>293.33333333333695</v>
      </c>
      <c r="CD163" s="62">
        <f ca="1">AVERAGE(OFFSET($CC$3,0,0,'Données projet'!$E$12+1,1))-AVERAGE(OFFSET($H$3,0,0,'Données projet'!$E$12+1,1))</f>
        <v>177.99876437322689</v>
      </c>
      <c r="CE163" s="62">
        <f t="shared" si="148"/>
        <v>165.68154380324592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5.1159076974727213E-13</v>
      </c>
      <c r="CU163" s="18">
        <f>CT163*VLOOKUP('Données projet'!$B$13,Paramètres!$A$1:$I$89,3,0)*VLOOKUP('Données projet'!$B$13,Paramètres!$A$1:$I$89,5,0)</f>
        <v>2.8597924028872516E-13</v>
      </c>
      <c r="CV163" s="14">
        <f t="shared" si="173"/>
        <v>3.8016246610825715E-12</v>
      </c>
      <c r="CW163" s="22">
        <f t="shared" si="174"/>
        <v>7.1192434615550094E-12</v>
      </c>
      <c r="CX163" s="62">
        <f t="shared" si="122"/>
        <v>293.33333333334042</v>
      </c>
      <c r="CY163" s="62">
        <f ca="1">AVERAGE(OFFSET($CX$3,0,0,'Données projet'!$E$13+1,1))-AVERAGE(OFFSET($H$3,0,0,'Données projet'!$E$13+1,1))</f>
        <v>242.07451379051349</v>
      </c>
      <c r="CZ163" s="62">
        <f t="shared" si="150"/>
        <v>207.11607964940754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178.56320966726986</v>
      </c>
      <c r="DU163" s="62">
        <f t="shared" si="152"/>
        <v>272.06842551411739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0.20875558213072784</v>
      </c>
      <c r="EC163" s="23">
        <f>EXP(-LN(2)/2)*EC162+(1-EXP(-LN(2)/2))/(LN(2)/2)*DW163*DZ163*VLOOKUP('Données projet'!$B$14,Paramètres!$A$1:$I$89,3,0)*0.475*44/12</f>
        <v>4.4774351004710783E-19</v>
      </c>
      <c r="ED163" s="24">
        <f t="shared" si="178"/>
        <v>0.20875558213072784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-2.8421709430404007E-13</v>
      </c>
      <c r="EK163" s="18">
        <f>EJ163*VLOOKUP('Données projet'!$B$15,Paramètres!$A$1:$I$89,3,0)*VLOOKUP('Données projet'!$B$15,Paramètres!$A$1:$I$89,5,0)</f>
        <v>-3.0593128030886872E-13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479.87943647026646</v>
      </c>
      <c r="EP163" s="62">
        <f t="shared" si="154"/>
        <v>242.41363045393223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-2.8421709430404007E-13</v>
      </c>
      <c r="FF163" s="18">
        <f>FE163*VLOOKUP('Données projet'!$B$16,Paramètres!$A$1:$I$89,3,0)*VLOOKUP('Données projet'!$B$16,Paramètres!$A$1:$I$89,5,0)</f>
        <v>-2.7489477361086758E-13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425.00152674093977</v>
      </c>
      <c r="FK163" s="62">
        <f t="shared" si="156"/>
        <v>214.96884469274687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179.22241276165141</v>
      </c>
      <c r="T164" s="62">
        <f t="shared" si="142"/>
        <v>86.510654589692876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-6.7984728957526396E-14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157.42757749057949</v>
      </c>
      <c r="AO164" s="62">
        <f t="shared" si="144"/>
        <v>129.86070223892136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5.9009228213521085E-20</v>
      </c>
      <c r="AX164" s="23">
        <f t="shared" si="166"/>
        <v>5.9009228213521085E-20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projet'!$B$11,Paramètres!$A$1:$I$89,3,0)*VLOOKUP('Données projet'!$B$11,Paramètres!$A$1:$I$89,5,0)</f>
        <v>-2.9706370696658268E-13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464.21202287459482</v>
      </c>
      <c r="BJ164" s="62">
        <f t="shared" si="146"/>
        <v>234.57880205159688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projet'!$B$12,Paramètres!$A$1:$I$89,3,0)*VLOOKUP('Données projet'!$B$12,Paramètres!$A$1:$I$89,5,0)</f>
        <v>1.3567387213697657E-13</v>
      </c>
      <c r="CA164" s="14">
        <f t="shared" si="170"/>
        <v>1.9670967679808581E-12</v>
      </c>
      <c r="CB164" s="22">
        <f t="shared" si="171"/>
        <v>3.6623255315385623E-12</v>
      </c>
      <c r="CC164" s="62">
        <f t="shared" si="119"/>
        <v>293.33333333333695</v>
      </c>
      <c r="CD164" s="62">
        <f ca="1">AVERAGE(OFFSET($CC$3,0,0,'Données projet'!$E$12+1,1))-AVERAGE(OFFSET($H$3,0,0,'Données projet'!$E$12+1,1))</f>
        <v>177.99876437322689</v>
      </c>
      <c r="CE164" s="62">
        <f t="shared" si="148"/>
        <v>165.68154380324592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5.1159076974727213E-13</v>
      </c>
      <c r="CU164" s="18">
        <f>CT164*VLOOKUP('Données projet'!$B$13,Paramètres!$A$1:$I$89,3,0)*VLOOKUP('Données projet'!$B$13,Paramètres!$A$1:$I$89,5,0)</f>
        <v>2.8597924028872516E-13</v>
      </c>
      <c r="CV164" s="14">
        <f t="shared" si="173"/>
        <v>3.8016246610825715E-12</v>
      </c>
      <c r="CW164" s="22">
        <f t="shared" si="174"/>
        <v>7.1192434615550094E-12</v>
      </c>
      <c r="CX164" s="62">
        <f t="shared" si="122"/>
        <v>293.33333333334042</v>
      </c>
      <c r="CY164" s="62">
        <f ca="1">AVERAGE(OFFSET($CX$3,0,0,'Données projet'!$E$13+1,1))-AVERAGE(OFFSET($H$3,0,0,'Données projet'!$E$13+1,1))</f>
        <v>242.07451379051349</v>
      </c>
      <c r="CZ164" s="62">
        <f t="shared" si="150"/>
        <v>207.11607964940754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178.56320966726986</v>
      </c>
      <c r="DU164" s="62">
        <f t="shared" si="152"/>
        <v>272.06842551411739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0.20304714975938415</v>
      </c>
      <c r="EC164" s="23">
        <f>EXP(-LN(2)/2)*EC163+(1-EXP(-LN(2)/2))/(LN(2)/2)*DW164*DZ164*VLOOKUP('Données projet'!$B$14,Paramètres!$A$1:$I$89,3,0)*0.475*44/12</f>
        <v>3.1660247218657702E-19</v>
      </c>
      <c r="ED164" s="24">
        <f t="shared" si="178"/>
        <v>0.20304714975938415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-2.8421709430404007E-13</v>
      </c>
      <c r="EK164" s="18">
        <f>EJ164*VLOOKUP('Données projet'!$B$15,Paramètres!$A$1:$I$89,3,0)*VLOOKUP('Données projet'!$B$15,Paramètres!$A$1:$I$89,5,0)</f>
        <v>-3.0593128030886872E-13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479.87943647026646</v>
      </c>
      <c r="EP164" s="62">
        <f t="shared" si="154"/>
        <v>242.41363045393223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-2.8421709430404007E-13</v>
      </c>
      <c r="FF164" s="18">
        <f>FE164*VLOOKUP('Données projet'!$B$16,Paramètres!$A$1:$I$89,3,0)*VLOOKUP('Données projet'!$B$16,Paramètres!$A$1:$I$89,5,0)</f>
        <v>-2.7489477361086758E-13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425.00152674093977</v>
      </c>
      <c r="FK164" s="62">
        <f t="shared" si="156"/>
        <v>214.96884469274687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179.22241276165141</v>
      </c>
      <c r="T165" s="62">
        <f t="shared" si="142"/>
        <v>86.510654589692876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-6.7984728957526396E-14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157.42757749057949</v>
      </c>
      <c r="AO165" s="62">
        <f t="shared" si="144"/>
        <v>129.86070223892136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4.1725825422365301E-20</v>
      </c>
      <c r="AX165" s="23">
        <f t="shared" si="166"/>
        <v>4.1725825422365301E-20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projet'!$B$11,Paramètres!$A$1:$I$89,3,0)*VLOOKUP('Données projet'!$B$11,Paramètres!$A$1:$I$89,5,0)</f>
        <v>-2.9706370696658268E-13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464.21202287459482</v>
      </c>
      <c r="BJ165" s="62">
        <f t="shared" si="146"/>
        <v>234.57880205159688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projet'!$B$12,Paramètres!$A$1:$I$89,3,0)*VLOOKUP('Données projet'!$B$12,Paramètres!$A$1:$I$89,5,0)</f>
        <v>1.3567387213697657E-13</v>
      </c>
      <c r="CA165" s="14">
        <f t="shared" si="170"/>
        <v>1.9670967679808581E-12</v>
      </c>
      <c r="CB165" s="22">
        <f t="shared" si="171"/>
        <v>3.6623255315385623E-12</v>
      </c>
      <c r="CC165" s="62">
        <f t="shared" si="119"/>
        <v>293.33333333333695</v>
      </c>
      <c r="CD165" s="62">
        <f ca="1">AVERAGE(OFFSET($CC$3,0,0,'Données projet'!$E$12+1,1))-AVERAGE(OFFSET($H$3,0,0,'Données projet'!$E$12+1,1))</f>
        <v>177.99876437322689</v>
      </c>
      <c r="CE165" s="62">
        <f t="shared" si="148"/>
        <v>165.68154380324592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5.1159076974727213E-13</v>
      </c>
      <c r="CU165" s="18">
        <f>CT165*VLOOKUP('Données projet'!$B$13,Paramètres!$A$1:$I$89,3,0)*VLOOKUP('Données projet'!$B$13,Paramètres!$A$1:$I$89,5,0)</f>
        <v>2.8597924028872516E-13</v>
      </c>
      <c r="CV165" s="14">
        <f t="shared" si="173"/>
        <v>3.8016246610825715E-12</v>
      </c>
      <c r="CW165" s="22">
        <f t="shared" si="174"/>
        <v>7.1192434615550094E-12</v>
      </c>
      <c r="CX165" s="62">
        <f t="shared" si="122"/>
        <v>293.33333333334042</v>
      </c>
      <c r="CY165" s="62">
        <f ca="1">AVERAGE(OFFSET($CX$3,0,0,'Données projet'!$E$13+1,1))-AVERAGE(OFFSET($H$3,0,0,'Données projet'!$E$13+1,1))</f>
        <v>242.07451379051349</v>
      </c>
      <c r="CZ165" s="62">
        <f t="shared" si="150"/>
        <v>207.11607964940754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178.56320966726986</v>
      </c>
      <c r="DU165" s="62">
        <f t="shared" si="152"/>
        <v>272.06842551411739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0.19749481477142825</v>
      </c>
      <c r="EC165" s="23">
        <f>EXP(-LN(2)/2)*EC164+(1-EXP(-LN(2)/2))/(LN(2)/2)*DW165*DZ165*VLOOKUP('Données projet'!$B$14,Paramètres!$A$1:$I$89,3,0)*0.475*44/12</f>
        <v>2.2387175502355391E-19</v>
      </c>
      <c r="ED165" s="24">
        <f t="shared" si="178"/>
        <v>0.19749481477142825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-2.8421709430404007E-13</v>
      </c>
      <c r="EK165" s="18">
        <f>EJ165*VLOOKUP('Données projet'!$B$15,Paramètres!$A$1:$I$89,3,0)*VLOOKUP('Données projet'!$B$15,Paramètres!$A$1:$I$89,5,0)</f>
        <v>-3.0593128030886872E-13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479.87943647026646</v>
      </c>
      <c r="EP165" s="62">
        <f t="shared" si="154"/>
        <v>242.41363045393223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-2.8421709430404007E-13</v>
      </c>
      <c r="FF165" s="18">
        <f>FE165*VLOOKUP('Données projet'!$B$16,Paramètres!$A$1:$I$89,3,0)*VLOOKUP('Données projet'!$B$16,Paramètres!$A$1:$I$89,5,0)</f>
        <v>-2.7489477361086758E-13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425.00152674093977</v>
      </c>
      <c r="FK165" s="62">
        <f t="shared" si="156"/>
        <v>214.96884469274687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179.22241276165141</v>
      </c>
      <c r="T166" s="62">
        <f t="shared" si="142"/>
        <v>86.510654589692876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-6.7984728957526396E-14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157.42757749057949</v>
      </c>
      <c r="AO166" s="62">
        <f t="shared" si="144"/>
        <v>129.86070223892136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2.9504614106760543E-20</v>
      </c>
      <c r="AX166" s="23">
        <f t="shared" si="166"/>
        <v>2.9504614106760543E-20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projet'!$B$11,Paramètres!$A$1:$I$89,3,0)*VLOOKUP('Données projet'!$B$11,Paramètres!$A$1:$I$89,5,0)</f>
        <v>-2.9706370696658268E-13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464.21202287459482</v>
      </c>
      <c r="BJ166" s="62">
        <f t="shared" si="146"/>
        <v>234.57880205159688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projet'!$B$12,Paramètres!$A$1:$I$89,3,0)*VLOOKUP('Données projet'!$B$12,Paramètres!$A$1:$I$89,5,0)</f>
        <v>1.3567387213697657E-13</v>
      </c>
      <c r="CA166" s="14">
        <f t="shared" si="170"/>
        <v>1.9670967679808581E-12</v>
      </c>
      <c r="CB166" s="22">
        <f t="shared" si="171"/>
        <v>3.6623255315385623E-12</v>
      </c>
      <c r="CC166" s="62">
        <f t="shared" si="119"/>
        <v>293.33333333333695</v>
      </c>
      <c r="CD166" s="62">
        <f ca="1">AVERAGE(OFFSET($CC$3,0,0,'Données projet'!$E$12+1,1))-AVERAGE(OFFSET($H$3,0,0,'Données projet'!$E$12+1,1))</f>
        <v>177.99876437322689</v>
      </c>
      <c r="CE166" s="62">
        <f t="shared" si="148"/>
        <v>165.68154380324592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5.1159076974727213E-13</v>
      </c>
      <c r="CU166" s="18">
        <f>CT166*VLOOKUP('Données projet'!$B$13,Paramètres!$A$1:$I$89,3,0)*VLOOKUP('Données projet'!$B$13,Paramètres!$A$1:$I$89,5,0)</f>
        <v>2.8597924028872516E-13</v>
      </c>
      <c r="CV166" s="14">
        <f t="shared" si="173"/>
        <v>3.8016246610825715E-12</v>
      </c>
      <c r="CW166" s="22">
        <f t="shared" si="174"/>
        <v>7.1192434615550094E-12</v>
      </c>
      <c r="CX166" s="62">
        <f t="shared" si="122"/>
        <v>293.33333333334042</v>
      </c>
      <c r="CY166" s="62">
        <f ca="1">AVERAGE(OFFSET($CX$3,0,0,'Données projet'!$E$13+1,1))-AVERAGE(OFFSET($H$3,0,0,'Données projet'!$E$13+1,1))</f>
        <v>242.07451379051349</v>
      </c>
      <c r="CZ166" s="62">
        <f t="shared" si="150"/>
        <v>207.11607964940754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178.56320966726986</v>
      </c>
      <c r="DU166" s="62">
        <f t="shared" si="152"/>
        <v>272.06842551411739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0.19209430867570262</v>
      </c>
      <c r="EC166" s="23">
        <f>EXP(-LN(2)/2)*EC165+(1-EXP(-LN(2)/2))/(LN(2)/2)*DW166*DZ166*VLOOKUP('Données projet'!$B$14,Paramètres!$A$1:$I$89,3,0)*0.475*44/12</f>
        <v>1.5830123609328851E-19</v>
      </c>
      <c r="ED166" s="24">
        <f t="shared" si="178"/>
        <v>0.19209430867570262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-2.8421709430404007E-13</v>
      </c>
      <c r="EK166" s="18">
        <f>EJ166*VLOOKUP('Données projet'!$B$15,Paramètres!$A$1:$I$89,3,0)*VLOOKUP('Données projet'!$B$15,Paramètres!$A$1:$I$89,5,0)</f>
        <v>-3.0593128030886872E-13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479.87943647026646</v>
      </c>
      <c r="EP166" s="62">
        <f t="shared" si="154"/>
        <v>242.41363045393223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-2.8421709430404007E-13</v>
      </c>
      <c r="FF166" s="18">
        <f>FE166*VLOOKUP('Données projet'!$B$16,Paramètres!$A$1:$I$89,3,0)*VLOOKUP('Données projet'!$B$16,Paramètres!$A$1:$I$89,5,0)</f>
        <v>-2.7489477361086758E-13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425.00152674093977</v>
      </c>
      <c r="FK166" s="62">
        <f t="shared" si="156"/>
        <v>214.96884469274687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179.22241276165141</v>
      </c>
      <c r="T167" s="62">
        <f t="shared" si="142"/>
        <v>86.510654589692876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-6.7984728957526396E-14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157.42757749057949</v>
      </c>
      <c r="AO167" s="62">
        <f t="shared" si="144"/>
        <v>129.86070223892136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2.0862912711182651E-20</v>
      </c>
      <c r="AX167" s="23">
        <f t="shared" si="166"/>
        <v>2.0862912711182651E-20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projet'!$B$11,Paramètres!$A$1:$I$89,3,0)*VLOOKUP('Données projet'!$B$11,Paramètres!$A$1:$I$89,5,0)</f>
        <v>-2.9706370696658268E-13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464.21202287459482</v>
      </c>
      <c r="BJ167" s="62">
        <f t="shared" si="146"/>
        <v>234.57880205159688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projet'!$B$12,Paramètres!$A$1:$I$89,3,0)*VLOOKUP('Données projet'!$B$12,Paramètres!$A$1:$I$89,5,0)</f>
        <v>1.3567387213697657E-13</v>
      </c>
      <c r="CA167" s="14">
        <f t="shared" si="170"/>
        <v>1.9670967679808581E-12</v>
      </c>
      <c r="CB167" s="22">
        <f t="shared" si="171"/>
        <v>3.6623255315385623E-12</v>
      </c>
      <c r="CC167" s="62">
        <f t="shared" si="119"/>
        <v>293.33333333333695</v>
      </c>
      <c r="CD167" s="62">
        <f ca="1">AVERAGE(OFFSET($CC$3,0,0,'Données projet'!$E$12+1,1))-AVERAGE(OFFSET($H$3,0,0,'Données projet'!$E$12+1,1))</f>
        <v>177.99876437322689</v>
      </c>
      <c r="CE167" s="62">
        <f t="shared" si="148"/>
        <v>165.68154380324592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5.1159076974727213E-13</v>
      </c>
      <c r="CU167" s="18">
        <f>CT167*VLOOKUP('Données projet'!$B$13,Paramètres!$A$1:$I$89,3,0)*VLOOKUP('Données projet'!$B$13,Paramètres!$A$1:$I$89,5,0)</f>
        <v>2.8597924028872516E-13</v>
      </c>
      <c r="CV167" s="14">
        <f t="shared" si="173"/>
        <v>3.8016246610825715E-12</v>
      </c>
      <c r="CW167" s="22">
        <f t="shared" si="174"/>
        <v>7.1192434615550094E-12</v>
      </c>
      <c r="CX167" s="62">
        <f t="shared" si="122"/>
        <v>293.33333333334042</v>
      </c>
      <c r="CY167" s="62">
        <f ca="1">AVERAGE(OFFSET($CX$3,0,0,'Données projet'!$E$13+1,1))-AVERAGE(OFFSET($H$3,0,0,'Données projet'!$E$13+1,1))</f>
        <v>242.07451379051349</v>
      </c>
      <c r="CZ167" s="62">
        <f t="shared" si="150"/>
        <v>207.11607964940754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178.56320966726986</v>
      </c>
      <c r="DU167" s="62">
        <f t="shared" si="152"/>
        <v>272.06842551411739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0.18684147970316489</v>
      </c>
      <c r="EC167" s="23">
        <f>EXP(-LN(2)/2)*EC166+(1-EXP(-LN(2)/2))/(LN(2)/2)*DW167*DZ167*VLOOKUP('Données projet'!$B$14,Paramètres!$A$1:$I$89,3,0)*0.475*44/12</f>
        <v>1.1193587751177696E-19</v>
      </c>
      <c r="ED167" s="24">
        <f t="shared" si="178"/>
        <v>0.18684147970316489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-2.8421709430404007E-13</v>
      </c>
      <c r="EK167" s="18">
        <f>EJ167*VLOOKUP('Données projet'!$B$15,Paramètres!$A$1:$I$89,3,0)*VLOOKUP('Données projet'!$B$15,Paramètres!$A$1:$I$89,5,0)</f>
        <v>-3.0593128030886872E-13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479.87943647026646</v>
      </c>
      <c r="EP167" s="62">
        <f t="shared" si="154"/>
        <v>242.41363045393223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-2.8421709430404007E-13</v>
      </c>
      <c r="FF167" s="18">
        <f>FE167*VLOOKUP('Données projet'!$B$16,Paramètres!$A$1:$I$89,3,0)*VLOOKUP('Données projet'!$B$16,Paramètres!$A$1:$I$89,5,0)</f>
        <v>-2.7489477361086758E-13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425.00152674093977</v>
      </c>
      <c r="FK167" s="62">
        <f t="shared" si="156"/>
        <v>214.96884469274687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179.22241276165141</v>
      </c>
      <c r="T168" s="62">
        <f t="shared" si="142"/>
        <v>86.510654589692876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-6.7984728957526396E-14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157.42757749057949</v>
      </c>
      <c r="AO168" s="62">
        <f t="shared" si="144"/>
        <v>129.86070223892136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1.4752307053380271E-20</v>
      </c>
      <c r="AX168" s="23">
        <f t="shared" si="166"/>
        <v>1.4752307053380271E-20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projet'!$B$11,Paramètres!$A$1:$I$89,3,0)*VLOOKUP('Données projet'!$B$11,Paramètres!$A$1:$I$89,5,0)</f>
        <v>-2.9706370696658268E-13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464.21202287459482</v>
      </c>
      <c r="BJ168" s="62">
        <f t="shared" si="146"/>
        <v>234.57880205159688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projet'!$B$12,Paramètres!$A$1:$I$89,3,0)*VLOOKUP('Données projet'!$B$12,Paramètres!$A$1:$I$89,5,0)</f>
        <v>1.3567387213697657E-13</v>
      </c>
      <c r="CA168" s="14">
        <f t="shared" si="170"/>
        <v>1.9670967679808581E-12</v>
      </c>
      <c r="CB168" s="22">
        <f t="shared" si="171"/>
        <v>3.6623255315385623E-12</v>
      </c>
      <c r="CC168" s="62">
        <f t="shared" si="119"/>
        <v>293.33333333333695</v>
      </c>
      <c r="CD168" s="62">
        <f ca="1">AVERAGE(OFFSET($CC$3,0,0,'Données projet'!$E$12+1,1))-AVERAGE(OFFSET($H$3,0,0,'Données projet'!$E$12+1,1))</f>
        <v>177.99876437322689</v>
      </c>
      <c r="CE168" s="62">
        <f t="shared" si="148"/>
        <v>165.68154380324592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5.1159076974727213E-13</v>
      </c>
      <c r="CU168" s="18">
        <f>CT168*VLOOKUP('Données projet'!$B$13,Paramètres!$A$1:$I$89,3,0)*VLOOKUP('Données projet'!$B$13,Paramètres!$A$1:$I$89,5,0)</f>
        <v>2.8597924028872516E-13</v>
      </c>
      <c r="CV168" s="14">
        <f t="shared" si="173"/>
        <v>3.8016246610825715E-12</v>
      </c>
      <c r="CW168" s="22">
        <f t="shared" si="174"/>
        <v>7.1192434615550094E-12</v>
      </c>
      <c r="CX168" s="62">
        <f t="shared" si="122"/>
        <v>293.33333333334042</v>
      </c>
      <c r="CY168" s="62">
        <f ca="1">AVERAGE(OFFSET($CX$3,0,0,'Données projet'!$E$13+1,1))-AVERAGE(OFFSET($H$3,0,0,'Données projet'!$E$13+1,1))</f>
        <v>242.07451379051349</v>
      </c>
      <c r="CZ168" s="62">
        <f t="shared" si="150"/>
        <v>207.11607964940754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178.56320966726986</v>
      </c>
      <c r="DU168" s="62">
        <f t="shared" si="152"/>
        <v>272.06842551411739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0.18173228961511545</v>
      </c>
      <c r="EC168" s="23">
        <f>EXP(-LN(2)/2)*EC167+(1-EXP(-LN(2)/2))/(LN(2)/2)*DW168*DZ168*VLOOKUP('Données projet'!$B$14,Paramètres!$A$1:$I$89,3,0)*0.475*44/12</f>
        <v>7.9150618046644255E-20</v>
      </c>
      <c r="ED168" s="24">
        <f t="shared" si="178"/>
        <v>0.18173228961511545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-2.8421709430404007E-13</v>
      </c>
      <c r="EK168" s="18">
        <f>EJ168*VLOOKUP('Données projet'!$B$15,Paramètres!$A$1:$I$89,3,0)*VLOOKUP('Données projet'!$B$15,Paramètres!$A$1:$I$89,5,0)</f>
        <v>-3.0593128030886872E-13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479.87943647026646</v>
      </c>
      <c r="EP168" s="62">
        <f t="shared" si="154"/>
        <v>242.41363045393223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-2.8421709430404007E-13</v>
      </c>
      <c r="FF168" s="18">
        <f>FE168*VLOOKUP('Données projet'!$B$16,Paramètres!$A$1:$I$89,3,0)*VLOOKUP('Données projet'!$B$16,Paramètres!$A$1:$I$89,5,0)</f>
        <v>-2.7489477361086758E-13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425.00152674093977</v>
      </c>
      <c r="FK168" s="62">
        <f t="shared" si="156"/>
        <v>214.96884469274687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179.22241276165141</v>
      </c>
      <c r="T169" s="62">
        <f t="shared" si="142"/>
        <v>86.510654589692876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-6.7984728957526396E-14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157.42757749057949</v>
      </c>
      <c r="AO169" s="62">
        <f t="shared" si="144"/>
        <v>129.86070223892136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1.0431456355591325E-20</v>
      </c>
      <c r="AX169" s="23">
        <f t="shared" si="166"/>
        <v>1.0431456355591325E-20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projet'!$B$11,Paramètres!$A$1:$I$89,3,0)*VLOOKUP('Données projet'!$B$11,Paramètres!$A$1:$I$89,5,0)</f>
        <v>-2.9706370696658268E-13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464.21202287459482</v>
      </c>
      <c r="BJ169" s="62">
        <f t="shared" si="146"/>
        <v>234.57880205159688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projet'!$B$12,Paramètres!$A$1:$I$89,3,0)*VLOOKUP('Données projet'!$B$12,Paramètres!$A$1:$I$89,5,0)</f>
        <v>1.3567387213697657E-13</v>
      </c>
      <c r="CA169" s="14">
        <f t="shared" si="170"/>
        <v>1.9670967679808581E-12</v>
      </c>
      <c r="CB169" s="22">
        <f t="shared" si="171"/>
        <v>3.6623255315385623E-12</v>
      </c>
      <c r="CC169" s="62">
        <f t="shared" si="119"/>
        <v>293.33333333333695</v>
      </c>
      <c r="CD169" s="62">
        <f ca="1">AVERAGE(OFFSET($CC$3,0,0,'Données projet'!$E$12+1,1))-AVERAGE(OFFSET($H$3,0,0,'Données projet'!$E$12+1,1))</f>
        <v>177.99876437322689</v>
      </c>
      <c r="CE169" s="62">
        <f t="shared" si="148"/>
        <v>165.68154380324592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5.1159076974727213E-13</v>
      </c>
      <c r="CU169" s="18">
        <f>CT169*VLOOKUP('Données projet'!$B$13,Paramètres!$A$1:$I$89,3,0)*VLOOKUP('Données projet'!$B$13,Paramètres!$A$1:$I$89,5,0)</f>
        <v>2.8597924028872516E-13</v>
      </c>
      <c r="CV169" s="14">
        <f t="shared" si="173"/>
        <v>3.8016246610825715E-12</v>
      </c>
      <c r="CW169" s="22">
        <f t="shared" si="174"/>
        <v>7.1192434615550094E-12</v>
      </c>
      <c r="CX169" s="62">
        <f t="shared" si="122"/>
        <v>293.33333333334042</v>
      </c>
      <c r="CY169" s="62">
        <f ca="1">AVERAGE(OFFSET($CX$3,0,0,'Données projet'!$E$13+1,1))-AVERAGE(OFFSET($H$3,0,0,'Données projet'!$E$13+1,1))</f>
        <v>242.07451379051349</v>
      </c>
      <c r="CZ169" s="62">
        <f t="shared" si="150"/>
        <v>207.11607964940754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178.56320966726986</v>
      </c>
      <c r="DU169" s="62">
        <f t="shared" si="152"/>
        <v>272.06842551411739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0.17676281059870436</v>
      </c>
      <c r="EC169" s="23">
        <f>EXP(-LN(2)/2)*EC168+(1-EXP(-LN(2)/2))/(LN(2)/2)*DW169*DZ169*VLOOKUP('Données projet'!$B$14,Paramètres!$A$1:$I$89,3,0)*0.475*44/12</f>
        <v>5.5967938755888478E-20</v>
      </c>
      <c r="ED169" s="24">
        <f t="shared" si="178"/>
        <v>0.17676281059870436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-2.8421709430404007E-13</v>
      </c>
      <c r="EK169" s="18">
        <f>EJ169*VLOOKUP('Données projet'!$B$15,Paramètres!$A$1:$I$89,3,0)*VLOOKUP('Données projet'!$B$15,Paramètres!$A$1:$I$89,5,0)</f>
        <v>-3.0593128030886872E-13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479.87943647026646</v>
      </c>
      <c r="EP169" s="62">
        <f t="shared" si="154"/>
        <v>242.41363045393223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-2.8421709430404007E-13</v>
      </c>
      <c r="FF169" s="18">
        <f>FE169*VLOOKUP('Données projet'!$B$16,Paramètres!$A$1:$I$89,3,0)*VLOOKUP('Données projet'!$B$16,Paramètres!$A$1:$I$89,5,0)</f>
        <v>-2.7489477361086758E-13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425.00152674093977</v>
      </c>
      <c r="FK169" s="62">
        <f t="shared" si="156"/>
        <v>214.96884469274687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179.22241276165141</v>
      </c>
      <c r="T170" s="62">
        <f t="shared" si="142"/>
        <v>86.510654589692876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-6.7984728957526396E-14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157.42757749057949</v>
      </c>
      <c r="AO170" s="62">
        <f t="shared" si="144"/>
        <v>129.86070223892136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7.3761535266901357E-21</v>
      </c>
      <c r="AX170" s="23">
        <f t="shared" si="166"/>
        <v>7.3761535266901357E-21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projet'!$B$11,Paramètres!$A$1:$I$89,3,0)*VLOOKUP('Données projet'!$B$11,Paramètres!$A$1:$I$89,5,0)</f>
        <v>-2.9706370696658268E-13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464.21202287459482</v>
      </c>
      <c r="BJ170" s="62">
        <f t="shared" si="146"/>
        <v>234.57880205159688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projet'!$B$12,Paramètres!$A$1:$I$89,3,0)*VLOOKUP('Données projet'!$B$12,Paramètres!$A$1:$I$89,5,0)</f>
        <v>1.3567387213697657E-13</v>
      </c>
      <c r="CA170" s="14">
        <f t="shared" si="170"/>
        <v>1.9670967679808581E-12</v>
      </c>
      <c r="CB170" s="22">
        <f t="shared" si="171"/>
        <v>3.6623255315385623E-12</v>
      </c>
      <c r="CC170" s="62">
        <f t="shared" si="119"/>
        <v>293.33333333333695</v>
      </c>
      <c r="CD170" s="62">
        <f ca="1">AVERAGE(OFFSET($CC$3,0,0,'Données projet'!$E$12+1,1))-AVERAGE(OFFSET($H$3,0,0,'Données projet'!$E$12+1,1))</f>
        <v>177.99876437322689</v>
      </c>
      <c r="CE170" s="62">
        <f t="shared" si="148"/>
        <v>165.68154380324592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5.1159076974727213E-13</v>
      </c>
      <c r="CU170" s="18">
        <f>CT170*VLOOKUP('Données projet'!$B$13,Paramètres!$A$1:$I$89,3,0)*VLOOKUP('Données projet'!$B$13,Paramètres!$A$1:$I$89,5,0)</f>
        <v>2.8597924028872516E-13</v>
      </c>
      <c r="CV170" s="14">
        <f t="shared" si="173"/>
        <v>3.8016246610825715E-12</v>
      </c>
      <c r="CW170" s="22">
        <f t="shared" si="174"/>
        <v>7.1192434615550094E-12</v>
      </c>
      <c r="CX170" s="62">
        <f t="shared" si="122"/>
        <v>293.33333333334042</v>
      </c>
      <c r="CY170" s="62">
        <f ca="1">AVERAGE(OFFSET($CX$3,0,0,'Données projet'!$E$13+1,1))-AVERAGE(OFFSET($H$3,0,0,'Données projet'!$E$13+1,1))</f>
        <v>242.07451379051349</v>
      </c>
      <c r="CZ170" s="62">
        <f t="shared" si="150"/>
        <v>207.11607964940754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178.56320966726986</v>
      </c>
      <c r="DU170" s="62">
        <f t="shared" si="152"/>
        <v>272.06842551411739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0.17192922224733057</v>
      </c>
      <c r="EC170" s="23">
        <f>EXP(-LN(2)/2)*EC169+(1-EXP(-LN(2)/2))/(LN(2)/2)*DW170*DZ170*VLOOKUP('Données projet'!$B$14,Paramètres!$A$1:$I$89,3,0)*0.475*44/12</f>
        <v>3.9575309023322127E-20</v>
      </c>
      <c r="ED170" s="24">
        <f t="shared" si="178"/>
        <v>0.17192922224733057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-2.8421709430404007E-13</v>
      </c>
      <c r="EK170" s="18">
        <f>EJ170*VLOOKUP('Données projet'!$B$15,Paramètres!$A$1:$I$89,3,0)*VLOOKUP('Données projet'!$B$15,Paramètres!$A$1:$I$89,5,0)</f>
        <v>-3.0593128030886872E-13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479.87943647026646</v>
      </c>
      <c r="EP170" s="62">
        <f t="shared" si="154"/>
        <v>242.41363045393223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-2.8421709430404007E-13</v>
      </c>
      <c r="FF170" s="18">
        <f>FE170*VLOOKUP('Données projet'!$B$16,Paramètres!$A$1:$I$89,3,0)*VLOOKUP('Données projet'!$B$16,Paramètres!$A$1:$I$89,5,0)</f>
        <v>-2.7489477361086758E-13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425.00152674093977</v>
      </c>
      <c r="FK170" s="62">
        <f t="shared" si="156"/>
        <v>214.96884469274687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179.22241276165141</v>
      </c>
      <c r="T171" s="62">
        <f t="shared" si="142"/>
        <v>86.510654589692876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-6.7984728957526396E-14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157.42757749057949</v>
      </c>
      <c r="AO171" s="62">
        <f t="shared" si="144"/>
        <v>129.86070223892136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5.2157281777956626E-21</v>
      </c>
      <c r="AX171" s="23">
        <f t="shared" si="166"/>
        <v>5.2157281777956626E-21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projet'!$B$11,Paramètres!$A$1:$I$89,3,0)*VLOOKUP('Données projet'!$B$11,Paramètres!$A$1:$I$89,5,0)</f>
        <v>-2.9706370696658268E-13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464.21202287459482</v>
      </c>
      <c r="BJ171" s="62">
        <f t="shared" si="146"/>
        <v>234.57880205159688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projet'!$B$12,Paramètres!$A$1:$I$89,3,0)*VLOOKUP('Données projet'!$B$12,Paramètres!$A$1:$I$89,5,0)</f>
        <v>1.3567387213697657E-13</v>
      </c>
      <c r="CA171" s="14">
        <f t="shared" si="170"/>
        <v>1.9670967679808581E-12</v>
      </c>
      <c r="CB171" s="22">
        <f t="shared" si="171"/>
        <v>3.6623255315385623E-12</v>
      </c>
      <c r="CC171" s="62">
        <f t="shared" si="119"/>
        <v>293.33333333333695</v>
      </c>
      <c r="CD171" s="62">
        <f ca="1">AVERAGE(OFFSET($CC$3,0,0,'Données projet'!$E$12+1,1))-AVERAGE(OFFSET($H$3,0,0,'Données projet'!$E$12+1,1))</f>
        <v>177.99876437322689</v>
      </c>
      <c r="CE171" s="62">
        <f t="shared" si="148"/>
        <v>165.68154380324592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5.1159076974727213E-13</v>
      </c>
      <c r="CU171" s="18">
        <f>CT171*VLOOKUP('Données projet'!$B$13,Paramètres!$A$1:$I$89,3,0)*VLOOKUP('Données projet'!$B$13,Paramètres!$A$1:$I$89,5,0)</f>
        <v>2.8597924028872516E-13</v>
      </c>
      <c r="CV171" s="14">
        <f t="shared" si="173"/>
        <v>3.8016246610825715E-12</v>
      </c>
      <c r="CW171" s="22">
        <f t="shared" si="174"/>
        <v>7.1192434615550094E-12</v>
      </c>
      <c r="CX171" s="62">
        <f t="shared" si="122"/>
        <v>293.33333333334042</v>
      </c>
      <c r="CY171" s="62">
        <f ca="1">AVERAGE(OFFSET($CX$3,0,0,'Données projet'!$E$13+1,1))-AVERAGE(OFFSET($H$3,0,0,'Données projet'!$E$13+1,1))</f>
        <v>242.07451379051349</v>
      </c>
      <c r="CZ171" s="62">
        <f t="shared" si="150"/>
        <v>207.11607964940754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178.56320966726986</v>
      </c>
      <c r="DU171" s="62">
        <f t="shared" si="152"/>
        <v>272.06842551411739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0.16722780862361247</v>
      </c>
      <c r="EC171" s="23">
        <f>EXP(-LN(2)/2)*EC170+(1-EXP(-LN(2)/2))/(LN(2)/2)*DW171*DZ171*VLOOKUP('Données projet'!$B$14,Paramètres!$A$1:$I$89,3,0)*0.475*44/12</f>
        <v>2.7983969377944239E-20</v>
      </c>
      <c r="ED171" s="24">
        <f t="shared" si="178"/>
        <v>0.16722780862361247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-2.8421709430404007E-13</v>
      </c>
      <c r="EK171" s="18">
        <f>EJ171*VLOOKUP('Données projet'!$B$15,Paramètres!$A$1:$I$89,3,0)*VLOOKUP('Données projet'!$B$15,Paramètres!$A$1:$I$89,5,0)</f>
        <v>-3.0593128030886872E-13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479.87943647026646</v>
      </c>
      <c r="EP171" s="62">
        <f t="shared" si="154"/>
        <v>242.41363045393223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-2.8421709430404007E-13</v>
      </c>
      <c r="FF171" s="18">
        <f>FE171*VLOOKUP('Données projet'!$B$16,Paramètres!$A$1:$I$89,3,0)*VLOOKUP('Données projet'!$B$16,Paramètres!$A$1:$I$89,5,0)</f>
        <v>-2.7489477361086758E-13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425.00152674093977</v>
      </c>
      <c r="FK171" s="62">
        <f t="shared" si="156"/>
        <v>214.96884469274687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179.22241276165141</v>
      </c>
      <c r="T172" s="62">
        <f t="shared" si="142"/>
        <v>86.510654589692876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-6.7984728957526396E-14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157.42757749057949</v>
      </c>
      <c r="AO172" s="62">
        <f t="shared" si="144"/>
        <v>129.86070223892136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3.6880767633450678E-21</v>
      </c>
      <c r="AX172" s="23">
        <f t="shared" si="166"/>
        <v>3.6880767633450678E-21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projet'!$B$11,Paramètres!$A$1:$I$89,3,0)*VLOOKUP('Données projet'!$B$11,Paramètres!$A$1:$I$89,5,0)</f>
        <v>-2.9706370696658268E-13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464.21202287459482</v>
      </c>
      <c r="BJ172" s="62">
        <f t="shared" si="146"/>
        <v>234.57880205159688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projet'!$B$12,Paramètres!$A$1:$I$89,3,0)*VLOOKUP('Données projet'!$B$12,Paramètres!$A$1:$I$89,5,0)</f>
        <v>1.3567387213697657E-13</v>
      </c>
      <c r="CA172" s="14">
        <f t="shared" si="170"/>
        <v>1.9670967679808581E-12</v>
      </c>
      <c r="CB172" s="22">
        <f t="shared" si="171"/>
        <v>3.6623255315385623E-12</v>
      </c>
      <c r="CC172" s="62">
        <f t="shared" si="119"/>
        <v>293.33333333333695</v>
      </c>
      <c r="CD172" s="62">
        <f ca="1">AVERAGE(OFFSET($CC$3,0,0,'Données projet'!$E$12+1,1))-AVERAGE(OFFSET($H$3,0,0,'Données projet'!$E$12+1,1))</f>
        <v>177.99876437322689</v>
      </c>
      <c r="CE172" s="62">
        <f t="shared" si="148"/>
        <v>165.68154380324592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5.1159076974727213E-13</v>
      </c>
      <c r="CU172" s="18">
        <f>CT172*VLOOKUP('Données projet'!$B$13,Paramètres!$A$1:$I$89,3,0)*VLOOKUP('Données projet'!$B$13,Paramètres!$A$1:$I$89,5,0)</f>
        <v>2.8597924028872516E-13</v>
      </c>
      <c r="CV172" s="14">
        <f t="shared" si="173"/>
        <v>3.8016246610825715E-12</v>
      </c>
      <c r="CW172" s="22">
        <f t="shared" si="174"/>
        <v>7.1192434615550094E-12</v>
      </c>
      <c r="CX172" s="62">
        <f t="shared" si="122"/>
        <v>293.33333333334042</v>
      </c>
      <c r="CY172" s="62">
        <f ca="1">AVERAGE(OFFSET($CX$3,0,0,'Données projet'!$E$13+1,1))-AVERAGE(OFFSET($H$3,0,0,'Données projet'!$E$13+1,1))</f>
        <v>242.07451379051349</v>
      </c>
      <c r="CZ172" s="62">
        <f t="shared" si="150"/>
        <v>207.11607964940754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178.56320966726986</v>
      </c>
      <c r="DU172" s="62">
        <f t="shared" si="152"/>
        <v>272.06842551411739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0.16265495540267152</v>
      </c>
      <c r="EC172" s="23">
        <f>EXP(-LN(2)/2)*EC171+(1-EXP(-LN(2)/2))/(LN(2)/2)*DW172*DZ172*VLOOKUP('Données projet'!$B$14,Paramètres!$A$1:$I$89,3,0)*0.475*44/12</f>
        <v>1.9787654511661064E-20</v>
      </c>
      <c r="ED172" s="24">
        <f t="shared" si="178"/>
        <v>0.16265495540267152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-2.8421709430404007E-13</v>
      </c>
      <c r="EK172" s="18">
        <f>EJ172*VLOOKUP('Données projet'!$B$15,Paramètres!$A$1:$I$89,3,0)*VLOOKUP('Données projet'!$B$15,Paramètres!$A$1:$I$89,5,0)</f>
        <v>-3.0593128030886872E-13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479.87943647026646</v>
      </c>
      <c r="EP172" s="62">
        <f t="shared" si="154"/>
        <v>242.41363045393223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-2.8421709430404007E-13</v>
      </c>
      <c r="FF172" s="18">
        <f>FE172*VLOOKUP('Données projet'!$B$16,Paramètres!$A$1:$I$89,3,0)*VLOOKUP('Données projet'!$B$16,Paramètres!$A$1:$I$89,5,0)</f>
        <v>-2.7489477361086758E-13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425.00152674093977</v>
      </c>
      <c r="FK172" s="62">
        <f t="shared" si="156"/>
        <v>214.96884469274687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179.22241276165141</v>
      </c>
      <c r="T173" s="62">
        <f t="shared" si="142"/>
        <v>86.510654589692876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-6.7984728957526396E-14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157.42757749057949</v>
      </c>
      <c r="AO173" s="62">
        <f t="shared" si="144"/>
        <v>129.86070223892136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2.6078640888978313E-21</v>
      </c>
      <c r="AX173" s="23">
        <f t="shared" si="166"/>
        <v>2.6078640888978313E-21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projet'!$B$11,Paramètres!$A$1:$I$89,3,0)*VLOOKUP('Données projet'!$B$11,Paramètres!$A$1:$I$89,5,0)</f>
        <v>-2.9706370696658268E-13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464.21202287459482</v>
      </c>
      <c r="BJ173" s="62">
        <f t="shared" si="146"/>
        <v>234.57880205159688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projet'!$B$12,Paramètres!$A$1:$I$89,3,0)*VLOOKUP('Données projet'!$B$12,Paramètres!$A$1:$I$89,5,0)</f>
        <v>1.3567387213697657E-13</v>
      </c>
      <c r="CA173" s="14">
        <f t="shared" si="170"/>
        <v>1.9670967679808581E-12</v>
      </c>
      <c r="CB173" s="22">
        <f t="shared" si="171"/>
        <v>3.6623255315385623E-12</v>
      </c>
      <c r="CC173" s="62">
        <f t="shared" si="119"/>
        <v>293.33333333333695</v>
      </c>
      <c r="CD173" s="62">
        <f ca="1">AVERAGE(OFFSET($CC$3,0,0,'Données projet'!$E$12+1,1))-AVERAGE(OFFSET($H$3,0,0,'Données projet'!$E$12+1,1))</f>
        <v>177.99876437322689</v>
      </c>
      <c r="CE173" s="62">
        <f t="shared" si="148"/>
        <v>165.68154380324592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5.1159076974727213E-13</v>
      </c>
      <c r="CU173" s="18">
        <f>CT173*VLOOKUP('Données projet'!$B$13,Paramètres!$A$1:$I$89,3,0)*VLOOKUP('Données projet'!$B$13,Paramètres!$A$1:$I$89,5,0)</f>
        <v>2.8597924028872516E-13</v>
      </c>
      <c r="CV173" s="14">
        <f t="shared" si="173"/>
        <v>3.8016246610825715E-12</v>
      </c>
      <c r="CW173" s="22">
        <f t="shared" si="174"/>
        <v>7.1192434615550094E-12</v>
      </c>
      <c r="CX173" s="62">
        <f t="shared" si="122"/>
        <v>293.33333333334042</v>
      </c>
      <c r="CY173" s="62">
        <f ca="1">AVERAGE(OFFSET($CX$3,0,0,'Données projet'!$E$13+1,1))-AVERAGE(OFFSET($H$3,0,0,'Données projet'!$E$13+1,1))</f>
        <v>242.07451379051349</v>
      </c>
      <c r="CZ173" s="62">
        <f t="shared" si="150"/>
        <v>207.11607964940754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178.56320966726986</v>
      </c>
      <c r="DU173" s="62">
        <f t="shared" si="152"/>
        <v>272.06842551411739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0.15820714709353312</v>
      </c>
      <c r="EC173" s="23">
        <f>EXP(-LN(2)/2)*EC172+(1-EXP(-LN(2)/2))/(LN(2)/2)*DW173*DZ173*VLOOKUP('Données projet'!$B$14,Paramètres!$A$1:$I$89,3,0)*0.475*44/12</f>
        <v>1.399198468897212E-20</v>
      </c>
      <c r="ED173" s="24">
        <f t="shared" si="178"/>
        <v>0.15820714709353312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-2.8421709430404007E-13</v>
      </c>
      <c r="EK173" s="18">
        <f>EJ173*VLOOKUP('Données projet'!$B$15,Paramètres!$A$1:$I$89,3,0)*VLOOKUP('Données projet'!$B$15,Paramètres!$A$1:$I$89,5,0)</f>
        <v>-3.0593128030886872E-13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479.87943647026646</v>
      </c>
      <c r="EP173" s="62">
        <f t="shared" si="154"/>
        <v>242.41363045393223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-2.8421709430404007E-13</v>
      </c>
      <c r="FF173" s="18">
        <f>FE173*VLOOKUP('Données projet'!$B$16,Paramètres!$A$1:$I$89,3,0)*VLOOKUP('Données projet'!$B$16,Paramètres!$A$1:$I$89,5,0)</f>
        <v>-2.7489477361086758E-13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425.00152674093977</v>
      </c>
      <c r="FK173" s="62">
        <f t="shared" si="156"/>
        <v>214.96884469274687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179.22241276165141</v>
      </c>
      <c r="T174" s="62">
        <f t="shared" si="142"/>
        <v>86.510654589692876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-6.7984728957526396E-14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157.42757749057949</v>
      </c>
      <c r="AO174" s="62">
        <f t="shared" si="144"/>
        <v>129.86070223892136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1.8440383816725339E-21</v>
      </c>
      <c r="AX174" s="23">
        <f t="shared" si="166"/>
        <v>1.8440383816725339E-21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projet'!$B$11,Paramètres!$A$1:$I$89,3,0)*VLOOKUP('Données projet'!$B$11,Paramètres!$A$1:$I$89,5,0)</f>
        <v>-2.9706370696658268E-13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464.21202287459482</v>
      </c>
      <c r="BJ174" s="62">
        <f t="shared" si="146"/>
        <v>234.57880205159688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projet'!$B$12,Paramètres!$A$1:$I$89,3,0)*VLOOKUP('Données projet'!$B$12,Paramètres!$A$1:$I$89,5,0)</f>
        <v>1.3567387213697657E-13</v>
      </c>
      <c r="CA174" s="14">
        <f t="shared" si="170"/>
        <v>1.9670967679808581E-12</v>
      </c>
      <c r="CB174" s="22">
        <f t="shared" si="171"/>
        <v>3.6623255315385623E-12</v>
      </c>
      <c r="CC174" s="62">
        <f t="shared" si="119"/>
        <v>293.33333333333695</v>
      </c>
      <c r="CD174" s="62">
        <f ca="1">AVERAGE(OFFSET($CC$3,0,0,'Données projet'!$E$12+1,1))-AVERAGE(OFFSET($H$3,0,0,'Données projet'!$E$12+1,1))</f>
        <v>177.99876437322689</v>
      </c>
      <c r="CE174" s="62">
        <f t="shared" si="148"/>
        <v>165.68154380324592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5.1159076974727213E-13</v>
      </c>
      <c r="CU174" s="18">
        <f>CT174*VLOOKUP('Données projet'!$B$13,Paramètres!$A$1:$I$89,3,0)*VLOOKUP('Données projet'!$B$13,Paramètres!$A$1:$I$89,5,0)</f>
        <v>2.8597924028872516E-13</v>
      </c>
      <c r="CV174" s="14">
        <f t="shared" si="173"/>
        <v>3.8016246610825715E-12</v>
      </c>
      <c r="CW174" s="22">
        <f t="shared" si="174"/>
        <v>7.1192434615550094E-12</v>
      </c>
      <c r="CX174" s="62">
        <f t="shared" si="122"/>
        <v>293.33333333334042</v>
      </c>
      <c r="CY174" s="62">
        <f ca="1">AVERAGE(OFFSET($CX$3,0,0,'Données projet'!$E$13+1,1))-AVERAGE(OFFSET($H$3,0,0,'Données projet'!$E$13+1,1))</f>
        <v>242.07451379051349</v>
      </c>
      <c r="CZ174" s="62">
        <f t="shared" si="150"/>
        <v>207.11607964940754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178.56320966726986</v>
      </c>
      <c r="DU174" s="62">
        <f t="shared" si="152"/>
        <v>272.06842551411739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0.15388096433650816</v>
      </c>
      <c r="EC174" s="23">
        <f>EXP(-LN(2)/2)*EC173+(1-EXP(-LN(2)/2))/(LN(2)/2)*DW174*DZ174*VLOOKUP('Données projet'!$B$14,Paramètres!$A$1:$I$89,3,0)*0.475*44/12</f>
        <v>9.8938272558305319E-21</v>
      </c>
      <c r="ED174" s="24">
        <f t="shared" si="178"/>
        <v>0.15388096433650816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-2.8421709430404007E-13</v>
      </c>
      <c r="EK174" s="18">
        <f>EJ174*VLOOKUP('Données projet'!$B$15,Paramètres!$A$1:$I$89,3,0)*VLOOKUP('Données projet'!$B$15,Paramètres!$A$1:$I$89,5,0)</f>
        <v>-3.0593128030886872E-13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479.87943647026646</v>
      </c>
      <c r="EP174" s="62">
        <f t="shared" si="154"/>
        <v>242.41363045393223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-2.8421709430404007E-13</v>
      </c>
      <c r="FF174" s="18">
        <f>FE174*VLOOKUP('Données projet'!$B$16,Paramètres!$A$1:$I$89,3,0)*VLOOKUP('Données projet'!$B$16,Paramètres!$A$1:$I$89,5,0)</f>
        <v>-2.7489477361086758E-13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425.00152674093977</v>
      </c>
      <c r="FK174" s="62">
        <f t="shared" si="156"/>
        <v>214.96884469274687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179.22241276165141</v>
      </c>
      <c r="T175" s="62">
        <f t="shared" si="142"/>
        <v>86.510654589692876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-6.7984728957526396E-14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157.42757749057949</v>
      </c>
      <c r="AO175" s="62">
        <f t="shared" si="144"/>
        <v>129.86070223892136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1.3039320444489157E-21</v>
      </c>
      <c r="AX175" s="23">
        <f t="shared" si="166"/>
        <v>1.3039320444489157E-21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projet'!$B$11,Paramètres!$A$1:$I$89,3,0)*VLOOKUP('Données projet'!$B$11,Paramètres!$A$1:$I$89,5,0)</f>
        <v>-2.9706370696658268E-13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464.21202287459482</v>
      </c>
      <c r="BJ175" s="62">
        <f t="shared" si="146"/>
        <v>234.57880205159688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projet'!$B$12,Paramètres!$A$1:$I$89,3,0)*VLOOKUP('Données projet'!$B$12,Paramètres!$A$1:$I$89,5,0)</f>
        <v>1.3567387213697657E-13</v>
      </c>
      <c r="CA175" s="14">
        <f t="shared" si="170"/>
        <v>1.9670967679808581E-12</v>
      </c>
      <c r="CB175" s="22">
        <f t="shared" si="171"/>
        <v>3.6623255315385623E-12</v>
      </c>
      <c r="CC175" s="62">
        <f t="shared" si="119"/>
        <v>293.33333333333695</v>
      </c>
      <c r="CD175" s="62">
        <f ca="1">AVERAGE(OFFSET($CC$3,0,0,'Données projet'!$E$12+1,1))-AVERAGE(OFFSET($H$3,0,0,'Données projet'!$E$12+1,1))</f>
        <v>177.99876437322689</v>
      </c>
      <c r="CE175" s="62">
        <f t="shared" si="148"/>
        <v>165.68154380324592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5.1159076974727213E-13</v>
      </c>
      <c r="CU175" s="18">
        <f>CT175*VLOOKUP('Données projet'!$B$13,Paramètres!$A$1:$I$89,3,0)*VLOOKUP('Données projet'!$B$13,Paramètres!$A$1:$I$89,5,0)</f>
        <v>2.8597924028872516E-13</v>
      </c>
      <c r="CV175" s="14">
        <f t="shared" si="173"/>
        <v>3.8016246610825715E-12</v>
      </c>
      <c r="CW175" s="22">
        <f t="shared" si="174"/>
        <v>7.1192434615550094E-12</v>
      </c>
      <c r="CX175" s="62">
        <f t="shared" si="122"/>
        <v>293.33333333334042</v>
      </c>
      <c r="CY175" s="62">
        <f ca="1">AVERAGE(OFFSET($CX$3,0,0,'Données projet'!$E$13+1,1))-AVERAGE(OFFSET($H$3,0,0,'Données projet'!$E$13+1,1))</f>
        <v>242.07451379051349</v>
      </c>
      <c r="CZ175" s="62">
        <f t="shared" si="150"/>
        <v>207.11607964940754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178.56320966726986</v>
      </c>
      <c r="DU175" s="62">
        <f t="shared" si="152"/>
        <v>272.06842551411739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0.14967308127447812</v>
      </c>
      <c r="EC175" s="23">
        <f>EXP(-LN(2)/2)*EC174+(1-EXP(-LN(2)/2))/(LN(2)/2)*DW175*DZ175*VLOOKUP('Données projet'!$B$14,Paramètres!$A$1:$I$89,3,0)*0.475*44/12</f>
        <v>6.9959923444860598E-21</v>
      </c>
      <c r="ED175" s="24">
        <f t="shared" si="178"/>
        <v>0.14967308127447812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-2.8421709430404007E-13</v>
      </c>
      <c r="EK175" s="18">
        <f>EJ175*VLOOKUP('Données projet'!$B$15,Paramètres!$A$1:$I$89,3,0)*VLOOKUP('Données projet'!$B$15,Paramètres!$A$1:$I$89,5,0)</f>
        <v>-3.0593128030886872E-13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479.87943647026646</v>
      </c>
      <c r="EP175" s="62">
        <f t="shared" si="154"/>
        <v>242.41363045393223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-2.8421709430404007E-13</v>
      </c>
      <c r="FF175" s="18">
        <f>FE175*VLOOKUP('Données projet'!$B$16,Paramètres!$A$1:$I$89,3,0)*VLOOKUP('Données projet'!$B$16,Paramètres!$A$1:$I$89,5,0)</f>
        <v>-2.7489477361086758E-13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425.00152674093977</v>
      </c>
      <c r="FK175" s="62">
        <f t="shared" si="156"/>
        <v>214.96884469274687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179.22241276165141</v>
      </c>
      <c r="T176" s="62">
        <f t="shared" si="142"/>
        <v>86.510654589692876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-6.7984728957526396E-14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157.42757749057949</v>
      </c>
      <c r="AO176" s="62">
        <f t="shared" si="144"/>
        <v>129.86070223892136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9.2201919083626696E-22</v>
      </c>
      <c r="AX176" s="23">
        <f t="shared" si="166"/>
        <v>9.2201919083626696E-22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projet'!$B$11,Paramètres!$A$1:$I$89,3,0)*VLOOKUP('Données projet'!$B$11,Paramètres!$A$1:$I$89,5,0)</f>
        <v>-2.9706370696658268E-13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464.21202287459482</v>
      </c>
      <c r="BJ176" s="62">
        <f t="shared" si="146"/>
        <v>234.57880205159688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projet'!$B$12,Paramètres!$A$1:$I$89,3,0)*VLOOKUP('Données projet'!$B$12,Paramètres!$A$1:$I$89,5,0)</f>
        <v>1.3567387213697657E-13</v>
      </c>
      <c r="CA176" s="14">
        <f t="shared" si="170"/>
        <v>1.9670967679808581E-12</v>
      </c>
      <c r="CB176" s="22">
        <f t="shared" si="171"/>
        <v>3.6623255315385623E-12</v>
      </c>
      <c r="CC176" s="62">
        <f t="shared" si="119"/>
        <v>293.33333333333695</v>
      </c>
      <c r="CD176" s="62">
        <f ca="1">AVERAGE(OFFSET($CC$3,0,0,'Données projet'!$E$12+1,1))-AVERAGE(OFFSET($H$3,0,0,'Données projet'!$E$12+1,1))</f>
        <v>177.99876437322689</v>
      </c>
      <c r="CE176" s="62">
        <f t="shared" si="148"/>
        <v>165.68154380324592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5.1159076974727213E-13</v>
      </c>
      <c r="CU176" s="18">
        <f>CT176*VLOOKUP('Données projet'!$B$13,Paramètres!$A$1:$I$89,3,0)*VLOOKUP('Données projet'!$B$13,Paramètres!$A$1:$I$89,5,0)</f>
        <v>2.8597924028872516E-13</v>
      </c>
      <c r="CV176" s="14">
        <f t="shared" si="173"/>
        <v>3.8016246610825715E-12</v>
      </c>
      <c r="CW176" s="22">
        <f t="shared" si="174"/>
        <v>7.1192434615550094E-12</v>
      </c>
      <c r="CX176" s="62">
        <f t="shared" si="122"/>
        <v>293.33333333334042</v>
      </c>
      <c r="CY176" s="62">
        <f ca="1">AVERAGE(OFFSET($CX$3,0,0,'Données projet'!$E$13+1,1))-AVERAGE(OFFSET($H$3,0,0,'Données projet'!$E$13+1,1))</f>
        <v>242.07451379051349</v>
      </c>
      <c r="CZ176" s="62">
        <f t="shared" si="150"/>
        <v>207.11607964940754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178.56320966726986</v>
      </c>
      <c r="DU176" s="62">
        <f t="shared" si="152"/>
        <v>272.06842551411739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0.14558026299606225</v>
      </c>
      <c r="EC176" s="23">
        <f>EXP(-LN(2)/2)*EC175+(1-EXP(-LN(2)/2))/(LN(2)/2)*DW176*DZ176*VLOOKUP('Données projet'!$B$14,Paramètres!$A$1:$I$89,3,0)*0.475*44/12</f>
        <v>4.9469136279152659E-21</v>
      </c>
      <c r="ED176" s="24">
        <f t="shared" si="178"/>
        <v>0.14558026299606225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-2.8421709430404007E-13</v>
      </c>
      <c r="EK176" s="18">
        <f>EJ176*VLOOKUP('Données projet'!$B$15,Paramètres!$A$1:$I$89,3,0)*VLOOKUP('Données projet'!$B$15,Paramètres!$A$1:$I$89,5,0)</f>
        <v>-3.0593128030886872E-13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479.87943647026646</v>
      </c>
      <c r="EP176" s="62">
        <f t="shared" si="154"/>
        <v>242.41363045393223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-2.8421709430404007E-13</v>
      </c>
      <c r="FF176" s="18">
        <f>FE176*VLOOKUP('Données projet'!$B$16,Paramètres!$A$1:$I$89,3,0)*VLOOKUP('Données projet'!$B$16,Paramètres!$A$1:$I$89,5,0)</f>
        <v>-2.7489477361086758E-13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425.00152674093977</v>
      </c>
      <c r="FK176" s="62">
        <f t="shared" si="156"/>
        <v>214.96884469274687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179.22241276165141</v>
      </c>
      <c r="T177" s="62">
        <f t="shared" si="142"/>
        <v>86.510654589692876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-6.7984728957526396E-14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157.42757749057949</v>
      </c>
      <c r="AO177" s="62">
        <f t="shared" si="144"/>
        <v>129.86070223892136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6.5196602222445783E-22</v>
      </c>
      <c r="AX177" s="23">
        <f t="shared" si="166"/>
        <v>6.5196602222445783E-22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projet'!$B$11,Paramètres!$A$1:$I$89,3,0)*VLOOKUP('Données projet'!$B$11,Paramètres!$A$1:$I$89,5,0)</f>
        <v>-2.9706370696658268E-13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464.21202287459482</v>
      </c>
      <c r="BJ177" s="62">
        <f t="shared" si="146"/>
        <v>234.57880205159688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projet'!$B$12,Paramètres!$A$1:$I$89,3,0)*VLOOKUP('Données projet'!$B$12,Paramètres!$A$1:$I$89,5,0)</f>
        <v>1.3567387213697657E-13</v>
      </c>
      <c r="CA177" s="14">
        <f t="shared" si="170"/>
        <v>1.9670967679808581E-12</v>
      </c>
      <c r="CB177" s="22">
        <f t="shared" si="171"/>
        <v>3.6623255315385623E-12</v>
      </c>
      <c r="CC177" s="62">
        <f t="shared" si="119"/>
        <v>293.33333333333695</v>
      </c>
      <c r="CD177" s="62">
        <f ca="1">AVERAGE(OFFSET($CC$3,0,0,'Données projet'!$E$12+1,1))-AVERAGE(OFFSET($H$3,0,0,'Données projet'!$E$12+1,1))</f>
        <v>177.99876437322689</v>
      </c>
      <c r="CE177" s="62">
        <f t="shared" si="148"/>
        <v>165.68154380324592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5.1159076974727213E-13</v>
      </c>
      <c r="CU177" s="18">
        <f>CT177*VLOOKUP('Données projet'!$B$13,Paramètres!$A$1:$I$89,3,0)*VLOOKUP('Données projet'!$B$13,Paramètres!$A$1:$I$89,5,0)</f>
        <v>2.8597924028872516E-13</v>
      </c>
      <c r="CV177" s="14">
        <f t="shared" si="173"/>
        <v>3.8016246610825715E-12</v>
      </c>
      <c r="CW177" s="22">
        <f t="shared" si="174"/>
        <v>7.1192434615550094E-12</v>
      </c>
      <c r="CX177" s="62">
        <f t="shared" si="122"/>
        <v>293.33333333334042</v>
      </c>
      <c r="CY177" s="62">
        <f ca="1">AVERAGE(OFFSET($CX$3,0,0,'Données projet'!$E$13+1,1))-AVERAGE(OFFSET($H$3,0,0,'Données projet'!$E$13+1,1))</f>
        <v>242.07451379051349</v>
      </c>
      <c r="CZ177" s="62">
        <f t="shared" si="150"/>
        <v>207.11607964940754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178.56320966726986</v>
      </c>
      <c r="DU177" s="62">
        <f t="shared" si="152"/>
        <v>272.06842551411739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0.14159936304870163</v>
      </c>
      <c r="EC177" s="23">
        <f>EXP(-LN(2)/2)*EC176+(1-EXP(-LN(2)/2))/(LN(2)/2)*DW177*DZ177*VLOOKUP('Données projet'!$B$14,Paramètres!$A$1:$I$89,3,0)*0.475*44/12</f>
        <v>3.4979961722430299E-21</v>
      </c>
      <c r="ED177" s="24">
        <f t="shared" si="178"/>
        <v>0.14159936304870163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-2.8421709430404007E-13</v>
      </c>
      <c r="EK177" s="18">
        <f>EJ177*VLOOKUP('Données projet'!$B$15,Paramètres!$A$1:$I$89,3,0)*VLOOKUP('Données projet'!$B$15,Paramètres!$A$1:$I$89,5,0)</f>
        <v>-3.0593128030886872E-13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479.87943647026646</v>
      </c>
      <c r="EP177" s="62">
        <f t="shared" si="154"/>
        <v>242.41363045393223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-2.8421709430404007E-13</v>
      </c>
      <c r="FF177" s="18">
        <f>FE177*VLOOKUP('Données projet'!$B$16,Paramètres!$A$1:$I$89,3,0)*VLOOKUP('Données projet'!$B$16,Paramètres!$A$1:$I$89,5,0)</f>
        <v>-2.7489477361086758E-13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425.00152674093977</v>
      </c>
      <c r="FK177" s="62">
        <f t="shared" si="156"/>
        <v>214.96884469274687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179.22241276165141</v>
      </c>
      <c r="T178" s="62">
        <f t="shared" si="142"/>
        <v>86.510654589692876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-6.7984728957526396E-14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157.42757749057949</v>
      </c>
      <c r="AO178" s="62">
        <f t="shared" si="144"/>
        <v>129.86070223892136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4.6100959541813348E-22</v>
      </c>
      <c r="AX178" s="23">
        <f t="shared" si="166"/>
        <v>4.6100959541813348E-22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projet'!$B$11,Paramètres!$A$1:$I$89,3,0)*VLOOKUP('Données projet'!$B$11,Paramètres!$A$1:$I$89,5,0)</f>
        <v>-2.9706370696658268E-13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464.21202287459482</v>
      </c>
      <c r="BJ178" s="62">
        <f t="shared" si="146"/>
        <v>234.57880205159688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projet'!$B$12,Paramètres!$A$1:$I$89,3,0)*VLOOKUP('Données projet'!$B$12,Paramètres!$A$1:$I$89,5,0)</f>
        <v>1.3567387213697657E-13</v>
      </c>
      <c r="CA178" s="14">
        <f t="shared" si="170"/>
        <v>1.9670967679808581E-12</v>
      </c>
      <c r="CB178" s="22">
        <f t="shared" si="171"/>
        <v>3.6623255315385623E-12</v>
      </c>
      <c r="CC178" s="62">
        <f t="shared" si="119"/>
        <v>293.33333333333695</v>
      </c>
      <c r="CD178" s="62">
        <f ca="1">AVERAGE(OFFSET($CC$3,0,0,'Données projet'!$E$12+1,1))-AVERAGE(OFFSET($H$3,0,0,'Données projet'!$E$12+1,1))</f>
        <v>177.99876437322689</v>
      </c>
      <c r="CE178" s="62">
        <f t="shared" si="148"/>
        <v>165.68154380324592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5.1159076974727213E-13</v>
      </c>
      <c r="CU178" s="18">
        <f>CT178*VLOOKUP('Données projet'!$B$13,Paramètres!$A$1:$I$89,3,0)*VLOOKUP('Données projet'!$B$13,Paramètres!$A$1:$I$89,5,0)</f>
        <v>2.8597924028872516E-13</v>
      </c>
      <c r="CV178" s="14">
        <f t="shared" si="173"/>
        <v>3.8016246610825715E-12</v>
      </c>
      <c r="CW178" s="22">
        <f t="shared" si="174"/>
        <v>7.1192434615550094E-12</v>
      </c>
      <c r="CX178" s="62">
        <f t="shared" si="122"/>
        <v>293.33333333334042</v>
      </c>
      <c r="CY178" s="62">
        <f ca="1">AVERAGE(OFFSET($CX$3,0,0,'Données projet'!$E$13+1,1))-AVERAGE(OFFSET($H$3,0,0,'Données projet'!$E$13+1,1))</f>
        <v>242.07451379051349</v>
      </c>
      <c r="CZ178" s="62">
        <f t="shared" si="150"/>
        <v>207.11607964940754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178.56320966726986</v>
      </c>
      <c r="DU178" s="62">
        <f t="shared" si="152"/>
        <v>272.06842551411739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0.13772732101974802</v>
      </c>
      <c r="EC178" s="23">
        <f>EXP(-LN(2)/2)*EC177+(1-EXP(-LN(2)/2))/(LN(2)/2)*DW178*DZ178*VLOOKUP('Données projet'!$B$14,Paramètres!$A$1:$I$89,3,0)*0.475*44/12</f>
        <v>2.473456813957633E-21</v>
      </c>
      <c r="ED178" s="24">
        <f t="shared" si="178"/>
        <v>0.13772732101974802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-2.8421709430404007E-13</v>
      </c>
      <c r="EK178" s="18">
        <f>EJ178*VLOOKUP('Données projet'!$B$15,Paramètres!$A$1:$I$89,3,0)*VLOOKUP('Données projet'!$B$15,Paramètres!$A$1:$I$89,5,0)</f>
        <v>-3.0593128030886872E-13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479.87943647026646</v>
      </c>
      <c r="EP178" s="62">
        <f t="shared" si="154"/>
        <v>242.41363045393223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-2.8421709430404007E-13</v>
      </c>
      <c r="FF178" s="18">
        <f>FE178*VLOOKUP('Données projet'!$B$16,Paramètres!$A$1:$I$89,3,0)*VLOOKUP('Données projet'!$B$16,Paramètres!$A$1:$I$89,5,0)</f>
        <v>-2.7489477361086758E-13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425.00152674093977</v>
      </c>
      <c r="FK178" s="62">
        <f t="shared" si="156"/>
        <v>214.96884469274687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179.22241276165141</v>
      </c>
      <c r="T179" s="62">
        <f t="shared" si="142"/>
        <v>86.510654589692876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-6.7984728957526396E-14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157.42757749057949</v>
      </c>
      <c r="AO179" s="62">
        <f t="shared" si="144"/>
        <v>129.86070223892136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3.2598301111222891E-22</v>
      </c>
      <c r="AX179" s="23">
        <f t="shared" si="166"/>
        <v>3.2598301111222891E-22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projet'!$B$11,Paramètres!$A$1:$I$89,3,0)*VLOOKUP('Données projet'!$B$11,Paramètres!$A$1:$I$89,5,0)</f>
        <v>-2.9706370696658268E-13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464.21202287459482</v>
      </c>
      <c r="BJ179" s="62">
        <f t="shared" si="146"/>
        <v>234.57880205159688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projet'!$B$12,Paramètres!$A$1:$I$89,3,0)*VLOOKUP('Données projet'!$B$12,Paramètres!$A$1:$I$89,5,0)</f>
        <v>1.3567387213697657E-13</v>
      </c>
      <c r="CA179" s="14">
        <f t="shared" si="170"/>
        <v>1.9670967679808581E-12</v>
      </c>
      <c r="CB179" s="22">
        <f t="shared" si="171"/>
        <v>3.6623255315385623E-12</v>
      </c>
      <c r="CC179" s="62">
        <f t="shared" si="119"/>
        <v>293.33333333333695</v>
      </c>
      <c r="CD179" s="62">
        <f ca="1">AVERAGE(OFFSET($CC$3,0,0,'Données projet'!$E$12+1,1))-AVERAGE(OFFSET($H$3,0,0,'Données projet'!$E$12+1,1))</f>
        <v>177.99876437322689</v>
      </c>
      <c r="CE179" s="62">
        <f t="shared" si="148"/>
        <v>165.68154380324592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5.1159076974727213E-13</v>
      </c>
      <c r="CU179" s="18">
        <f>CT179*VLOOKUP('Données projet'!$B$13,Paramètres!$A$1:$I$89,3,0)*VLOOKUP('Données projet'!$B$13,Paramètres!$A$1:$I$89,5,0)</f>
        <v>2.8597924028872516E-13</v>
      </c>
      <c r="CV179" s="14">
        <f t="shared" si="173"/>
        <v>3.8016246610825715E-12</v>
      </c>
      <c r="CW179" s="22">
        <f t="shared" si="174"/>
        <v>7.1192434615550094E-12</v>
      </c>
      <c r="CX179" s="62">
        <f t="shared" si="122"/>
        <v>293.33333333334042</v>
      </c>
      <c r="CY179" s="62">
        <f ca="1">AVERAGE(OFFSET($CX$3,0,0,'Données projet'!$E$13+1,1))-AVERAGE(OFFSET($H$3,0,0,'Données projet'!$E$13+1,1))</f>
        <v>242.07451379051349</v>
      </c>
      <c r="CZ179" s="62">
        <f t="shared" si="150"/>
        <v>207.11607964940754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178.56320966726986</v>
      </c>
      <c r="DU179" s="62">
        <f t="shared" si="152"/>
        <v>272.06842551411739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0.13396116018369797</v>
      </c>
      <c r="EC179" s="23">
        <f>EXP(-LN(2)/2)*EC178+(1-EXP(-LN(2)/2))/(LN(2)/2)*DW179*DZ179*VLOOKUP('Données projet'!$B$14,Paramètres!$A$1:$I$89,3,0)*0.475*44/12</f>
        <v>1.7489980861215149E-21</v>
      </c>
      <c r="ED179" s="24">
        <f t="shared" si="178"/>
        <v>0.13396116018369797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-2.8421709430404007E-13</v>
      </c>
      <c r="EK179" s="18">
        <f>EJ179*VLOOKUP('Données projet'!$B$15,Paramètres!$A$1:$I$89,3,0)*VLOOKUP('Données projet'!$B$15,Paramètres!$A$1:$I$89,5,0)</f>
        <v>-3.0593128030886872E-13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479.87943647026646</v>
      </c>
      <c r="EP179" s="62">
        <f t="shared" si="154"/>
        <v>242.41363045393223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-2.8421709430404007E-13</v>
      </c>
      <c r="FF179" s="18">
        <f>FE179*VLOOKUP('Données projet'!$B$16,Paramètres!$A$1:$I$89,3,0)*VLOOKUP('Données projet'!$B$16,Paramètres!$A$1:$I$89,5,0)</f>
        <v>-2.7489477361086758E-13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425.00152674093977</v>
      </c>
      <c r="FK179" s="62">
        <f t="shared" si="156"/>
        <v>214.96884469274687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179.22241276165141</v>
      </c>
      <c r="T180" s="62">
        <f t="shared" si="142"/>
        <v>86.510654589692876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-6.7984728957526396E-14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157.42757749057949</v>
      </c>
      <c r="AO180" s="62">
        <f t="shared" si="144"/>
        <v>129.86070223892136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2.3050479770906674E-22</v>
      </c>
      <c r="AX180" s="23">
        <f t="shared" si="166"/>
        <v>2.3050479770906674E-22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projet'!$B$11,Paramètres!$A$1:$I$89,3,0)*VLOOKUP('Données projet'!$B$11,Paramètres!$A$1:$I$89,5,0)</f>
        <v>-2.9706370696658268E-13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464.21202287459482</v>
      </c>
      <c r="BJ180" s="62">
        <f t="shared" si="146"/>
        <v>234.57880205159688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projet'!$B$12,Paramètres!$A$1:$I$89,3,0)*VLOOKUP('Données projet'!$B$12,Paramètres!$A$1:$I$89,5,0)</f>
        <v>1.3567387213697657E-13</v>
      </c>
      <c r="CA180" s="14">
        <f t="shared" si="170"/>
        <v>1.9670967679808581E-12</v>
      </c>
      <c r="CB180" s="22">
        <f t="shared" si="171"/>
        <v>3.6623255315385623E-12</v>
      </c>
      <c r="CC180" s="62">
        <f t="shared" si="119"/>
        <v>293.33333333333695</v>
      </c>
      <c r="CD180" s="62">
        <f ca="1">AVERAGE(OFFSET($CC$3,0,0,'Données projet'!$E$12+1,1))-AVERAGE(OFFSET($H$3,0,0,'Données projet'!$E$12+1,1))</f>
        <v>177.99876437322689</v>
      </c>
      <c r="CE180" s="62">
        <f t="shared" si="148"/>
        <v>165.68154380324592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5.1159076974727213E-13</v>
      </c>
      <c r="CU180" s="18">
        <f>CT180*VLOOKUP('Données projet'!$B$13,Paramètres!$A$1:$I$89,3,0)*VLOOKUP('Données projet'!$B$13,Paramètres!$A$1:$I$89,5,0)</f>
        <v>2.8597924028872516E-13</v>
      </c>
      <c r="CV180" s="14">
        <f t="shared" si="173"/>
        <v>3.8016246610825715E-12</v>
      </c>
      <c r="CW180" s="22">
        <f t="shared" si="174"/>
        <v>7.1192434615550094E-12</v>
      </c>
      <c r="CX180" s="62">
        <f t="shared" si="122"/>
        <v>293.33333333334042</v>
      </c>
      <c r="CY180" s="62">
        <f ca="1">AVERAGE(OFFSET($CX$3,0,0,'Données projet'!$E$13+1,1))-AVERAGE(OFFSET($H$3,0,0,'Données projet'!$E$13+1,1))</f>
        <v>242.07451379051349</v>
      </c>
      <c r="CZ180" s="62">
        <f t="shared" si="150"/>
        <v>207.11607964940754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178.56320966726986</v>
      </c>
      <c r="DU180" s="62">
        <f t="shared" si="152"/>
        <v>272.06842551411739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0.13029798521376351</v>
      </c>
      <c r="EC180" s="23">
        <f>EXP(-LN(2)/2)*EC179+(1-EXP(-LN(2)/2))/(LN(2)/2)*DW180*DZ180*VLOOKUP('Données projet'!$B$14,Paramètres!$A$1:$I$89,3,0)*0.475*44/12</f>
        <v>1.2367284069788165E-21</v>
      </c>
      <c r="ED180" s="24">
        <f t="shared" si="178"/>
        <v>0.13029798521376351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-2.8421709430404007E-13</v>
      </c>
      <c r="EK180" s="18">
        <f>EJ180*VLOOKUP('Données projet'!$B$15,Paramètres!$A$1:$I$89,3,0)*VLOOKUP('Données projet'!$B$15,Paramètres!$A$1:$I$89,5,0)</f>
        <v>-3.0593128030886872E-13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479.87943647026646</v>
      </c>
      <c r="EP180" s="62">
        <f t="shared" si="154"/>
        <v>242.41363045393223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-2.8421709430404007E-13</v>
      </c>
      <c r="FF180" s="18">
        <f>FE180*VLOOKUP('Données projet'!$B$16,Paramètres!$A$1:$I$89,3,0)*VLOOKUP('Données projet'!$B$16,Paramètres!$A$1:$I$89,5,0)</f>
        <v>-2.7489477361086758E-13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425.00152674093977</v>
      </c>
      <c r="FK180" s="62">
        <f t="shared" si="156"/>
        <v>214.96884469274687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179.22241276165141</v>
      </c>
      <c r="T181" s="62">
        <f t="shared" si="142"/>
        <v>86.510654589692876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-6.7984728957526396E-14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157.42757749057949</v>
      </c>
      <c r="AO181" s="62">
        <f t="shared" si="144"/>
        <v>129.86070223892136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1.6299150555611446E-22</v>
      </c>
      <c r="AX181" s="23">
        <f t="shared" si="166"/>
        <v>1.6299150555611446E-22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projet'!$B$11,Paramètres!$A$1:$I$89,3,0)*VLOOKUP('Données projet'!$B$11,Paramètres!$A$1:$I$89,5,0)</f>
        <v>-2.9706370696658268E-13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464.21202287459482</v>
      </c>
      <c r="BJ181" s="62">
        <f t="shared" si="146"/>
        <v>234.57880205159688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projet'!$B$12,Paramètres!$A$1:$I$89,3,0)*VLOOKUP('Données projet'!$B$12,Paramètres!$A$1:$I$89,5,0)</f>
        <v>1.3567387213697657E-13</v>
      </c>
      <c r="CA181" s="14">
        <f t="shared" si="170"/>
        <v>1.9670967679808581E-12</v>
      </c>
      <c r="CB181" s="22">
        <f t="shared" si="171"/>
        <v>3.6623255315385623E-12</v>
      </c>
      <c r="CC181" s="62">
        <f t="shared" si="119"/>
        <v>293.33333333333695</v>
      </c>
      <c r="CD181" s="62">
        <f ca="1">AVERAGE(OFFSET($CC$3,0,0,'Données projet'!$E$12+1,1))-AVERAGE(OFFSET($H$3,0,0,'Données projet'!$E$12+1,1))</f>
        <v>177.99876437322689</v>
      </c>
      <c r="CE181" s="62">
        <f t="shared" si="148"/>
        <v>165.68154380324592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5.1159076974727213E-13</v>
      </c>
      <c r="CU181" s="18">
        <f>CT181*VLOOKUP('Données projet'!$B$13,Paramètres!$A$1:$I$89,3,0)*VLOOKUP('Données projet'!$B$13,Paramètres!$A$1:$I$89,5,0)</f>
        <v>2.8597924028872516E-13</v>
      </c>
      <c r="CV181" s="14">
        <f t="shared" si="173"/>
        <v>3.8016246610825715E-12</v>
      </c>
      <c r="CW181" s="22">
        <f t="shared" si="174"/>
        <v>7.1192434615550094E-12</v>
      </c>
      <c r="CX181" s="62">
        <f t="shared" si="122"/>
        <v>293.33333333334042</v>
      </c>
      <c r="CY181" s="62">
        <f ca="1">AVERAGE(OFFSET($CX$3,0,0,'Données projet'!$E$13+1,1))-AVERAGE(OFFSET($H$3,0,0,'Données projet'!$E$13+1,1))</f>
        <v>242.07451379051349</v>
      </c>
      <c r="CZ181" s="62">
        <f t="shared" si="150"/>
        <v>207.11607964940754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178.56320966726986</v>
      </c>
      <c r="DU181" s="62">
        <f t="shared" si="152"/>
        <v>272.06842551411739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0.1267349799560199</v>
      </c>
      <c r="EC181" s="23">
        <f>EXP(-LN(2)/2)*EC180+(1-EXP(-LN(2)/2))/(LN(2)/2)*DW181*DZ181*VLOOKUP('Données projet'!$B$14,Paramètres!$A$1:$I$89,3,0)*0.475*44/12</f>
        <v>8.7449904306075747E-22</v>
      </c>
      <c r="ED181" s="24">
        <f t="shared" si="178"/>
        <v>0.1267349799560199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-2.8421709430404007E-13</v>
      </c>
      <c r="EK181" s="18">
        <f>EJ181*VLOOKUP('Données projet'!$B$15,Paramètres!$A$1:$I$89,3,0)*VLOOKUP('Données projet'!$B$15,Paramètres!$A$1:$I$89,5,0)</f>
        <v>-3.0593128030886872E-13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479.87943647026646</v>
      </c>
      <c r="EP181" s="62">
        <f t="shared" si="154"/>
        <v>242.41363045393223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-2.8421709430404007E-13</v>
      </c>
      <c r="FF181" s="18">
        <f>FE181*VLOOKUP('Données projet'!$B$16,Paramètres!$A$1:$I$89,3,0)*VLOOKUP('Données projet'!$B$16,Paramètres!$A$1:$I$89,5,0)</f>
        <v>-2.7489477361086758E-13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425.00152674093977</v>
      </c>
      <c r="FK181" s="62">
        <f t="shared" si="156"/>
        <v>214.96884469274687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179.22241276165141</v>
      </c>
      <c r="T182" s="62">
        <f t="shared" si="142"/>
        <v>86.510654589692876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-6.7984728957526396E-14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157.42757749057949</v>
      </c>
      <c r="AO182" s="62">
        <f t="shared" si="144"/>
        <v>129.86070223892136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1.1525239885453337E-22</v>
      </c>
      <c r="AX182" s="23">
        <f t="shared" si="166"/>
        <v>1.1525239885453337E-22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projet'!$B$11,Paramètres!$A$1:$I$89,3,0)*VLOOKUP('Données projet'!$B$11,Paramètres!$A$1:$I$89,5,0)</f>
        <v>-2.9706370696658268E-13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464.21202287459482</v>
      </c>
      <c r="BJ182" s="62">
        <f t="shared" si="146"/>
        <v>234.57880205159688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projet'!$B$12,Paramètres!$A$1:$I$89,3,0)*VLOOKUP('Données projet'!$B$12,Paramètres!$A$1:$I$89,5,0)</f>
        <v>1.3567387213697657E-13</v>
      </c>
      <c r="CA182" s="14">
        <f t="shared" si="170"/>
        <v>1.9670967679808581E-12</v>
      </c>
      <c r="CB182" s="22">
        <f t="shared" si="171"/>
        <v>3.6623255315385623E-12</v>
      </c>
      <c r="CC182" s="62">
        <f t="shared" si="119"/>
        <v>293.33333333333695</v>
      </c>
      <c r="CD182" s="62">
        <f ca="1">AVERAGE(OFFSET($CC$3,0,0,'Données projet'!$E$12+1,1))-AVERAGE(OFFSET($H$3,0,0,'Données projet'!$E$12+1,1))</f>
        <v>177.99876437322689</v>
      </c>
      <c r="CE182" s="62">
        <f t="shared" si="148"/>
        <v>165.68154380324592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5.1159076974727213E-13</v>
      </c>
      <c r="CU182" s="18">
        <f>CT182*VLOOKUP('Données projet'!$B$13,Paramètres!$A$1:$I$89,3,0)*VLOOKUP('Données projet'!$B$13,Paramètres!$A$1:$I$89,5,0)</f>
        <v>2.8597924028872516E-13</v>
      </c>
      <c r="CV182" s="14">
        <f t="shared" si="173"/>
        <v>3.8016246610825715E-12</v>
      </c>
      <c r="CW182" s="22">
        <f t="shared" si="174"/>
        <v>7.1192434615550094E-12</v>
      </c>
      <c r="CX182" s="62">
        <f t="shared" si="122"/>
        <v>293.33333333334042</v>
      </c>
      <c r="CY182" s="62">
        <f ca="1">AVERAGE(OFFSET($CX$3,0,0,'Données projet'!$E$13+1,1))-AVERAGE(OFFSET($H$3,0,0,'Données projet'!$E$13+1,1))</f>
        <v>242.07451379051349</v>
      </c>
      <c r="CZ182" s="62">
        <f t="shared" si="150"/>
        <v>207.11607964940754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178.56320966726986</v>
      </c>
      <c r="DU182" s="62">
        <f t="shared" si="152"/>
        <v>272.06842551411739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0.1232694052644196</v>
      </c>
      <c r="EC182" s="23">
        <f>EXP(-LN(2)/2)*EC181+(1-EXP(-LN(2)/2))/(LN(2)/2)*DW182*DZ182*VLOOKUP('Données projet'!$B$14,Paramètres!$A$1:$I$89,3,0)*0.475*44/12</f>
        <v>6.1836420348940824E-22</v>
      </c>
      <c r="ED182" s="24">
        <f t="shared" si="178"/>
        <v>0.1232694052644196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-2.8421709430404007E-13</v>
      </c>
      <c r="EK182" s="18">
        <f>EJ182*VLOOKUP('Données projet'!$B$15,Paramètres!$A$1:$I$89,3,0)*VLOOKUP('Données projet'!$B$15,Paramètres!$A$1:$I$89,5,0)</f>
        <v>-3.0593128030886872E-13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479.87943647026646</v>
      </c>
      <c r="EP182" s="62">
        <f t="shared" si="154"/>
        <v>242.41363045393223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-2.8421709430404007E-13</v>
      </c>
      <c r="FF182" s="18">
        <f>FE182*VLOOKUP('Données projet'!$B$16,Paramètres!$A$1:$I$89,3,0)*VLOOKUP('Données projet'!$B$16,Paramètres!$A$1:$I$89,5,0)</f>
        <v>-2.7489477361086758E-13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425.00152674093977</v>
      </c>
      <c r="FK182" s="62">
        <f t="shared" si="156"/>
        <v>214.96884469274687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179.22241276165141</v>
      </c>
      <c r="T183" s="62">
        <f t="shared" si="142"/>
        <v>86.510654589692876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-6.7984728957526396E-14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157.42757749057949</v>
      </c>
      <c r="AO183" s="62">
        <f t="shared" si="144"/>
        <v>129.86070223892136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8.1495752778057229E-23</v>
      </c>
      <c r="AX183" s="23">
        <f t="shared" si="166"/>
        <v>8.1495752778057229E-23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projet'!$B$11,Paramètres!$A$1:$I$89,3,0)*VLOOKUP('Données projet'!$B$11,Paramètres!$A$1:$I$89,5,0)</f>
        <v>-2.9706370696658268E-13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464.21202287459482</v>
      </c>
      <c r="BJ183" s="62">
        <f t="shared" si="146"/>
        <v>234.57880205159688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projet'!$B$12,Paramètres!$A$1:$I$89,3,0)*VLOOKUP('Données projet'!$B$12,Paramètres!$A$1:$I$89,5,0)</f>
        <v>1.3567387213697657E-13</v>
      </c>
      <c r="CA183" s="14">
        <f t="shared" si="170"/>
        <v>1.9670967679808581E-12</v>
      </c>
      <c r="CB183" s="22">
        <f t="shared" si="171"/>
        <v>3.6623255315385623E-12</v>
      </c>
      <c r="CC183" s="62">
        <f t="shared" si="119"/>
        <v>293.33333333333695</v>
      </c>
      <c r="CD183" s="62">
        <f ca="1">AVERAGE(OFFSET($CC$3,0,0,'Données projet'!$E$12+1,1))-AVERAGE(OFFSET($H$3,0,0,'Données projet'!$E$12+1,1))</f>
        <v>177.99876437322689</v>
      </c>
      <c r="CE183" s="62">
        <f t="shared" si="148"/>
        <v>165.68154380324592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5.1159076974727213E-13</v>
      </c>
      <c r="CU183" s="18">
        <f>CT183*VLOOKUP('Données projet'!$B$13,Paramètres!$A$1:$I$89,3,0)*VLOOKUP('Données projet'!$B$13,Paramètres!$A$1:$I$89,5,0)</f>
        <v>2.8597924028872516E-13</v>
      </c>
      <c r="CV183" s="14">
        <f t="shared" si="173"/>
        <v>3.8016246610825715E-12</v>
      </c>
      <c r="CW183" s="22">
        <f t="shared" si="174"/>
        <v>7.1192434615550094E-12</v>
      </c>
      <c r="CX183" s="62">
        <f t="shared" si="122"/>
        <v>293.33333333334042</v>
      </c>
      <c r="CY183" s="62">
        <f ca="1">AVERAGE(OFFSET($CX$3,0,0,'Données projet'!$E$13+1,1))-AVERAGE(OFFSET($H$3,0,0,'Données projet'!$E$13+1,1))</f>
        <v>242.07451379051349</v>
      </c>
      <c r="CZ183" s="62">
        <f t="shared" si="150"/>
        <v>207.11607964940754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178.56320966726986</v>
      </c>
      <c r="DU183" s="62">
        <f t="shared" si="152"/>
        <v>272.06842551411739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0.11989859689500776</v>
      </c>
      <c r="EC183" s="23">
        <f>EXP(-LN(2)/2)*EC182+(1-EXP(-LN(2)/2))/(LN(2)/2)*DW183*DZ183*VLOOKUP('Données projet'!$B$14,Paramètres!$A$1:$I$89,3,0)*0.475*44/12</f>
        <v>4.3724952153037874E-22</v>
      </c>
      <c r="ED183" s="24">
        <f t="shared" si="178"/>
        <v>0.11989859689500776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-2.8421709430404007E-13</v>
      </c>
      <c r="EK183" s="18">
        <f>EJ183*VLOOKUP('Données projet'!$B$15,Paramètres!$A$1:$I$89,3,0)*VLOOKUP('Données projet'!$B$15,Paramètres!$A$1:$I$89,5,0)</f>
        <v>-3.0593128030886872E-13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479.87943647026646</v>
      </c>
      <c r="EP183" s="62">
        <f t="shared" si="154"/>
        <v>242.41363045393223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-2.8421709430404007E-13</v>
      </c>
      <c r="FF183" s="18">
        <f>FE183*VLOOKUP('Données projet'!$B$16,Paramètres!$A$1:$I$89,3,0)*VLOOKUP('Données projet'!$B$16,Paramètres!$A$1:$I$89,5,0)</f>
        <v>-2.7489477361086758E-13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425.00152674093977</v>
      </c>
      <c r="FK183" s="62">
        <f t="shared" si="156"/>
        <v>214.96884469274687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179.22241276165141</v>
      </c>
      <c r="T184" s="62">
        <f t="shared" si="142"/>
        <v>86.510654589692876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-6.7984728957526396E-14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157.42757749057949</v>
      </c>
      <c r="AO184" s="62">
        <f t="shared" si="144"/>
        <v>129.86070223892136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5.7626199427266685E-23</v>
      </c>
      <c r="AX184" s="23">
        <f t="shared" si="166"/>
        <v>5.7626199427266685E-23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projet'!$B$11,Paramètres!$A$1:$I$89,3,0)*VLOOKUP('Données projet'!$B$11,Paramètres!$A$1:$I$89,5,0)</f>
        <v>-2.9706370696658268E-13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464.21202287459482</v>
      </c>
      <c r="BJ184" s="62">
        <f t="shared" si="146"/>
        <v>234.57880205159688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projet'!$B$12,Paramètres!$A$1:$I$89,3,0)*VLOOKUP('Données projet'!$B$12,Paramètres!$A$1:$I$89,5,0)</f>
        <v>1.3567387213697657E-13</v>
      </c>
      <c r="CA184" s="14">
        <f t="shared" si="170"/>
        <v>1.9670967679808581E-12</v>
      </c>
      <c r="CB184" s="22">
        <f t="shared" si="171"/>
        <v>3.6623255315385623E-12</v>
      </c>
      <c r="CC184" s="62">
        <f t="shared" si="119"/>
        <v>293.33333333333695</v>
      </c>
      <c r="CD184" s="62">
        <f ca="1">AVERAGE(OFFSET($CC$3,0,0,'Données projet'!$E$12+1,1))-AVERAGE(OFFSET($H$3,0,0,'Données projet'!$E$12+1,1))</f>
        <v>177.99876437322689</v>
      </c>
      <c r="CE184" s="62">
        <f t="shared" si="148"/>
        <v>165.68154380324592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5.1159076974727213E-13</v>
      </c>
      <c r="CU184" s="18">
        <f>CT184*VLOOKUP('Données projet'!$B$13,Paramètres!$A$1:$I$89,3,0)*VLOOKUP('Données projet'!$B$13,Paramètres!$A$1:$I$89,5,0)</f>
        <v>2.8597924028872516E-13</v>
      </c>
      <c r="CV184" s="14">
        <f t="shared" si="173"/>
        <v>3.8016246610825715E-12</v>
      </c>
      <c r="CW184" s="22">
        <f t="shared" si="174"/>
        <v>7.1192434615550094E-12</v>
      </c>
      <c r="CX184" s="62">
        <f t="shared" si="122"/>
        <v>293.33333333334042</v>
      </c>
      <c r="CY184" s="62">
        <f ca="1">AVERAGE(OFFSET($CX$3,0,0,'Données projet'!$E$13+1,1))-AVERAGE(OFFSET($H$3,0,0,'Données projet'!$E$13+1,1))</f>
        <v>242.07451379051349</v>
      </c>
      <c r="CZ184" s="62">
        <f t="shared" si="150"/>
        <v>207.11607964940754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178.56320966726986</v>
      </c>
      <c r="DU184" s="62">
        <f t="shared" si="152"/>
        <v>272.06842551411739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0.11661996345772059</v>
      </c>
      <c r="EC184" s="23">
        <f>EXP(-LN(2)/2)*EC183+(1-EXP(-LN(2)/2))/(LN(2)/2)*DW184*DZ184*VLOOKUP('Données projet'!$B$14,Paramètres!$A$1:$I$89,3,0)*0.475*44/12</f>
        <v>3.0918210174470412E-22</v>
      </c>
      <c r="ED184" s="24">
        <f t="shared" si="178"/>
        <v>0.11661996345772059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-2.8421709430404007E-13</v>
      </c>
      <c r="EK184" s="18">
        <f>EJ184*VLOOKUP('Données projet'!$B$15,Paramètres!$A$1:$I$89,3,0)*VLOOKUP('Données projet'!$B$15,Paramètres!$A$1:$I$89,5,0)</f>
        <v>-3.0593128030886872E-13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479.87943647026646</v>
      </c>
      <c r="EP184" s="62">
        <f t="shared" si="154"/>
        <v>242.41363045393223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-2.8421709430404007E-13</v>
      </c>
      <c r="FF184" s="18">
        <f>FE184*VLOOKUP('Données projet'!$B$16,Paramètres!$A$1:$I$89,3,0)*VLOOKUP('Données projet'!$B$16,Paramètres!$A$1:$I$89,5,0)</f>
        <v>-2.7489477361086758E-13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425.00152674093977</v>
      </c>
      <c r="FK184" s="62">
        <f t="shared" si="156"/>
        <v>214.96884469274687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179.22241276165141</v>
      </c>
      <c r="T185" s="62">
        <f t="shared" si="142"/>
        <v>86.510654589692876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-6.7984728957526396E-14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157.42757749057949</v>
      </c>
      <c r="AO185" s="62">
        <f t="shared" si="144"/>
        <v>129.86070223892136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4.0747876389028614E-23</v>
      </c>
      <c r="AX185" s="23">
        <f t="shared" si="166"/>
        <v>4.0747876389028614E-23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projet'!$B$11,Paramètres!$A$1:$I$89,3,0)*VLOOKUP('Données projet'!$B$11,Paramètres!$A$1:$I$89,5,0)</f>
        <v>-2.9706370696658268E-13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464.21202287459482</v>
      </c>
      <c r="BJ185" s="62">
        <f t="shared" si="146"/>
        <v>234.57880205159688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projet'!$B$12,Paramètres!$A$1:$I$89,3,0)*VLOOKUP('Données projet'!$B$12,Paramètres!$A$1:$I$89,5,0)</f>
        <v>1.3567387213697657E-13</v>
      </c>
      <c r="CA185" s="14">
        <f t="shared" si="170"/>
        <v>1.9670967679808581E-12</v>
      </c>
      <c r="CB185" s="22">
        <f t="shared" si="171"/>
        <v>3.6623255315385623E-12</v>
      </c>
      <c r="CC185" s="62">
        <f t="shared" si="119"/>
        <v>293.33333333333695</v>
      </c>
      <c r="CD185" s="62">
        <f ca="1">AVERAGE(OFFSET($CC$3,0,0,'Données projet'!$E$12+1,1))-AVERAGE(OFFSET($H$3,0,0,'Données projet'!$E$12+1,1))</f>
        <v>177.99876437322689</v>
      </c>
      <c r="CE185" s="62">
        <f t="shared" si="148"/>
        <v>165.68154380324592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5.1159076974727213E-13</v>
      </c>
      <c r="CU185" s="18">
        <f>CT185*VLOOKUP('Données projet'!$B$13,Paramètres!$A$1:$I$89,3,0)*VLOOKUP('Données projet'!$B$13,Paramètres!$A$1:$I$89,5,0)</f>
        <v>2.8597924028872516E-13</v>
      </c>
      <c r="CV185" s="14">
        <f t="shared" si="173"/>
        <v>3.8016246610825715E-12</v>
      </c>
      <c r="CW185" s="22">
        <f t="shared" si="174"/>
        <v>7.1192434615550094E-12</v>
      </c>
      <c r="CX185" s="62">
        <f t="shared" si="122"/>
        <v>293.33333333334042</v>
      </c>
      <c r="CY185" s="62">
        <f ca="1">AVERAGE(OFFSET($CX$3,0,0,'Données projet'!$E$13+1,1))-AVERAGE(OFFSET($H$3,0,0,'Données projet'!$E$13+1,1))</f>
        <v>242.07451379051349</v>
      </c>
      <c r="CZ185" s="62">
        <f t="shared" si="150"/>
        <v>207.11607964940754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178.56320966726986</v>
      </c>
      <c r="DU185" s="62">
        <f t="shared" si="152"/>
        <v>272.06842551411739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0.11343098442419187</v>
      </c>
      <c r="EC185" s="23">
        <f>EXP(-LN(2)/2)*EC184+(1-EXP(-LN(2)/2))/(LN(2)/2)*DW185*DZ185*VLOOKUP('Données projet'!$B$14,Paramètres!$A$1:$I$89,3,0)*0.475*44/12</f>
        <v>2.1862476076518937E-22</v>
      </c>
      <c r="ED185" s="24">
        <f t="shared" si="178"/>
        <v>0.11343098442419187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-2.8421709430404007E-13</v>
      </c>
      <c r="EK185" s="18">
        <f>EJ185*VLOOKUP('Données projet'!$B$15,Paramètres!$A$1:$I$89,3,0)*VLOOKUP('Données projet'!$B$15,Paramètres!$A$1:$I$89,5,0)</f>
        <v>-3.0593128030886872E-13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479.87943647026646</v>
      </c>
      <c r="EP185" s="62">
        <f t="shared" si="154"/>
        <v>242.41363045393223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-2.8421709430404007E-13</v>
      </c>
      <c r="FF185" s="18">
        <f>FE185*VLOOKUP('Données projet'!$B$16,Paramètres!$A$1:$I$89,3,0)*VLOOKUP('Données projet'!$B$16,Paramètres!$A$1:$I$89,5,0)</f>
        <v>-2.7489477361086758E-13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425.00152674093977</v>
      </c>
      <c r="FK185" s="62">
        <f t="shared" si="156"/>
        <v>214.96884469274687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179.22241276165141</v>
      </c>
      <c r="T186" s="62">
        <f t="shared" si="142"/>
        <v>86.510654589692876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-6.7984728957526396E-14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157.42757749057949</v>
      </c>
      <c r="AO186" s="62">
        <f t="shared" si="144"/>
        <v>129.86070223892136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2.8813099713633342E-23</v>
      </c>
      <c r="AX186" s="23">
        <f t="shared" si="166"/>
        <v>2.8813099713633342E-23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projet'!$B$11,Paramètres!$A$1:$I$89,3,0)*VLOOKUP('Données projet'!$B$11,Paramètres!$A$1:$I$89,5,0)</f>
        <v>-2.9706370696658268E-13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464.21202287459482</v>
      </c>
      <c r="BJ186" s="62">
        <f t="shared" si="146"/>
        <v>234.57880205159688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projet'!$B$12,Paramètres!$A$1:$I$89,3,0)*VLOOKUP('Données projet'!$B$12,Paramètres!$A$1:$I$89,5,0)</f>
        <v>1.3567387213697657E-13</v>
      </c>
      <c r="CA186" s="14">
        <f t="shared" si="170"/>
        <v>1.9670967679808581E-12</v>
      </c>
      <c r="CB186" s="22">
        <f t="shared" si="171"/>
        <v>3.6623255315385623E-12</v>
      </c>
      <c r="CC186" s="62">
        <f t="shared" si="119"/>
        <v>293.33333333333695</v>
      </c>
      <c r="CD186" s="62">
        <f ca="1">AVERAGE(OFFSET($CC$3,0,0,'Données projet'!$E$12+1,1))-AVERAGE(OFFSET($H$3,0,0,'Données projet'!$E$12+1,1))</f>
        <v>177.99876437322689</v>
      </c>
      <c r="CE186" s="62">
        <f t="shared" si="148"/>
        <v>165.68154380324592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5.1159076974727213E-13</v>
      </c>
      <c r="CU186" s="18">
        <f>CT186*VLOOKUP('Données projet'!$B$13,Paramètres!$A$1:$I$89,3,0)*VLOOKUP('Données projet'!$B$13,Paramètres!$A$1:$I$89,5,0)</f>
        <v>2.8597924028872516E-13</v>
      </c>
      <c r="CV186" s="14">
        <f t="shared" si="173"/>
        <v>3.8016246610825715E-12</v>
      </c>
      <c r="CW186" s="22">
        <f t="shared" si="174"/>
        <v>7.1192434615550094E-12</v>
      </c>
      <c r="CX186" s="62">
        <f t="shared" si="122"/>
        <v>293.33333333334042</v>
      </c>
      <c r="CY186" s="62">
        <f ca="1">AVERAGE(OFFSET($CX$3,0,0,'Données projet'!$E$13+1,1))-AVERAGE(OFFSET($H$3,0,0,'Données projet'!$E$13+1,1))</f>
        <v>242.07451379051349</v>
      </c>
      <c r="CZ186" s="62">
        <f t="shared" si="150"/>
        <v>207.11607964940754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178.56320966726986</v>
      </c>
      <c r="DU186" s="62">
        <f t="shared" si="152"/>
        <v>272.06842551411739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0.11032920819003612</v>
      </c>
      <c r="EC186" s="23">
        <f>EXP(-LN(2)/2)*EC185+(1-EXP(-LN(2)/2))/(LN(2)/2)*DW186*DZ186*VLOOKUP('Données projet'!$B$14,Paramètres!$A$1:$I$89,3,0)*0.475*44/12</f>
        <v>1.5459105087235206E-22</v>
      </c>
      <c r="ED186" s="24">
        <f t="shared" si="178"/>
        <v>0.11032920819003612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-2.8421709430404007E-13</v>
      </c>
      <c r="EK186" s="18">
        <f>EJ186*VLOOKUP('Données projet'!$B$15,Paramètres!$A$1:$I$89,3,0)*VLOOKUP('Données projet'!$B$15,Paramètres!$A$1:$I$89,5,0)</f>
        <v>-3.0593128030886872E-13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479.87943647026646</v>
      </c>
      <c r="EP186" s="62">
        <f t="shared" si="154"/>
        <v>242.41363045393223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-2.8421709430404007E-13</v>
      </c>
      <c r="FF186" s="18">
        <f>FE186*VLOOKUP('Données projet'!$B$16,Paramètres!$A$1:$I$89,3,0)*VLOOKUP('Données projet'!$B$16,Paramètres!$A$1:$I$89,5,0)</f>
        <v>-2.7489477361086758E-13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425.00152674093977</v>
      </c>
      <c r="FK186" s="62">
        <f t="shared" si="156"/>
        <v>214.96884469274687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179.22241276165141</v>
      </c>
      <c r="T187" s="62">
        <f t="shared" si="142"/>
        <v>86.510654589692876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-6.7984728957526396E-14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157.42757749057949</v>
      </c>
      <c r="AO187" s="62">
        <f t="shared" si="144"/>
        <v>129.86070223892136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2.0373938194514307E-23</v>
      </c>
      <c r="AX187" s="23">
        <f t="shared" si="166"/>
        <v>2.0373938194514307E-23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projet'!$B$11,Paramètres!$A$1:$I$89,3,0)*VLOOKUP('Données projet'!$B$11,Paramètres!$A$1:$I$89,5,0)</f>
        <v>-2.9706370696658268E-13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464.21202287459482</v>
      </c>
      <c r="BJ187" s="62">
        <f t="shared" si="146"/>
        <v>234.57880205159688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projet'!$B$12,Paramètres!$A$1:$I$89,3,0)*VLOOKUP('Données projet'!$B$12,Paramètres!$A$1:$I$89,5,0)</f>
        <v>1.3567387213697657E-13</v>
      </c>
      <c r="CA187" s="14">
        <f t="shared" si="170"/>
        <v>1.9670967679808581E-12</v>
      </c>
      <c r="CB187" s="22">
        <f t="shared" si="171"/>
        <v>3.6623255315385623E-12</v>
      </c>
      <c r="CC187" s="62">
        <f t="shared" si="119"/>
        <v>293.33333333333695</v>
      </c>
      <c r="CD187" s="62">
        <f ca="1">AVERAGE(OFFSET($CC$3,0,0,'Données projet'!$E$12+1,1))-AVERAGE(OFFSET($H$3,0,0,'Données projet'!$E$12+1,1))</f>
        <v>177.99876437322689</v>
      </c>
      <c r="CE187" s="62">
        <f t="shared" si="148"/>
        <v>165.68154380324592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5.1159076974727213E-13</v>
      </c>
      <c r="CU187" s="18">
        <f>CT187*VLOOKUP('Données projet'!$B$13,Paramètres!$A$1:$I$89,3,0)*VLOOKUP('Données projet'!$B$13,Paramètres!$A$1:$I$89,5,0)</f>
        <v>2.8597924028872516E-13</v>
      </c>
      <c r="CV187" s="14">
        <f t="shared" si="173"/>
        <v>3.8016246610825715E-12</v>
      </c>
      <c r="CW187" s="22">
        <f t="shared" si="174"/>
        <v>7.1192434615550094E-12</v>
      </c>
      <c r="CX187" s="62">
        <f t="shared" si="122"/>
        <v>293.33333333334042</v>
      </c>
      <c r="CY187" s="62">
        <f ca="1">AVERAGE(OFFSET($CX$3,0,0,'Données projet'!$E$13+1,1))-AVERAGE(OFFSET($H$3,0,0,'Données projet'!$E$13+1,1))</f>
        <v>242.07451379051349</v>
      </c>
      <c r="CZ187" s="62">
        <f t="shared" si="150"/>
        <v>207.11607964940754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178.56320966726986</v>
      </c>
      <c r="DU187" s="62">
        <f t="shared" si="152"/>
        <v>272.06842551411739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0.10731225019011868</v>
      </c>
      <c r="EC187" s="23">
        <f>EXP(-LN(2)/2)*EC186+(1-EXP(-LN(2)/2))/(LN(2)/2)*DW187*DZ187*VLOOKUP('Données projet'!$B$14,Paramètres!$A$1:$I$89,3,0)*0.475*44/12</f>
        <v>1.0931238038259468E-22</v>
      </c>
      <c r="ED187" s="24">
        <f t="shared" si="178"/>
        <v>0.10731225019011868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-2.8421709430404007E-13</v>
      </c>
      <c r="EK187" s="18">
        <f>EJ187*VLOOKUP('Données projet'!$B$15,Paramètres!$A$1:$I$89,3,0)*VLOOKUP('Données projet'!$B$15,Paramètres!$A$1:$I$89,5,0)</f>
        <v>-3.0593128030886872E-13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479.87943647026646</v>
      </c>
      <c r="EP187" s="62">
        <f t="shared" si="154"/>
        <v>242.41363045393223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-2.8421709430404007E-13</v>
      </c>
      <c r="FF187" s="18">
        <f>FE187*VLOOKUP('Données projet'!$B$16,Paramètres!$A$1:$I$89,3,0)*VLOOKUP('Données projet'!$B$16,Paramètres!$A$1:$I$89,5,0)</f>
        <v>-2.7489477361086758E-13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425.00152674093977</v>
      </c>
      <c r="FK187" s="62">
        <f t="shared" si="156"/>
        <v>214.96884469274687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179.22241276165141</v>
      </c>
      <c r="T188" s="62">
        <f t="shared" si="142"/>
        <v>86.510654589692876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-6.7984728957526396E-14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157.42757749057949</v>
      </c>
      <c r="AO188" s="62">
        <f t="shared" si="144"/>
        <v>129.86070223892136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1.4406549856816671E-23</v>
      </c>
      <c r="AX188" s="23">
        <f t="shared" si="166"/>
        <v>1.4406549856816671E-23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projet'!$B$11,Paramètres!$A$1:$I$89,3,0)*VLOOKUP('Données projet'!$B$11,Paramètres!$A$1:$I$89,5,0)</f>
        <v>-2.9706370696658268E-13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464.21202287459482</v>
      </c>
      <c r="BJ188" s="62">
        <f t="shared" si="146"/>
        <v>234.57880205159688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projet'!$B$12,Paramètres!$A$1:$I$89,3,0)*VLOOKUP('Données projet'!$B$12,Paramètres!$A$1:$I$89,5,0)</f>
        <v>1.3567387213697657E-13</v>
      </c>
      <c r="CA188" s="14">
        <f t="shared" si="170"/>
        <v>1.9670967679808581E-12</v>
      </c>
      <c r="CB188" s="22">
        <f t="shared" si="171"/>
        <v>3.6623255315385623E-12</v>
      </c>
      <c r="CC188" s="62">
        <f t="shared" si="119"/>
        <v>293.33333333333695</v>
      </c>
      <c r="CD188" s="62">
        <f ca="1">AVERAGE(OFFSET($CC$3,0,0,'Données projet'!$E$12+1,1))-AVERAGE(OFFSET($H$3,0,0,'Données projet'!$E$12+1,1))</f>
        <v>177.99876437322689</v>
      </c>
      <c r="CE188" s="62">
        <f t="shared" si="148"/>
        <v>165.68154380324592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5.1159076974727213E-13</v>
      </c>
      <c r="CU188" s="18">
        <f>CT188*VLOOKUP('Données projet'!$B$13,Paramètres!$A$1:$I$89,3,0)*VLOOKUP('Données projet'!$B$13,Paramètres!$A$1:$I$89,5,0)</f>
        <v>2.8597924028872516E-13</v>
      </c>
      <c r="CV188" s="14">
        <f t="shared" si="173"/>
        <v>3.8016246610825715E-12</v>
      </c>
      <c r="CW188" s="22">
        <f t="shared" si="174"/>
        <v>7.1192434615550094E-12</v>
      </c>
      <c r="CX188" s="62">
        <f t="shared" si="122"/>
        <v>293.33333333334042</v>
      </c>
      <c r="CY188" s="62">
        <f ca="1">AVERAGE(OFFSET($CX$3,0,0,'Données projet'!$E$13+1,1))-AVERAGE(OFFSET($H$3,0,0,'Données projet'!$E$13+1,1))</f>
        <v>242.07451379051349</v>
      </c>
      <c r="CZ188" s="62">
        <f t="shared" si="150"/>
        <v>207.11607964940754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178.56320966726986</v>
      </c>
      <c r="DU188" s="62">
        <f t="shared" si="152"/>
        <v>272.06842551411739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0.10437779106536392</v>
      </c>
      <c r="EC188" s="23">
        <f>EXP(-LN(2)/2)*EC187+(1-EXP(-LN(2)/2))/(LN(2)/2)*DW188*DZ188*VLOOKUP('Données projet'!$B$14,Paramètres!$A$1:$I$89,3,0)*0.475*44/12</f>
        <v>7.729552543617603E-23</v>
      </c>
      <c r="ED188" s="24">
        <f t="shared" si="178"/>
        <v>0.10437779106536392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-2.8421709430404007E-13</v>
      </c>
      <c r="EK188" s="18">
        <f>EJ188*VLOOKUP('Données projet'!$B$15,Paramètres!$A$1:$I$89,3,0)*VLOOKUP('Données projet'!$B$15,Paramètres!$A$1:$I$89,5,0)</f>
        <v>-3.0593128030886872E-13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479.87943647026646</v>
      </c>
      <c r="EP188" s="62">
        <f t="shared" si="154"/>
        <v>242.41363045393223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-2.8421709430404007E-13</v>
      </c>
      <c r="FF188" s="18">
        <f>FE188*VLOOKUP('Données projet'!$B$16,Paramètres!$A$1:$I$89,3,0)*VLOOKUP('Données projet'!$B$16,Paramètres!$A$1:$I$89,5,0)</f>
        <v>-2.7489477361086758E-13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425.00152674093977</v>
      </c>
      <c r="FK188" s="62">
        <f t="shared" si="156"/>
        <v>214.96884469274687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179.22241276165141</v>
      </c>
      <c r="T189" s="62">
        <f t="shared" si="142"/>
        <v>86.510654589692876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-6.7984728957526396E-14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157.42757749057949</v>
      </c>
      <c r="AO189" s="62">
        <f t="shared" si="144"/>
        <v>129.86070223892136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1.0186969097257154E-23</v>
      </c>
      <c r="AX189" s="23">
        <f t="shared" si="166"/>
        <v>1.0186969097257154E-23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projet'!$B$11,Paramètres!$A$1:$I$89,3,0)*VLOOKUP('Données projet'!$B$11,Paramètres!$A$1:$I$89,5,0)</f>
        <v>-2.9706370696658268E-13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464.21202287459482</v>
      </c>
      <c r="BJ189" s="62">
        <f t="shared" si="146"/>
        <v>234.57880205159688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projet'!$B$12,Paramètres!$A$1:$I$89,3,0)*VLOOKUP('Données projet'!$B$12,Paramètres!$A$1:$I$89,5,0)</f>
        <v>1.3567387213697657E-13</v>
      </c>
      <c r="CA189" s="14">
        <f t="shared" si="170"/>
        <v>1.9670967679808581E-12</v>
      </c>
      <c r="CB189" s="22">
        <f t="shared" si="171"/>
        <v>3.6623255315385623E-12</v>
      </c>
      <c r="CC189" s="62">
        <f t="shared" si="119"/>
        <v>293.33333333333695</v>
      </c>
      <c r="CD189" s="62">
        <f ca="1">AVERAGE(OFFSET($CC$3,0,0,'Données projet'!$E$12+1,1))-AVERAGE(OFFSET($H$3,0,0,'Données projet'!$E$12+1,1))</f>
        <v>177.99876437322689</v>
      </c>
      <c r="CE189" s="62">
        <f t="shared" si="148"/>
        <v>165.68154380324592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5.1159076974727213E-13</v>
      </c>
      <c r="CU189" s="18">
        <f>CT189*VLOOKUP('Données projet'!$B$13,Paramètres!$A$1:$I$89,3,0)*VLOOKUP('Données projet'!$B$13,Paramètres!$A$1:$I$89,5,0)</f>
        <v>2.8597924028872516E-13</v>
      </c>
      <c r="CV189" s="14">
        <f t="shared" si="173"/>
        <v>3.8016246610825715E-12</v>
      </c>
      <c r="CW189" s="22">
        <f t="shared" si="174"/>
        <v>7.1192434615550094E-12</v>
      </c>
      <c r="CX189" s="62">
        <f t="shared" si="122"/>
        <v>293.33333333334042</v>
      </c>
      <c r="CY189" s="62">
        <f ca="1">AVERAGE(OFFSET($CX$3,0,0,'Données projet'!$E$13+1,1))-AVERAGE(OFFSET($H$3,0,0,'Données projet'!$E$13+1,1))</f>
        <v>242.07451379051349</v>
      </c>
      <c r="CZ189" s="62">
        <f t="shared" si="150"/>
        <v>207.11607964940754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178.56320966726986</v>
      </c>
      <c r="DU189" s="62">
        <f t="shared" si="152"/>
        <v>272.06842551411739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0.10152357487969207</v>
      </c>
      <c r="EC189" s="23">
        <f>EXP(-LN(2)/2)*EC188+(1-EXP(-LN(2)/2))/(LN(2)/2)*DW189*DZ189*VLOOKUP('Données projet'!$B$14,Paramètres!$A$1:$I$89,3,0)*0.475*44/12</f>
        <v>5.4656190191297342E-23</v>
      </c>
      <c r="ED189" s="24">
        <f t="shared" si="178"/>
        <v>0.10152357487969207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-2.8421709430404007E-13</v>
      </c>
      <c r="EK189" s="18">
        <f>EJ189*VLOOKUP('Données projet'!$B$15,Paramètres!$A$1:$I$89,3,0)*VLOOKUP('Données projet'!$B$15,Paramètres!$A$1:$I$89,5,0)</f>
        <v>-3.0593128030886872E-13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479.87943647026646</v>
      </c>
      <c r="EP189" s="62">
        <f t="shared" si="154"/>
        <v>242.41363045393223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-2.8421709430404007E-13</v>
      </c>
      <c r="FF189" s="18">
        <f>FE189*VLOOKUP('Données projet'!$B$16,Paramètres!$A$1:$I$89,3,0)*VLOOKUP('Données projet'!$B$16,Paramètres!$A$1:$I$89,5,0)</f>
        <v>-2.7489477361086758E-13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425.00152674093977</v>
      </c>
      <c r="FK189" s="62">
        <f t="shared" si="156"/>
        <v>214.96884469274687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179.22241276165141</v>
      </c>
      <c r="T190" s="62">
        <f t="shared" si="142"/>
        <v>86.510654589692876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-6.7984728957526396E-14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157.42757749057949</v>
      </c>
      <c r="AO190" s="62">
        <f t="shared" si="144"/>
        <v>129.86070223892136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7.2032749284083356E-24</v>
      </c>
      <c r="AX190" s="23">
        <f t="shared" si="166"/>
        <v>7.2032749284083356E-24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projet'!$B$11,Paramètres!$A$1:$I$89,3,0)*VLOOKUP('Données projet'!$B$11,Paramètres!$A$1:$I$89,5,0)</f>
        <v>-2.9706370696658268E-13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464.21202287459482</v>
      </c>
      <c r="BJ190" s="62">
        <f t="shared" si="146"/>
        <v>234.57880205159688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projet'!$B$12,Paramètres!$A$1:$I$89,3,0)*VLOOKUP('Données projet'!$B$12,Paramètres!$A$1:$I$89,5,0)</f>
        <v>1.3567387213697657E-13</v>
      </c>
      <c r="CA190" s="14">
        <f t="shared" si="170"/>
        <v>1.9670967679808581E-12</v>
      </c>
      <c r="CB190" s="22">
        <f t="shared" si="171"/>
        <v>3.6623255315385623E-12</v>
      </c>
      <c r="CC190" s="62">
        <f t="shared" si="119"/>
        <v>293.33333333333695</v>
      </c>
      <c r="CD190" s="62">
        <f ca="1">AVERAGE(OFFSET($CC$3,0,0,'Données projet'!$E$12+1,1))-AVERAGE(OFFSET($H$3,0,0,'Données projet'!$E$12+1,1))</f>
        <v>177.99876437322689</v>
      </c>
      <c r="CE190" s="62">
        <f t="shared" si="148"/>
        <v>165.68154380324592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5.1159076974727213E-13</v>
      </c>
      <c r="CU190" s="18">
        <f>CT190*VLOOKUP('Données projet'!$B$13,Paramètres!$A$1:$I$89,3,0)*VLOOKUP('Données projet'!$B$13,Paramètres!$A$1:$I$89,5,0)</f>
        <v>2.8597924028872516E-13</v>
      </c>
      <c r="CV190" s="14">
        <f t="shared" si="173"/>
        <v>3.8016246610825715E-12</v>
      </c>
      <c r="CW190" s="22">
        <f t="shared" si="174"/>
        <v>7.1192434615550094E-12</v>
      </c>
      <c r="CX190" s="62">
        <f t="shared" si="122"/>
        <v>293.33333333334042</v>
      </c>
      <c r="CY190" s="62">
        <f ca="1">AVERAGE(OFFSET($CX$3,0,0,'Données projet'!$E$13+1,1))-AVERAGE(OFFSET($H$3,0,0,'Données projet'!$E$13+1,1))</f>
        <v>242.07451379051349</v>
      </c>
      <c r="CZ190" s="62">
        <f t="shared" si="150"/>
        <v>207.11607964940754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178.56320966726986</v>
      </c>
      <c r="DU190" s="62">
        <f t="shared" si="152"/>
        <v>272.06842551411739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9.8747407385714123E-2</v>
      </c>
      <c r="EC190" s="23">
        <f>EXP(-LN(2)/2)*EC189+(1-EXP(-LN(2)/2))/(LN(2)/2)*DW190*DZ190*VLOOKUP('Données projet'!$B$14,Paramètres!$A$1:$I$89,3,0)*0.475*44/12</f>
        <v>3.8647762718088015E-23</v>
      </c>
      <c r="ED190" s="24">
        <f t="shared" si="178"/>
        <v>9.8747407385714123E-2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-2.8421709430404007E-13</v>
      </c>
      <c r="EK190" s="18">
        <f>EJ190*VLOOKUP('Données projet'!$B$15,Paramètres!$A$1:$I$89,3,0)*VLOOKUP('Données projet'!$B$15,Paramètres!$A$1:$I$89,5,0)</f>
        <v>-3.0593128030886872E-13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479.87943647026646</v>
      </c>
      <c r="EP190" s="62">
        <f t="shared" si="154"/>
        <v>242.41363045393223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-2.8421709430404007E-13</v>
      </c>
      <c r="FF190" s="18">
        <f>FE190*VLOOKUP('Données projet'!$B$16,Paramètres!$A$1:$I$89,3,0)*VLOOKUP('Données projet'!$B$16,Paramètres!$A$1:$I$89,5,0)</f>
        <v>-2.7489477361086758E-13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425.00152674093977</v>
      </c>
      <c r="FK190" s="62">
        <f t="shared" si="156"/>
        <v>214.96884469274687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179.22241276165141</v>
      </c>
      <c r="T191" s="62">
        <f t="shared" si="142"/>
        <v>86.510654589692876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-6.7984728957526396E-14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157.42757749057949</v>
      </c>
      <c r="AO191" s="62">
        <f t="shared" si="144"/>
        <v>129.86070223892136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5.0934845486285768E-24</v>
      </c>
      <c r="AX191" s="23">
        <f t="shared" si="166"/>
        <v>5.0934845486285768E-24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projet'!$B$11,Paramètres!$A$1:$I$89,3,0)*VLOOKUP('Données projet'!$B$11,Paramètres!$A$1:$I$89,5,0)</f>
        <v>-2.9706370696658268E-13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464.21202287459482</v>
      </c>
      <c r="BJ191" s="62">
        <f t="shared" si="146"/>
        <v>234.57880205159688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projet'!$B$12,Paramètres!$A$1:$I$89,3,0)*VLOOKUP('Données projet'!$B$12,Paramètres!$A$1:$I$89,5,0)</f>
        <v>1.3567387213697657E-13</v>
      </c>
      <c r="CA191" s="14">
        <f t="shared" si="170"/>
        <v>1.9670967679808581E-12</v>
      </c>
      <c r="CB191" s="22">
        <f t="shared" si="171"/>
        <v>3.6623255315385623E-12</v>
      </c>
      <c r="CC191" s="62">
        <f t="shared" si="119"/>
        <v>293.33333333333695</v>
      </c>
      <c r="CD191" s="62">
        <f ca="1">AVERAGE(OFFSET($CC$3,0,0,'Données projet'!$E$12+1,1))-AVERAGE(OFFSET($H$3,0,0,'Données projet'!$E$12+1,1))</f>
        <v>177.99876437322689</v>
      </c>
      <c r="CE191" s="62">
        <f t="shared" si="148"/>
        <v>165.68154380324592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5.1159076974727213E-13</v>
      </c>
      <c r="CU191" s="18">
        <f>CT191*VLOOKUP('Données projet'!$B$13,Paramètres!$A$1:$I$89,3,0)*VLOOKUP('Données projet'!$B$13,Paramètres!$A$1:$I$89,5,0)</f>
        <v>2.8597924028872516E-13</v>
      </c>
      <c r="CV191" s="14">
        <f t="shared" si="173"/>
        <v>3.8016246610825715E-12</v>
      </c>
      <c r="CW191" s="22">
        <f t="shared" si="174"/>
        <v>7.1192434615550094E-12</v>
      </c>
      <c r="CX191" s="62">
        <f t="shared" si="122"/>
        <v>293.33333333334042</v>
      </c>
      <c r="CY191" s="62">
        <f ca="1">AVERAGE(OFFSET($CX$3,0,0,'Données projet'!$E$13+1,1))-AVERAGE(OFFSET($H$3,0,0,'Données projet'!$E$13+1,1))</f>
        <v>242.07451379051349</v>
      </c>
      <c r="CZ191" s="62">
        <f t="shared" si="150"/>
        <v>207.11607964940754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178.56320966726986</v>
      </c>
      <c r="DU191" s="62">
        <f t="shared" si="152"/>
        <v>272.06842551411739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9.6047154337851312E-2</v>
      </c>
      <c r="EC191" s="23">
        <f>EXP(-LN(2)/2)*EC190+(1-EXP(-LN(2)/2))/(LN(2)/2)*DW191*DZ191*VLOOKUP('Données projet'!$B$14,Paramètres!$A$1:$I$89,3,0)*0.475*44/12</f>
        <v>2.7328095095648671E-23</v>
      </c>
      <c r="ED191" s="24">
        <f t="shared" si="178"/>
        <v>9.6047154337851312E-2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-2.8421709430404007E-13</v>
      </c>
      <c r="EK191" s="18">
        <f>EJ191*VLOOKUP('Données projet'!$B$15,Paramètres!$A$1:$I$89,3,0)*VLOOKUP('Données projet'!$B$15,Paramètres!$A$1:$I$89,5,0)</f>
        <v>-3.0593128030886872E-13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479.87943647026646</v>
      </c>
      <c r="EP191" s="62">
        <f t="shared" si="154"/>
        <v>242.41363045393223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-2.8421709430404007E-13</v>
      </c>
      <c r="FF191" s="18">
        <f>FE191*VLOOKUP('Données projet'!$B$16,Paramètres!$A$1:$I$89,3,0)*VLOOKUP('Données projet'!$B$16,Paramètres!$A$1:$I$89,5,0)</f>
        <v>-2.7489477361086758E-13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425.00152674093977</v>
      </c>
      <c r="FK191" s="62">
        <f t="shared" si="156"/>
        <v>214.96884469274687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179.22241276165141</v>
      </c>
      <c r="T192" s="62">
        <f t="shared" si="142"/>
        <v>86.510654589692876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-6.7984728957526396E-14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157.42757749057949</v>
      </c>
      <c r="AO192" s="62">
        <f t="shared" si="144"/>
        <v>129.86070223892136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3.6016374642041678E-24</v>
      </c>
      <c r="AX192" s="23">
        <f t="shared" si="166"/>
        <v>3.6016374642041678E-24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projet'!$B$11,Paramètres!$A$1:$I$89,3,0)*VLOOKUP('Données projet'!$B$11,Paramètres!$A$1:$I$89,5,0)</f>
        <v>-2.9706370696658268E-13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464.21202287459482</v>
      </c>
      <c r="BJ192" s="62">
        <f t="shared" si="146"/>
        <v>234.57880205159688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projet'!$B$12,Paramètres!$A$1:$I$89,3,0)*VLOOKUP('Données projet'!$B$12,Paramètres!$A$1:$I$89,5,0)</f>
        <v>1.3567387213697657E-13</v>
      </c>
      <c r="CA192" s="14">
        <f t="shared" si="170"/>
        <v>1.9670967679808581E-12</v>
      </c>
      <c r="CB192" s="22">
        <f t="shared" si="171"/>
        <v>3.6623255315385623E-12</v>
      </c>
      <c r="CC192" s="62">
        <f t="shared" si="119"/>
        <v>293.33333333333695</v>
      </c>
      <c r="CD192" s="62">
        <f ca="1">AVERAGE(OFFSET($CC$3,0,0,'Données projet'!$E$12+1,1))-AVERAGE(OFFSET($H$3,0,0,'Données projet'!$E$12+1,1))</f>
        <v>177.99876437322689</v>
      </c>
      <c r="CE192" s="62">
        <f t="shared" si="148"/>
        <v>165.68154380324592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5.1159076974727213E-13</v>
      </c>
      <c r="CU192" s="18">
        <f>CT192*VLOOKUP('Données projet'!$B$13,Paramètres!$A$1:$I$89,3,0)*VLOOKUP('Données projet'!$B$13,Paramètres!$A$1:$I$89,5,0)</f>
        <v>2.8597924028872516E-13</v>
      </c>
      <c r="CV192" s="14">
        <f t="shared" si="173"/>
        <v>3.8016246610825715E-12</v>
      </c>
      <c r="CW192" s="22">
        <f t="shared" si="174"/>
        <v>7.1192434615550094E-12</v>
      </c>
      <c r="CX192" s="62">
        <f t="shared" si="122"/>
        <v>293.33333333334042</v>
      </c>
      <c r="CY192" s="62">
        <f ca="1">AVERAGE(OFFSET($CX$3,0,0,'Données projet'!$E$13+1,1))-AVERAGE(OFFSET($H$3,0,0,'Données projet'!$E$13+1,1))</f>
        <v>242.07451379051349</v>
      </c>
      <c r="CZ192" s="62">
        <f t="shared" si="150"/>
        <v>207.11607964940754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178.56320966726986</v>
      </c>
      <c r="DU192" s="62">
        <f t="shared" si="152"/>
        <v>272.06842551411739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9.3420739851582446E-2</v>
      </c>
      <c r="EC192" s="23">
        <f>EXP(-LN(2)/2)*EC191+(1-EXP(-LN(2)/2))/(LN(2)/2)*DW192*DZ192*VLOOKUP('Données projet'!$B$14,Paramètres!$A$1:$I$89,3,0)*0.475*44/12</f>
        <v>1.9323881359044008E-23</v>
      </c>
      <c r="ED192" s="24">
        <f t="shared" si="178"/>
        <v>9.3420739851582446E-2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-2.8421709430404007E-13</v>
      </c>
      <c r="EK192" s="18">
        <f>EJ192*VLOOKUP('Données projet'!$B$15,Paramètres!$A$1:$I$89,3,0)*VLOOKUP('Données projet'!$B$15,Paramètres!$A$1:$I$89,5,0)</f>
        <v>-3.0593128030886872E-13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479.87943647026646</v>
      </c>
      <c r="EP192" s="62">
        <f t="shared" si="154"/>
        <v>242.41363045393223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-2.8421709430404007E-13</v>
      </c>
      <c r="FF192" s="18">
        <f>FE192*VLOOKUP('Données projet'!$B$16,Paramètres!$A$1:$I$89,3,0)*VLOOKUP('Données projet'!$B$16,Paramètres!$A$1:$I$89,5,0)</f>
        <v>-2.7489477361086758E-13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425.00152674093977</v>
      </c>
      <c r="FK192" s="62">
        <f t="shared" si="156"/>
        <v>214.96884469274687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179.22241276165141</v>
      </c>
      <c r="T193" s="62">
        <f t="shared" si="142"/>
        <v>86.510654589692876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-6.7984728957526396E-14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157.42757749057949</v>
      </c>
      <c r="AO193" s="62">
        <f t="shared" si="144"/>
        <v>129.86070223892136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2.5467422743142884E-24</v>
      </c>
      <c r="AX193" s="23">
        <f t="shared" si="166"/>
        <v>2.5467422743142884E-24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projet'!$B$11,Paramètres!$A$1:$I$89,3,0)*VLOOKUP('Données projet'!$B$11,Paramètres!$A$1:$I$89,5,0)</f>
        <v>-2.9706370696658268E-13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464.21202287459482</v>
      </c>
      <c r="BJ193" s="62">
        <f t="shared" si="146"/>
        <v>234.57880205159688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projet'!$B$12,Paramètres!$A$1:$I$89,3,0)*VLOOKUP('Données projet'!$B$12,Paramètres!$A$1:$I$89,5,0)</f>
        <v>1.3567387213697657E-13</v>
      </c>
      <c r="CA193" s="14">
        <f t="shared" si="170"/>
        <v>1.9670967679808581E-12</v>
      </c>
      <c r="CB193" s="22">
        <f t="shared" si="171"/>
        <v>3.6623255315385623E-12</v>
      </c>
      <c r="CC193" s="62">
        <f t="shared" si="119"/>
        <v>293.33333333333695</v>
      </c>
      <c r="CD193" s="62">
        <f ca="1">AVERAGE(OFFSET($CC$3,0,0,'Données projet'!$E$12+1,1))-AVERAGE(OFFSET($H$3,0,0,'Données projet'!$E$12+1,1))</f>
        <v>177.99876437322689</v>
      </c>
      <c r="CE193" s="62">
        <f t="shared" si="148"/>
        <v>165.68154380324592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5.1159076974727213E-13</v>
      </c>
      <c r="CU193" s="18">
        <f>CT193*VLOOKUP('Données projet'!$B$13,Paramètres!$A$1:$I$89,3,0)*VLOOKUP('Données projet'!$B$13,Paramètres!$A$1:$I$89,5,0)</f>
        <v>2.8597924028872516E-13</v>
      </c>
      <c r="CV193" s="14">
        <f t="shared" si="173"/>
        <v>3.8016246610825715E-12</v>
      </c>
      <c r="CW193" s="22">
        <f t="shared" si="174"/>
        <v>7.1192434615550094E-12</v>
      </c>
      <c r="CX193" s="62">
        <f t="shared" si="122"/>
        <v>293.33333333334042</v>
      </c>
      <c r="CY193" s="62">
        <f ca="1">AVERAGE(OFFSET($CX$3,0,0,'Données projet'!$E$13+1,1))-AVERAGE(OFFSET($H$3,0,0,'Données projet'!$E$13+1,1))</f>
        <v>242.07451379051349</v>
      </c>
      <c r="CZ193" s="62">
        <f t="shared" si="150"/>
        <v>207.11607964940754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178.56320966726986</v>
      </c>
      <c r="DU193" s="62">
        <f t="shared" si="152"/>
        <v>272.06842551411739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9.0866144807557725E-2</v>
      </c>
      <c r="EC193" s="23">
        <f>EXP(-LN(2)/2)*EC192+(1-EXP(-LN(2)/2))/(LN(2)/2)*DW193*DZ193*VLOOKUP('Données projet'!$B$14,Paramètres!$A$1:$I$89,3,0)*0.475*44/12</f>
        <v>1.3664047547824336E-23</v>
      </c>
      <c r="ED193" s="24">
        <f t="shared" si="178"/>
        <v>9.0866144807557725E-2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-2.8421709430404007E-13</v>
      </c>
      <c r="EK193" s="18">
        <f>EJ193*VLOOKUP('Données projet'!$B$15,Paramètres!$A$1:$I$89,3,0)*VLOOKUP('Données projet'!$B$15,Paramètres!$A$1:$I$89,5,0)</f>
        <v>-3.0593128030886872E-13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479.87943647026646</v>
      </c>
      <c r="EP193" s="62">
        <f t="shared" si="154"/>
        <v>242.41363045393223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-2.8421709430404007E-13</v>
      </c>
      <c r="FF193" s="18">
        <f>FE193*VLOOKUP('Données projet'!$B$16,Paramètres!$A$1:$I$89,3,0)*VLOOKUP('Données projet'!$B$16,Paramètres!$A$1:$I$89,5,0)</f>
        <v>-2.7489477361086758E-13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425.00152674093977</v>
      </c>
      <c r="FK193" s="62">
        <f t="shared" si="156"/>
        <v>214.96884469274687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179.22241276165141</v>
      </c>
      <c r="T194" s="62">
        <f t="shared" si="142"/>
        <v>86.510654589692876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-6.7984728957526396E-14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157.42757749057949</v>
      </c>
      <c r="AO194" s="62">
        <f t="shared" si="144"/>
        <v>129.86070223892136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1.8008187321020839E-24</v>
      </c>
      <c r="AX194" s="23">
        <f t="shared" si="166"/>
        <v>1.8008187321020839E-24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projet'!$B$11,Paramètres!$A$1:$I$89,3,0)*VLOOKUP('Données projet'!$B$11,Paramètres!$A$1:$I$89,5,0)</f>
        <v>-2.9706370696658268E-13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464.21202287459482</v>
      </c>
      <c r="BJ194" s="62">
        <f t="shared" si="146"/>
        <v>234.57880205159688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projet'!$B$12,Paramètres!$A$1:$I$89,3,0)*VLOOKUP('Données projet'!$B$12,Paramètres!$A$1:$I$89,5,0)</f>
        <v>1.3567387213697657E-13</v>
      </c>
      <c r="CA194" s="14">
        <f t="shared" si="170"/>
        <v>1.9670967679808581E-12</v>
      </c>
      <c r="CB194" s="22">
        <f t="shared" si="171"/>
        <v>3.6623255315385623E-12</v>
      </c>
      <c r="CC194" s="62">
        <f t="shared" si="119"/>
        <v>293.33333333333695</v>
      </c>
      <c r="CD194" s="62">
        <f ca="1">AVERAGE(OFFSET($CC$3,0,0,'Données projet'!$E$12+1,1))-AVERAGE(OFFSET($H$3,0,0,'Données projet'!$E$12+1,1))</f>
        <v>177.99876437322689</v>
      </c>
      <c r="CE194" s="62">
        <f t="shared" si="148"/>
        <v>165.68154380324592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5.1159076974727213E-13</v>
      </c>
      <c r="CU194" s="18">
        <f>CT194*VLOOKUP('Données projet'!$B$13,Paramètres!$A$1:$I$89,3,0)*VLOOKUP('Données projet'!$B$13,Paramètres!$A$1:$I$89,5,0)</f>
        <v>2.8597924028872516E-13</v>
      </c>
      <c r="CV194" s="14">
        <f t="shared" si="173"/>
        <v>3.8016246610825715E-12</v>
      </c>
      <c r="CW194" s="22">
        <f t="shared" si="174"/>
        <v>7.1192434615550094E-12</v>
      </c>
      <c r="CX194" s="62">
        <f t="shared" si="122"/>
        <v>293.33333333334042</v>
      </c>
      <c r="CY194" s="62">
        <f ca="1">AVERAGE(OFFSET($CX$3,0,0,'Données projet'!$E$13+1,1))-AVERAGE(OFFSET($H$3,0,0,'Données projet'!$E$13+1,1))</f>
        <v>242.07451379051349</v>
      </c>
      <c r="CZ194" s="62">
        <f t="shared" si="150"/>
        <v>207.11607964940754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178.56320966726986</v>
      </c>
      <c r="DU194" s="62">
        <f t="shared" si="152"/>
        <v>272.06842551411739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8.8381405299352178E-2</v>
      </c>
      <c r="EC194" s="23">
        <f>EXP(-LN(2)/2)*EC193+(1-EXP(-LN(2)/2))/(LN(2)/2)*DW194*DZ194*VLOOKUP('Données projet'!$B$14,Paramètres!$A$1:$I$89,3,0)*0.475*44/12</f>
        <v>9.6619406795220038E-24</v>
      </c>
      <c r="ED194" s="24">
        <f t="shared" si="178"/>
        <v>8.8381405299352178E-2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-2.8421709430404007E-13</v>
      </c>
      <c r="EK194" s="18">
        <f>EJ194*VLOOKUP('Données projet'!$B$15,Paramètres!$A$1:$I$89,3,0)*VLOOKUP('Données projet'!$B$15,Paramètres!$A$1:$I$89,5,0)</f>
        <v>-3.0593128030886872E-13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479.87943647026646</v>
      </c>
      <c r="EP194" s="62">
        <f t="shared" si="154"/>
        <v>242.41363045393223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-2.8421709430404007E-13</v>
      </c>
      <c r="FF194" s="18">
        <f>FE194*VLOOKUP('Données projet'!$B$16,Paramètres!$A$1:$I$89,3,0)*VLOOKUP('Données projet'!$B$16,Paramètres!$A$1:$I$89,5,0)</f>
        <v>-2.7489477361086758E-13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425.00152674093977</v>
      </c>
      <c r="FK194" s="62">
        <f t="shared" si="156"/>
        <v>214.96884469274687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179.22241276165141</v>
      </c>
      <c r="T195" s="62">
        <f t="shared" si="142"/>
        <v>86.510654589692876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-6.7984728957526396E-14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157.42757749057949</v>
      </c>
      <c r="AO195" s="62">
        <f t="shared" si="144"/>
        <v>129.86070223892136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1.2733711371571442E-24</v>
      </c>
      <c r="AX195" s="23">
        <f t="shared" si="166"/>
        <v>1.2733711371571442E-24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projet'!$B$11,Paramètres!$A$1:$I$89,3,0)*VLOOKUP('Données projet'!$B$11,Paramètres!$A$1:$I$89,5,0)</f>
        <v>-2.9706370696658268E-13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464.21202287459482</v>
      </c>
      <c r="BJ195" s="62">
        <f t="shared" si="146"/>
        <v>234.57880205159688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projet'!$B$12,Paramètres!$A$1:$I$89,3,0)*VLOOKUP('Données projet'!$B$12,Paramètres!$A$1:$I$89,5,0)</f>
        <v>1.3567387213697657E-13</v>
      </c>
      <c r="CA195" s="14">
        <f t="shared" si="170"/>
        <v>1.9670967679808581E-12</v>
      </c>
      <c r="CB195" s="22">
        <f t="shared" si="171"/>
        <v>3.6623255315385623E-12</v>
      </c>
      <c r="CC195" s="62">
        <f t="shared" si="119"/>
        <v>293.33333333333695</v>
      </c>
      <c r="CD195" s="62">
        <f ca="1">AVERAGE(OFFSET($CC$3,0,0,'Données projet'!$E$12+1,1))-AVERAGE(OFFSET($H$3,0,0,'Données projet'!$E$12+1,1))</f>
        <v>177.99876437322689</v>
      </c>
      <c r="CE195" s="62">
        <f t="shared" si="148"/>
        <v>165.68154380324592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5.1159076974727213E-13</v>
      </c>
      <c r="CU195" s="18">
        <f>CT195*VLOOKUP('Données projet'!$B$13,Paramètres!$A$1:$I$89,3,0)*VLOOKUP('Données projet'!$B$13,Paramètres!$A$1:$I$89,5,0)</f>
        <v>2.8597924028872516E-13</v>
      </c>
      <c r="CV195" s="14">
        <f t="shared" si="173"/>
        <v>3.8016246610825715E-12</v>
      </c>
      <c r="CW195" s="22">
        <f t="shared" si="174"/>
        <v>7.1192434615550094E-12</v>
      </c>
      <c r="CX195" s="62">
        <f t="shared" si="122"/>
        <v>293.33333333334042</v>
      </c>
      <c r="CY195" s="62">
        <f ca="1">AVERAGE(OFFSET($CX$3,0,0,'Données projet'!$E$13+1,1))-AVERAGE(OFFSET($H$3,0,0,'Données projet'!$E$13+1,1))</f>
        <v>242.07451379051349</v>
      </c>
      <c r="CZ195" s="62">
        <f t="shared" si="150"/>
        <v>207.11607964940754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178.56320966726986</v>
      </c>
      <c r="DU195" s="62">
        <f t="shared" si="152"/>
        <v>272.06842551411739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8.5964611123665283E-2</v>
      </c>
      <c r="EC195" s="23">
        <f>EXP(-LN(2)/2)*EC194+(1-EXP(-LN(2)/2))/(LN(2)/2)*DW195*DZ195*VLOOKUP('Données projet'!$B$14,Paramètres!$A$1:$I$89,3,0)*0.475*44/12</f>
        <v>6.8320237739121678E-24</v>
      </c>
      <c r="ED195" s="24">
        <f t="shared" si="178"/>
        <v>8.5964611123665283E-2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-2.8421709430404007E-13</v>
      </c>
      <c r="EK195" s="18">
        <f>EJ195*VLOOKUP('Données projet'!$B$15,Paramètres!$A$1:$I$89,3,0)*VLOOKUP('Données projet'!$B$15,Paramètres!$A$1:$I$89,5,0)</f>
        <v>-3.0593128030886872E-13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479.87943647026646</v>
      </c>
      <c r="EP195" s="62">
        <f t="shared" si="154"/>
        <v>242.41363045393223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-2.8421709430404007E-13</v>
      </c>
      <c r="FF195" s="18">
        <f>FE195*VLOOKUP('Données projet'!$B$16,Paramètres!$A$1:$I$89,3,0)*VLOOKUP('Données projet'!$B$16,Paramètres!$A$1:$I$89,5,0)</f>
        <v>-2.7489477361086758E-13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425.00152674093977</v>
      </c>
      <c r="FK195" s="62">
        <f t="shared" si="156"/>
        <v>214.96884469274687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179.22241276165141</v>
      </c>
      <c r="T196" s="62">
        <f t="shared" si="142"/>
        <v>86.510654589692876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-6.7984728957526396E-14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157.42757749057949</v>
      </c>
      <c r="AO196" s="62">
        <f t="shared" si="144"/>
        <v>129.86070223892136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9.0040936605104195E-25</v>
      </c>
      <c r="AX196" s="23">
        <f t="shared" si="166"/>
        <v>9.0040936605104195E-25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projet'!$B$11,Paramètres!$A$1:$I$89,3,0)*VLOOKUP('Données projet'!$B$11,Paramètres!$A$1:$I$89,5,0)</f>
        <v>-2.9706370696658268E-13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464.21202287459482</v>
      </c>
      <c r="BJ196" s="62">
        <f t="shared" si="146"/>
        <v>234.57880205159688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projet'!$B$12,Paramètres!$A$1:$I$89,3,0)*VLOOKUP('Données projet'!$B$12,Paramètres!$A$1:$I$89,5,0)</f>
        <v>1.3567387213697657E-13</v>
      </c>
      <c r="CA196" s="14">
        <f t="shared" si="170"/>
        <v>1.9670967679808581E-12</v>
      </c>
      <c r="CB196" s="22">
        <f t="shared" si="171"/>
        <v>3.6623255315385623E-12</v>
      </c>
      <c r="CC196" s="62">
        <f t="shared" ref="CC196:CC203" si="195">CB196+(BT196+BU196)*44/12</f>
        <v>293.33333333333695</v>
      </c>
      <c r="CD196" s="62">
        <f ca="1">AVERAGE(OFFSET($CC$3,0,0,'Données projet'!$E$12+1,1))-AVERAGE(OFFSET($H$3,0,0,'Données projet'!$E$12+1,1))</f>
        <v>177.99876437322689</v>
      </c>
      <c r="CE196" s="62">
        <f t="shared" si="148"/>
        <v>165.68154380324592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5.1159076974727213E-13</v>
      </c>
      <c r="CU196" s="18">
        <f>CT196*VLOOKUP('Données projet'!$B$13,Paramètres!$A$1:$I$89,3,0)*VLOOKUP('Données projet'!$B$13,Paramètres!$A$1:$I$89,5,0)</f>
        <v>2.8597924028872516E-13</v>
      </c>
      <c r="CV196" s="14">
        <f t="shared" si="173"/>
        <v>3.8016246610825715E-12</v>
      </c>
      <c r="CW196" s="22">
        <f t="shared" si="174"/>
        <v>7.1192434615550094E-12</v>
      </c>
      <c r="CX196" s="62">
        <f t="shared" ref="CX196:CX203" si="196">CW196+(CO196+CP196)*44/12</f>
        <v>293.33333333334042</v>
      </c>
      <c r="CY196" s="62">
        <f ca="1">AVERAGE(OFFSET($CX$3,0,0,'Données projet'!$E$13+1,1))-AVERAGE(OFFSET($H$3,0,0,'Données projet'!$E$13+1,1))</f>
        <v>242.07451379051349</v>
      </c>
      <c r="CZ196" s="62">
        <f t="shared" si="150"/>
        <v>207.11607964940754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178.56320966726986</v>
      </c>
      <c r="DU196" s="62">
        <f t="shared" si="152"/>
        <v>272.06842551411739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8.3613904311806236E-2</v>
      </c>
      <c r="EC196" s="23">
        <f>EXP(-LN(2)/2)*EC195+(1-EXP(-LN(2)/2))/(LN(2)/2)*DW196*DZ196*VLOOKUP('Données projet'!$B$14,Paramètres!$A$1:$I$89,3,0)*0.475*44/12</f>
        <v>4.8309703397610019E-24</v>
      </c>
      <c r="ED196" s="24">
        <f t="shared" si="178"/>
        <v>8.3613904311806236E-2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-2.8421709430404007E-13</v>
      </c>
      <c r="EK196" s="18">
        <f>EJ196*VLOOKUP('Données projet'!$B$15,Paramètres!$A$1:$I$89,3,0)*VLOOKUP('Données projet'!$B$15,Paramètres!$A$1:$I$89,5,0)</f>
        <v>-3.0593128030886872E-13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479.87943647026646</v>
      </c>
      <c r="EP196" s="62">
        <f t="shared" si="154"/>
        <v>242.41363045393223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-2.8421709430404007E-13</v>
      </c>
      <c r="FF196" s="18">
        <f>FE196*VLOOKUP('Données projet'!$B$16,Paramètres!$A$1:$I$89,3,0)*VLOOKUP('Données projet'!$B$16,Paramètres!$A$1:$I$89,5,0)</f>
        <v>-2.7489477361086758E-13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425.00152674093977</v>
      </c>
      <c r="FK196" s="62">
        <f t="shared" si="156"/>
        <v>214.96884469274687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179.22241276165141</v>
      </c>
      <c r="T197" s="62">
        <f t="shared" ref="T197:T203" si="204">$T$3</f>
        <v>86.510654589692876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-6.7984728957526396E-14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157.42757749057949</v>
      </c>
      <c r="AO197" s="62">
        <f t="shared" ref="AO197:AO203" si="205">$AO$3</f>
        <v>129.86070223892136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6.366855685785721E-25</v>
      </c>
      <c r="AX197" s="23">
        <f t="shared" si="166"/>
        <v>6.366855685785721E-25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projet'!$B$11,Paramètres!$A$1:$I$89,3,0)*VLOOKUP('Données projet'!$B$11,Paramètres!$A$1:$I$89,5,0)</f>
        <v>-2.9706370696658268E-13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464.21202287459482</v>
      </c>
      <c r="BJ197" s="62">
        <f t="shared" ref="BJ197:BJ203" si="206">$BJ$3</f>
        <v>234.57880205159688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projet'!$B$12,Paramètres!$A$1:$I$89,3,0)*VLOOKUP('Données projet'!$B$12,Paramètres!$A$1:$I$89,5,0)</f>
        <v>1.3567387213697657E-13</v>
      </c>
      <c r="CA197" s="14">
        <f t="shared" si="170"/>
        <v>1.9670967679808581E-12</v>
      </c>
      <c r="CB197" s="22">
        <f t="shared" si="171"/>
        <v>3.6623255315385623E-12</v>
      </c>
      <c r="CC197" s="62">
        <f t="shared" si="195"/>
        <v>293.33333333333695</v>
      </c>
      <c r="CD197" s="62">
        <f ca="1">AVERAGE(OFFSET($CC$3,0,0,'Données projet'!$E$12+1,1))-AVERAGE(OFFSET($H$3,0,0,'Données projet'!$E$12+1,1))</f>
        <v>177.99876437322689</v>
      </c>
      <c r="CE197" s="62">
        <f t="shared" ref="CE197:CE203" si="207">$CE$3</f>
        <v>165.68154380324592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5.1159076974727213E-13</v>
      </c>
      <c r="CU197" s="18">
        <f>CT197*VLOOKUP('Données projet'!$B$13,Paramètres!$A$1:$I$89,3,0)*VLOOKUP('Données projet'!$B$13,Paramètres!$A$1:$I$89,5,0)</f>
        <v>2.8597924028872516E-13</v>
      </c>
      <c r="CV197" s="14">
        <f t="shared" si="173"/>
        <v>3.8016246610825715E-12</v>
      </c>
      <c r="CW197" s="22">
        <f t="shared" si="174"/>
        <v>7.1192434615550094E-12</v>
      </c>
      <c r="CX197" s="62">
        <f t="shared" si="196"/>
        <v>293.33333333334042</v>
      </c>
      <c r="CY197" s="62">
        <f ca="1">AVERAGE(OFFSET($CX$3,0,0,'Données projet'!$E$13+1,1))-AVERAGE(OFFSET($H$3,0,0,'Données projet'!$E$13+1,1))</f>
        <v>242.07451379051349</v>
      </c>
      <c r="CZ197" s="62">
        <f t="shared" ref="CZ197:CZ203" si="208">$CZ$3</f>
        <v>207.11607964940754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178.56320966726986</v>
      </c>
      <c r="DU197" s="62">
        <f t="shared" ref="DU197:DU203" si="209">$DU$3</f>
        <v>272.06842551411739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8.1327477701335762E-2</v>
      </c>
      <c r="EC197" s="23">
        <f>EXP(-LN(2)/2)*EC196+(1-EXP(-LN(2)/2))/(LN(2)/2)*DW197*DZ197*VLOOKUP('Données projet'!$B$14,Paramètres!$A$1:$I$89,3,0)*0.475*44/12</f>
        <v>3.4160118869560839E-24</v>
      </c>
      <c r="ED197" s="24">
        <f t="shared" si="178"/>
        <v>8.1327477701335762E-2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-2.8421709430404007E-13</v>
      </c>
      <c r="EK197" s="18">
        <f>EJ197*VLOOKUP('Données projet'!$B$15,Paramètres!$A$1:$I$89,3,0)*VLOOKUP('Données projet'!$B$15,Paramètres!$A$1:$I$89,5,0)</f>
        <v>-3.0593128030886872E-13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479.87943647026646</v>
      </c>
      <c r="EP197" s="62">
        <f t="shared" ref="EP197:EP203" si="210">$EP$3</f>
        <v>242.41363045393223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-2.8421709430404007E-13</v>
      </c>
      <c r="FF197" s="18">
        <f>FE197*VLOOKUP('Données projet'!$B$16,Paramètres!$A$1:$I$89,3,0)*VLOOKUP('Données projet'!$B$16,Paramètres!$A$1:$I$89,5,0)</f>
        <v>-2.7489477361086758E-13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425.00152674093977</v>
      </c>
      <c r="FK197" s="62">
        <f t="shared" ref="FK197:FK203" si="211">$FK$3</f>
        <v>214.96884469274687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179.22241276165141</v>
      </c>
      <c r="T198" s="62">
        <f t="shared" si="204"/>
        <v>86.510654589692876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-6.7984728957526396E-14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157.42757749057949</v>
      </c>
      <c r="AO198" s="62">
        <f t="shared" si="205"/>
        <v>129.86070223892136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4.5020468302552098E-25</v>
      </c>
      <c r="AX198" s="23">
        <f t="shared" si="166"/>
        <v>4.5020468302552098E-25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projet'!$B$11,Paramètres!$A$1:$I$89,3,0)*VLOOKUP('Données projet'!$B$11,Paramètres!$A$1:$I$89,5,0)</f>
        <v>-2.9706370696658268E-13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464.21202287459482</v>
      </c>
      <c r="BJ198" s="62">
        <f t="shared" si="206"/>
        <v>234.57880205159688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projet'!$B$12,Paramètres!$A$1:$I$89,3,0)*VLOOKUP('Données projet'!$B$12,Paramètres!$A$1:$I$89,5,0)</f>
        <v>1.3567387213697657E-13</v>
      </c>
      <c r="CA198" s="14">
        <f t="shared" si="170"/>
        <v>1.9670967679808581E-12</v>
      </c>
      <c r="CB198" s="22">
        <f t="shared" si="171"/>
        <v>3.6623255315385623E-12</v>
      </c>
      <c r="CC198" s="62">
        <f t="shared" si="195"/>
        <v>293.33333333333695</v>
      </c>
      <c r="CD198" s="62">
        <f ca="1">AVERAGE(OFFSET($CC$3,0,0,'Données projet'!$E$12+1,1))-AVERAGE(OFFSET($H$3,0,0,'Données projet'!$E$12+1,1))</f>
        <v>177.99876437322689</v>
      </c>
      <c r="CE198" s="62">
        <f t="shared" si="207"/>
        <v>165.68154380324592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5.1159076974727213E-13</v>
      </c>
      <c r="CU198" s="18">
        <f>CT198*VLOOKUP('Données projet'!$B$13,Paramètres!$A$1:$I$89,3,0)*VLOOKUP('Données projet'!$B$13,Paramètres!$A$1:$I$89,5,0)</f>
        <v>2.8597924028872516E-13</v>
      </c>
      <c r="CV198" s="14">
        <f t="shared" si="173"/>
        <v>3.8016246610825715E-12</v>
      </c>
      <c r="CW198" s="22">
        <f t="shared" si="174"/>
        <v>7.1192434615550094E-12</v>
      </c>
      <c r="CX198" s="62">
        <f t="shared" si="196"/>
        <v>293.33333333334042</v>
      </c>
      <c r="CY198" s="62">
        <f ca="1">AVERAGE(OFFSET($CX$3,0,0,'Données projet'!$E$13+1,1))-AVERAGE(OFFSET($H$3,0,0,'Données projet'!$E$13+1,1))</f>
        <v>242.07451379051349</v>
      </c>
      <c r="CZ198" s="62">
        <f t="shared" si="208"/>
        <v>207.11607964940754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178.56320966726986</v>
      </c>
      <c r="DU198" s="62">
        <f t="shared" si="209"/>
        <v>272.06842551411739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7.9103573546766559E-2</v>
      </c>
      <c r="EC198" s="23">
        <f>EXP(-LN(2)/2)*EC197+(1-EXP(-LN(2)/2))/(LN(2)/2)*DW198*DZ198*VLOOKUP('Données projet'!$B$14,Paramètres!$A$1:$I$89,3,0)*0.475*44/12</f>
        <v>2.4154851698805009E-24</v>
      </c>
      <c r="ED198" s="24">
        <f t="shared" si="178"/>
        <v>7.9103573546766559E-2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-2.8421709430404007E-13</v>
      </c>
      <c r="EK198" s="18">
        <f>EJ198*VLOOKUP('Données projet'!$B$15,Paramètres!$A$1:$I$89,3,0)*VLOOKUP('Données projet'!$B$15,Paramètres!$A$1:$I$89,5,0)</f>
        <v>-3.0593128030886872E-13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479.87943647026646</v>
      </c>
      <c r="EP198" s="62">
        <f t="shared" si="210"/>
        <v>242.41363045393223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-2.8421709430404007E-13</v>
      </c>
      <c r="FF198" s="18">
        <f>FE198*VLOOKUP('Données projet'!$B$16,Paramètres!$A$1:$I$89,3,0)*VLOOKUP('Données projet'!$B$16,Paramètres!$A$1:$I$89,5,0)</f>
        <v>-2.7489477361086758E-13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425.00152674093977</v>
      </c>
      <c r="FK198" s="62">
        <f t="shared" si="211"/>
        <v>214.96884469274687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179.22241276165141</v>
      </c>
      <c r="T199" s="62">
        <f t="shared" si="204"/>
        <v>86.510654589692876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-6.7984728957526396E-14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157.42757749057949</v>
      </c>
      <c r="AO199" s="62">
        <f t="shared" si="205"/>
        <v>129.86070223892136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3.1834278428928605E-25</v>
      </c>
      <c r="AX199" s="23">
        <f t="shared" si="166"/>
        <v>3.1834278428928605E-25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projet'!$B$11,Paramètres!$A$1:$I$89,3,0)*VLOOKUP('Données projet'!$B$11,Paramètres!$A$1:$I$89,5,0)</f>
        <v>-2.9706370696658268E-13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464.21202287459482</v>
      </c>
      <c r="BJ199" s="62">
        <f t="shared" si="206"/>
        <v>234.57880205159688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projet'!$B$12,Paramètres!$A$1:$I$89,3,0)*VLOOKUP('Données projet'!$B$12,Paramètres!$A$1:$I$89,5,0)</f>
        <v>1.3567387213697657E-13</v>
      </c>
      <c r="CA199" s="14">
        <f t="shared" si="170"/>
        <v>1.9670967679808581E-12</v>
      </c>
      <c r="CB199" s="22">
        <f t="shared" si="171"/>
        <v>3.6623255315385623E-12</v>
      </c>
      <c r="CC199" s="62">
        <f t="shared" si="195"/>
        <v>293.33333333333695</v>
      </c>
      <c r="CD199" s="62">
        <f ca="1">AVERAGE(OFFSET($CC$3,0,0,'Données projet'!$E$12+1,1))-AVERAGE(OFFSET($H$3,0,0,'Données projet'!$E$12+1,1))</f>
        <v>177.99876437322689</v>
      </c>
      <c r="CE199" s="62">
        <f t="shared" si="207"/>
        <v>165.68154380324592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5.1159076974727213E-13</v>
      </c>
      <c r="CU199" s="18">
        <f>CT199*VLOOKUP('Données projet'!$B$13,Paramètres!$A$1:$I$89,3,0)*VLOOKUP('Données projet'!$B$13,Paramètres!$A$1:$I$89,5,0)</f>
        <v>2.8597924028872516E-13</v>
      </c>
      <c r="CV199" s="14">
        <f t="shared" si="173"/>
        <v>3.8016246610825715E-12</v>
      </c>
      <c r="CW199" s="22">
        <f t="shared" si="174"/>
        <v>7.1192434615550094E-12</v>
      </c>
      <c r="CX199" s="62">
        <f t="shared" si="196"/>
        <v>293.33333333334042</v>
      </c>
      <c r="CY199" s="62">
        <f ca="1">AVERAGE(OFFSET($CX$3,0,0,'Données projet'!$E$13+1,1))-AVERAGE(OFFSET($H$3,0,0,'Données projet'!$E$13+1,1))</f>
        <v>242.07451379051349</v>
      </c>
      <c r="CZ199" s="62">
        <f t="shared" si="208"/>
        <v>207.11607964940754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178.56320966726986</v>
      </c>
      <c r="DU199" s="62">
        <f t="shared" si="209"/>
        <v>272.06842551411739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7.6940482168254082E-2</v>
      </c>
      <c r="EC199" s="23">
        <f>EXP(-LN(2)/2)*EC198+(1-EXP(-LN(2)/2))/(LN(2)/2)*DW199*DZ199*VLOOKUP('Données projet'!$B$14,Paramètres!$A$1:$I$89,3,0)*0.475*44/12</f>
        <v>1.7080059434780419E-24</v>
      </c>
      <c r="ED199" s="24">
        <f t="shared" si="178"/>
        <v>7.6940482168254082E-2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-2.8421709430404007E-13</v>
      </c>
      <c r="EK199" s="18">
        <f>EJ199*VLOOKUP('Données projet'!$B$15,Paramètres!$A$1:$I$89,3,0)*VLOOKUP('Données projet'!$B$15,Paramètres!$A$1:$I$89,5,0)</f>
        <v>-3.0593128030886872E-13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479.87943647026646</v>
      </c>
      <c r="EP199" s="62">
        <f t="shared" si="210"/>
        <v>242.41363045393223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-2.8421709430404007E-13</v>
      </c>
      <c r="FF199" s="18">
        <f>FE199*VLOOKUP('Données projet'!$B$16,Paramètres!$A$1:$I$89,3,0)*VLOOKUP('Données projet'!$B$16,Paramètres!$A$1:$I$89,5,0)</f>
        <v>-2.7489477361086758E-13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425.00152674093977</v>
      </c>
      <c r="FK199" s="62">
        <f t="shared" si="211"/>
        <v>214.96884469274687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179.22241276165141</v>
      </c>
      <c r="T200" s="62">
        <f t="shared" si="204"/>
        <v>86.510654589692876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-6.7984728957526396E-14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157.42757749057949</v>
      </c>
      <c r="AO200" s="62">
        <f t="shared" si="205"/>
        <v>129.86070223892136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2.2510234151276049E-25</v>
      </c>
      <c r="AX200" s="23">
        <f t="shared" si="166"/>
        <v>2.2510234151276049E-25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projet'!$B$11,Paramètres!$A$1:$I$89,3,0)*VLOOKUP('Données projet'!$B$11,Paramètres!$A$1:$I$89,5,0)</f>
        <v>-2.9706370696658268E-13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464.21202287459482</v>
      </c>
      <c r="BJ200" s="62">
        <f t="shared" si="206"/>
        <v>234.57880205159688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projet'!$B$12,Paramètres!$A$1:$I$89,3,0)*VLOOKUP('Données projet'!$B$12,Paramètres!$A$1:$I$89,5,0)</f>
        <v>1.3567387213697657E-13</v>
      </c>
      <c r="CA200" s="14">
        <f t="shared" si="170"/>
        <v>1.9670967679808581E-12</v>
      </c>
      <c r="CB200" s="22">
        <f t="shared" si="171"/>
        <v>3.6623255315385623E-12</v>
      </c>
      <c r="CC200" s="62">
        <f t="shared" si="195"/>
        <v>293.33333333333695</v>
      </c>
      <c r="CD200" s="62">
        <f ca="1">AVERAGE(OFFSET($CC$3,0,0,'Données projet'!$E$12+1,1))-AVERAGE(OFFSET($H$3,0,0,'Données projet'!$E$12+1,1))</f>
        <v>177.99876437322689</v>
      </c>
      <c r="CE200" s="62">
        <f t="shared" si="207"/>
        <v>165.68154380324592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5.1159076974727213E-13</v>
      </c>
      <c r="CU200" s="18">
        <f>CT200*VLOOKUP('Données projet'!$B$13,Paramètres!$A$1:$I$89,3,0)*VLOOKUP('Données projet'!$B$13,Paramètres!$A$1:$I$89,5,0)</f>
        <v>2.8597924028872516E-13</v>
      </c>
      <c r="CV200" s="14">
        <f t="shared" si="173"/>
        <v>3.8016246610825715E-12</v>
      </c>
      <c r="CW200" s="22">
        <f t="shared" si="174"/>
        <v>7.1192434615550094E-12</v>
      </c>
      <c r="CX200" s="62">
        <f t="shared" si="196"/>
        <v>293.33333333334042</v>
      </c>
      <c r="CY200" s="62">
        <f ca="1">AVERAGE(OFFSET($CX$3,0,0,'Données projet'!$E$13+1,1))-AVERAGE(OFFSET($H$3,0,0,'Données projet'!$E$13+1,1))</f>
        <v>242.07451379051349</v>
      </c>
      <c r="CZ200" s="62">
        <f t="shared" si="208"/>
        <v>207.11607964940754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178.56320966726986</v>
      </c>
      <c r="DU200" s="62">
        <f t="shared" si="209"/>
        <v>272.06842551411739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7.483654063723906E-2</v>
      </c>
      <c r="EC200" s="23">
        <f>EXP(-LN(2)/2)*EC199+(1-EXP(-LN(2)/2))/(LN(2)/2)*DW200*DZ200*VLOOKUP('Données projet'!$B$14,Paramètres!$A$1:$I$89,3,0)*0.475*44/12</f>
        <v>1.2077425849402505E-24</v>
      </c>
      <c r="ED200" s="24">
        <f t="shared" si="178"/>
        <v>7.483654063723906E-2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-2.8421709430404007E-13</v>
      </c>
      <c r="EK200" s="18">
        <f>EJ200*VLOOKUP('Données projet'!$B$15,Paramètres!$A$1:$I$89,3,0)*VLOOKUP('Données projet'!$B$15,Paramètres!$A$1:$I$89,5,0)</f>
        <v>-3.0593128030886872E-13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479.87943647026646</v>
      </c>
      <c r="EP200" s="62">
        <f t="shared" si="210"/>
        <v>242.41363045393223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-2.8421709430404007E-13</v>
      </c>
      <c r="FF200" s="18">
        <f>FE200*VLOOKUP('Données projet'!$B$16,Paramètres!$A$1:$I$89,3,0)*VLOOKUP('Données projet'!$B$16,Paramètres!$A$1:$I$89,5,0)</f>
        <v>-2.7489477361086758E-13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425.00152674093977</v>
      </c>
      <c r="FK200" s="62">
        <f t="shared" si="211"/>
        <v>214.96884469274687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179.22241276165141</v>
      </c>
      <c r="T201" s="62">
        <f t="shared" si="204"/>
        <v>86.510654589692876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-6.7984728957526396E-14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157.42757749057949</v>
      </c>
      <c r="AO201" s="62">
        <f t="shared" si="205"/>
        <v>129.86070223892136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1.5917139214464302E-25</v>
      </c>
      <c r="AX201" s="23">
        <f t="shared" si="166"/>
        <v>1.5917139214464302E-25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projet'!$B$11,Paramètres!$A$1:$I$89,3,0)*VLOOKUP('Données projet'!$B$11,Paramètres!$A$1:$I$89,5,0)</f>
        <v>-2.9706370696658268E-13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464.21202287459482</v>
      </c>
      <c r="BJ201" s="62">
        <f t="shared" si="206"/>
        <v>234.57880205159688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projet'!$B$12,Paramètres!$A$1:$I$89,3,0)*VLOOKUP('Données projet'!$B$12,Paramètres!$A$1:$I$89,5,0)</f>
        <v>1.3567387213697657E-13</v>
      </c>
      <c r="CA201" s="14">
        <f t="shared" si="170"/>
        <v>1.9670967679808581E-12</v>
      </c>
      <c r="CB201" s="22">
        <f t="shared" si="171"/>
        <v>3.6623255315385623E-12</v>
      </c>
      <c r="CC201" s="62">
        <f t="shared" si="195"/>
        <v>293.33333333333695</v>
      </c>
      <c r="CD201" s="62">
        <f ca="1">AVERAGE(OFFSET($CC$3,0,0,'Données projet'!$E$12+1,1))-AVERAGE(OFFSET($H$3,0,0,'Données projet'!$E$12+1,1))</f>
        <v>177.99876437322689</v>
      </c>
      <c r="CE201" s="62">
        <f t="shared" si="207"/>
        <v>165.68154380324592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5.1159076974727213E-13</v>
      </c>
      <c r="CU201" s="18">
        <f>CT201*VLOOKUP('Données projet'!$B$13,Paramètres!$A$1:$I$89,3,0)*VLOOKUP('Données projet'!$B$13,Paramètres!$A$1:$I$89,5,0)</f>
        <v>2.8597924028872516E-13</v>
      </c>
      <c r="CV201" s="14">
        <f t="shared" si="173"/>
        <v>3.8016246610825715E-12</v>
      </c>
      <c r="CW201" s="22">
        <f t="shared" si="174"/>
        <v>7.1192434615550094E-12</v>
      </c>
      <c r="CX201" s="62">
        <f t="shared" si="196"/>
        <v>293.33333333334042</v>
      </c>
      <c r="CY201" s="62">
        <f ca="1">AVERAGE(OFFSET($CX$3,0,0,'Données projet'!$E$13+1,1))-AVERAGE(OFFSET($H$3,0,0,'Données projet'!$E$13+1,1))</f>
        <v>242.07451379051349</v>
      </c>
      <c r="CZ201" s="62">
        <f t="shared" si="208"/>
        <v>207.11607964940754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178.56320966726986</v>
      </c>
      <c r="DU201" s="62">
        <f t="shared" si="209"/>
        <v>272.06842551411739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7.2790131498031124E-2</v>
      </c>
      <c r="EC201" s="23">
        <f>EXP(-LN(2)/2)*EC200+(1-EXP(-LN(2)/2))/(LN(2)/2)*DW201*DZ201*VLOOKUP('Données projet'!$B$14,Paramètres!$A$1:$I$89,3,0)*0.475*44/12</f>
        <v>8.5400297173902097E-25</v>
      </c>
      <c r="ED201" s="24">
        <f t="shared" si="178"/>
        <v>7.2790131498031124E-2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-2.8421709430404007E-13</v>
      </c>
      <c r="EK201" s="18">
        <f>EJ201*VLOOKUP('Données projet'!$B$15,Paramètres!$A$1:$I$89,3,0)*VLOOKUP('Données projet'!$B$15,Paramètres!$A$1:$I$89,5,0)</f>
        <v>-3.0593128030886872E-13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479.87943647026646</v>
      </c>
      <c r="EP201" s="62">
        <f t="shared" si="210"/>
        <v>242.41363045393223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-2.8421709430404007E-13</v>
      </c>
      <c r="FF201" s="18">
        <f>FE201*VLOOKUP('Données projet'!$B$16,Paramètres!$A$1:$I$89,3,0)*VLOOKUP('Données projet'!$B$16,Paramètres!$A$1:$I$89,5,0)</f>
        <v>-2.7489477361086758E-13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425.00152674093977</v>
      </c>
      <c r="FK201" s="62">
        <f t="shared" si="211"/>
        <v>214.96884469274687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179.22241276165141</v>
      </c>
      <c r="T202" s="62">
        <f t="shared" si="204"/>
        <v>86.510654589692876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-6.7984728957526396E-14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157.42757749057949</v>
      </c>
      <c r="AO202" s="62">
        <f t="shared" si="205"/>
        <v>129.86070223892136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1.1255117075638024E-25</v>
      </c>
      <c r="AX202" s="23">
        <f t="shared" si="166"/>
        <v>1.1255117075638024E-25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projet'!$B$11,Paramètres!$A$1:$I$89,3,0)*VLOOKUP('Données projet'!$B$11,Paramètres!$A$1:$I$89,5,0)</f>
        <v>-2.9706370696658268E-13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464.21202287459482</v>
      </c>
      <c r="BJ202" s="62">
        <f t="shared" si="206"/>
        <v>234.57880205159688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projet'!$B$12,Paramètres!$A$1:$I$89,3,0)*VLOOKUP('Données projet'!$B$12,Paramètres!$A$1:$I$89,5,0)</f>
        <v>1.3567387213697657E-13</v>
      </c>
      <c r="CA202" s="14">
        <f t="shared" si="170"/>
        <v>1.9670967679808581E-12</v>
      </c>
      <c r="CB202" s="22">
        <f t="shared" si="171"/>
        <v>3.6623255315385623E-12</v>
      </c>
      <c r="CC202" s="62">
        <f t="shared" si="195"/>
        <v>293.33333333333695</v>
      </c>
      <c r="CD202" s="62">
        <f ca="1">AVERAGE(OFFSET($CC$3,0,0,'Données projet'!$E$12+1,1))-AVERAGE(OFFSET($H$3,0,0,'Données projet'!$E$12+1,1))</f>
        <v>177.99876437322689</v>
      </c>
      <c r="CE202" s="62">
        <f t="shared" si="207"/>
        <v>165.68154380324592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5.1159076974727213E-13</v>
      </c>
      <c r="CU202" s="18">
        <f>CT202*VLOOKUP('Données projet'!$B$13,Paramètres!$A$1:$I$89,3,0)*VLOOKUP('Données projet'!$B$13,Paramètres!$A$1:$I$89,5,0)</f>
        <v>2.8597924028872516E-13</v>
      </c>
      <c r="CV202" s="14">
        <f t="shared" si="173"/>
        <v>3.8016246610825715E-12</v>
      </c>
      <c r="CW202" s="22">
        <f t="shared" si="174"/>
        <v>7.1192434615550094E-12</v>
      </c>
      <c r="CX202" s="62">
        <f t="shared" si="196"/>
        <v>293.33333333334042</v>
      </c>
      <c r="CY202" s="62">
        <f ca="1">AVERAGE(OFFSET($CX$3,0,0,'Données projet'!$E$13+1,1))-AVERAGE(OFFSET($H$3,0,0,'Données projet'!$E$13+1,1))</f>
        <v>242.07451379051349</v>
      </c>
      <c r="CZ202" s="62">
        <f t="shared" si="208"/>
        <v>207.11607964940754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178.56320966726986</v>
      </c>
      <c r="DU202" s="62">
        <f t="shared" si="209"/>
        <v>272.06842551411739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7.0799681524350816E-2</v>
      </c>
      <c r="EC202" s="23">
        <f>EXP(-LN(2)/2)*EC201+(1-EXP(-LN(2)/2))/(LN(2)/2)*DW202*DZ202*VLOOKUP('Données projet'!$B$14,Paramètres!$A$1:$I$89,3,0)*0.475*44/12</f>
        <v>6.0387129247012524E-25</v>
      </c>
      <c r="ED202" s="24">
        <f t="shared" si="178"/>
        <v>7.0799681524350816E-2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-2.8421709430404007E-13</v>
      </c>
      <c r="EK202" s="18">
        <f>EJ202*VLOOKUP('Données projet'!$B$15,Paramètres!$A$1:$I$89,3,0)*VLOOKUP('Données projet'!$B$15,Paramètres!$A$1:$I$89,5,0)</f>
        <v>-3.0593128030886872E-13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479.87943647026646</v>
      </c>
      <c r="EP202" s="62">
        <f t="shared" si="210"/>
        <v>242.41363045393223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-2.8421709430404007E-13</v>
      </c>
      <c r="FF202" s="18">
        <f>FE202*VLOOKUP('Données projet'!$B$16,Paramètres!$A$1:$I$89,3,0)*VLOOKUP('Données projet'!$B$16,Paramètres!$A$1:$I$89,5,0)</f>
        <v>-2.7489477361086758E-13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425.00152674093977</v>
      </c>
      <c r="FK202" s="62">
        <f t="shared" si="211"/>
        <v>214.96884469274687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179.22241276165141</v>
      </c>
      <c r="T203" s="62">
        <f t="shared" si="204"/>
        <v>86.510654589692876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-6.7984728957526396E-14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157.42757749057949</v>
      </c>
      <c r="AO203" s="62">
        <f t="shared" si="205"/>
        <v>129.86070223892136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7.9585696072321512E-26</v>
      </c>
      <c r="AX203" s="23">
        <f t="shared" si="166"/>
        <v>7.9585696072321512E-26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projet'!$B$11,Paramètres!$A$1:$I$89,3,0)*VLOOKUP('Données projet'!$B$11,Paramètres!$A$1:$I$89,5,0)</f>
        <v>-2.9706370696658268E-13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464.21202287459482</v>
      </c>
      <c r="BJ203" s="62">
        <f t="shared" si="206"/>
        <v>234.57880205159688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projet'!$B$12,Paramètres!$A$1:$I$89,3,0)*VLOOKUP('Données projet'!$B$12,Paramètres!$A$1:$I$89,5,0)</f>
        <v>1.3567387213697657E-13</v>
      </c>
      <c r="CA203" s="14">
        <f t="shared" si="170"/>
        <v>1.9670967679808581E-12</v>
      </c>
      <c r="CB203" s="22">
        <f t="shared" si="171"/>
        <v>3.6623255315385623E-12</v>
      </c>
      <c r="CC203" s="62">
        <f t="shared" si="195"/>
        <v>293.33333333333695</v>
      </c>
      <c r="CD203" s="62">
        <f ca="1">AVERAGE(OFFSET($CC$3,0,0,'Données projet'!$E$12+1,1))-AVERAGE(OFFSET($H$3,0,0,'Données projet'!$E$12+1,1))</f>
        <v>177.99876437322689</v>
      </c>
      <c r="CE203" s="62">
        <f t="shared" si="207"/>
        <v>165.68154380324592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5.1159076974727213E-13</v>
      </c>
      <c r="CU203" s="18">
        <f>CT203*VLOOKUP('Données projet'!$B$13,Paramètres!$A$1:$I$89,3,0)*VLOOKUP('Données projet'!$B$13,Paramètres!$A$1:$I$89,5,0)</f>
        <v>2.8597924028872516E-13</v>
      </c>
      <c r="CV203" s="14">
        <f t="shared" si="173"/>
        <v>3.8016246610825715E-12</v>
      </c>
      <c r="CW203" s="22">
        <f t="shared" si="174"/>
        <v>7.1192434615550094E-12</v>
      </c>
      <c r="CX203" s="62">
        <f t="shared" si="196"/>
        <v>293.33333333334042</v>
      </c>
      <c r="CY203" s="62">
        <f ca="1">AVERAGE(OFFSET($CX$3,0,0,'Données projet'!$E$13+1,1))-AVERAGE(OFFSET($H$3,0,0,'Données projet'!$E$13+1,1))</f>
        <v>242.07451379051349</v>
      </c>
      <c r="CZ203" s="62">
        <f t="shared" si="208"/>
        <v>207.11607964940754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178.56320966726986</v>
      </c>
      <c r="DU203" s="62">
        <f t="shared" si="209"/>
        <v>272.06842551411739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6.8863660509874011E-2</v>
      </c>
      <c r="EC203" s="23">
        <f>EXP(-LN(2)/2)*EC202+(1-EXP(-LN(2)/2))/(LN(2)/2)*DW203*DZ203*VLOOKUP('Données projet'!$B$14,Paramètres!$A$1:$I$89,3,0)*0.475*44/12</f>
        <v>4.2700148586951049E-25</v>
      </c>
      <c r="ED203" s="24">
        <f t="shared" si="178"/>
        <v>6.8863660509874011E-2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-2.8421709430404007E-13</v>
      </c>
      <c r="EK203" s="18">
        <f>EJ203*VLOOKUP('Données projet'!$B$15,Paramètres!$A$1:$I$89,3,0)*VLOOKUP('Données projet'!$B$15,Paramètres!$A$1:$I$89,5,0)</f>
        <v>-3.0593128030886872E-13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479.87943647026646</v>
      </c>
      <c r="EP203" s="62">
        <f t="shared" si="210"/>
        <v>242.41363045393223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-2.8421709430404007E-13</v>
      </c>
      <c r="FF203" s="18">
        <f>FE203*VLOOKUP('Données projet'!$B$16,Paramètres!$A$1:$I$89,3,0)*VLOOKUP('Données projet'!$B$16,Paramètres!$A$1:$I$89,5,0)</f>
        <v>-2.7489477361086758E-13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425.00152674093977</v>
      </c>
      <c r="FK203" s="62">
        <f t="shared" si="211"/>
        <v>214.96884469274687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1.1703271155931456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1.2116448776253546</v>
      </c>
      <c r="BA205" s="88">
        <f>EXP(LN('Données projet'!B88)/'Données projet'!A88)</f>
        <v>1.2240347367580502</v>
      </c>
      <c r="BV205" s="88">
        <f>EXP(LN('Données projet'!B114)/'Données projet'!A114)</f>
        <v>1.156891598310152</v>
      </c>
      <c r="CQ205" s="88">
        <f>EXP(LN('Données projet'!B140)/'Données projet'!A140)</f>
        <v>1.2184369837847564</v>
      </c>
      <c r="DL205" s="88">
        <f>EXP(LN('Données projet'!B166)/'Données projet'!A166)</f>
        <v>1.2997069632623315</v>
      </c>
      <c r="EG205" s="88">
        <f>EXP(LN('Données projet'!B192)/'Données projet'!A192)</f>
        <v>1.2240347367580502</v>
      </c>
      <c r="FB205" s="88">
        <f>EXP(LN('Données projet'!B218)/'Données projet'!A218)</f>
        <v>1.2240347367580502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F1" zoomScale="90" zoomScaleNormal="90" workbookViewId="0">
      <selection activeCell="D7" sqref="D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Sapin méditerranéen</v>
      </c>
      <c r="B6" s="155">
        <f>'Données projet'!D9</f>
        <v>3.96</v>
      </c>
      <c r="C6" s="156">
        <f ca="1">IF(OR('Données projet'!B9="",'Données projet'!C9="",'Données projet'!C9=0%),0,Calculateur!S3)</f>
        <v>179.22241276165141</v>
      </c>
      <c r="D6" s="156">
        <f>IF(OR('Données projet'!B9="",'Données projet'!C9="",'Données projet'!C9=0%),0,Calculateur!T3)</f>
        <v>86.510654589692876</v>
      </c>
      <c r="E6" s="156">
        <f ca="1">MIN(C6,D6)</f>
        <v>86.510654589692876</v>
      </c>
      <c r="F6" s="156">
        <f ca="1">E6*B6</f>
        <v>342.58219217518376</v>
      </c>
      <c r="G6" s="156">
        <f ca="1">F6*(100%-'Données projet'!$C$24)*(100%-'Données projet'!$C$25)*(100%-'Données projet'!$C$26)*(100%-'Données projet'!$C$27)</f>
        <v>292.9077743097821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292.9077743097821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1.1879999999999999</v>
      </c>
      <c r="C7" s="156">
        <f ca="1">IF(OR('Données projet'!B10="",'Données projet'!C10="",'Données projet'!C10=0%),0,Calculateur!AN3)</f>
        <v>157.42757749057949</v>
      </c>
      <c r="D7" s="156">
        <f>IF(OR('Données projet'!B10="",'Données projet'!C10="",'Données projet'!C10=0%),0,Calculateur!AO3)</f>
        <v>129.86070223892136</v>
      </c>
      <c r="E7" s="156">
        <f t="shared" ref="E7:E15" ca="1" si="0">MIN(C7,D7)</f>
        <v>129.86070223892136</v>
      </c>
      <c r="F7" s="156">
        <f t="shared" ref="F7:F15" ca="1" si="1">E7*B7</f>
        <v>154.27451425983858</v>
      </c>
      <c r="G7" s="156">
        <f ca="1">F7*(100%-'Données projet'!$C$24)*(100%-'Données projet'!$C$25)*(100%-'Données projet'!$C$26)*(100%-'Données projet'!$C$27)</f>
        <v>131.90470969216199</v>
      </c>
      <c r="H7" s="164">
        <f>IF(OR('Données projet'!B10="",'Données projet'!C10="",'Données projet'!C10=0%),0,AVERAGE(Calculateur!$AX$3:$AX$33)*B7)</f>
        <v>1.9939447607150125</v>
      </c>
      <c r="I7" s="158">
        <f>H7*(100%-'Données projet'!$C$24)*(100%-'Données projet'!$C$25)*(100%-'Données projet'!$C$26)*(100%-'Données projet'!$C$27)</f>
        <v>1.7048227704113357</v>
      </c>
      <c r="J7" s="159">
        <f>IF(OR('Données projet'!B10="",'Données projet'!C10="",'Données projet'!C10=0%),0,SUM(Calculateur!$AQ$3:$AQ$33)*VLOOKUP('Données projet'!$B$10,Paramètres!$A$1:$I$89,9,0)*B7)</f>
        <v>26.280753230769225</v>
      </c>
      <c r="K7" s="160">
        <f>J7*(100%-'Données projet'!$C$24)*(100%-'Données projet'!$C$25)*(100%-'Données projet'!$C$26)*(100%-'Données projet'!$C$27)</f>
        <v>22.470044012307689</v>
      </c>
      <c r="L7" s="161">
        <f t="shared" ref="L7:L15" ca="1" si="2">G7+I7+K7</f>
        <v>156.07957647488101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0.79200000000000004</v>
      </c>
      <c r="C8" s="156">
        <f ca="1">IF(OR('Données projet'!B11="",'Données projet'!C11="",'Données projet'!C11=0%),0,Calculateur!BI3)</f>
        <v>464.21202287459482</v>
      </c>
      <c r="D8" s="156">
        <f>IF(OR('Données projet'!B11="",'Données projet'!C11="",'Données projet'!C11=0%),0,Calculateur!BJ3)</f>
        <v>234.57880205159688</v>
      </c>
      <c r="E8" s="156">
        <f t="shared" ca="1" si="0"/>
        <v>234.57880205159688</v>
      </c>
      <c r="F8" s="156">
        <f t="shared" ca="1" si="1"/>
        <v>185.78641122486474</v>
      </c>
      <c r="G8" s="156">
        <f ca="1">F8*(100%-'Données projet'!$C$24)*(100%-'Données projet'!$C$25)*(100%-'Données projet'!$C$26)*(100%-'Données projet'!$C$27)</f>
        <v>158.84738159725936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3.1680000000000001</v>
      </c>
      <c r="K8" s="160">
        <f>J8*(100%-'Données projet'!$C$24)*(100%-'Données projet'!$C$25)*(100%-'Données projet'!$C$26)*(100%-'Données projet'!$C$27)</f>
        <v>2.7086400000000004</v>
      </c>
      <c r="L8" s="161">
        <f t="shared" ca="1" si="2"/>
        <v>161.55602159725936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plane</v>
      </c>
      <c r="B9" s="163">
        <f>'Données projet'!D12</f>
        <v>0.79200000000000004</v>
      </c>
      <c r="C9" s="156">
        <f ca="1">IF(OR('Données projet'!B12="",'Données projet'!C12="",'Données projet'!C12=0%),0,Calculateur!CD3)</f>
        <v>177.99876437322689</v>
      </c>
      <c r="D9" s="156">
        <f>IF(OR('Données projet'!B12="",'Données projet'!C12="",'Données projet'!C12=0%),0,Calculateur!CE3)</f>
        <v>165.68154380324592</v>
      </c>
      <c r="E9" s="156">
        <f t="shared" ca="1" si="0"/>
        <v>165.68154380324592</v>
      </c>
      <c r="F9" s="156">
        <f t="shared" ca="1" si="1"/>
        <v>131.21978269217078</v>
      </c>
      <c r="G9" s="156">
        <f ca="1">F9*(100%-'Données projet'!$C$24)*(100%-'Données projet'!$C$25)*(100%-'Données projet'!$C$26)*(100%-'Données projet'!$C$27)</f>
        <v>112.192914201806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8.3160000000000007</v>
      </c>
      <c r="K9" s="160">
        <f>J9*(100%-'Données projet'!$C$24)*(100%-'Données projet'!$C$25)*(100%-'Données projet'!$C$26)*(100%-'Données projet'!$C$27)</f>
        <v>7.1101800000000006</v>
      </c>
      <c r="L9" s="161">
        <f t="shared" ca="1" si="2"/>
        <v>119.303094201806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Douglas</v>
      </c>
      <c r="B10" s="163">
        <f>'Données projet'!D13</f>
        <v>0.39600000000000002</v>
      </c>
      <c r="C10" s="156">
        <f ca="1">IF(OR('Données projet'!B13="",'Données projet'!C13="",'Données projet'!C13=0%),0,Calculateur!CY3)</f>
        <v>242.07451379051349</v>
      </c>
      <c r="D10" s="156">
        <f>IF(OR('Données projet'!B13="",'Données projet'!C13="",'Données projet'!C13=0%),0,Calculateur!CZ3)</f>
        <v>207.11607964940754</v>
      </c>
      <c r="E10" s="156">
        <f t="shared" ca="1" si="0"/>
        <v>207.11607964940754</v>
      </c>
      <c r="F10" s="156">
        <f t="shared" ca="1" si="1"/>
        <v>82.01796754116539</v>
      </c>
      <c r="G10" s="156">
        <f ca="1">F10*(100%-'Données projet'!$C$24)*(100%-'Données projet'!$C$25)*(100%-'Données projet'!$C$26)*(100%-'Données projet'!$C$27)</f>
        <v>70.125362247696401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70.125362247696401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Mélèze d'Europe</v>
      </c>
      <c r="B11" s="163">
        <f>'Données projet'!D14</f>
        <v>0.39600000000000002</v>
      </c>
      <c r="C11" s="156">
        <f ca="1">IF(OR('Données projet'!B14="",'Données projet'!C14="",'Données projet'!C14=0%),0,Calculateur!DT3)</f>
        <v>178.56320966726986</v>
      </c>
      <c r="D11" s="156">
        <f>IF(OR('Données projet'!B14="",'Données projet'!C14="",'Données projet'!C14=0%),0,Calculateur!DU3)</f>
        <v>272.06842551411739</v>
      </c>
      <c r="E11" s="156">
        <f t="shared" ca="1" si="0"/>
        <v>178.56320966726986</v>
      </c>
      <c r="F11" s="156">
        <f t="shared" ca="1" si="1"/>
        <v>70.711031028238864</v>
      </c>
      <c r="G11" s="156">
        <f ca="1">F11*(100%-'Données projet'!$C$24)*(100%-'Données projet'!$C$25)*(100%-'Données projet'!$C$26)*(100%-'Données projet'!$C$27)</f>
        <v>60.457931529144226</v>
      </c>
      <c r="H11" s="164">
        <f>IF(OR('Données projet'!B14="",'Données projet'!C14="",'Données projet'!C14=0%),0,AVERAGE(Calculateur!$ED$3:$ED$33)*B11)</f>
        <v>1.5134170251408137</v>
      </c>
      <c r="I11" s="158">
        <f>H11*(100%-'Données projet'!$C$24)*(100%-'Données projet'!$C$25)*(100%-'Données projet'!$C$26)*(100%-'Données projet'!$C$27)</f>
        <v>1.2939715564953957</v>
      </c>
      <c r="J11" s="159">
        <f>IF(OR('Données projet'!B14="",'Données projet'!C14="",'Données projet'!C14=0%),0,SUM(Calculateur!$DW$3:$DW$33)*VLOOKUP('Données projet'!$B$14,Paramètres!$A$1:$I$89,9,0)*B11)</f>
        <v>21.795840000000002</v>
      </c>
      <c r="K11" s="160">
        <f>J11*(100%-'Données projet'!$C$24)*(100%-'Données projet'!$C$25)*(100%-'Données projet'!$C$26)*(100%-'Données projet'!$C$27)</f>
        <v>18.635443200000001</v>
      </c>
      <c r="L11" s="161">
        <f t="shared" ca="1" si="2"/>
        <v>80.387346285639623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Cormier</v>
      </c>
      <c r="B12" s="163">
        <f>'Données projet'!D15</f>
        <v>0.19800000000000001</v>
      </c>
      <c r="C12" s="156">
        <f ca="1">IF(OR('Données projet'!B15="",'Données projet'!C15="",'Données projet'!C15=0%),0,Calculateur!EO3)</f>
        <v>479.87943647026646</v>
      </c>
      <c r="D12" s="156">
        <f>IF(OR('Données projet'!B15="",'Données projet'!C15="",'Données projet'!C15=0%),0,Calculateur!EP3)</f>
        <v>242.41363045393223</v>
      </c>
      <c r="E12" s="156">
        <f t="shared" ca="1" si="0"/>
        <v>242.41363045393223</v>
      </c>
      <c r="F12" s="156">
        <f t="shared" ca="1" si="1"/>
        <v>47.997898829878586</v>
      </c>
      <c r="G12" s="156">
        <f ca="1">F12*(100%-'Données projet'!$C$24)*(100%-'Données projet'!$C$25)*(100%-'Données projet'!$C$26)*(100%-'Données projet'!$C$27)</f>
        <v>41.038203499546192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0.79200000000000004</v>
      </c>
      <c r="K12" s="160">
        <f>J12*(100%-'Données projet'!$C$24)*(100%-'Données projet'!$C$25)*(100%-'Données projet'!$C$26)*(100%-'Données projet'!$C$27)</f>
        <v>0.6771600000000001</v>
      </c>
      <c r="L12" s="161">
        <f t="shared" ca="1" si="2"/>
        <v>41.715363499546193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Alisier torminal</v>
      </c>
      <c r="B13" s="163">
        <f>'Données projet'!D16</f>
        <v>0.19800000000000001</v>
      </c>
      <c r="C13" s="156">
        <f ca="1">IF(OR('Données projet'!B16="",'Données projet'!C16="",'Données projet'!C16=0%),0,Calculateur!FJ3)</f>
        <v>425.00152674093977</v>
      </c>
      <c r="D13" s="156">
        <f>IF(OR('Données projet'!B16="",'Données projet'!C16="",'Données projet'!C16=0%),0,Calculateur!FK3)</f>
        <v>214.96884469274687</v>
      </c>
      <c r="E13" s="156">
        <f t="shared" ca="1" si="0"/>
        <v>214.96884469274687</v>
      </c>
      <c r="F13" s="156">
        <f t="shared" ca="1" si="1"/>
        <v>42.563831249163883</v>
      </c>
      <c r="G13" s="156">
        <f ca="1">F13*(100%-'Données projet'!$C$24)*(100%-'Données projet'!$C$25)*(100%-'Données projet'!$C$26)*(100%-'Données projet'!$C$27)</f>
        <v>36.392075718035116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0.79200000000000004</v>
      </c>
      <c r="K13" s="160">
        <f>J13*(100%-'Données projet'!$C$24)*(100%-'Données projet'!$C$25)*(100%-'Données projet'!$C$26)*(100%-'Données projet'!$C$27)</f>
        <v>0.6771600000000001</v>
      </c>
      <c r="L13" s="161">
        <f t="shared" ca="1" si="2"/>
        <v>37.069235718035117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1057.1536290005047</v>
      </c>
      <c r="G16" s="175">
        <f t="shared" ca="1" si="3"/>
        <v>903.86635279543145</v>
      </c>
      <c r="H16" s="176">
        <f t="shared" si="3"/>
        <v>3.5073617858558261</v>
      </c>
      <c r="I16" s="176">
        <f t="shared" si="3"/>
        <v>2.9987943269067312</v>
      </c>
      <c r="J16" s="177">
        <f t="shared" si="3"/>
        <v>61.144593230769232</v>
      </c>
      <c r="K16" s="177">
        <f t="shared" si="3"/>
        <v>52.278627212307697</v>
      </c>
      <c r="L16" s="178">
        <f t="shared" ca="1" si="3"/>
        <v>959.14377433464585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Sapin méditerranéen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plane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Douglas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Mélèze d'Europe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Cormier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Alisier torminal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R8" zoomScale="93" zoomScaleNormal="93" workbookViewId="0">
      <selection activeCell="I16" sqref="I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Sapin méditerranéen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960.89950472595547</v>
      </c>
      <c r="U10" s="190">
        <f>'Données projet'!D9</f>
        <v>3.96</v>
      </c>
      <c r="V10" s="189">
        <f>U10*T10</f>
        <v>3805.1620387147836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1626.7767325441735</v>
      </c>
      <c r="U11" s="190">
        <f>'Données projet'!D10</f>
        <v>1.1879999999999999</v>
      </c>
      <c r="V11" s="189">
        <f t="shared" ref="V11" si="0">U11*T11</f>
        <v>1932.6107582624779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421.37172088167927</v>
      </c>
      <c r="U12" s="190">
        <f>'Données projet'!D11</f>
        <v>0.79200000000000004</v>
      </c>
      <c r="V12" s="189">
        <f t="shared" ref="V12:V19" si="1">U12*T12</f>
        <v>333.72640293828999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plane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772.94102032506544</v>
      </c>
      <c r="U13" s="190">
        <f>'Données projet'!D12</f>
        <v>0.79200000000000004</v>
      </c>
      <c r="V13" s="189">
        <f t="shared" si="1"/>
        <v>612.16928809745184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Sapin méditerranéen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Douglas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1387.6549896601987</v>
      </c>
      <c r="U14" s="190">
        <f>'Données projet'!D13</f>
        <v>0.39600000000000002</v>
      </c>
      <c r="V14" s="189">
        <f t="shared" si="1"/>
        <v>549.51137590543874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8697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Mélèze d'Europe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3024.169377527538</v>
      </c>
      <c r="U15" s="190">
        <f>'Données projet'!D14</f>
        <v>0.39600000000000002</v>
      </c>
      <c r="V15" s="189">
        <f t="shared" si="1"/>
        <v>1197.5710735009052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>Cormier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421.37172088167927</v>
      </c>
      <c r="U16" s="190">
        <f>'Données projet'!D15</f>
        <v>0.19800000000000001</v>
      </c>
      <c r="V16" s="189">
        <f t="shared" si="1"/>
        <v>83.431600734572498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99.999999999999957</v>
      </c>
      <c r="O17" s="25"/>
      <c r="P17" s="25"/>
      <c r="Q17" s="265"/>
      <c r="R17" s="25"/>
      <c r="S17" s="185" t="str">
        <f>B231</f>
        <v>Alisier torminal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421.37172088167927</v>
      </c>
      <c r="U17" s="190">
        <f>'Données projet'!D16</f>
        <v>0.19800000000000001</v>
      </c>
      <c r="V17" s="189">
        <f t="shared" si="1"/>
        <v>83.431600734572498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3999.9999999999982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21742.5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-94722.7458611115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40</v>
      </c>
      <c r="B24" s="193">
        <f>'Données projet'!D37</f>
        <v>92</v>
      </c>
      <c r="C24" s="206">
        <v>15</v>
      </c>
      <c r="D24" s="194">
        <f t="shared" ref="D24:D42" si="2">B24*C24</f>
        <v>1380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388.28993054598556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50</v>
      </c>
      <c r="B25" s="193">
        <f>'Données projet'!D38</f>
        <v>58</v>
      </c>
      <c r="C25" s="206">
        <v>20</v>
      </c>
      <c r="D25" s="194">
        <f t="shared" si="2"/>
        <v>1160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-95111.035791657487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60</v>
      </c>
      <c r="B26" s="193">
        <f>'Données projet'!D39</f>
        <v>58</v>
      </c>
      <c r="C26" s="206">
        <v>25</v>
      </c>
      <c r="D26" s="194">
        <f t="shared" si="2"/>
        <v>1450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70</v>
      </c>
      <c r="B27" s="193">
        <f>'Données projet'!D40</f>
        <v>62</v>
      </c>
      <c r="C27" s="206">
        <v>30</v>
      </c>
      <c r="D27" s="194">
        <f t="shared" si="2"/>
        <v>1860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80</v>
      </c>
      <c r="B28" s="193">
        <f>'Données projet'!D41</f>
        <v>58</v>
      </c>
      <c r="C28" s="206">
        <v>35</v>
      </c>
      <c r="D28" s="194">
        <f t="shared" si="2"/>
        <v>2030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90</v>
      </c>
      <c r="B29" s="193">
        <f>'Données projet'!D42</f>
        <v>50</v>
      </c>
      <c r="C29" s="206">
        <v>40</v>
      </c>
      <c r="D29" s="194">
        <f t="shared" si="2"/>
        <v>2000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100</v>
      </c>
      <c r="B30" s="193">
        <f>'Données projet'!D43</f>
        <v>45</v>
      </c>
      <c r="C30" s="206">
        <v>50</v>
      </c>
      <c r="D30" s="194">
        <f t="shared" si="2"/>
        <v>2250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110</v>
      </c>
      <c r="B31" s="193">
        <f>'Données projet'!D44</f>
        <v>593</v>
      </c>
      <c r="C31" s="206">
        <v>60</v>
      </c>
      <c r="D31" s="194">
        <f t="shared" si="2"/>
        <v>35580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51.446153846153841</v>
      </c>
      <c r="C54" s="204">
        <v>15</v>
      </c>
      <c r="D54" s="191">
        <f>B54*C54</f>
        <v>771.69230769230762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32</v>
      </c>
      <c r="B56" s="193">
        <f>'Données projet'!D64</f>
        <v>41.469230769230762</v>
      </c>
      <c r="C56" s="204">
        <v>20</v>
      </c>
      <c r="D56" s="191">
        <f t="shared" si="4"/>
        <v>829.38461538461524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33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48.323076923076918</v>
      </c>
      <c r="C58" s="204">
        <v>25</v>
      </c>
      <c r="D58" s="191">
        <f t="shared" si="4"/>
        <v>1208.0769230769229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42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55.676923076923075</v>
      </c>
      <c r="C60" s="204">
        <v>30</v>
      </c>
      <c r="D60" s="191">
        <f t="shared" si="4"/>
        <v>1670.3076923076922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50.076923076923073</v>
      </c>
      <c r="C61" s="204">
        <v>35</v>
      </c>
      <c r="D61" s="191">
        <f t="shared" si="4"/>
        <v>1752.6923076923076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70</v>
      </c>
      <c r="B62" s="193">
        <f>'Données projet'!D70</f>
        <v>54.215384615384615</v>
      </c>
      <c r="C62" s="204">
        <v>40</v>
      </c>
      <c r="D62" s="191">
        <f t="shared" si="4"/>
        <v>2168.6153846153848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80</v>
      </c>
      <c r="B63" s="193">
        <f>'Données projet'!D71</f>
        <v>310.16923076923081</v>
      </c>
      <c r="C63" s="204">
        <v>60</v>
      </c>
      <c r="D63" s="191">
        <f t="shared" si="4"/>
        <v>18610.153846153848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16</v>
      </c>
      <c r="C86" s="204">
        <v>10</v>
      </c>
      <c r="D86" s="191">
        <f t="shared" ref="D86:D104" si="6">B86*C86</f>
        <v>160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24</v>
      </c>
      <c r="C88" s="204">
        <v>10</v>
      </c>
      <c r="D88" s="191">
        <f t="shared" si="6"/>
        <v>240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30</v>
      </c>
      <c r="C92" s="204">
        <v>15</v>
      </c>
      <c r="D92" s="191">
        <f t="shared" si="6"/>
        <v>450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30</v>
      </c>
      <c r="C94" s="204">
        <v>20</v>
      </c>
      <c r="D94" s="191">
        <f t="shared" si="6"/>
        <v>600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30</v>
      </c>
      <c r="D96" s="191">
        <f t="shared" si="6"/>
        <v>840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27</v>
      </c>
      <c r="C98" s="204">
        <v>40</v>
      </c>
      <c r="D98" s="191">
        <f t="shared" si="6"/>
        <v>1080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26</v>
      </c>
      <c r="C100" s="204">
        <v>50</v>
      </c>
      <c r="D100" s="191">
        <f t="shared" si="6"/>
        <v>1300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34</v>
      </c>
      <c r="C102" s="204">
        <v>60</v>
      </c>
      <c r="D102" s="191">
        <f t="shared" si="6"/>
        <v>2040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120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130</v>
      </c>
      <c r="B104" s="193">
        <f>'Données projet'!D107</f>
        <v>425</v>
      </c>
      <c r="C104" s="204">
        <v>80</v>
      </c>
      <c r="D104" s="191">
        <f t="shared" si="6"/>
        <v>34000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plane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42</v>
      </c>
      <c r="C118" s="204">
        <v>10</v>
      </c>
      <c r="D118" s="191">
        <f t="shared" si="8"/>
        <v>420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42</v>
      </c>
      <c r="C120" s="204">
        <v>15</v>
      </c>
      <c r="D120" s="191">
        <f t="shared" si="8"/>
        <v>630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39.299999999999997</v>
      </c>
      <c r="C122" s="204">
        <v>15</v>
      </c>
      <c r="D122" s="191">
        <f t="shared" si="8"/>
        <v>589.5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23.8</v>
      </c>
      <c r="C124" s="204">
        <v>20</v>
      </c>
      <c r="D124" s="191">
        <f t="shared" si="8"/>
        <v>476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17.700000000000003</v>
      </c>
      <c r="C126" s="204">
        <v>30</v>
      </c>
      <c r="D126" s="191">
        <f t="shared" si="8"/>
        <v>531.00000000000011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232.89999999999998</v>
      </c>
      <c r="C129" s="204">
        <v>50</v>
      </c>
      <c r="D129" s="191">
        <f t="shared" si="8"/>
        <v>11644.999999999998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Douglas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34</v>
      </c>
      <c r="B149" s="187">
        <f>'Données projet'!D142</f>
        <v>83.969230769230762</v>
      </c>
      <c r="C149" s="204">
        <v>20</v>
      </c>
      <c r="D149" s="194">
        <f t="shared" si="10"/>
        <v>1679.3846153846152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43</v>
      </c>
      <c r="B150" s="187">
        <f>'Données projet'!D143</f>
        <v>60.638461538461534</v>
      </c>
      <c r="C150" s="204">
        <v>25</v>
      </c>
      <c r="D150" s="194">
        <f t="shared" si="10"/>
        <v>1515.9615384615383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52</v>
      </c>
      <c r="B151" s="187">
        <f>'Données projet'!D144</f>
        <v>50.353846153846149</v>
      </c>
      <c r="C151" s="204">
        <v>30</v>
      </c>
      <c r="D151" s="194">
        <f t="shared" si="10"/>
        <v>1510.6153846153845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62</v>
      </c>
      <c r="B152" s="187">
        <f>'Données projet'!D145</f>
        <v>53.707692307692298</v>
      </c>
      <c r="C152" s="204">
        <v>40</v>
      </c>
      <c r="D152" s="194">
        <f t="shared" si="10"/>
        <v>2148.3076923076919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72</v>
      </c>
      <c r="B153" s="187">
        <f>'Données projet'!D146</f>
        <v>51.930769230769236</v>
      </c>
      <c r="C153" s="204">
        <v>50</v>
      </c>
      <c r="D153" s="194">
        <f t="shared" si="10"/>
        <v>2596.5384615384619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84</v>
      </c>
      <c r="B154" s="187">
        <f>'Données projet'!D147</f>
        <v>56.592307692307685</v>
      </c>
      <c r="C154" s="204">
        <v>60</v>
      </c>
      <c r="D154" s="194">
        <f t="shared" si="10"/>
        <v>3395.538461538461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96</v>
      </c>
      <c r="B155" s="187">
        <f>'Données projet'!D148</f>
        <v>59.776923076923069</v>
      </c>
      <c r="C155" s="204">
        <v>70</v>
      </c>
      <c r="D155" s="194">
        <f t="shared" si="10"/>
        <v>4184.3846153846152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108</v>
      </c>
      <c r="B156" s="187">
        <f>'Données projet'!D149</f>
        <v>52.361538461538451</v>
      </c>
      <c r="C156" s="204">
        <v>80</v>
      </c>
      <c r="D156" s="194">
        <f t="shared" si="10"/>
        <v>4188.9230769230762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120</v>
      </c>
      <c r="B157" s="187">
        <f>'Données projet'!D150</f>
        <v>392.12307692307689</v>
      </c>
      <c r="C157" s="204">
        <v>100</v>
      </c>
      <c r="D157" s="194">
        <f t="shared" si="10"/>
        <v>39212.307692307688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Mélèze d'Europe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18</v>
      </c>
      <c r="B178" s="193">
        <f>'Données projet'!D166</f>
        <v>20</v>
      </c>
      <c r="C178" s="206">
        <v>15</v>
      </c>
      <c r="D178" s="191">
        <f>B178*C178</f>
        <v>300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21</v>
      </c>
      <c r="B179" s="193">
        <f>'Données projet'!D167</f>
        <v>26</v>
      </c>
      <c r="C179" s="206">
        <v>15</v>
      </c>
      <c r="D179" s="191">
        <f t="shared" ref="D179:D197" si="11">B179*C179</f>
        <v>390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24</v>
      </c>
      <c r="B180" s="193">
        <f>'Données projet'!D168</f>
        <v>29</v>
      </c>
      <c r="C180" s="204">
        <v>20</v>
      </c>
      <c r="D180" s="191">
        <f t="shared" si="11"/>
        <v>580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53</v>
      </c>
      <c r="C181" s="204">
        <v>20</v>
      </c>
      <c r="D181" s="191">
        <f t="shared" si="11"/>
        <v>1060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36</v>
      </c>
      <c r="B182" s="193">
        <f>'Données projet'!D170</f>
        <v>62</v>
      </c>
      <c r="C182" s="204">
        <v>25</v>
      </c>
      <c r="D182" s="191">
        <f t="shared" si="11"/>
        <v>1550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42</v>
      </c>
      <c r="B183" s="193">
        <f>'Données projet'!D171</f>
        <v>67</v>
      </c>
      <c r="C183" s="204">
        <v>30</v>
      </c>
      <c r="D183" s="191">
        <f t="shared" si="11"/>
        <v>2010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48</v>
      </c>
      <c r="B184" s="193">
        <f>'Données projet'!D172</f>
        <v>65</v>
      </c>
      <c r="C184" s="204">
        <v>40</v>
      </c>
      <c r="D184" s="191">
        <f t="shared" si="11"/>
        <v>2600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304</v>
      </c>
      <c r="C185" s="204">
        <v>60</v>
      </c>
      <c r="D185" s="191">
        <f t="shared" si="11"/>
        <v>18240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4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4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4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4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4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4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4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Cormier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16</v>
      </c>
      <c r="C210" s="204">
        <v>10</v>
      </c>
      <c r="D210" s="191">
        <f t="shared" ref="D210:D228" si="12">B210*C210</f>
        <v>160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0</v>
      </c>
      <c r="C211" s="204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24</v>
      </c>
      <c r="C212" s="204">
        <v>10</v>
      </c>
      <c r="D212" s="191">
        <f t="shared" si="12"/>
        <v>240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0</v>
      </c>
      <c r="C213" s="204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04">
        <v>10</v>
      </c>
      <c r="D214" s="191">
        <f t="shared" si="12"/>
        <v>280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0</v>
      </c>
      <c r="C215" s="204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30</v>
      </c>
      <c r="C216" s="204">
        <v>15</v>
      </c>
      <c r="D216" s="191">
        <f t="shared" si="12"/>
        <v>450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0</v>
      </c>
      <c r="C217" s="204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30</v>
      </c>
      <c r="C218" s="204">
        <v>20</v>
      </c>
      <c r="D218" s="191">
        <f t="shared" si="12"/>
        <v>600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0</v>
      </c>
      <c r="C219" s="204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04">
        <v>30</v>
      </c>
      <c r="D220" s="191">
        <f t="shared" si="12"/>
        <v>840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0</v>
      </c>
      <c r="C221" s="204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27</v>
      </c>
      <c r="C222" s="204">
        <v>40</v>
      </c>
      <c r="D222" s="191">
        <f t="shared" si="12"/>
        <v>1080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0</v>
      </c>
      <c r="C223" s="204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26</v>
      </c>
      <c r="C224" s="204">
        <v>50</v>
      </c>
      <c r="D224" s="191">
        <f t="shared" si="12"/>
        <v>1300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0</v>
      </c>
      <c r="C225" s="204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110</v>
      </c>
      <c r="B226" s="193">
        <f>'Données projet'!D209</f>
        <v>34</v>
      </c>
      <c r="C226" s="204">
        <v>60</v>
      </c>
      <c r="D226" s="191">
        <f t="shared" si="12"/>
        <v>2040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120</v>
      </c>
      <c r="B227" s="193">
        <f>'Données projet'!D210</f>
        <v>0</v>
      </c>
      <c r="C227" s="204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130</v>
      </c>
      <c r="B228" s="193">
        <f>'Données projet'!D211</f>
        <v>425</v>
      </c>
      <c r="C228" s="204">
        <v>80</v>
      </c>
      <c r="D228" s="191">
        <f t="shared" si="12"/>
        <v>34000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Alisier torminal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16</v>
      </c>
      <c r="C241" s="204">
        <v>10</v>
      </c>
      <c r="D241" s="191">
        <f t="shared" ref="D241:D259" si="13">B241*C241</f>
        <v>160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0</v>
      </c>
      <c r="C242" s="204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24</v>
      </c>
      <c r="C243" s="204">
        <v>10</v>
      </c>
      <c r="D243" s="191">
        <f t="shared" si="13"/>
        <v>240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0</v>
      </c>
      <c r="C244" s="204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28</v>
      </c>
      <c r="C245" s="204">
        <v>10</v>
      </c>
      <c r="D245" s="191">
        <f t="shared" si="13"/>
        <v>280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0</v>
      </c>
      <c r="C246" s="204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30</v>
      </c>
      <c r="C247" s="204">
        <v>15</v>
      </c>
      <c r="D247" s="191">
        <f t="shared" si="13"/>
        <v>450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0</v>
      </c>
      <c r="C248" s="204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30</v>
      </c>
      <c r="C249" s="204">
        <v>20</v>
      </c>
      <c r="D249" s="191">
        <f t="shared" si="13"/>
        <v>600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0</v>
      </c>
      <c r="C250" s="204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28</v>
      </c>
      <c r="C251" s="204">
        <v>30</v>
      </c>
      <c r="D251" s="191">
        <f t="shared" si="13"/>
        <v>840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0</v>
      </c>
      <c r="C252" s="204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85</v>
      </c>
      <c r="B253" s="193">
        <f>'Données projet'!D231</f>
        <v>27</v>
      </c>
      <c r="C253" s="204">
        <v>40</v>
      </c>
      <c r="D253" s="191">
        <f t="shared" si="13"/>
        <v>1080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90</v>
      </c>
      <c r="B254" s="193">
        <f>'Données projet'!D232</f>
        <v>0</v>
      </c>
      <c r="C254" s="204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95</v>
      </c>
      <c r="B255" s="193">
        <f>'Données projet'!D233</f>
        <v>26</v>
      </c>
      <c r="C255" s="204">
        <v>50</v>
      </c>
      <c r="D255" s="191">
        <f t="shared" si="13"/>
        <v>1300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100</v>
      </c>
      <c r="B256" s="193">
        <f>'Données projet'!D234</f>
        <v>0</v>
      </c>
      <c r="C256" s="204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110</v>
      </c>
      <c r="B257" s="193">
        <f>'Données projet'!D235</f>
        <v>34</v>
      </c>
      <c r="C257" s="204">
        <v>60</v>
      </c>
      <c r="D257" s="191">
        <f t="shared" si="13"/>
        <v>2040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120</v>
      </c>
      <c r="B258" s="193">
        <f>'Données projet'!D236</f>
        <v>0</v>
      </c>
      <c r="C258" s="204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130</v>
      </c>
      <c r="B259" s="193">
        <f>'Données projet'!D237</f>
        <v>425</v>
      </c>
      <c r="C259" s="204">
        <v>80</v>
      </c>
      <c r="D259" s="191">
        <f t="shared" si="13"/>
        <v>34000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2024-11-04T13:40:42Z</dcterms:modified>
</cp:coreProperties>
</file>