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OYEN David/Osches - Souilly/"/>
    </mc:Choice>
  </mc:AlternateContent>
  <xr:revisionPtr revIDLastSave="50" documentId="13_ncr:1_{35A586D1-DC72-49EA-B4F3-262B468EE307}" xr6:coauthVersionLast="47" xr6:coauthVersionMax="47" xr10:uidLastSave="{418103E5-D38B-48C5-B3DA-D7F9820444A4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D184" i="2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HJ199" i="2" s="1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S202" i="2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71" i="2" a="1"/>
  <c r="FY71" i="2" s="1"/>
  <c r="FY186" i="2" a="1"/>
  <c r="FY186" i="2" s="1"/>
  <c r="FY152" i="2" a="1"/>
  <c r="FY152" i="2" s="1"/>
  <c r="FY178" i="2" a="1"/>
  <c r="FY178" i="2" s="1"/>
  <c r="FY104" i="2" a="1"/>
  <c r="FY104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BC31" i="2" a="1"/>
  <c r="BC31" i="2" s="1"/>
  <c r="BC143" i="2" a="1"/>
  <c r="BC143" i="2" s="1"/>
  <c r="BC185" i="2" a="1"/>
  <c r="BC185" i="2" s="1"/>
  <c r="GT12" i="2" a="1"/>
  <c r="GT12" i="2" s="1"/>
  <c r="GT21" i="2" a="1"/>
  <c r="GT21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84" i="2" l="1" a="1"/>
  <c r="BC84" i="2" s="1"/>
  <c r="FD14" i="2" a="1"/>
  <c r="FD14" i="2" s="1"/>
  <c r="GT126" i="2" a="1"/>
  <c r="GT126" i="2" s="1"/>
  <c r="GT121" i="2" a="1"/>
  <c r="GT121" i="2" s="1"/>
  <c r="EI36" i="2" a="1"/>
  <c r="EI36" i="2" s="1"/>
  <c r="GT74" i="2" a="1"/>
  <c r="GT74" i="2" s="1"/>
  <c r="FD19" i="2" a="1"/>
  <c r="FD19" i="2" s="1"/>
  <c r="FD44" i="2" a="1"/>
  <c r="FD44" i="2" s="1"/>
  <c r="EI29" i="2" a="1"/>
  <c r="EI29" i="2" s="1"/>
  <c r="GT122" i="2" a="1"/>
  <c r="GT122" i="2" s="1"/>
  <c r="FD194" i="2" a="1"/>
  <c r="FD194" i="2" s="1"/>
  <c r="EI35" i="2" a="1"/>
  <c r="EI35" i="2" s="1"/>
  <c r="GT178" i="2" a="1"/>
  <c r="GT178" i="2" s="1"/>
  <c r="FD160" i="2" a="1"/>
  <c r="FD160" i="2" s="1"/>
  <c r="FD188" i="2" a="1"/>
  <c r="FD188" i="2" s="1"/>
  <c r="EI106" i="2" a="1"/>
  <c r="EI106" i="2" s="1"/>
  <c r="GT51" i="2" a="1"/>
  <c r="GT51" i="2" s="1"/>
  <c r="FD187" i="2" a="1"/>
  <c r="FD187" i="2" s="1"/>
  <c r="FD48" i="2" a="1"/>
  <c r="FD48" i="2" s="1"/>
  <c r="EI139" i="2" a="1"/>
  <c r="EI139" i="2" s="1"/>
  <c r="EI67" i="2" a="1"/>
  <c r="EI67" i="2" s="1"/>
  <c r="EI109" i="2" a="1"/>
  <c r="EI109" i="2" s="1"/>
  <c r="GT189" i="2" a="1"/>
  <c r="GT189" i="2" s="1"/>
  <c r="FD137" i="2" a="1"/>
  <c r="FD137" i="2" s="1"/>
  <c r="FD60" i="2" a="1"/>
  <c r="FD60" i="2" s="1"/>
  <c r="EI153" i="2" a="1"/>
  <c r="EI153" i="2" s="1"/>
  <c r="GT68" i="2" a="1"/>
  <c r="GT68" i="2" s="1"/>
  <c r="EI87" i="2" a="1"/>
  <c r="EI87" i="2" s="1"/>
  <c r="EI170" i="2" a="1"/>
  <c r="EI170" i="2" s="1"/>
  <c r="EI38" i="2" a="1"/>
  <c r="EI38" i="2" s="1"/>
  <c r="GT198" i="2" a="1"/>
  <c r="GT198" i="2" s="1"/>
  <c r="FD159" i="2" a="1"/>
  <c r="FD159" i="2" s="1"/>
  <c r="EI166" i="2" a="1"/>
  <c r="EI166" i="2" s="1"/>
  <c r="GT181" i="2" a="1"/>
  <c r="GT181" i="2" s="1"/>
  <c r="FY172" i="2" a="1"/>
  <c r="FY172" i="2" s="1"/>
  <c r="FY55" i="2" a="1"/>
  <c r="FY55" i="2" s="1"/>
  <c r="FY18" i="2" a="1"/>
  <c r="FY18" i="2" s="1"/>
  <c r="BC7" i="2" a="1"/>
  <c r="BC7" i="2" s="1"/>
  <c r="BC151" i="2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D203" i="2"/>
  <c r="DI203" i="2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<sst xmlns="http://schemas.openxmlformats.org/spreadsheetml/2006/main" count="1172" uniqueCount="325">
  <si>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</si>
  <si>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</si>
  <si>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</si>
  <si>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</si>
  <si>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</si>
  <si>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</si>
  <si>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</si>
  <si>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</si>
  <si>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</si>
  <si>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</si>
  <si>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</si>
  <si>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</si>
  <si>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</si>
  <si>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</si>
  <si>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</si>
  <si>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</si>
  <si>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</si>
  <si>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</si>
  <si>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</si>
  <si>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</si>
  <si>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</si>
  <si>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Sapin pectiné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</si>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</sst>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8"/>
      <color rgb="FF3A3A3A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168" fontId="32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1.5131185718572919</c:v>
                </c:pt>
                <c:pt idx="2">
                  <c:v>1.7738657278177226</c:v>
                </c:pt>
                <c:pt idx="3">
                  <c:v>2.0797148101029905</c:v>
                </c:pt>
                <c:pt idx="4">
                  <c:v>2.4384948739878416</c:v>
                </c:pt>
                <c:pt idx="5">
                  <c:v>2.8593985119161727</c:v>
                </c:pt>
                <c:pt idx="6">
                  <c:v>3.3532200687198093</c:v>
                </c:pt>
                <c:pt idx="7">
                  <c:v>3.9326355934744508</c:v>
                </c:pt>
                <c:pt idx="8">
                  <c:v>4.6125318598182803</c:v>
                </c:pt>
                <c:pt idx="9">
                  <c:v>5.4103930776502951</c:v>
                </c:pt>
                <c:pt idx="10">
                  <c:v>6.3467554380723543</c:v>
                </c:pt>
                <c:pt idx="11">
                  <c:v>7.4457414205342909</c:v>
                </c:pt>
                <c:pt idx="12">
                  <c:v>8.7356878938164222</c:v>
                </c:pt>
                <c:pt idx="13">
                  <c:v>10.249884516574317</c:v>
                </c:pt>
                <c:pt idx="14">
                  <c:v>12.027441854409465</c:v>
                </c:pt>
                <c:pt idx="15">
                  <c:v>14.114312056202069</c:v>
                </c:pt>
                <c:pt idx="16">
                  <c:v>16.564488963857162</c:v>
                </c:pt>
                <c:pt idx="17">
                  <c:v>19.441419273940586</c:v>
                </c:pt>
                <c:pt idx="18">
                  <c:v>22.819661953214951</c:v>
                </c:pt>
                <c:pt idx="19">
                  <c:v>26.786839681537078</c:v>
                </c:pt>
                <c:pt idx="20">
                  <c:v>31.445933830050567</c:v>
                </c:pt>
                <c:pt idx="21">
                  <c:v>36.917983586288102</c:v>
                </c:pt>
                <c:pt idx="22">
                  <c:v>43.345260553487627</c:v>
                </c:pt>
                <c:pt idx="23">
                  <c:v>50.895002765044943</c:v>
                </c:pt>
                <c:pt idx="24">
                  <c:v>59.763806903282322</c:v>
                </c:pt>
                <c:pt idx="25">
                  <c:v>70.182794991145343</c:v>
                </c:pt>
                <c:pt idx="26">
                  <c:v>82.423692403045607</c:v>
                </c:pt>
                <c:pt idx="27">
                  <c:v>96.805978266859881</c:v>
                </c:pt>
                <c:pt idx="28">
                  <c:v>113.70529785085849</c:v>
                </c:pt>
                <c:pt idx="29">
                  <c:v>133.56336011004149</c:v>
                </c:pt>
                <c:pt idx="30">
                  <c:v>156.89958310467378</c:v>
                </c:pt>
                <c:pt idx="31">
                  <c:v>171.28608186431276</c:v>
                </c:pt>
                <c:pt idx="32">
                  <c:v>185.64414296373488</c:v>
                </c:pt>
                <c:pt idx="33">
                  <c:v>199.97627668235131</c:v>
                </c:pt>
                <c:pt idx="34">
                  <c:v>214.28460367624288</c:v>
                </c:pt>
                <c:pt idx="35">
                  <c:v>228.57093800239568</c:v>
                </c:pt>
                <c:pt idx="36">
                  <c:v>242.83684825608995</c:v>
                </c:pt>
                <c:pt idx="37">
                  <c:v>257.08370356509994</c:v>
                </c:pt>
                <c:pt idx="38">
                  <c:v>271.31270884034365</c:v>
                </c:pt>
                <c:pt idx="39">
                  <c:v>285.52493223599345</c:v>
                </c:pt>
                <c:pt idx="40">
                  <c:v>299.72132685083716</c:v>
                </c:pt>
                <c:pt idx="41">
                  <c:v>313.90274809972021</c:v>
                </c:pt>
                <c:pt idx="42">
                  <c:v>328.06996777956027</c:v>
                </c:pt>
                <c:pt idx="43">
                  <c:v>342.22368557736962</c:v>
                </c:pt>
                <c:pt idx="44">
                  <c:v>356.36453857417445</c:v>
                </c:pt>
                <c:pt idx="45">
                  <c:v>370.4931091611266</c:v>
                </c:pt>
                <c:pt idx="46">
                  <c:v>235.81702230617921</c:v>
                </c:pt>
                <c:pt idx="47">
                  <c:v>255.99238904650414</c:v>
                </c:pt>
                <c:pt idx="48">
                  <c:v>276.13178792341245</c:v>
                </c:pt>
                <c:pt idx="49">
                  <c:v>296.238210468413</c:v>
                </c:pt>
                <c:pt idx="50">
                  <c:v>316.31420890246039</c:v>
                </c:pt>
                <c:pt idx="51">
                  <c:v>336.36198502674512</c:v>
                </c:pt>
                <c:pt idx="52">
                  <c:v>356.38345679119476</c:v>
                </c:pt>
                <c:pt idx="53">
                  <c:v>295.66018711423061</c:v>
                </c:pt>
                <c:pt idx="54">
                  <c:v>314.72545491621503</c:v>
                </c:pt>
                <c:pt idx="55">
                  <c:v>333.76512949808665</c:v>
                </c:pt>
                <c:pt idx="56">
                  <c:v>352.78087568233758</c:v>
                </c:pt>
                <c:pt idx="57">
                  <c:v>371.77416420274852</c:v>
                </c:pt>
                <c:pt idx="58">
                  <c:v>390.74630329705224</c:v>
                </c:pt>
                <c:pt idx="59">
                  <c:v>409.6984638416734</c:v>
                </c:pt>
                <c:pt idx="60">
                  <c:v>328.57965069056326</c:v>
                </c:pt>
                <c:pt idx="61">
                  <c:v>346.41182707329443</c:v>
                </c:pt>
                <c:pt idx="62">
                  <c:v>364.22385475825649</c:v>
                </c:pt>
                <c:pt idx="63">
                  <c:v>382.01685743354784</c:v>
                </c:pt>
                <c:pt idx="64">
                  <c:v>399.79184559776263</c:v>
                </c:pt>
                <c:pt idx="65">
                  <c:v>417.54973259130639</c:v>
                </c:pt>
                <c:pt idx="66">
                  <c:v>435.29134775809979</c:v>
                </c:pt>
                <c:pt idx="67">
                  <c:v>453.01744734967798</c:v>
                </c:pt>
                <c:pt idx="68">
                  <c:v>372.61238149247771</c:v>
                </c:pt>
                <c:pt idx="69">
                  <c:v>389.01202749193402</c:v>
                </c:pt>
                <c:pt idx="70">
                  <c:v>405.39667197874513</c:v>
                </c:pt>
                <c:pt idx="71">
                  <c:v>421.76700643923397</c:v>
                </c:pt>
                <c:pt idx="72">
                  <c:v>438.12366431721216</c:v>
                </c:pt>
                <c:pt idx="73">
                  <c:v>454.46722791592714</c:v>
                </c:pt>
                <c:pt idx="74">
                  <c:v>470.79823425555111</c:v>
                </c:pt>
                <c:pt idx="75">
                  <c:v>487.1171800757399</c:v>
                </c:pt>
                <c:pt idx="76">
                  <c:v>410.81897204407989</c:v>
                </c:pt>
                <c:pt idx="77">
                  <c:v>425.73098113515584</c:v>
                </c:pt>
                <c:pt idx="78">
                  <c:v>440.63175768839909</c:v>
                </c:pt>
                <c:pt idx="79">
                  <c:v>455.52173496321319</c:v>
                </c:pt>
                <c:pt idx="80">
                  <c:v>470.4013155908703</c:v>
                </c:pt>
                <c:pt idx="81">
                  <c:v>485.27087466018548</c:v>
                </c:pt>
                <c:pt idx="82">
                  <c:v>500.13076240536844</c:v>
                </c:pt>
                <c:pt idx="83">
                  <c:v>514.98130655786781</c:v>
                </c:pt>
                <c:pt idx="84">
                  <c:v>432.78663286490649</c:v>
                </c:pt>
                <c:pt idx="85">
                  <c:v>446.10391025465037</c:v>
                </c:pt>
                <c:pt idx="86">
                  <c:v>459.41267769168144</c:v>
                </c:pt>
                <c:pt idx="87">
                  <c:v>472.71321640482853</c:v>
                </c:pt>
                <c:pt idx="88">
                  <c:v>486.0057905086789</c:v>
                </c:pt>
                <c:pt idx="89">
                  <c:v>499.29064849449202</c:v>
                </c:pt>
                <c:pt idx="90">
                  <c:v>512.56802455420086</c:v>
                </c:pt>
                <c:pt idx="91">
                  <c:v>525.8381397601147</c:v>
                </c:pt>
                <c:pt idx="92">
                  <c:v>445.69846573472188</c:v>
                </c:pt>
                <c:pt idx="93">
                  <c:v>457.59430435847838</c:v>
                </c:pt>
                <c:pt idx="94">
                  <c:v>469.48353977342146</c:v>
                </c:pt>
                <c:pt idx="95">
                  <c:v>481.36636276547483</c:v>
                </c:pt>
                <c:pt idx="96">
                  <c:v>493.24295393318943</c:v>
                </c:pt>
                <c:pt idx="97">
                  <c:v>505.11348446910739</c:v>
                </c:pt>
                <c:pt idx="98">
                  <c:v>516.97811686386069</c:v>
                </c:pt>
                <c:pt idx="99">
                  <c:v>528.83700554227664</c:v>
                </c:pt>
                <c:pt idx="100">
                  <c:v>466.62821628113875</c:v>
                </c:pt>
                <c:pt idx="101">
                  <c:v>477.3624818727003</c:v>
                </c:pt>
                <c:pt idx="102">
                  <c:v>488.09161504107345</c:v>
                </c:pt>
                <c:pt idx="103">
                  <c:v>498.81574451742728</c:v>
                </c:pt>
                <c:pt idx="104">
                  <c:v>509.53499304596841</c:v>
                </c:pt>
                <c:pt idx="105">
                  <c:v>520.24947778515377</c:v>
                </c:pt>
                <c:pt idx="106">
                  <c:v>530.95931067413574</c:v>
                </c:pt>
                <c:pt idx="107">
                  <c:v>541.66459876810541</c:v>
                </c:pt>
                <c:pt idx="108">
                  <c:v>471.44083337543765</c:v>
                </c:pt>
                <c:pt idx="109">
                  <c:v>481.03787971770515</c:v>
                </c:pt>
                <c:pt idx="110">
                  <c:v>490.63085785553267</c:v>
                </c:pt>
                <c:pt idx="111">
                  <c:v>500.21985856114253</c:v>
                </c:pt>
                <c:pt idx="112">
                  <c:v>509.80496884220815</c:v>
                </c:pt>
                <c:pt idx="113">
                  <c:v>519.38627216734324</c:v>
                </c:pt>
                <c:pt idx="114">
                  <c:v>528.96384867408494</c:v>
                </c:pt>
                <c:pt idx="115">
                  <c:v>538.53777536103291</c:v>
                </c:pt>
                <c:pt idx="116">
                  <c:v>548.10812626561108</c:v>
                </c:pt>
                <c:pt idx="117">
                  <c:v>474.83249912246083</c:v>
                </c:pt>
                <c:pt idx="118">
                  <c:v>483.29957257775868</c:v>
                </c:pt>
                <c:pt idx="119">
                  <c:v>491.76349561784315</c:v>
                </c:pt>
                <c:pt idx="120">
                  <c:v>500.22433012848722</c:v>
                </c:pt>
                <c:pt idx="121">
                  <c:v>508.68213573062718</c:v>
                </c:pt>
                <c:pt idx="122">
                  <c:v>517.13696990034316</c:v>
                </c:pt>
                <c:pt idx="123">
                  <c:v>525.58888808058452</c:v>
                </c:pt>
                <c:pt idx="124">
                  <c:v>534.03794378533428</c:v>
                </c:pt>
                <c:pt idx="125">
                  <c:v>542.48418869683849</c:v>
                </c:pt>
                <c:pt idx="126">
                  <c:v>480.71834258711988</c:v>
                </c:pt>
                <c:pt idx="127">
                  <c:v>488.31799300832716</c:v>
                </c:pt>
                <c:pt idx="128">
                  <c:v>495.9151340555124</c:v>
                </c:pt>
                <c:pt idx="129">
                  <c:v>503.5098096076029</c:v>
                </c:pt>
                <c:pt idx="130">
                  <c:v>511.10206211136665</c:v>
                </c:pt>
                <c:pt idx="131">
                  <c:v>518.69193264920102</c:v>
                </c:pt>
                <c:pt idx="132">
                  <c:v>526.2794610027446</c:v>
                </c:pt>
                <c:pt idx="133">
                  <c:v>533.86468571263083</c:v>
                </c:pt>
                <c:pt idx="134">
                  <c:v>541.44764413466771</c:v>
                </c:pt>
                <c:pt idx="135">
                  <c:v>2.3953306477420704E-12</c:v>
                </c:pt>
                <c:pt idx="136">
                  <c:v>2.3953306477420704E-12</c:v>
                </c:pt>
                <c:pt idx="137">
                  <c:v>2.3953306477420704E-12</c:v>
                </c:pt>
                <c:pt idx="138">
                  <c:v>2.3953306477420704E-12</c:v>
                </c:pt>
                <c:pt idx="139">
                  <c:v>2.3953306477420704E-12</c:v>
                </c:pt>
                <c:pt idx="140">
                  <c:v>2.3953306477420704E-12</c:v>
                </c:pt>
                <c:pt idx="141">
                  <c:v>2.3953306477420704E-12</c:v>
                </c:pt>
                <c:pt idx="142">
                  <c:v>2.3953306477420704E-12</c:v>
                </c:pt>
                <c:pt idx="143">
                  <c:v>2.3953306477420704E-12</c:v>
                </c:pt>
                <c:pt idx="144">
                  <c:v>2.3953306477420704E-12</c:v>
                </c:pt>
                <c:pt idx="145">
                  <c:v>2.3953306477420704E-12</c:v>
                </c:pt>
                <c:pt idx="146">
                  <c:v>2.3953306477420704E-12</c:v>
                </c:pt>
                <c:pt idx="147">
                  <c:v>2.3953306477420704E-12</c:v>
                </c:pt>
                <c:pt idx="148">
                  <c:v>2.3953306477420704E-12</c:v>
                </c:pt>
                <c:pt idx="149">
                  <c:v>2.3953306477420704E-12</c:v>
                </c:pt>
                <c:pt idx="150">
                  <c:v>2.3953306477420704E-12</c:v>
                </c:pt>
                <c:pt idx="151">
                  <c:v>2.3953306477420704E-12</c:v>
                </c:pt>
                <c:pt idx="152">
                  <c:v>2.3953306477420704E-12</c:v>
                </c:pt>
                <c:pt idx="153">
                  <c:v>2.3953306477420704E-12</c:v>
                </c:pt>
                <c:pt idx="154">
                  <c:v>2.3953306477420704E-12</c:v>
                </c:pt>
                <c:pt idx="155">
                  <c:v>2.3953306477420704E-12</c:v>
                </c:pt>
                <c:pt idx="156">
                  <c:v>2.3953306477420704E-12</c:v>
                </c:pt>
                <c:pt idx="157">
                  <c:v>2.3953306477420704E-12</c:v>
                </c:pt>
                <c:pt idx="158">
                  <c:v>2.3953306477420704E-12</c:v>
                </c:pt>
                <c:pt idx="159">
                  <c:v>2.3953306477420704E-12</c:v>
                </c:pt>
                <c:pt idx="160">
                  <c:v>2.3953306477420704E-12</c:v>
                </c:pt>
                <c:pt idx="161">
                  <c:v>2.3953306477420704E-12</c:v>
                </c:pt>
                <c:pt idx="162">
                  <c:v>2.3953306477420704E-12</c:v>
                </c:pt>
                <c:pt idx="163">
                  <c:v>2.3953306477420704E-12</c:v>
                </c:pt>
                <c:pt idx="164">
                  <c:v>2.3953306477420704E-12</c:v>
                </c:pt>
                <c:pt idx="165">
                  <c:v>2.3953306477420704E-12</c:v>
                </c:pt>
                <c:pt idx="166">
                  <c:v>2.3953306477420704E-12</c:v>
                </c:pt>
                <c:pt idx="167">
                  <c:v>2.3953306477420704E-12</c:v>
                </c:pt>
                <c:pt idx="168">
                  <c:v>2.3953306477420704E-12</c:v>
                </c:pt>
                <c:pt idx="169">
                  <c:v>2.3953306477420704E-12</c:v>
                </c:pt>
                <c:pt idx="170">
                  <c:v>2.3953306477420704E-12</c:v>
                </c:pt>
                <c:pt idx="171">
                  <c:v>2.3953306477420704E-12</c:v>
                </c:pt>
                <c:pt idx="172">
                  <c:v>2.3953306477420704E-12</c:v>
                </c:pt>
                <c:pt idx="173">
                  <c:v>2.3953306477420704E-12</c:v>
                </c:pt>
                <c:pt idx="174">
                  <c:v>2.3953306477420704E-12</c:v>
                </c:pt>
                <c:pt idx="175">
                  <c:v>2.3953306477420704E-12</c:v>
                </c:pt>
                <c:pt idx="176">
                  <c:v>2.3953306477420704E-12</c:v>
                </c:pt>
                <c:pt idx="177">
                  <c:v>2.3953306477420704E-12</c:v>
                </c:pt>
                <c:pt idx="178">
                  <c:v>2.3953306477420704E-12</c:v>
                </c:pt>
                <c:pt idx="179">
                  <c:v>2.3953306477420704E-12</c:v>
                </c:pt>
                <c:pt idx="180">
                  <c:v>2.3953306477420704E-12</c:v>
                </c:pt>
                <c:pt idx="181">
                  <c:v>2.3953306477420704E-12</c:v>
                </c:pt>
                <c:pt idx="182">
                  <c:v>2.3953306477420704E-12</c:v>
                </c:pt>
                <c:pt idx="183">
                  <c:v>2.3953306477420704E-12</c:v>
                </c:pt>
                <c:pt idx="184">
                  <c:v>2.3953306477420704E-12</c:v>
                </c:pt>
                <c:pt idx="185">
                  <c:v>2.3953306477420704E-12</c:v>
                </c:pt>
                <c:pt idx="186">
                  <c:v>2.3953306477420704E-12</c:v>
                </c:pt>
                <c:pt idx="187">
                  <c:v>2.3953306477420704E-12</c:v>
                </c:pt>
                <c:pt idx="188">
                  <c:v>2.3953306477420704E-12</c:v>
                </c:pt>
                <c:pt idx="189">
                  <c:v>2.3953306477420704E-12</c:v>
                </c:pt>
                <c:pt idx="190">
                  <c:v>2.3953306477420704E-12</c:v>
                </c:pt>
                <c:pt idx="191">
                  <c:v>2.3953306477420704E-12</c:v>
                </c:pt>
                <c:pt idx="192">
                  <c:v>2.3953306477420704E-12</c:v>
                </c:pt>
                <c:pt idx="193">
                  <c:v>2.3953306477420704E-12</c:v>
                </c:pt>
                <c:pt idx="194">
                  <c:v>2.3953306477420704E-12</c:v>
                </c:pt>
                <c:pt idx="195">
                  <c:v>2.3953306477420704E-12</c:v>
                </c:pt>
                <c:pt idx="196">
                  <c:v>2.3953306477420704E-12</c:v>
                </c:pt>
                <c:pt idx="197">
                  <c:v>2.3953306477420704E-12</c:v>
                </c:pt>
                <c:pt idx="198">
                  <c:v>2.3953306477420704E-12</c:v>
                </c:pt>
                <c:pt idx="199">
                  <c:v>2.3953306477420704E-12</c:v>
                </c:pt>
                <c:pt idx="200">
                  <c:v>2.3953306477420704E-12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6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6" t="s">
        <v>0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1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66" zoomScaleNormal="9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2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4</v>
      </c>
      <c r="C3" s="273"/>
      <c r="D3" s="273"/>
      <c r="E3" s="273"/>
      <c r="F3" s="274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7</v>
      </c>
      <c r="B5" s="277"/>
      <c r="C5" s="24">
        <v>12</v>
      </c>
      <c r="D5" s="278" t="s">
        <v>8</v>
      </c>
      <c r="E5" s="279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9</v>
      </c>
      <c r="B7" s="27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0.5</v>
      </c>
      <c r="D9" s="33">
        <f t="shared" ref="D9:D18" si="0">C9*$C$5</f>
        <v>6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</v>
      </c>
      <c r="D10" s="33">
        <f t="shared" si="0"/>
        <v>3.5999999999999996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0.2</v>
      </c>
      <c r="D11" s="33">
        <f t="shared" si="0"/>
        <v>2.4000000000000004</v>
      </c>
      <c r="E11" s="34">
        <v>134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30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42</v>
      </c>
      <c r="B30" s="27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8" t="s">
        <v>45</v>
      </c>
      <c r="D34" s="268"/>
      <c r="E34" s="269" t="s">
        <v>46</v>
      </c>
      <c r="F34" s="270"/>
      <c r="G34" s="270"/>
      <c r="H34" s="27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laricio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8" t="s">
        <v>45</v>
      </c>
      <c r="D60" s="268"/>
      <c r="E60" s="269" t="s">
        <v>46</v>
      </c>
      <c r="F60" s="270"/>
      <c r="G60" s="270"/>
      <c r="H60" s="27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19</v>
      </c>
      <c r="B62" s="258">
        <v>127.98461538461538</v>
      </c>
      <c r="C62" s="258">
        <v>1</v>
      </c>
      <c r="D62" s="258">
        <v>46.53846153846154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24</v>
      </c>
      <c r="B63" s="258">
        <v>159.94615384615383</v>
      </c>
      <c r="C63" s="258">
        <v>2</v>
      </c>
      <c r="D63" s="258">
        <v>40.41538461538461</v>
      </c>
      <c r="E63" s="259">
        <v>0.7</v>
      </c>
      <c r="F63" s="259">
        <v>0.16800000000000001</v>
      </c>
      <c r="G63" s="259">
        <v>0.13200000000000001</v>
      </c>
      <c r="H63" s="259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30</v>
      </c>
      <c r="B64" s="258">
        <v>215.65384615384616</v>
      </c>
      <c r="C64" s="258">
        <v>3</v>
      </c>
      <c r="D64" s="258">
        <v>55.869230769230761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37</v>
      </c>
      <c r="B65" s="258">
        <v>268.16923076923075</v>
      </c>
      <c r="C65" s="258">
        <v>4</v>
      </c>
      <c r="D65" s="258">
        <v>43.623076923076923</v>
      </c>
      <c r="E65" s="259">
        <v>0.7</v>
      </c>
      <c r="F65" s="259">
        <v>0.16800000000000001</v>
      </c>
      <c r="G65" s="259">
        <v>0.13200000000000001</v>
      </c>
      <c r="H65" s="259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46</v>
      </c>
      <c r="B66" s="258">
        <v>362.82307692307688</v>
      </c>
      <c r="C66" s="258">
        <v>5</v>
      </c>
      <c r="D66" s="258">
        <v>72.561538461538461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56</v>
      </c>
      <c r="B67" s="258">
        <v>428.20000000000005</v>
      </c>
      <c r="C67" s="258">
        <v>6</v>
      </c>
      <c r="D67" s="258">
        <v>60.092307692307692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66</v>
      </c>
      <c r="B68" s="258">
        <v>488.65384615384613</v>
      </c>
      <c r="C68" s="258">
        <v>7</v>
      </c>
      <c r="D68" s="258">
        <v>68.146153846153851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76</v>
      </c>
      <c r="B69" s="261">
        <v>520.22307692307686</v>
      </c>
      <c r="C69" s="261">
        <v>8</v>
      </c>
      <c r="D69" s="261">
        <v>520.22307692307686</v>
      </c>
      <c r="E69" s="260">
        <v>0.7</v>
      </c>
      <c r="F69" s="260">
        <v>0.16800000000000001</v>
      </c>
      <c r="G69" s="260">
        <v>0.13200000000000001</v>
      </c>
      <c r="H69" s="260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Sapin pectiné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8" t="s">
        <v>45</v>
      </c>
      <c r="D86" s="268"/>
      <c r="E86" s="269" t="s">
        <v>46</v>
      </c>
      <c r="F86" s="270"/>
      <c r="G86" s="270"/>
      <c r="H86" s="27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30</v>
      </c>
      <c r="B88" s="258">
        <v>142.36923076923077</v>
      </c>
      <c r="C88" s="258" t="s">
        <v>56</v>
      </c>
      <c r="D88" s="258">
        <v>0</v>
      </c>
      <c r="E88" s="259">
        <v>0</v>
      </c>
      <c r="F88" s="259">
        <v>0</v>
      </c>
      <c r="G88" s="259">
        <v>0</v>
      </c>
      <c r="H88" s="262">
        <v>0</v>
      </c>
      <c r="I88" s="53">
        <f>IFERROR(B88/A88,"")</f>
        <v>4.7456410256410253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45</v>
      </c>
      <c r="B89" s="258">
        <v>343.52307692307693</v>
      </c>
      <c r="C89" s="258">
        <v>1</v>
      </c>
      <c r="D89" s="258">
        <v>146.27692307692308</v>
      </c>
      <c r="E89" s="259">
        <v>0</v>
      </c>
      <c r="F89" s="259">
        <v>0.56000000000000005</v>
      </c>
      <c r="G89" s="259">
        <v>0.44</v>
      </c>
      <c r="H89" s="262">
        <v>0</v>
      </c>
      <c r="I89" s="53">
        <f t="shared" ref="I89:I107" si="3">IF(A89&lt;&gt;0,(B89-(B88-D88))/(A89-A88),"")</f>
        <v>13.410256410256411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52</v>
      </c>
      <c r="B90" s="258">
        <v>330.1307692307692</v>
      </c>
      <c r="C90" s="258">
        <v>2</v>
      </c>
      <c r="D90" s="258">
        <v>75.523076923076928</v>
      </c>
      <c r="E90" s="262">
        <v>0.7</v>
      </c>
      <c r="F90" s="262">
        <v>0.16800000000000001</v>
      </c>
      <c r="G90" s="262">
        <v>0.13200000000000001</v>
      </c>
      <c r="H90" s="262">
        <v>0</v>
      </c>
      <c r="I90" s="53">
        <f t="shared" si="3"/>
        <v>18.983516483516478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59</v>
      </c>
      <c r="B91" s="258">
        <v>380.79230769230765</v>
      </c>
      <c r="C91" s="258">
        <v>3</v>
      </c>
      <c r="D91" s="258">
        <v>93.91538461538461</v>
      </c>
      <c r="E91" s="262">
        <v>0.7</v>
      </c>
      <c r="F91" s="262">
        <v>0.16800000000000001</v>
      </c>
      <c r="G91" s="262">
        <v>0.13200000000000001</v>
      </c>
      <c r="H91" s="262">
        <v>0</v>
      </c>
      <c r="I91" s="53">
        <f t="shared" si="3"/>
        <v>18.026373626373623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67</v>
      </c>
      <c r="B92" s="258">
        <v>422.06153846153842</v>
      </c>
      <c r="C92" s="258">
        <v>4</v>
      </c>
      <c r="D92" s="258">
        <v>92.107692307692304</v>
      </c>
      <c r="E92" s="262">
        <v>0.7</v>
      </c>
      <c r="F92" s="262">
        <v>0.16800000000000001</v>
      </c>
      <c r="G92" s="262">
        <v>0.13200000000000001</v>
      </c>
      <c r="H92" s="262">
        <v>0</v>
      </c>
      <c r="I92" s="53">
        <f t="shared" si="3"/>
        <v>16.898076923076921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75</v>
      </c>
      <c r="B93" s="258">
        <v>454.60769230769228</v>
      </c>
      <c r="C93" s="258">
        <v>5</v>
      </c>
      <c r="D93" s="258">
        <v>86.946153846153848</v>
      </c>
      <c r="E93" s="263">
        <v>0.7</v>
      </c>
      <c r="F93" s="263">
        <v>0.16800000000000001</v>
      </c>
      <c r="G93" s="263">
        <v>0.13200000000000001</v>
      </c>
      <c r="H93" s="263">
        <v>0</v>
      </c>
      <c r="I93" s="53">
        <f t="shared" si="3"/>
        <v>15.581730769230766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83</v>
      </c>
      <c r="B94" s="258">
        <v>481.23846153846154</v>
      </c>
      <c r="C94" s="258">
        <v>6</v>
      </c>
      <c r="D94" s="258">
        <v>91.153846153846146</v>
      </c>
      <c r="E94" s="263">
        <v>0.7</v>
      </c>
      <c r="F94" s="263">
        <v>0.16800000000000001</v>
      </c>
      <c r="G94" s="263">
        <v>0.13200000000000001</v>
      </c>
      <c r="H94" s="263">
        <v>0</v>
      </c>
      <c r="I94" s="53">
        <f t="shared" si="3"/>
        <v>14.197115384615387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91</v>
      </c>
      <c r="B95" s="60">
        <v>491.62307692307689</v>
      </c>
      <c r="C95" s="60">
        <v>7</v>
      </c>
      <c r="D95" s="60">
        <v>87.884615384615387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12.692307692307686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99</v>
      </c>
      <c r="B96" s="60">
        <v>494.49230769230769</v>
      </c>
      <c r="C96" s="60">
        <v>8</v>
      </c>
      <c r="D96" s="60">
        <v>69.692307692307679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11.344230769230776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107</v>
      </c>
      <c r="B97" s="60">
        <v>506.76923076923072</v>
      </c>
      <c r="C97" s="60">
        <v>9</v>
      </c>
      <c r="D97" s="60">
        <v>76.292307692307702</v>
      </c>
      <c r="E97" s="87">
        <v>0.7</v>
      </c>
      <c r="F97" s="87">
        <v>0.16800000000000001</v>
      </c>
      <c r="G97" s="87">
        <v>0.13200000000000001</v>
      </c>
      <c r="H97" s="87">
        <v>0</v>
      </c>
      <c r="I97" s="53">
        <f t="shared" si="3"/>
        <v>10.246153846153838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116</v>
      </c>
      <c r="B98" s="60">
        <v>512.93846153846152</v>
      </c>
      <c r="C98" s="60">
        <v>10</v>
      </c>
      <c r="D98" s="60">
        <v>78.146153846153851</v>
      </c>
      <c r="E98" s="87">
        <v>0.7</v>
      </c>
      <c r="F98" s="87">
        <v>0.16800000000000001</v>
      </c>
      <c r="G98" s="87">
        <v>0.13200000000000001</v>
      </c>
      <c r="H98" s="87">
        <v>0</v>
      </c>
      <c r="I98" s="53">
        <f t="shared" si="3"/>
        <v>9.1623931623931671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125</v>
      </c>
      <c r="B99" s="60">
        <v>507.55384615384617</v>
      </c>
      <c r="C99" s="60">
        <v>11</v>
      </c>
      <c r="D99" s="60">
        <v>66.315384615384602</v>
      </c>
      <c r="E99" s="87">
        <v>0.7</v>
      </c>
      <c r="F99" s="87">
        <v>0.16800000000000001</v>
      </c>
      <c r="G99" s="87">
        <v>0.13200000000000001</v>
      </c>
      <c r="H99" s="87">
        <v>0</v>
      </c>
      <c r="I99" s="53">
        <f t="shared" si="3"/>
        <v>8.0846153846153914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134</v>
      </c>
      <c r="B100" s="60">
        <v>506.56153846153842</v>
      </c>
      <c r="C100" s="60">
        <v>12</v>
      </c>
      <c r="D100" s="60">
        <v>506.56153846153842</v>
      </c>
      <c r="E100" s="65">
        <v>0.7</v>
      </c>
      <c r="F100" s="65">
        <v>0.16800000000000001</v>
      </c>
      <c r="G100" s="65">
        <v>0.13200000000000001</v>
      </c>
      <c r="H100" s="65">
        <v>0</v>
      </c>
      <c r="I100" s="53">
        <f t="shared" si="3"/>
        <v>7.2581196581196474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8" t="s">
        <v>45</v>
      </c>
      <c r="D112" s="268"/>
      <c r="E112" s="269" t="s">
        <v>46</v>
      </c>
      <c r="F112" s="270"/>
      <c r="G112" s="270"/>
      <c r="H112" s="27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8" t="s">
        <v>45</v>
      </c>
      <c r="D138" s="268"/>
      <c r="E138" s="269" t="s">
        <v>46</v>
      </c>
      <c r="F138" s="270"/>
      <c r="G138" s="270"/>
      <c r="H138" s="27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8" t="s">
        <v>45</v>
      </c>
      <c r="D164" s="268"/>
      <c r="E164" s="269" t="s">
        <v>46</v>
      </c>
      <c r="F164" s="270"/>
      <c r="G164" s="270"/>
      <c r="H164" s="27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8" t="s">
        <v>45</v>
      </c>
      <c r="D190" s="268"/>
      <c r="E190" s="269" t="s">
        <v>46</v>
      </c>
      <c r="F190" s="270"/>
      <c r="G190" s="270"/>
      <c r="H190" s="27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8" t="s">
        <v>45</v>
      </c>
      <c r="D216" s="268"/>
      <c r="E216" s="269" t="s">
        <v>46</v>
      </c>
      <c r="F216" s="270"/>
      <c r="G216" s="270"/>
      <c r="H216" s="27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8" t="s">
        <v>45</v>
      </c>
      <c r="D242" s="268"/>
      <c r="E242" s="269" t="s">
        <v>46</v>
      </c>
      <c r="F242" s="270"/>
      <c r="G242" s="270"/>
      <c r="H242" s="27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8" t="s">
        <v>45</v>
      </c>
      <c r="D268" s="268"/>
      <c r="E268" s="269" t="s">
        <v>46</v>
      </c>
      <c r="F268" s="270"/>
      <c r="G268" s="270"/>
      <c r="H268" s="27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9" zoomScaleNormal="100" workbookViewId="0">
      <selection activeCell="G29" sqref="G2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57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62</v>
      </c>
      <c r="D8" s="23"/>
      <c r="E8" s="105">
        <v>4</v>
      </c>
      <c r="F8" s="61">
        <v>1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75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Pin laricio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Sapin pectiné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283.73369613548124</v>
      </c>
      <c r="AO3" s="59">
        <f>IF('Données projet'!E10&gt;30,$AM$33-$H$33,LOOKUP('Données projet'!$E$10,$A$3:$A$203,AM3:AM203)-LOOKUP('Données projet'!$E$10,$A$3:$A$203,$H$3:$H$203))</f>
        <v>249.77804091581208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263.7093252578133</v>
      </c>
      <c r="BJ3" s="59">
        <f>IF('Données projet'!E11&gt;30,$BH$33-$H$33,LOOKUP('Données projet'!$E$11,$A$3:$A$203,BH3:BH203)-LOOKUP('Données projet'!$E$11,$A$3:$A$203,$H$3:$H$203))</f>
        <v>123.27856176791568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283.73369613548124</v>
      </c>
      <c r="AO4" s="59">
        <f>$AO$3</f>
        <v>249.77804091581208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4.7456410256410253</v>
      </c>
      <c r="BD4" s="12">
        <f>IF('Données projet'!$A$88&gt;35,BD3+BC4-BL3,IF(A4&lt;'Données projet'!$A$88,$BA$205^A4,IF(A4='Données projet'!$A$88,'Données projet'!$B$88,BD3+BC4-BL3)))</f>
        <v>1.1797243348509765</v>
      </c>
      <c r="BE4" s="13">
        <f>BD4*VLOOKUP('Données projet'!$B$11,Paramètres!$A$1:$I$89,3,0)*VLOOKUP('Données projet'!$B$11,Paramètres!$A$1:$I$89,5,0)</f>
        <v>0.58278382141638241</v>
      </c>
      <c r="BF4" s="13">
        <f>EXP(-1.0587+0.8836*LN(BE4)+0.284)</f>
        <v>0.28599239209019678</v>
      </c>
      <c r="BG4" s="20">
        <f t="shared" ref="BG4:BG67" si="7">(BE4+BF4)*0.475*44/12</f>
        <v>1.5131185718572919</v>
      </c>
      <c r="BH4" s="59">
        <f t="shared" ref="BH4:BH67" si="8">BG4+(AY4+AZ4)*44/12</f>
        <v>294.84645190519063</v>
      </c>
      <c r="BI4" s="59">
        <f ca="1">AVERAGE(OFFSET($BH$3,0,0,'Données projet'!$E$11+1,1))-AVERAGE(OFFSET($H$3,0,0,'Données projet'!$E$11+1,1))</f>
        <v>263.7093252578133</v>
      </c>
      <c r="BJ4" s="59">
        <f>$BJ$3</f>
        <v>123.27856176791568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283.73369613548124</v>
      </c>
      <c r="AO5" s="59">
        <f t="shared" ref="AO5:AO68" si="36">$AO$3</f>
        <v>249.77804091581208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4.7456410256410253</v>
      </c>
      <c r="BD5" s="12">
        <f>IF('Données projet'!$A$88&gt;35,BD4+BC5-BL4,IF(A5&lt;'Données projet'!$A$88,$BA$205^A5,IF(A5='Données projet'!$A$88,'Données projet'!$B$88,BD4+BC5-BL4)))</f>
        <v>1.3917495062395788</v>
      </c>
      <c r="BE5" s="13">
        <f>BD5*VLOOKUP('Données projet'!$B$11,Paramètres!$A$1:$I$89,3,0)*VLOOKUP('Données projet'!$B$11,Paramètres!$A$1:$I$89,5,0)</f>
        <v>0.68752425608235201</v>
      </c>
      <c r="BF5" s="13">
        <f t="shared" ref="BF5:BF68" si="37">EXP(-1.0587+0.8836*LN(BE5)+0.284)</f>
        <v>0.33096324314313452</v>
      </c>
      <c r="BG5" s="20">
        <f t="shared" si="7"/>
        <v>1.7738657278177226</v>
      </c>
      <c r="BH5" s="59">
        <f t="shared" si="8"/>
        <v>295.10719906115105</v>
      </c>
      <c r="BI5" s="59">
        <f ca="1">AVERAGE(OFFSET($BH$3,0,0,'Données projet'!$E$11+1,1))-AVERAGE(OFFSET($H$3,0,0,'Données projet'!$E$11+1,1))</f>
        <v>263.7093252578133</v>
      </c>
      <c r="BJ5" s="59">
        <f t="shared" ref="BJ5:BJ68" si="38">$BJ$3</f>
        <v>123.27856176791568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283.73369613548124</v>
      </c>
      <c r="AO6" s="59">
        <f t="shared" si="36"/>
        <v>249.77804091581208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4.7456410256410253</v>
      </c>
      <c r="BD6" s="12">
        <f>IF('Données projet'!$A$88&gt;35,BD5+BC6-BL5,IF(A6&lt;'Données projet'!$A$88,$BA$205^A6,IF(A6='Données projet'!$A$88,'Données projet'!$B$88,BD5+BC6-BL5)))</f>
        <v>1.6418807605276622</v>
      </c>
      <c r="BE6" s="13">
        <f>BD6*VLOOKUP('Données projet'!$B$11,Paramètres!$A$1:$I$89,3,0)*VLOOKUP('Données projet'!$B$11,Paramètres!$A$1:$I$89,5,0)</f>
        <v>0.81108909570066512</v>
      </c>
      <c r="BF6" s="13">
        <f t="shared" si="37"/>
        <v>0.38300553210966443</v>
      </c>
      <c r="BG6" s="20">
        <f t="shared" si="7"/>
        <v>2.0797148101029905</v>
      </c>
      <c r="BH6" s="59">
        <f t="shared" si="8"/>
        <v>295.4130481434363</v>
      </c>
      <c r="BI6" s="59">
        <f ca="1">AVERAGE(OFFSET($BH$3,0,0,'Données projet'!$E$11+1,1))-AVERAGE(OFFSET($H$3,0,0,'Données projet'!$E$11+1,1))</f>
        <v>263.7093252578133</v>
      </c>
      <c r="BJ6" s="59">
        <f t="shared" si="38"/>
        <v>123.27856176791568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283.73369613548124</v>
      </c>
      <c r="AO7" s="59">
        <f t="shared" si="36"/>
        <v>249.77804091581208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4.7456410256410253</v>
      </c>
      <c r="BD7" s="12">
        <f>IF('Données projet'!$A$88&gt;35,BD6+BC7-BL6,IF(A7&lt;'Données projet'!$A$88,$BA$205^A7,IF(A7='Données projet'!$A$88,'Données projet'!$B$88,BD6+BC7-BL6)))</f>
        <v>1.9369666881181116</v>
      </c>
      <c r="BE7" s="13">
        <f>BD7*VLOOKUP('Données projet'!$B$11,Paramètres!$A$1:$I$89,3,0)*VLOOKUP('Données projet'!$B$11,Paramètres!$A$1:$I$89,5,0)</f>
        <v>0.95686154393034717</v>
      </c>
      <c r="BF7" s="13">
        <f t="shared" si="37"/>
        <v>0.44323120668468141</v>
      </c>
      <c r="BG7" s="20">
        <f t="shared" si="7"/>
        <v>2.4384948739878416</v>
      </c>
      <c r="BH7" s="59">
        <f t="shared" si="8"/>
        <v>295.77182820732116</v>
      </c>
      <c r="BI7" s="59">
        <f ca="1">AVERAGE(OFFSET($BH$3,0,0,'Données projet'!$E$11+1,1))-AVERAGE(OFFSET($H$3,0,0,'Données projet'!$E$11+1,1))</f>
        <v>263.7093252578133</v>
      </c>
      <c r="BJ7" s="59">
        <f t="shared" si="38"/>
        <v>123.27856176791568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283.73369613548124</v>
      </c>
      <c r="AO8" s="59">
        <f t="shared" si="36"/>
        <v>249.77804091581208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4.7456410256410253</v>
      </c>
      <c r="BD8" s="12">
        <f>IF('Données projet'!$A$88&gt;35,BD7+BC8-BL7,IF(A8&lt;'Données projet'!$A$88,$BA$205^A8,IF(A8='Données projet'!$A$88,'Données projet'!$B$88,BD7+BC8-BL7)))</f>
        <v>2.2850867377686379</v>
      </c>
      <c r="BE8" s="13">
        <f>BD8*VLOOKUP('Données projet'!$B$11,Paramètres!$A$1:$I$89,3,0)*VLOOKUP('Données projet'!$B$11,Paramètres!$A$1:$I$89,5,0)</f>
        <v>1.1288328484577073</v>
      </c>
      <c r="BF8" s="13">
        <f t="shared" si="37"/>
        <v>0.51292706269033472</v>
      </c>
      <c r="BG8" s="20">
        <f t="shared" si="7"/>
        <v>2.8593985119161727</v>
      </c>
      <c r="BH8" s="59">
        <f t="shared" si="8"/>
        <v>296.19273184524951</v>
      </c>
      <c r="BI8" s="59">
        <f ca="1">AVERAGE(OFFSET($BH$3,0,0,'Données projet'!$E$11+1,1))-AVERAGE(OFFSET($H$3,0,0,'Données projet'!$E$11+1,1))</f>
        <v>263.7093252578133</v>
      </c>
      <c r="BJ8" s="59">
        <f t="shared" si="38"/>
        <v>123.27856176791568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283.73369613548124</v>
      </c>
      <c r="AO9" s="59">
        <f t="shared" si="36"/>
        <v>249.77804091581208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4.7456410256410253</v>
      </c>
      <c r="BD9" s="12">
        <f>IF('Données projet'!$A$88&gt;35,BD8+BC9-BL8,IF(A9&lt;'Données projet'!$A$88,$BA$205^A9,IF(A9='Données projet'!$A$88,'Données projet'!$B$88,BD8+BC9-BL8)))</f>
        <v>2.695772431790894</v>
      </c>
      <c r="BE9" s="13">
        <f>BD9*VLOOKUP('Données projet'!$B$11,Paramètres!$A$1:$I$89,3,0)*VLOOKUP('Données projet'!$B$11,Paramètres!$A$1:$I$89,5,0)</f>
        <v>1.3317115813047018</v>
      </c>
      <c r="BF9" s="13">
        <f t="shared" si="37"/>
        <v>0.59358223805595445</v>
      </c>
      <c r="BG9" s="20">
        <f t="shared" si="7"/>
        <v>3.3532200687198093</v>
      </c>
      <c r="BH9" s="59">
        <f t="shared" si="8"/>
        <v>296.68655340205311</v>
      </c>
      <c r="BI9" s="59">
        <f ca="1">AVERAGE(OFFSET($BH$3,0,0,'Données projet'!$E$11+1,1))-AVERAGE(OFFSET($H$3,0,0,'Données projet'!$E$11+1,1))</f>
        <v>263.7093252578133</v>
      </c>
      <c r="BJ9" s="59">
        <f t="shared" si="38"/>
        <v>123.27856176791568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283.73369613548124</v>
      </c>
      <c r="AO10" s="59">
        <f t="shared" si="36"/>
        <v>249.77804091581208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4.7456410256410253</v>
      </c>
      <c r="BD10" s="12">
        <f>IF('Données projet'!$A$88&gt;35,BD9+BC10-BL9,IF(A10&lt;'Données projet'!$A$88,$BA$205^A10,IF(A10='Données projet'!$A$88,'Données projet'!$B$88,BD9+BC10-BL9)))</f>
        <v>3.1802683390041122</v>
      </c>
      <c r="BE10" s="13">
        <f>BD10*VLOOKUP('Données projet'!$B$11,Paramètres!$A$1:$I$89,3,0)*VLOOKUP('Données projet'!$B$11,Paramètres!$A$1:$I$89,5,0)</f>
        <v>1.5710525594680314</v>
      </c>
      <c r="BF10" s="13">
        <f t="shared" si="37"/>
        <v>0.68692003008667746</v>
      </c>
      <c r="BG10" s="20">
        <f t="shared" si="7"/>
        <v>3.9326355934744508</v>
      </c>
      <c r="BH10" s="59">
        <f t="shared" si="8"/>
        <v>297.26596892680777</v>
      </c>
      <c r="BI10" s="59">
        <f ca="1">AVERAGE(OFFSET($BH$3,0,0,'Données projet'!$E$11+1,1))-AVERAGE(OFFSET($H$3,0,0,'Données projet'!$E$11+1,1))</f>
        <v>263.7093252578133</v>
      </c>
      <c r="BJ10" s="59">
        <f t="shared" si="38"/>
        <v>123.27856176791568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283.73369613548124</v>
      </c>
      <c r="AO11" s="59">
        <f t="shared" si="36"/>
        <v>249.77804091581208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4.7456410256410253</v>
      </c>
      <c r="BD11" s="12">
        <f>IF('Données projet'!$A$88&gt;35,BD10+BC11-BL10,IF(A11&lt;'Données projet'!$A$88,$BA$205^A11,IF(A11='Données projet'!$A$88,'Données projet'!$B$88,BD10+BC11-BL10)))</f>
        <v>3.7518399508792455</v>
      </c>
      <c r="BE11" s="13">
        <f>BD11*VLOOKUP('Données projet'!$B$11,Paramètres!$A$1:$I$89,3,0)*VLOOKUP('Données projet'!$B$11,Paramètres!$A$1:$I$89,5,0)</f>
        <v>1.8534089357343473</v>
      </c>
      <c r="BF11" s="13">
        <f t="shared" si="37"/>
        <v>0.79493471583595732</v>
      </c>
      <c r="BG11" s="20">
        <f t="shared" si="7"/>
        <v>4.6125318598182803</v>
      </c>
      <c r="BH11" s="59">
        <f t="shared" si="8"/>
        <v>297.94586519315158</v>
      </c>
      <c r="BI11" s="59">
        <f ca="1">AVERAGE(OFFSET($BH$3,0,0,'Données projet'!$E$11+1,1))-AVERAGE(OFFSET($H$3,0,0,'Données projet'!$E$11+1,1))</f>
        <v>263.7093252578133</v>
      </c>
      <c r="BJ11" s="59">
        <f t="shared" si="38"/>
        <v>123.27856176791568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283.73369613548124</v>
      </c>
      <c r="AO12" s="59">
        <f t="shared" si="36"/>
        <v>249.77804091581208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4.7456410256410253</v>
      </c>
      <c r="BD12" s="12">
        <f>IF('Données projet'!$A$88&gt;35,BD11+BC12-BL11,IF(A12&lt;'Données projet'!$A$88,$BA$205^A12,IF(A12='Données projet'!$A$88,'Données projet'!$B$88,BD11+BC12-BL11)))</f>
        <v>4.4261368905183378</v>
      </c>
      <c r="BE12" s="13">
        <f>BD12*VLOOKUP('Données projet'!$B$11,Paramètres!$A$1:$I$89,3,0)*VLOOKUP('Données projet'!$B$11,Paramètres!$A$1:$I$89,5,0)</f>
        <v>2.1865116239160591</v>
      </c>
      <c r="BF12" s="13">
        <f t="shared" si="37"/>
        <v>0.91993416229463698</v>
      </c>
      <c r="BG12" s="20">
        <f t="shared" si="7"/>
        <v>5.4103930776502951</v>
      </c>
      <c r="BH12" s="59">
        <f t="shared" si="8"/>
        <v>298.74372641098358</v>
      </c>
      <c r="BI12" s="59">
        <f ca="1">AVERAGE(OFFSET($BH$3,0,0,'Données projet'!$E$11+1,1))-AVERAGE(OFFSET($H$3,0,0,'Données projet'!$E$11+1,1))</f>
        <v>263.7093252578133</v>
      </c>
      <c r="BJ12" s="59">
        <f t="shared" si="38"/>
        <v>123.27856176791568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283.73369613548124</v>
      </c>
      <c r="AO13" s="59">
        <f t="shared" si="36"/>
        <v>249.77804091581208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4.7456410256410253</v>
      </c>
      <c r="BD13" s="12">
        <f>IF('Données projet'!$A$88&gt;35,BD12+BC13-BL12,IF(A13&lt;'Données projet'!$A$88,$BA$205^A13,IF(A13='Données projet'!$A$88,'Données projet'!$B$88,BD12+BC13-BL12)))</f>
        <v>5.221621399126116</v>
      </c>
      <c r="BE13" s="13">
        <f>BD13*VLOOKUP('Données projet'!$B$11,Paramètres!$A$1:$I$89,3,0)*VLOOKUP('Données projet'!$B$11,Paramètres!$A$1:$I$89,5,0)</f>
        <v>2.5794809711683016</v>
      </c>
      <c r="BF13" s="13">
        <f t="shared" si="37"/>
        <v>1.0645891368158256</v>
      </c>
      <c r="BG13" s="20">
        <f t="shared" si="7"/>
        <v>6.3467554380723543</v>
      </c>
      <c r="BH13" s="59">
        <f t="shared" si="8"/>
        <v>299.68008877140568</v>
      </c>
      <c r="BI13" s="59">
        <f ca="1">AVERAGE(OFFSET($BH$3,0,0,'Données projet'!$E$11+1,1))-AVERAGE(OFFSET($H$3,0,0,'Données projet'!$E$11+1,1))</f>
        <v>263.7093252578133</v>
      </c>
      <c r="BJ13" s="59">
        <f t="shared" si="38"/>
        <v>123.27856176791568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283.73369613548124</v>
      </c>
      <c r="AO14" s="59">
        <f t="shared" si="36"/>
        <v>249.77804091581208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4.7456410256410253</v>
      </c>
      <c r="BD14" s="12">
        <f>IF('Données projet'!$A$88&gt;35,BD13+BC14-BL13,IF(A14&lt;'Données projet'!$A$88,$BA$205^A14,IF(A14='Données projet'!$A$88,'Données projet'!$B$88,BD13+BC14-BL13)))</f>
        <v>6.160073831927682</v>
      </c>
      <c r="BE14" s="13">
        <f>BD14*VLOOKUP('Données projet'!$B$11,Paramètres!$A$1:$I$89,3,0)*VLOOKUP('Données projet'!$B$11,Paramètres!$A$1:$I$89,5,0)</f>
        <v>3.0430764729722752</v>
      </c>
      <c r="BF14" s="13">
        <f t="shared" si="37"/>
        <v>1.2319903713536347</v>
      </c>
      <c r="BG14" s="20">
        <f t="shared" si="7"/>
        <v>7.4457414205342909</v>
      </c>
      <c r="BH14" s="59">
        <f t="shared" si="8"/>
        <v>300.77907475386763</v>
      </c>
      <c r="BI14" s="59">
        <f ca="1">AVERAGE(OFFSET($BH$3,0,0,'Données projet'!$E$11+1,1))-AVERAGE(OFFSET($H$3,0,0,'Données projet'!$E$11+1,1))</f>
        <v>263.7093252578133</v>
      </c>
      <c r="BJ14" s="59">
        <f t="shared" si="38"/>
        <v>123.27856176791568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283.73369613548124</v>
      </c>
      <c r="AO15" s="59">
        <f t="shared" si="36"/>
        <v>249.77804091581208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4.7456410256410253</v>
      </c>
      <c r="BD15" s="12">
        <f>IF('Données projet'!$A$88&gt;35,BD14+BC15-BL14,IF(A15&lt;'Données projet'!$A$88,$BA$205^A15,IF(A15='Données projet'!$A$88,'Données projet'!$B$88,BD14+BC15-BL14)))</f>
        <v>7.2671890040037903</v>
      </c>
      <c r="BE15" s="13">
        <f>BD15*VLOOKUP('Données projet'!$B$11,Paramètres!$A$1:$I$89,3,0)*VLOOKUP('Données projet'!$B$11,Paramètres!$A$1:$I$89,5,0)</f>
        <v>3.5899913679778725</v>
      </c>
      <c r="BF15" s="13">
        <f t="shared" si="37"/>
        <v>1.425714599763614</v>
      </c>
      <c r="BG15" s="20">
        <f t="shared" si="7"/>
        <v>8.7356878938164222</v>
      </c>
      <c r="BH15" s="59">
        <f t="shared" si="8"/>
        <v>302.06902122714973</v>
      </c>
      <c r="BI15" s="59">
        <f ca="1">AVERAGE(OFFSET($BH$3,0,0,'Données projet'!$E$11+1,1))-AVERAGE(OFFSET($H$3,0,0,'Données projet'!$E$11+1,1))</f>
        <v>263.7093252578133</v>
      </c>
      <c r="BJ15" s="59">
        <f t="shared" si="38"/>
        <v>123.27856176791568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283.73369613548124</v>
      </c>
      <c r="AO16" s="59">
        <f t="shared" si="36"/>
        <v>249.77804091581208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4.7456410256410253</v>
      </c>
      <c r="BD16" s="12">
        <f>IF('Données projet'!$A$88&gt;35,BD15+BC16-BL15,IF(A16&lt;'Données projet'!$A$88,$BA$205^A16,IF(A16='Données projet'!$A$88,'Données projet'!$B$88,BD15+BC16-BL15)))</f>
        <v>8.5732797139847019</v>
      </c>
      <c r="BE16" s="13">
        <f>BD16*VLOOKUP('Données projet'!$B$11,Paramètres!$A$1:$I$89,3,0)*VLOOKUP('Données projet'!$B$11,Paramètres!$A$1:$I$89,5,0)</f>
        <v>4.2352001787084426</v>
      </c>
      <c r="BF16" s="13">
        <f t="shared" si="37"/>
        <v>1.6499009791332702</v>
      </c>
      <c r="BG16" s="20">
        <f t="shared" si="7"/>
        <v>10.249884516574317</v>
      </c>
      <c r="BH16" s="59">
        <f t="shared" si="8"/>
        <v>303.58321784990761</v>
      </c>
      <c r="BI16" s="59">
        <f ca="1">AVERAGE(OFFSET($BH$3,0,0,'Données projet'!$E$11+1,1))-AVERAGE(OFFSET($H$3,0,0,'Données projet'!$E$11+1,1))</f>
        <v>263.7093252578133</v>
      </c>
      <c r="BJ16" s="59">
        <f t="shared" si="38"/>
        <v>123.27856176791568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283.73369613548124</v>
      </c>
      <c r="AO17" s="59">
        <f t="shared" si="36"/>
        <v>249.77804091581208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4.7456410256410253</v>
      </c>
      <c r="BD17" s="12">
        <f>IF('Données projet'!$A$88&gt;35,BD16+BC17-BL16,IF(A17&lt;'Données projet'!$A$88,$BA$205^A17,IF(A17='Données projet'!$A$88,'Données projet'!$B$88,BD16+BC17-BL16)))</f>
        <v>10.114106708071972</v>
      </c>
      <c r="BE17" s="13">
        <f>BD17*VLOOKUP('Données projet'!$B$11,Paramètres!$A$1:$I$89,3,0)*VLOOKUP('Données projet'!$B$11,Paramètres!$A$1:$I$89,5,0)</f>
        <v>4.9963687137875548</v>
      </c>
      <c r="BF17" s="13">
        <f t="shared" si="37"/>
        <v>1.9093395279786463</v>
      </c>
      <c r="BG17" s="20">
        <f t="shared" si="7"/>
        <v>12.027441854409465</v>
      </c>
      <c r="BH17" s="59">
        <f t="shared" si="8"/>
        <v>305.36077518774277</v>
      </c>
      <c r="BI17" s="59">
        <f ca="1">AVERAGE(OFFSET($BH$3,0,0,'Données projet'!$E$11+1,1))-AVERAGE(OFFSET($H$3,0,0,'Données projet'!$E$11+1,1))</f>
        <v>263.7093252578133</v>
      </c>
      <c r="BJ17" s="59">
        <f t="shared" si="38"/>
        <v>123.27856176791568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283.73369613548124</v>
      </c>
      <c r="AO18" s="59">
        <f t="shared" si="36"/>
        <v>249.77804091581208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4.7456410256410253</v>
      </c>
      <c r="BD18" s="12">
        <f>IF('Données projet'!$A$88&gt;35,BD17+BC18-BL17,IF(A18&lt;'Données projet'!$A$88,$BA$205^A18,IF(A18='Données projet'!$A$88,'Données projet'!$B$88,BD17+BC18-BL17)))</f>
        <v>11.931857808792008</v>
      </c>
      <c r="BE18" s="13">
        <f>BD18*VLOOKUP('Données projet'!$B$11,Paramètres!$A$1:$I$89,3,0)*VLOOKUP('Données projet'!$B$11,Paramètres!$A$1:$I$89,5,0)</f>
        <v>5.8943377575432523</v>
      </c>
      <c r="BF18" s="13">
        <f t="shared" si="37"/>
        <v>2.2095734708981283</v>
      </c>
      <c r="BG18" s="20">
        <f t="shared" si="7"/>
        <v>14.114312056202069</v>
      </c>
      <c r="BH18" s="59">
        <f t="shared" si="8"/>
        <v>307.44764538953541</v>
      </c>
      <c r="BI18" s="59">
        <f ca="1">AVERAGE(OFFSET($BH$3,0,0,'Données projet'!$E$11+1,1))-AVERAGE(OFFSET($H$3,0,0,'Données projet'!$E$11+1,1))</f>
        <v>263.7093252578133</v>
      </c>
      <c r="BJ18" s="59">
        <f t="shared" si="38"/>
        <v>123.27856176791568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283.73369613548124</v>
      </c>
      <c r="AO19" s="59">
        <f t="shared" si="36"/>
        <v>249.77804091581208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4.7456410256410253</v>
      </c>
      <c r="BD19" s="12">
        <f>IF('Données projet'!$A$88&gt;35,BD18+BC19-BL18,IF(A19&lt;'Données projet'!$A$88,$BA$205^A19,IF(A19='Données projet'!$A$88,'Données projet'!$B$88,BD18+BC19-BL18)))</f>
        <v>14.076303017013579</v>
      </c>
      <c r="BE19" s="13">
        <f>BD19*VLOOKUP('Données projet'!$B$11,Paramètres!$A$1:$I$89,3,0)*VLOOKUP('Données projet'!$B$11,Paramètres!$A$1:$I$89,5,0)</f>
        <v>6.9536936904047089</v>
      </c>
      <c r="BF19" s="13">
        <f t="shared" si="37"/>
        <v>2.5570176764032317</v>
      </c>
      <c r="BG19" s="20">
        <f t="shared" si="7"/>
        <v>16.564488963857162</v>
      </c>
      <c r="BH19" s="59">
        <f t="shared" si="8"/>
        <v>309.89782229719049</v>
      </c>
      <c r="BI19" s="59">
        <f ca="1">AVERAGE(OFFSET($BH$3,0,0,'Données projet'!$E$11+1,1))-AVERAGE(OFFSET($H$3,0,0,'Données projet'!$E$11+1,1))</f>
        <v>263.7093252578133</v>
      </c>
      <c r="BJ19" s="59">
        <f t="shared" si="38"/>
        <v>123.27856176791568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283.73369613548124</v>
      </c>
      <c r="AO20" s="59">
        <f t="shared" si="36"/>
        <v>249.77804091581208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4.7456410256410253</v>
      </c>
      <c r="BD20" s="12">
        <f>IF('Données projet'!$A$88&gt;35,BD19+BC20-BL19,IF(A20&lt;'Données projet'!$A$88,$BA$205^A20,IF(A20='Données projet'!$A$88,'Données projet'!$B$88,BD19+BC20-BL19)))</f>
        <v>16.606157213907139</v>
      </c>
      <c r="BE20" s="13">
        <f>BD20*VLOOKUP('Données projet'!$B$11,Paramètres!$A$1:$I$89,3,0)*VLOOKUP('Données projet'!$B$11,Paramètres!$A$1:$I$89,5,0)</f>
        <v>8.2034416636701266</v>
      </c>
      <c r="BF20" s="13">
        <f t="shared" si="37"/>
        <v>2.9590957184967164</v>
      </c>
      <c r="BG20" s="20">
        <f t="shared" si="7"/>
        <v>19.441419273940586</v>
      </c>
      <c r="BH20" s="59">
        <f t="shared" si="8"/>
        <v>312.77475260727391</v>
      </c>
      <c r="BI20" s="59">
        <f ca="1">AVERAGE(OFFSET($BH$3,0,0,'Données projet'!$E$11+1,1))-AVERAGE(OFFSET($H$3,0,0,'Données projet'!$E$11+1,1))</f>
        <v>263.7093252578133</v>
      </c>
      <c r="BJ20" s="59">
        <f t="shared" si="38"/>
        <v>123.27856176791568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283.73369613548124</v>
      </c>
      <c r="AO21" s="59">
        <f t="shared" si="36"/>
        <v>249.77804091581208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4.7456410256410253</v>
      </c>
      <c r="BD21" s="12">
        <f>IF('Données projet'!$A$88&gt;35,BD20+BC21-BL20,IF(A21&lt;'Données projet'!$A$88,$BA$205^A21,IF(A21='Données projet'!$A$88,'Données projet'!$B$88,BD20+BC21-BL20)))</f>
        <v>19.590687773607343</v>
      </c>
      <c r="BE21" s="13">
        <f>BD21*VLOOKUP('Données projet'!$B$11,Paramètres!$A$1:$I$89,3,0)*VLOOKUP('Données projet'!$B$11,Paramètres!$A$1:$I$89,5,0)</f>
        <v>9.6777997601620278</v>
      </c>
      <c r="BF21" s="13">
        <f t="shared" si="37"/>
        <v>3.4243984904877038</v>
      </c>
      <c r="BG21" s="20">
        <f t="shared" si="7"/>
        <v>22.819661953214951</v>
      </c>
      <c r="BH21" s="59">
        <f t="shared" si="8"/>
        <v>316.15299528654828</v>
      </c>
      <c r="BI21" s="59">
        <f ca="1">AVERAGE(OFFSET($BH$3,0,0,'Données projet'!$E$11+1,1))-AVERAGE(OFFSET($H$3,0,0,'Données projet'!$E$11+1,1))</f>
        <v>263.7093252578133</v>
      </c>
      <c r="BJ21" s="59">
        <f t="shared" si="38"/>
        <v>123.27856176791568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283.73369613548124</v>
      </c>
      <c r="AO22" s="59">
        <f t="shared" si="36"/>
        <v>249.77804091581208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4.7456410256410253</v>
      </c>
      <c r="BD22" s="12">
        <f>IF('Données projet'!$A$88&gt;35,BD21+BC22-BL21,IF(A22&lt;'Données projet'!$A$88,$BA$205^A22,IF(A22='Données projet'!$A$88,'Données projet'!$B$88,BD21+BC22-BL21)))</f>
        <v>23.111611102992082</v>
      </c>
      <c r="BE22" s="13">
        <f>BD22*VLOOKUP('Données projet'!$B$11,Paramètres!$A$1:$I$89,3,0)*VLOOKUP('Données projet'!$B$11,Paramètres!$A$1:$I$89,5,0)</f>
        <v>11.417135884878091</v>
      </c>
      <c r="BF22" s="13">
        <f t="shared" si="37"/>
        <v>3.9628677600235838</v>
      </c>
      <c r="BG22" s="20">
        <f t="shared" si="7"/>
        <v>26.786839681537078</v>
      </c>
      <c r="BH22" s="59">
        <f t="shared" si="8"/>
        <v>320.12017301487037</v>
      </c>
      <c r="BI22" s="59">
        <f ca="1">AVERAGE(OFFSET($BH$3,0,0,'Données projet'!$E$11+1,1))-AVERAGE(OFFSET($H$3,0,0,'Données projet'!$E$11+1,1))</f>
        <v>263.7093252578133</v>
      </c>
      <c r="BJ22" s="59">
        <f t="shared" si="38"/>
        <v>123.27856176791568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283.73369613548124</v>
      </c>
      <c r="AO23" s="59">
        <f t="shared" si="36"/>
        <v>249.77804091581208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4.7456410256410253</v>
      </c>
      <c r="BD23" s="12">
        <f>IF('Données projet'!$A$88&gt;35,BD22+BC23-BL22,IF(A23&lt;'Données projet'!$A$88,$BA$205^A23,IF(A23='Données projet'!$A$88,'Données projet'!$B$88,BD22+BC23-BL22)))</f>
        <v>27.265330035811775</v>
      </c>
      <c r="BE23" s="13">
        <f>BD23*VLOOKUP('Données projet'!$B$11,Paramètres!$A$1:$I$89,3,0)*VLOOKUP('Données projet'!$B$11,Paramètres!$A$1:$I$89,5,0)</f>
        <v>13.469073037691018</v>
      </c>
      <c r="BF23" s="13">
        <f t="shared" si="37"/>
        <v>4.5860085872184024</v>
      </c>
      <c r="BG23" s="20">
        <f t="shared" si="7"/>
        <v>31.445933830050567</v>
      </c>
      <c r="BH23" s="59">
        <f t="shared" si="8"/>
        <v>324.77926716338391</v>
      </c>
      <c r="BI23" s="59">
        <f ca="1">AVERAGE(OFFSET($BH$3,0,0,'Données projet'!$E$11+1,1))-AVERAGE(OFFSET($H$3,0,0,'Données projet'!$E$11+1,1))</f>
        <v>263.7093252578133</v>
      </c>
      <c r="BJ23" s="59">
        <f t="shared" si="38"/>
        <v>123.27856176791568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283.73369613548124</v>
      </c>
      <c r="AO24" s="59">
        <f t="shared" si="36"/>
        <v>249.77804091581208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4.7456410256410253</v>
      </c>
      <c r="BD24" s="12">
        <f>IF('Données projet'!$A$88&gt;35,BD23+BC24-BL23,IF(A24&lt;'Données projet'!$A$88,$BA$205^A24,IF(A24='Données projet'!$A$88,'Données projet'!$B$88,BD23+BC24-BL23)))</f>
        <v>32.165573340990399</v>
      </c>
      <c r="BE24" s="13">
        <f>BD24*VLOOKUP('Données projet'!$B$11,Paramètres!$A$1:$I$89,3,0)*VLOOKUP('Données projet'!$B$11,Paramètres!$A$1:$I$89,5,0)</f>
        <v>15.889793230449257</v>
      </c>
      <c r="BF24" s="13">
        <f t="shared" si="37"/>
        <v>5.3071351444530039</v>
      </c>
      <c r="BG24" s="20">
        <f t="shared" si="7"/>
        <v>36.917983586288102</v>
      </c>
      <c r="BH24" s="59">
        <f t="shared" si="8"/>
        <v>330.25131691962144</v>
      </c>
      <c r="BI24" s="59">
        <f ca="1">AVERAGE(OFFSET($BH$3,0,0,'Données projet'!$E$11+1,1))-AVERAGE(OFFSET($H$3,0,0,'Données projet'!$E$11+1,1))</f>
        <v>263.7093252578133</v>
      </c>
      <c r="BJ24" s="59">
        <f t="shared" si="38"/>
        <v>123.27856176791568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283.73369613548124</v>
      </c>
      <c r="AO25" s="59">
        <f t="shared" si="36"/>
        <v>249.77804091581208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4.7456410256410253</v>
      </c>
      <c r="BD25" s="12">
        <f>IF('Données projet'!$A$88&gt;35,BD24+BC25-BL24,IF(A25&lt;'Données projet'!$A$88,$BA$205^A25,IF(A25='Données projet'!$A$88,'Données projet'!$B$88,BD24+BC25-BL24)))</f>
        <v>37.946509614800192</v>
      </c>
      <c r="BE25" s="13">
        <f>BD25*VLOOKUP('Données projet'!$B$11,Paramètres!$A$1:$I$89,3,0)*VLOOKUP('Données projet'!$B$11,Paramètres!$A$1:$I$89,5,0)</f>
        <v>18.745575749711296</v>
      </c>
      <c r="BF25" s="13">
        <f t="shared" si="37"/>
        <v>6.1416551900902174</v>
      </c>
      <c r="BG25" s="20">
        <f t="shared" si="7"/>
        <v>43.345260553487627</v>
      </c>
      <c r="BH25" s="59">
        <f t="shared" si="8"/>
        <v>336.67859388682092</v>
      </c>
      <c r="BI25" s="59">
        <f ca="1">AVERAGE(OFFSET($BH$3,0,0,'Données projet'!$E$11+1,1))-AVERAGE(OFFSET($H$3,0,0,'Données projet'!$E$11+1,1))</f>
        <v>263.7093252578133</v>
      </c>
      <c r="BJ25" s="59">
        <f t="shared" si="38"/>
        <v>123.27856176791568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283.73369613548124</v>
      </c>
      <c r="AO26" s="59">
        <f t="shared" si="36"/>
        <v>249.77804091581208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4.7456410256410253</v>
      </c>
      <c r="BD26" s="12">
        <f>IF('Données projet'!$A$88&gt;35,BD25+BC26-BL25,IF(A26&lt;'Données projet'!$A$88,$BA$205^A26,IF(A26='Données projet'!$A$88,'Données projet'!$B$88,BD25+BC26-BL25)))</f>
        <v>44.766420815236351</v>
      </c>
      <c r="BE26" s="13">
        <f>BD26*VLOOKUP('Données projet'!$B$11,Paramètres!$A$1:$I$89,3,0)*VLOOKUP('Données projet'!$B$11,Paramètres!$A$1:$I$89,5,0)</f>
        <v>22.114611882726759</v>
      </c>
      <c r="BF26" s="13">
        <f t="shared" si="37"/>
        <v>7.1073992742368439</v>
      </c>
      <c r="BG26" s="20">
        <f t="shared" si="7"/>
        <v>50.895002765044943</v>
      </c>
      <c r="BH26" s="59">
        <f t="shared" si="8"/>
        <v>344.22833609837824</v>
      </c>
      <c r="BI26" s="59">
        <f ca="1">AVERAGE(OFFSET($BH$3,0,0,'Données projet'!$E$11+1,1))-AVERAGE(OFFSET($H$3,0,0,'Données projet'!$E$11+1,1))</f>
        <v>263.7093252578133</v>
      </c>
      <c r="BJ26" s="59">
        <f t="shared" si="38"/>
        <v>123.27856176791568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283.73369613548124</v>
      </c>
      <c r="AO27" s="59">
        <f t="shared" si="36"/>
        <v>249.77804091581208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4.7456410256410253</v>
      </c>
      <c r="BD27" s="12">
        <f>IF('Données projet'!$A$88&gt;35,BD26+BC27-BL26,IF(A27&lt;'Données projet'!$A$88,$BA$205^A27,IF(A27='Données projet'!$A$88,'Données projet'!$B$88,BD26+BC27-BL26)))</f>
        <v>52.812036019913599</v>
      </c>
      <c r="BE27" s="13">
        <f>BD27*VLOOKUP('Données projet'!$B$11,Paramètres!$A$1:$I$89,3,0)*VLOOKUP('Données projet'!$B$11,Paramètres!$A$1:$I$89,5,0)</f>
        <v>26.089145793837318</v>
      </c>
      <c r="BF27" s="13">
        <f t="shared" si="37"/>
        <v>8.2250017104396154</v>
      </c>
      <c r="BG27" s="20">
        <f t="shared" si="7"/>
        <v>59.763806903282322</v>
      </c>
      <c r="BH27" s="59">
        <f t="shared" si="8"/>
        <v>353.09714023661564</v>
      </c>
      <c r="BI27" s="59">
        <f ca="1">AVERAGE(OFFSET($BH$3,0,0,'Données projet'!$E$11+1,1))-AVERAGE(OFFSET($H$3,0,0,'Données projet'!$E$11+1,1))</f>
        <v>263.7093252578133</v>
      </c>
      <c r="BJ27" s="59">
        <f t="shared" si="38"/>
        <v>123.27856176791568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283.73369613548124</v>
      </c>
      <c r="AO28" s="59">
        <f t="shared" si="36"/>
        <v>249.77804091581208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4.7456410256410253</v>
      </c>
      <c r="BD28" s="12">
        <f>IF('Données projet'!$A$88&gt;35,BD27+BC28-BL27,IF(A28&lt;'Données projet'!$A$88,$BA$205^A28,IF(A28='Données projet'!$A$88,'Données projet'!$B$88,BD27+BC28-BL27)))</f>
        <v>62.30364406571838</v>
      </c>
      <c r="BE28" s="13">
        <f>BD28*VLOOKUP('Données projet'!$B$11,Paramètres!$A$1:$I$89,3,0)*VLOOKUP('Données projet'!$B$11,Paramètres!$A$1:$I$89,5,0)</f>
        <v>30.778000168464882</v>
      </c>
      <c r="BF28" s="13">
        <f t="shared" si="37"/>
        <v>9.5183414532453696</v>
      </c>
      <c r="BG28" s="20">
        <f t="shared" si="7"/>
        <v>70.182794991145343</v>
      </c>
      <c r="BH28" s="59">
        <f t="shared" si="8"/>
        <v>363.51612832447864</v>
      </c>
      <c r="BI28" s="59">
        <f ca="1">AVERAGE(OFFSET($BH$3,0,0,'Données projet'!$E$11+1,1))-AVERAGE(OFFSET($H$3,0,0,'Données projet'!$E$11+1,1))</f>
        <v>263.7093252578133</v>
      </c>
      <c r="BJ28" s="59">
        <f t="shared" si="38"/>
        <v>123.27856176791568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283.73369613548124</v>
      </c>
      <c r="AO29" s="59">
        <f t="shared" si="36"/>
        <v>249.77804091581208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4.7456410256410253</v>
      </c>
      <c r="BD29" s="12">
        <f>IF('Données projet'!$A$88&gt;35,BD28+BC29-BL28,IF(A29&lt;'Données projet'!$A$88,$BA$205^A29,IF(A29='Données projet'!$A$88,'Données projet'!$B$88,BD28+BC29-BL28)))</f>
        <v>73.501125054221617</v>
      </c>
      <c r="BE29" s="13">
        <f>BD29*VLOOKUP('Données projet'!$B$11,Paramètres!$A$1:$I$89,3,0)*VLOOKUP('Données projet'!$B$11,Paramètres!$A$1:$I$89,5,0)</f>
        <v>36.30955577678548</v>
      </c>
      <c r="BF29" s="13">
        <f t="shared" si="37"/>
        <v>11.015052301518224</v>
      </c>
      <c r="BG29" s="20">
        <f t="shared" si="7"/>
        <v>82.423692403045607</v>
      </c>
      <c r="BH29" s="59">
        <f t="shared" si="8"/>
        <v>375.75702573637892</v>
      </c>
      <c r="BI29" s="59">
        <f ca="1">AVERAGE(OFFSET($BH$3,0,0,'Données projet'!$E$11+1,1))-AVERAGE(OFFSET($H$3,0,0,'Données projet'!$E$11+1,1))</f>
        <v>263.7093252578133</v>
      </c>
      <c r="BJ29" s="59">
        <f t="shared" si="38"/>
        <v>123.27856176791568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283.73369613548124</v>
      </c>
      <c r="AO30" s="59">
        <f t="shared" si="36"/>
        <v>249.77804091581208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4.7456410256410253</v>
      </c>
      <c r="BD30" s="12">
        <f>IF('Données projet'!$A$88&gt;35,BD29+BC30-BL29,IF(A30&lt;'Données projet'!$A$88,$BA$205^A30,IF(A30='Données projet'!$A$88,'Données projet'!$B$88,BD29+BC30-BL29)))</f>
        <v>86.711065865390026</v>
      </c>
      <c r="BE30" s="13">
        <f>BD30*VLOOKUP('Données projet'!$B$11,Paramètres!$A$1:$I$89,3,0)*VLOOKUP('Données projet'!$B$11,Paramètres!$A$1:$I$89,5,0)</f>
        <v>42.835266537502676</v>
      </c>
      <c r="BF30" s="13">
        <f t="shared" si="37"/>
        <v>12.747113328636976</v>
      </c>
      <c r="BG30" s="20">
        <f t="shared" si="7"/>
        <v>96.805978266859881</v>
      </c>
      <c r="BH30" s="59">
        <f t="shared" si="8"/>
        <v>390.1393116001932</v>
      </c>
      <c r="BI30" s="59">
        <f ca="1">AVERAGE(OFFSET($BH$3,0,0,'Données projet'!$E$11+1,1))-AVERAGE(OFFSET($H$3,0,0,'Données projet'!$E$11+1,1))</f>
        <v>263.7093252578133</v>
      </c>
      <c r="BJ30" s="59">
        <f t="shared" si="38"/>
        <v>123.27856176791568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283.73369613548124</v>
      </c>
      <c r="AO31" s="59">
        <f t="shared" si="36"/>
        <v>249.77804091581208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4.7456410256410253</v>
      </c>
      <c r="BD31" s="12">
        <f>IF('Données projet'!$A$88&gt;35,BD30+BC31-BL30,IF(A31&lt;'Données projet'!$A$88,$BA$205^A31,IF(A31='Données projet'!$A$88,'Données projet'!$B$88,BD30+BC31-BL30)))</f>
        <v>102.29515450226646</v>
      </c>
      <c r="BE31" s="13">
        <f>BD31*VLOOKUP('Données projet'!$B$11,Paramètres!$A$1:$I$89,3,0)*VLOOKUP('Données projet'!$B$11,Paramètres!$A$1:$I$89,5,0)</f>
        <v>50.533806324119638</v>
      </c>
      <c r="BF31" s="13">
        <f t="shared" si="37"/>
        <v>14.751532154842177</v>
      </c>
      <c r="BG31" s="20">
        <f t="shared" si="7"/>
        <v>113.70529785085849</v>
      </c>
      <c r="BH31" s="59">
        <f t="shared" si="8"/>
        <v>407.03863118419179</v>
      </c>
      <c r="BI31" s="59">
        <f ca="1">AVERAGE(OFFSET($BH$3,0,0,'Données projet'!$E$11+1,1))-AVERAGE(OFFSET($H$3,0,0,'Données projet'!$E$11+1,1))</f>
        <v>263.7093252578133</v>
      </c>
      <c r="BJ31" s="59">
        <f t="shared" si="38"/>
        <v>123.27856176791568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283.73369613548124</v>
      </c>
      <c r="AO32" s="59">
        <f t="shared" si="36"/>
        <v>249.77804091581208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4.7456410256410253</v>
      </c>
      <c r="BD32" s="12">
        <f>IF('Données projet'!$A$88&gt;35,BD31+BC32-BL31,IF(A32&lt;'Données projet'!$A$88,$BA$205^A32,IF(A32='Données projet'!$A$88,'Données projet'!$B$88,BD31+BC32-BL31)))</f>
        <v>120.68008310366417</v>
      </c>
      <c r="BE32" s="13">
        <f>BD32*VLOOKUP('Données projet'!$B$11,Paramètres!$A$1:$I$89,3,0)*VLOOKUP('Données projet'!$B$11,Paramètres!$A$1:$I$89,5,0)</f>
        <v>59.615961053210107</v>
      </c>
      <c r="BF32" s="13">
        <f t="shared" si="37"/>
        <v>17.071135660689325</v>
      </c>
      <c r="BG32" s="20">
        <f t="shared" si="7"/>
        <v>133.56336011004149</v>
      </c>
      <c r="BH32" s="59">
        <f t="shared" si="8"/>
        <v>426.89669344337483</v>
      </c>
      <c r="BI32" s="59">
        <f ca="1">AVERAGE(OFFSET($BH$3,0,0,'Données projet'!$E$11+1,1))-AVERAGE(OFFSET($H$3,0,0,'Données projet'!$E$11+1,1))</f>
        <v>263.7093252578133</v>
      </c>
      <c r="BJ32" s="59">
        <f t="shared" si="38"/>
        <v>123.27856176791568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283.73369613548124</v>
      </c>
      <c r="AO33" s="59">
        <f t="shared" si="36"/>
        <v>249.77804091581208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142.36923076923077</v>
      </c>
      <c r="BB33" s="12">
        <f>VLOOKUP(A33,'Données projet'!$A$87:$I$107,9,0)</f>
        <v>4.7456410256410253</v>
      </c>
      <c r="BC33" s="12">
        <f t="array" ref="BC33">INDEX(BB:BB,MIN(IF(ISNUMBER(BB33:BB229),ROW(BB33:BB229),"")))</f>
        <v>4.7456410256410253</v>
      </c>
      <c r="BD33" s="12">
        <f>IF('Données projet'!$A$88&gt;35,BD32+BC33-BL32,IF(A33&lt;'Données projet'!$A$88,$BA$205^A33,IF(A33='Données projet'!$A$88,'Données projet'!$B$88,BD32+BC33-BL32)))</f>
        <v>142.36923076923077</v>
      </c>
      <c r="BE33" s="13">
        <f>BD33*VLOOKUP('Données projet'!$B$11,Paramètres!$A$1:$I$89,3,0)*VLOOKUP('Données projet'!$B$11,Paramètres!$A$1:$I$89,5,0)</f>
        <v>70.330400000000012</v>
      </c>
      <c r="BF33" s="13">
        <f t="shared" si="37"/>
        <v>19.755485036176317</v>
      </c>
      <c r="BG33" s="20">
        <f t="shared" si="7"/>
        <v>156.89958310467378</v>
      </c>
      <c r="BH33" s="59">
        <f t="shared" si="8"/>
        <v>450.23291643800712</v>
      </c>
      <c r="BI33" s="59">
        <f ca="1">AVERAGE(OFFSET($BH$3,0,0,'Données projet'!$E$11+1,1))-AVERAGE(OFFSET($H$3,0,0,'Données projet'!$E$11+1,1))</f>
        <v>263.7093252578133</v>
      </c>
      <c r="BJ33" s="59">
        <f t="shared" si="38"/>
        <v>123.27856176791568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283.73369613548124</v>
      </c>
      <c r="AO34" s="59">
        <f t="shared" si="36"/>
        <v>249.77804091581208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13.410256410256411</v>
      </c>
      <c r="BD34" s="12">
        <f>IF('Données projet'!$A$88&gt;35,BD33+BC34-BL33,IF(A34&lt;'Données projet'!$A$88,$BA$205^A34,IF(A34='Données projet'!$A$88,'Données projet'!$B$88,BD33+BC34-BL33)))</f>
        <v>155.77948717948718</v>
      </c>
      <c r="BE34" s="13">
        <f>BD34*VLOOKUP('Données projet'!$B$11,Paramètres!$A$1:$I$89,3,0)*VLOOKUP('Données projet'!$B$11,Paramètres!$A$1:$I$89,5,0)</f>
        <v>76.955066666666667</v>
      </c>
      <c r="BF34" s="13">
        <f t="shared" si="37"/>
        <v>21.391009044900457</v>
      </c>
      <c r="BG34" s="20">
        <f t="shared" si="7"/>
        <v>171.28608186431276</v>
      </c>
      <c r="BH34" s="59">
        <f t="shared" si="8"/>
        <v>464.61941519764605</v>
      </c>
      <c r="BI34" s="59">
        <f ca="1">AVERAGE(OFFSET($BH$3,0,0,'Données projet'!$E$11+1,1))-AVERAGE(OFFSET($H$3,0,0,'Données projet'!$E$11+1,1))</f>
        <v>263.7093252578133</v>
      </c>
      <c r="BJ34" s="59">
        <f t="shared" si="38"/>
        <v>123.27856176791568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283.73369613548124</v>
      </c>
      <c r="AO35" s="59">
        <f t="shared" si="36"/>
        <v>249.77804091581208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13.410256410256411</v>
      </c>
      <c r="BD35" s="12">
        <f>IF('Données projet'!$A$88&gt;35,BD34+BC35-BL34,IF(A35&lt;'Données projet'!$A$88,$BA$205^A35,IF(A35='Données projet'!$A$88,'Données projet'!$B$88,BD34+BC35-BL34)))</f>
        <v>169.18974358974359</v>
      </c>
      <c r="BE35" s="13">
        <f>BD35*VLOOKUP('Données projet'!$B$11,Paramètres!$A$1:$I$89,3,0)*VLOOKUP('Données projet'!$B$11,Paramètres!$A$1:$I$89,5,0)</f>
        <v>83.579733333333337</v>
      </c>
      <c r="BF35" s="13">
        <f t="shared" si="37"/>
        <v>23.010205210437892</v>
      </c>
      <c r="BG35" s="20">
        <f t="shared" si="7"/>
        <v>185.64414296373488</v>
      </c>
      <c r="BH35" s="59">
        <f t="shared" si="8"/>
        <v>478.97747629706816</v>
      </c>
      <c r="BI35" s="59">
        <f ca="1">AVERAGE(OFFSET($BH$3,0,0,'Données projet'!$E$11+1,1))-AVERAGE(OFFSET($H$3,0,0,'Données projet'!$E$11+1,1))</f>
        <v>263.7093252578133</v>
      </c>
      <c r="BJ35" s="59">
        <f t="shared" si="38"/>
        <v>123.27856176791568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283.73369613548124</v>
      </c>
      <c r="AO36" s="59">
        <f t="shared" si="36"/>
        <v>249.77804091581208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13.410256410256411</v>
      </c>
      <c r="BD36" s="12">
        <f>IF('Données projet'!$A$88&gt;35,BD35+BC36-BL35,IF(A36&lt;'Données projet'!$A$88,$BA$205^A36,IF(A36='Données projet'!$A$88,'Données projet'!$B$88,BD35+BC36-BL35)))</f>
        <v>182.6</v>
      </c>
      <c r="BE36" s="13">
        <f>BD36*VLOOKUP('Données projet'!$B$11,Paramètres!$A$1:$I$89,3,0)*VLOOKUP('Données projet'!$B$11,Paramètres!$A$1:$I$89,5,0)</f>
        <v>90.204400000000007</v>
      </c>
      <c r="BF36" s="13">
        <f t="shared" si="37"/>
        <v>24.614514841541414</v>
      </c>
      <c r="BG36" s="20">
        <f t="shared" si="7"/>
        <v>199.97627668235131</v>
      </c>
      <c r="BH36" s="59">
        <f t="shared" si="8"/>
        <v>493.3096100156846</v>
      </c>
      <c r="BI36" s="59">
        <f ca="1">AVERAGE(OFFSET($BH$3,0,0,'Données projet'!$E$11+1,1))-AVERAGE(OFFSET($H$3,0,0,'Données projet'!$E$11+1,1))</f>
        <v>263.7093252578133</v>
      </c>
      <c r="BJ36" s="59">
        <f t="shared" si="38"/>
        <v>123.27856176791568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283.73369613548124</v>
      </c>
      <c r="AO37" s="59">
        <f t="shared" si="36"/>
        <v>249.77804091581208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13.410256410256411</v>
      </c>
      <c r="BD37" s="12">
        <f>IF('Données projet'!$A$88&gt;35,BD36+BC37-BL36,IF(A37&lt;'Données projet'!$A$88,$BA$205^A37,IF(A37='Données projet'!$A$88,'Données projet'!$B$88,BD36+BC37-BL36)))</f>
        <v>196.0102564102564</v>
      </c>
      <c r="BE37" s="13">
        <f>BD37*VLOOKUP('Données projet'!$B$11,Paramètres!$A$1:$I$89,3,0)*VLOOKUP('Données projet'!$B$11,Paramètres!$A$1:$I$89,5,0)</f>
        <v>96.829066666666662</v>
      </c>
      <c r="BF37" s="13">
        <f t="shared" si="37"/>
        <v>26.205155539788578</v>
      </c>
      <c r="BG37" s="20">
        <f t="shared" si="7"/>
        <v>214.28460367624288</v>
      </c>
      <c r="BH37" s="59">
        <f t="shared" si="8"/>
        <v>507.61793700957617</v>
      </c>
      <c r="BI37" s="59">
        <f ca="1">AVERAGE(OFFSET($BH$3,0,0,'Données projet'!$E$11+1,1))-AVERAGE(OFFSET($H$3,0,0,'Données projet'!$E$11+1,1))</f>
        <v>263.7093252578133</v>
      </c>
      <c r="BJ37" s="59">
        <f t="shared" si="38"/>
        <v>123.27856176791568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283.73369613548124</v>
      </c>
      <c r="AO38" s="59">
        <f t="shared" si="36"/>
        <v>249.77804091581208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13.410256410256411</v>
      </c>
      <c r="BD38" s="12">
        <f>IF('Données projet'!$A$88&gt;35,BD37+BC38-BL37,IF(A38&lt;'Données projet'!$A$88,$BA$205^A38,IF(A38='Données projet'!$A$88,'Données projet'!$B$88,BD37+BC38-BL37)))</f>
        <v>209.42051282051281</v>
      </c>
      <c r="BE38" s="13">
        <f>BD38*VLOOKUP('Données projet'!$B$11,Paramètres!$A$1:$I$89,3,0)*VLOOKUP('Données projet'!$B$11,Paramètres!$A$1:$I$89,5,0)</f>
        <v>103.45373333333335</v>
      </c>
      <c r="BF38" s="13">
        <f t="shared" si="37"/>
        <v>27.783168868999102</v>
      </c>
      <c r="BG38" s="20">
        <f t="shared" si="7"/>
        <v>228.57093800239568</v>
      </c>
      <c r="BH38" s="59">
        <f t="shared" si="8"/>
        <v>521.90427133572894</v>
      </c>
      <c r="BI38" s="59">
        <f ca="1">AVERAGE(OFFSET($BH$3,0,0,'Données projet'!$E$11+1,1))-AVERAGE(OFFSET($H$3,0,0,'Données projet'!$E$11+1,1))</f>
        <v>263.7093252578133</v>
      </c>
      <c r="BJ38" s="59">
        <f t="shared" si="38"/>
        <v>123.27856176791568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283.73369613548124</v>
      </c>
      <c r="AO39" s="59">
        <f t="shared" si="36"/>
        <v>249.77804091581208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13.410256410256411</v>
      </c>
      <c r="BD39" s="12">
        <f>IF('Données projet'!$A$88&gt;35,BD38+BC39-BL38,IF(A39&lt;'Données projet'!$A$88,$BA$205^A39,IF(A39='Données projet'!$A$88,'Données projet'!$B$88,BD38+BC39-BL38)))</f>
        <v>222.83076923076922</v>
      </c>
      <c r="BE39" s="13">
        <f>BD39*VLOOKUP('Données projet'!$B$11,Paramètres!$A$1:$I$89,3,0)*VLOOKUP('Données projet'!$B$11,Paramètres!$A$1:$I$89,5,0)</f>
        <v>110.0784</v>
      </c>
      <c r="BF39" s="13">
        <f t="shared" si="37"/>
        <v>29.349455458042062</v>
      </c>
      <c r="BG39" s="20">
        <f t="shared" si="7"/>
        <v>242.83684825608995</v>
      </c>
      <c r="BH39" s="59">
        <f t="shared" si="8"/>
        <v>536.17018158942324</v>
      </c>
      <c r="BI39" s="59">
        <f ca="1">AVERAGE(OFFSET($BH$3,0,0,'Données projet'!$E$11+1,1))-AVERAGE(OFFSET($H$3,0,0,'Données projet'!$E$11+1,1))</f>
        <v>263.7093252578133</v>
      </c>
      <c r="BJ39" s="59">
        <f t="shared" si="38"/>
        <v>123.27856176791568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283.73369613548124</v>
      </c>
      <c r="AO40" s="59">
        <f t="shared" si="36"/>
        <v>249.77804091581208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13.410256410256411</v>
      </c>
      <c r="BD40" s="12">
        <f>IF('Données projet'!$A$88&gt;35,BD39+BC40-BL39,IF(A40&lt;'Données projet'!$A$88,$BA$205^A40,IF(A40='Données projet'!$A$88,'Données projet'!$B$88,BD39+BC40-BL39)))</f>
        <v>236.24102564102563</v>
      </c>
      <c r="BE40" s="13">
        <f>BD40*VLOOKUP('Données projet'!$B$11,Paramètres!$A$1:$I$89,3,0)*VLOOKUP('Données projet'!$B$11,Paramètres!$A$1:$I$89,5,0)</f>
        <v>116.70306666666667</v>
      </c>
      <c r="BF40" s="13">
        <f t="shared" si="37"/>
        <v>30.904801408988813</v>
      </c>
      <c r="BG40" s="20">
        <f t="shared" si="7"/>
        <v>257.08370356509994</v>
      </c>
      <c r="BH40" s="59">
        <f t="shared" si="8"/>
        <v>550.41703689843325</v>
      </c>
      <c r="BI40" s="59">
        <f ca="1">AVERAGE(OFFSET($BH$3,0,0,'Données projet'!$E$11+1,1))-AVERAGE(OFFSET($H$3,0,0,'Données projet'!$E$11+1,1))</f>
        <v>263.7093252578133</v>
      </c>
      <c r="BJ40" s="59">
        <f t="shared" si="38"/>
        <v>123.27856176791568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283.73369613548124</v>
      </c>
      <c r="AO41" s="59">
        <f t="shared" si="36"/>
        <v>249.77804091581208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13.410256410256411</v>
      </c>
      <c r="BD41" s="12">
        <f>IF('Données projet'!$A$88&gt;35,BD40+BC41-BL40,IF(A41&lt;'Données projet'!$A$88,$BA$205^A41,IF(A41='Données projet'!$A$88,'Données projet'!$B$88,BD40+BC41-BL40)))</f>
        <v>249.65128205128204</v>
      </c>
      <c r="BE41" s="13">
        <f>BD41*VLOOKUP('Données projet'!$B$11,Paramètres!$A$1:$I$89,3,0)*VLOOKUP('Données projet'!$B$11,Paramètres!$A$1:$I$89,5,0)</f>
        <v>123.32773333333333</v>
      </c>
      <c r="BF41" s="13">
        <f t="shared" si="37"/>
        <v>32.449898536720475</v>
      </c>
      <c r="BG41" s="20">
        <f t="shared" si="7"/>
        <v>271.31270884034365</v>
      </c>
      <c r="BH41" s="59">
        <f t="shared" si="8"/>
        <v>564.64604217367696</v>
      </c>
      <c r="BI41" s="59">
        <f ca="1">AVERAGE(OFFSET($BH$3,0,0,'Données projet'!$E$11+1,1))-AVERAGE(OFFSET($H$3,0,0,'Données projet'!$E$11+1,1))</f>
        <v>263.7093252578133</v>
      </c>
      <c r="BJ41" s="59">
        <f t="shared" si="38"/>
        <v>123.27856176791568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283.73369613548124</v>
      </c>
      <c r="AO42" s="59">
        <f t="shared" si="36"/>
        <v>249.77804091581208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13.410256410256411</v>
      </c>
      <c r="BD42" s="12">
        <f>IF('Données projet'!$A$88&gt;35,BD41+BC42-BL41,IF(A42&lt;'Données projet'!$A$88,$BA$205^A42,IF(A42='Données projet'!$A$88,'Données projet'!$B$88,BD41+BC42-BL41)))</f>
        <v>263.06153846153848</v>
      </c>
      <c r="BE42" s="13">
        <f>BD42*VLOOKUP('Données projet'!$B$11,Paramètres!$A$1:$I$89,3,0)*VLOOKUP('Données projet'!$B$11,Paramètres!$A$1:$I$89,5,0)</f>
        <v>129.95240000000001</v>
      </c>
      <c r="BF42" s="13">
        <f t="shared" si="37"/>
        <v>33.985360135498645</v>
      </c>
      <c r="BG42" s="20">
        <f t="shared" si="7"/>
        <v>285.52493223599345</v>
      </c>
      <c r="BH42" s="59">
        <f t="shared" si="8"/>
        <v>578.8582655693267</v>
      </c>
      <c r="BI42" s="59">
        <f ca="1">AVERAGE(OFFSET($BH$3,0,0,'Données projet'!$E$11+1,1))-AVERAGE(OFFSET($H$3,0,0,'Données projet'!$E$11+1,1))</f>
        <v>263.7093252578133</v>
      </c>
      <c r="BJ42" s="59">
        <f t="shared" si="38"/>
        <v>123.27856176791568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283.73369613548124</v>
      </c>
      <c r="AO43" s="59">
        <f t="shared" si="36"/>
        <v>249.77804091581208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13.410256410256411</v>
      </c>
      <c r="BD43" s="12">
        <f>IF('Données projet'!$A$88&gt;35,BD42+BC43-BL42,IF(A43&lt;'Données projet'!$A$88,$BA$205^A43,IF(A43='Données projet'!$A$88,'Données projet'!$B$88,BD42+BC43-BL42)))</f>
        <v>276.47179487179488</v>
      </c>
      <c r="BE43" s="13">
        <f>BD43*VLOOKUP('Données projet'!$B$11,Paramètres!$A$1:$I$89,3,0)*VLOOKUP('Données projet'!$B$11,Paramètres!$A$1:$I$89,5,0)</f>
        <v>136.57706666666667</v>
      </c>
      <c r="BF43" s="13">
        <f t="shared" si="37"/>
        <v>35.511733439077133</v>
      </c>
      <c r="BG43" s="20">
        <f t="shared" si="7"/>
        <v>299.72132685083716</v>
      </c>
      <c r="BH43" s="59">
        <f t="shared" si="8"/>
        <v>593.05466018417042</v>
      </c>
      <c r="BI43" s="59">
        <f ca="1">AVERAGE(OFFSET($BH$3,0,0,'Données projet'!$E$11+1,1))-AVERAGE(OFFSET($H$3,0,0,'Données projet'!$E$11+1,1))</f>
        <v>263.7093252578133</v>
      </c>
      <c r="BJ43" s="59">
        <f t="shared" si="38"/>
        <v>123.27856176791568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283.73369613548124</v>
      </c>
      <c r="AO44" s="59">
        <f t="shared" si="36"/>
        <v>249.77804091581208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13.410256410256411</v>
      </c>
      <c r="BD44" s="12">
        <f>IF('Données projet'!$A$88&gt;35,BD43+BC44-BL43,IF(A44&lt;'Données projet'!$A$88,$BA$205^A44,IF(A44='Données projet'!$A$88,'Données projet'!$B$88,BD43+BC44-BL43)))</f>
        <v>289.88205128205129</v>
      </c>
      <c r="BE44" s="13">
        <f>BD44*VLOOKUP('Données projet'!$B$11,Paramètres!$A$1:$I$89,3,0)*VLOOKUP('Données projet'!$B$11,Paramètres!$A$1:$I$89,5,0)</f>
        <v>143.20173333333335</v>
      </c>
      <c r="BF44" s="13">
        <f t="shared" si="37"/>
        <v>37.0295095947357</v>
      </c>
      <c r="BG44" s="20">
        <f t="shared" si="7"/>
        <v>313.90274809972021</v>
      </c>
      <c r="BH44" s="59">
        <f t="shared" si="8"/>
        <v>607.23608143305353</v>
      </c>
      <c r="BI44" s="59">
        <f ca="1">AVERAGE(OFFSET($BH$3,0,0,'Données projet'!$E$11+1,1))-AVERAGE(OFFSET($H$3,0,0,'Données projet'!$E$11+1,1))</f>
        <v>263.7093252578133</v>
      </c>
      <c r="BJ44" s="59">
        <f t="shared" si="38"/>
        <v>123.27856176791568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283.73369613548124</v>
      </c>
      <c r="AO45" s="59">
        <f t="shared" si="36"/>
        <v>249.77804091581208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13.410256410256411</v>
      </c>
      <c r="BD45" s="12">
        <f>IF('Données projet'!$A$88&gt;35,BD44+BC45-BL44,IF(A45&lt;'Données projet'!$A$88,$BA$205^A45,IF(A45='Données projet'!$A$88,'Données projet'!$B$88,BD44+BC45-BL44)))</f>
        <v>303.2923076923077</v>
      </c>
      <c r="BE45" s="13">
        <f>BD45*VLOOKUP('Données projet'!$B$11,Paramètres!$A$1:$I$89,3,0)*VLOOKUP('Données projet'!$B$11,Paramètres!$A$1:$I$89,5,0)</f>
        <v>149.82640000000001</v>
      </c>
      <c r="BF45" s="13">
        <f t="shared" si="37"/>
        <v>38.539131739460437</v>
      </c>
      <c r="BG45" s="20">
        <f t="shared" si="7"/>
        <v>328.06996777956027</v>
      </c>
      <c r="BH45" s="59">
        <f t="shared" si="8"/>
        <v>621.40330111289359</v>
      </c>
      <c r="BI45" s="59">
        <f ca="1">AVERAGE(OFFSET($BH$3,0,0,'Données projet'!$E$11+1,1))-AVERAGE(OFFSET($H$3,0,0,'Données projet'!$E$11+1,1))</f>
        <v>263.7093252578133</v>
      </c>
      <c r="BJ45" s="59">
        <f t="shared" si="38"/>
        <v>123.27856176791568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283.73369613548124</v>
      </c>
      <c r="AO46" s="59">
        <f t="shared" si="36"/>
        <v>249.77804091581208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13.410256410256411</v>
      </c>
      <c r="BD46" s="12">
        <f>IF('Données projet'!$A$88&gt;35,BD45+BC46-BL45,IF(A46&lt;'Données projet'!$A$88,$BA$205^A46,IF(A46='Données projet'!$A$88,'Données projet'!$B$88,BD45+BC46-BL45)))</f>
        <v>316.70256410256411</v>
      </c>
      <c r="BE46" s="13">
        <f>BD46*VLOOKUP('Données projet'!$B$11,Paramètres!$A$1:$I$89,3,0)*VLOOKUP('Données projet'!$B$11,Paramètres!$A$1:$I$89,5,0)</f>
        <v>156.45106666666669</v>
      </c>
      <c r="BF46" s="13">
        <f t="shared" si="37"/>
        <v>40.04100160742113</v>
      </c>
      <c r="BG46" s="20">
        <f t="shared" si="7"/>
        <v>342.22368557736962</v>
      </c>
      <c r="BH46" s="59">
        <f t="shared" si="8"/>
        <v>635.55701891070294</v>
      </c>
      <c r="BI46" s="59">
        <f ca="1">AVERAGE(OFFSET($BH$3,0,0,'Données projet'!$E$11+1,1))-AVERAGE(OFFSET($H$3,0,0,'Données projet'!$E$11+1,1))</f>
        <v>263.7093252578133</v>
      </c>
      <c r="BJ46" s="59">
        <f t="shared" si="38"/>
        <v>123.27856176791568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283.73369613548124</v>
      </c>
      <c r="AO47" s="59">
        <f t="shared" si="36"/>
        <v>249.77804091581208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13.410256410256411</v>
      </c>
      <c r="BD47" s="12">
        <f>IF('Données projet'!$A$88&gt;35,BD46+BC47-BL46,IF(A47&lt;'Données projet'!$A$88,$BA$205^A47,IF(A47='Données projet'!$A$88,'Données projet'!$B$88,BD46+BC47-BL46)))</f>
        <v>330.11282051282052</v>
      </c>
      <c r="BE47" s="13">
        <f>BD47*VLOOKUP('Données projet'!$B$11,Paramètres!$A$1:$I$89,3,0)*VLOOKUP('Données projet'!$B$11,Paramètres!$A$1:$I$89,5,0)</f>
        <v>163.07573333333335</v>
      </c>
      <c r="BF47" s="13">
        <f t="shared" si="37"/>
        <v>41.535484986766861</v>
      </c>
      <c r="BG47" s="20">
        <f t="shared" si="7"/>
        <v>356.36453857417445</v>
      </c>
      <c r="BH47" s="59">
        <f t="shared" si="8"/>
        <v>649.69787190750776</v>
      </c>
      <c r="BI47" s="59">
        <f ca="1">AVERAGE(OFFSET($BH$3,0,0,'Données projet'!$E$11+1,1))-AVERAGE(OFFSET($H$3,0,0,'Données projet'!$E$11+1,1))</f>
        <v>263.7093252578133</v>
      </c>
      <c r="BJ47" s="59">
        <f t="shared" si="38"/>
        <v>123.27856176791568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283.73369613548124</v>
      </c>
      <c r="AO48" s="59">
        <f t="shared" si="36"/>
        <v>249.77804091581208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343.52307692307693</v>
      </c>
      <c r="BB48" s="12">
        <f>VLOOKUP(A48,'Données projet'!$A$87:$I$107,9,0)</f>
        <v>13.410256410256411</v>
      </c>
      <c r="BC48" s="12">
        <f t="array" ref="BC48">INDEX(BB:BB,MIN(IF(ISNUMBER(BB48:BB244),ROW(BB48:BB244),"")))</f>
        <v>13.410256410256411</v>
      </c>
      <c r="BD48" s="12">
        <f>IF('Données projet'!$A$88&gt;35,BD47+BC48-BL47,IF(A48&lt;'Données projet'!$A$88,$BA$205^A48,IF(A48='Données projet'!$A$88,'Données projet'!$B$88,BD47+BC48-BL47)))</f>
        <v>343.52307692307693</v>
      </c>
      <c r="BE48" s="13">
        <f>BD48*VLOOKUP('Données projet'!$B$11,Paramètres!$A$1:$I$89,3,0)*VLOOKUP('Données projet'!$B$11,Paramètres!$A$1:$I$89,5,0)</f>
        <v>169.70040000000003</v>
      </c>
      <c r="BF48" s="13">
        <f t="shared" si="37"/>
        <v>43.022916264761655</v>
      </c>
      <c r="BG48" s="20">
        <f t="shared" si="7"/>
        <v>370.4931091611266</v>
      </c>
      <c r="BH48" s="59">
        <f t="shared" si="8"/>
        <v>663.82644249445991</v>
      </c>
      <c r="BI48" s="59">
        <f ca="1">AVERAGE(OFFSET($BH$3,0,0,'Données projet'!$E$11+1,1))-AVERAGE(OFFSET($H$3,0,0,'Données projet'!$E$11+1,1))</f>
        <v>263.7093252578133</v>
      </c>
      <c r="BJ48" s="59">
        <f t="shared" si="38"/>
        <v>123.27856176791568</v>
      </c>
      <c r="BK48" s="15">
        <f>IF(ISNA(VLOOKUP(A48,'Données projet'!$A$87:$I$107,3,0)),0,VLOOKUP(A48,'Données projet'!$A$87:$I$107,3,0))</f>
        <v>1</v>
      </c>
      <c r="BL48" s="15">
        <f>IF(ISNA(VLOOKUP(A48,'Données projet'!$A$87:$I$107,4,0)),0,VLOOKUP(A48,'Données projet'!$A$87:$I$107,4,0))</f>
        <v>146.27692307692308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0.30800000000000005</v>
      </c>
      <c r="BO48" s="16">
        <f>IF(ISNA(VLOOKUP(A48,'Données projet'!$A$87:$I$107,7,0)),0%,VLOOKUP(A48,'Données projet'!$A$87:$I$107,7,0))</f>
        <v>0.44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29.408202495604268</v>
      </c>
      <c r="BR48" s="21">
        <f>EXP(-LN(2)/2)*BR47+(1-EXP(-LN(2)/2))/(LN(2)/2)*BL48*BO48*VLOOKUP('Données projet'!$B$11,Paramètres!$A$1:$I$89,3,0)*0.475*44/12</f>
        <v>35.999045106244196</v>
      </c>
      <c r="BS48" s="22">
        <f t="shared" si="9"/>
        <v>65.407247601848468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283.73369613548124</v>
      </c>
      <c r="AO49" s="59">
        <f t="shared" si="36"/>
        <v>249.77804091581208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18.983516483516478</v>
      </c>
      <c r="BD49" s="12">
        <f>IF('Données projet'!$A$88&gt;35,BD48+BC49-BL48,IF(A49&lt;'Données projet'!$A$88,$BA$205^A49,IF(A49='Données projet'!$A$88,'Données projet'!$B$88,BD48+BC49-BL48)))</f>
        <v>216.22967032967034</v>
      </c>
      <c r="BE49" s="13">
        <f>BD49*VLOOKUP('Données projet'!$B$11,Paramètres!$A$1:$I$89,3,0)*VLOOKUP('Données projet'!$B$11,Paramètres!$A$1:$I$89,5,0)</f>
        <v>106.81745714285717</v>
      </c>
      <c r="BF49" s="13">
        <f t="shared" si="37"/>
        <v>28.579876238681166</v>
      </c>
      <c r="BG49" s="20">
        <f t="shared" si="7"/>
        <v>235.81702230617921</v>
      </c>
      <c r="BH49" s="59">
        <f t="shared" si="8"/>
        <v>529.15035563951255</v>
      </c>
      <c r="BI49" s="59">
        <f ca="1">AVERAGE(OFFSET($BH$3,0,0,'Données projet'!$E$11+1,1))-AVERAGE(OFFSET($H$3,0,0,'Données projet'!$E$11+1,1))</f>
        <v>263.7093252578133</v>
      </c>
      <c r="BJ49" s="59">
        <f t="shared" si="38"/>
        <v>123.27856176791568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28.604033651851815</v>
      </c>
      <c r="BR49" s="21">
        <f>EXP(-LN(2)/2)*BR48+(1-EXP(-LN(2)/2))/(LN(2)/2)*BL49*BO49*VLOOKUP('Données projet'!$B$11,Paramètres!$A$1:$I$89,3,0)*0.475*44/12</f>
        <v>25.45516891086567</v>
      </c>
      <c r="BS49" s="22">
        <f t="shared" si="9"/>
        <v>54.059202562717488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283.73369613548124</v>
      </c>
      <c r="AO50" s="59">
        <f t="shared" si="36"/>
        <v>249.77804091581208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18.983516483516478</v>
      </c>
      <c r="BD50" s="12">
        <f>IF('Données projet'!$A$88&gt;35,BD49+BC50-BL49,IF(A50&lt;'Données projet'!$A$88,$BA$205^A50,IF(A50='Données projet'!$A$88,'Données projet'!$B$88,BD49+BC50-BL49)))</f>
        <v>235.21318681318681</v>
      </c>
      <c r="BE50" s="13">
        <f>BD50*VLOOKUP('Données projet'!$B$11,Paramètres!$A$1:$I$89,3,0)*VLOOKUP('Données projet'!$B$11,Paramètres!$A$1:$I$89,5,0)</f>
        <v>116.19531428571429</v>
      </c>
      <c r="BF50" s="13">
        <f t="shared" si="37"/>
        <v>30.785961721847894</v>
      </c>
      <c r="BG50" s="20">
        <f t="shared" si="7"/>
        <v>255.99238904650414</v>
      </c>
      <c r="BH50" s="59">
        <f t="shared" si="8"/>
        <v>549.32572237983743</v>
      </c>
      <c r="BI50" s="59">
        <f ca="1">AVERAGE(OFFSET($BH$3,0,0,'Données projet'!$E$11+1,1))-AVERAGE(OFFSET($H$3,0,0,'Données projet'!$E$11+1,1))</f>
        <v>263.7093252578133</v>
      </c>
      <c r="BJ50" s="59">
        <f t="shared" si="38"/>
        <v>123.27856176791568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27.821854847421172</v>
      </c>
      <c r="BR50" s="21">
        <f>EXP(-LN(2)/2)*BR49+(1-EXP(-LN(2)/2))/(LN(2)/2)*BL50*BO50*VLOOKUP('Données projet'!$B$11,Paramètres!$A$1:$I$89,3,0)*0.475*44/12</f>
        <v>17.999522553122098</v>
      </c>
      <c r="BS50" s="22">
        <f t="shared" si="9"/>
        <v>45.82137740054327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283.73369613548124</v>
      </c>
      <c r="AO51" s="59">
        <f t="shared" si="36"/>
        <v>249.77804091581208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18.983516483516478</v>
      </c>
      <c r="BD51" s="12">
        <f>IF('Données projet'!$A$88&gt;35,BD50+BC51-BL50,IF(A51&lt;'Données projet'!$A$88,$BA$205^A51,IF(A51='Données projet'!$A$88,'Données projet'!$B$88,BD50+BC51-BL50)))</f>
        <v>254.19670329670328</v>
      </c>
      <c r="BE51" s="13">
        <f>BD51*VLOOKUP('Données projet'!$B$11,Paramètres!$A$1:$I$89,3,0)*VLOOKUP('Données projet'!$B$11,Paramètres!$A$1:$I$89,5,0)</f>
        <v>125.57317142857141</v>
      </c>
      <c r="BF51" s="13">
        <f t="shared" si="37"/>
        <v>32.97139580018213</v>
      </c>
      <c r="BG51" s="20">
        <f t="shared" si="7"/>
        <v>276.13178792341245</v>
      </c>
      <c r="BH51" s="59">
        <f t="shared" si="8"/>
        <v>569.46512125674576</v>
      </c>
      <c r="BI51" s="59">
        <f ca="1">AVERAGE(OFFSET($BH$3,0,0,'Données projet'!$E$11+1,1))-AVERAGE(OFFSET($H$3,0,0,'Données projet'!$E$11+1,1))</f>
        <v>263.7093252578133</v>
      </c>
      <c r="BJ51" s="59">
        <f t="shared" si="38"/>
        <v>123.27856176791568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27.06106476353068</v>
      </c>
      <c r="BR51" s="21">
        <f>EXP(-LN(2)/2)*BR50+(1-EXP(-LN(2)/2))/(LN(2)/2)*BL51*BO51*VLOOKUP('Données projet'!$B$11,Paramètres!$A$1:$I$89,3,0)*0.475*44/12</f>
        <v>12.727584455432835</v>
      </c>
      <c r="BS51" s="22">
        <f t="shared" si="9"/>
        <v>39.788649218963513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283.73369613548124</v>
      </c>
      <c r="AO52" s="59">
        <f t="shared" si="36"/>
        <v>249.77804091581208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18.983516483516478</v>
      </c>
      <c r="BD52" s="12">
        <f>IF('Données projet'!$A$88&gt;35,BD51+BC52-BL51,IF(A52&lt;'Données projet'!$A$88,$BA$205^A52,IF(A52='Données projet'!$A$88,'Données projet'!$B$88,BD51+BC52-BL51)))</f>
        <v>273.18021978021977</v>
      </c>
      <c r="BE52" s="13">
        <f>BD52*VLOOKUP('Données projet'!$B$11,Paramètres!$A$1:$I$89,3,0)*VLOOKUP('Données projet'!$B$11,Paramètres!$A$1:$I$89,5,0)</f>
        <v>134.95102857142859</v>
      </c>
      <c r="BF52" s="13">
        <f t="shared" si="37"/>
        <v>35.137896099430549</v>
      </c>
      <c r="BG52" s="20">
        <f t="shared" si="7"/>
        <v>296.238210468413</v>
      </c>
      <c r="BH52" s="59">
        <f t="shared" si="8"/>
        <v>589.57154380174632</v>
      </c>
      <c r="BI52" s="59">
        <f ca="1">AVERAGE(OFFSET($BH$3,0,0,'Données projet'!$E$11+1,1))-AVERAGE(OFFSET($H$3,0,0,'Données projet'!$E$11+1,1))</f>
        <v>263.7093252578133</v>
      </c>
      <c r="BJ52" s="59">
        <f t="shared" si="38"/>
        <v>123.27856176791568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26.321078524492385</v>
      </c>
      <c r="BR52" s="21">
        <f>EXP(-LN(2)/2)*BR51+(1-EXP(-LN(2)/2))/(LN(2)/2)*BL52*BO52*VLOOKUP('Données projet'!$B$11,Paramètres!$A$1:$I$89,3,0)*0.475*44/12</f>
        <v>8.9997612765610491</v>
      </c>
      <c r="BS52" s="22">
        <f t="shared" si="9"/>
        <v>35.320839801053438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283.73369613548124</v>
      </c>
      <c r="AO53" s="59">
        <f t="shared" si="36"/>
        <v>249.77804091581208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18.983516483516478</v>
      </c>
      <c r="BD53" s="12">
        <f>IF('Données projet'!$A$88&gt;35,BD52+BC53-BL52,IF(A53&lt;'Données projet'!$A$88,$BA$205^A53,IF(A53='Données projet'!$A$88,'Données projet'!$B$88,BD52+BC53-BL52)))</f>
        <v>292.16373626373627</v>
      </c>
      <c r="BE53" s="13">
        <f>BD53*VLOOKUP('Données projet'!$B$11,Paramètres!$A$1:$I$89,3,0)*VLOOKUP('Données projet'!$B$11,Paramètres!$A$1:$I$89,5,0)</f>
        <v>144.32888571428572</v>
      </c>
      <c r="BF53" s="13">
        <f t="shared" si="37"/>
        <v>37.286928009615018</v>
      </c>
      <c r="BG53" s="20">
        <f t="shared" si="7"/>
        <v>316.31420890246039</v>
      </c>
      <c r="BH53" s="59">
        <f t="shared" si="8"/>
        <v>609.64754223579371</v>
      </c>
      <c r="BI53" s="59">
        <f ca="1">AVERAGE(OFFSET($BH$3,0,0,'Données projet'!$E$11+1,1))-AVERAGE(OFFSET($H$3,0,0,'Données projet'!$E$11+1,1))</f>
        <v>263.7093252578133</v>
      </c>
      <c r="BJ53" s="59">
        <f t="shared" si="38"/>
        <v>123.27856176791568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25.601327248074778</v>
      </c>
      <c r="BR53" s="21">
        <f>EXP(-LN(2)/2)*BR52+(1-EXP(-LN(2)/2))/(LN(2)/2)*BL53*BO53*VLOOKUP('Données projet'!$B$11,Paramètres!$A$1:$I$89,3,0)*0.475*44/12</f>
        <v>6.3637922277164174</v>
      </c>
      <c r="BS53" s="22">
        <f t="shared" si="9"/>
        <v>31.965119475791195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283.73369613548124</v>
      </c>
      <c r="AO54" s="59">
        <f t="shared" si="36"/>
        <v>249.77804091581208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18.983516483516478</v>
      </c>
      <c r="BD54" s="12">
        <f>IF('Données projet'!$A$88&gt;35,BD53+BC54-BL53,IF(A54&lt;'Données projet'!$A$88,$BA$205^A54,IF(A54='Données projet'!$A$88,'Données projet'!$B$88,BD53+BC54-BL53)))</f>
        <v>311.14725274725276</v>
      </c>
      <c r="BE54" s="13">
        <f>BD54*VLOOKUP('Données projet'!$B$11,Paramètres!$A$1:$I$89,3,0)*VLOOKUP('Données projet'!$B$11,Paramètres!$A$1:$I$89,5,0)</f>
        <v>153.70674285714287</v>
      </c>
      <c r="BF54" s="13">
        <f t="shared" si="37"/>
        <v>39.419755722806485</v>
      </c>
      <c r="BG54" s="20">
        <f t="shared" si="7"/>
        <v>336.36198502674512</v>
      </c>
      <c r="BH54" s="59">
        <f t="shared" si="8"/>
        <v>629.69531836007843</v>
      </c>
      <c r="BI54" s="59">
        <f ca="1">AVERAGE(OFFSET($BH$3,0,0,'Données projet'!$E$11+1,1))-AVERAGE(OFFSET($H$3,0,0,'Données projet'!$E$11+1,1))</f>
        <v>263.7093252578133</v>
      </c>
      <c r="BJ54" s="59">
        <f t="shared" si="38"/>
        <v>123.27856176791568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24.901257608160886</v>
      </c>
      <c r="BR54" s="21">
        <f>EXP(-LN(2)/2)*BR53+(1-EXP(-LN(2)/2))/(LN(2)/2)*BL54*BO54*VLOOKUP('Données projet'!$B$11,Paramètres!$A$1:$I$89,3,0)*0.475*44/12</f>
        <v>4.4998806382805245</v>
      </c>
      <c r="BS54" s="22">
        <f t="shared" si="9"/>
        <v>29.401138246441413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283.73369613548124</v>
      </c>
      <c r="AO55" s="59">
        <f t="shared" si="36"/>
        <v>249.77804091581208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330.1307692307692</v>
      </c>
      <c r="BB55" s="12">
        <f>VLOOKUP(A55,'Données projet'!$A$87:$I$107,9,0)</f>
        <v>18.983516483516478</v>
      </c>
      <c r="BC55" s="12">
        <f t="array" ref="BC55">INDEX(BB:BB,MIN(IF(ISNUMBER(BB55:BB251),ROW(BB55:BB251),"")))</f>
        <v>18.983516483516478</v>
      </c>
      <c r="BD55" s="12">
        <f>IF('Données projet'!$A$88&gt;35,BD54+BC55-BL54,IF(A55&lt;'Données projet'!$A$88,$BA$205^A55,IF(A55='Données projet'!$A$88,'Données projet'!$B$88,BD54+BC55-BL54)))</f>
        <v>330.13076923076926</v>
      </c>
      <c r="BE55" s="13">
        <f>BD55*VLOOKUP('Données projet'!$B$11,Paramètres!$A$1:$I$89,3,0)*VLOOKUP('Données projet'!$B$11,Paramètres!$A$1:$I$89,5,0)</f>
        <v>163.08460000000002</v>
      </c>
      <c r="BF55" s="13">
        <f t="shared" si="37"/>
        <v>41.537480454274494</v>
      </c>
      <c r="BG55" s="20">
        <f t="shared" si="7"/>
        <v>356.38345679119476</v>
      </c>
      <c r="BH55" s="59">
        <f t="shared" si="8"/>
        <v>649.71679012452807</v>
      </c>
      <c r="BI55" s="59">
        <f ca="1">AVERAGE(OFFSET($BH$3,0,0,'Données projet'!$E$11+1,1))-AVERAGE(OFFSET($H$3,0,0,'Données projet'!$E$11+1,1))</f>
        <v>263.7093252578133</v>
      </c>
      <c r="BJ55" s="59">
        <f t="shared" si="38"/>
        <v>123.27856176791568</v>
      </c>
      <c r="BK55" s="15">
        <f>IF(ISNA(VLOOKUP(A55,'Données projet'!$A$87:$I$107,3,0)),0,VLOOKUP(A55,'Données projet'!$A$87:$I$107,3,0))</f>
        <v>2</v>
      </c>
      <c r="BL55" s="15">
        <f>IF(ISNA(VLOOKUP(A55,'Données projet'!$A$87:$I$107,4,0)),0,VLOOKUP(A55,'Données projet'!$A$87:$I$107,4,0))</f>
        <v>75.523076923076928</v>
      </c>
      <c r="BM55" s="16">
        <f>IF(ISNA(VLOOKUP(A55,'Données projet'!$A$87:$I$107,5,0)),0%,VLOOKUP(A55,'Données projet'!$A$87:$I$107,5,0)*VLOOKUP('Données projet'!$B$11,Paramètres!$A$1:$I$89,7,0))</f>
        <v>0.38500000000000001</v>
      </c>
      <c r="BN55" s="16">
        <f>IF(ISNA(VLOOKUP(A55,'Données projet'!$A$87:$I$107,6,0)),0%,VLOOKUP(A55,'Données projet'!$A$87:$I$107,6,0)*VLOOKUP('Données projet'!$B$11,Paramètres!$A$1:$I$89,7,0))</f>
        <v>9.240000000000001E-2</v>
      </c>
      <c r="BO55" s="16">
        <f>IF(ISNA(VLOOKUP(A55,'Données projet'!$A$87:$I$107,7,0)),0%,VLOOKUP(A55,'Données projet'!$A$87:$I$107,7,0))</f>
        <v>0.13200000000000001</v>
      </c>
      <c r="BP55" s="21">
        <f>EXP(-LN(2)/35)*BP54+(1-EXP(-LN(2)/35))/(LN(2)/35)*BL55*BM55*VLOOKUP('Données projet'!$B$11,Paramètres!$A$1:$I$89,3,0)*0.475*44/12</f>
        <v>19.054418971788412</v>
      </c>
      <c r="BQ55" s="21">
        <f>EXP(-LN(2)/25)*BQ54+(1-EXP(-LN(2)/25))/(LN(2)/25)*Calculateur!BL55*Calculateur!BN55*VLOOKUP('Données projet'!$B$11,Paramètres!$A$1:$I$89,3,0)*0.475*44/12</f>
        <v>28.77538608072398</v>
      </c>
      <c r="BR55" s="21">
        <f>EXP(-LN(2)/2)*BR54+(1-EXP(-LN(2)/2))/(LN(2)/2)*BL55*BO55*VLOOKUP('Données projet'!$B$11,Paramètres!$A$1:$I$89,3,0)*0.475*44/12</f>
        <v>8.7578104731310145</v>
      </c>
      <c r="BS55" s="22">
        <f t="shared" si="9"/>
        <v>56.587615525643407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283.73369613548124</v>
      </c>
      <c r="AO56" s="59">
        <f t="shared" si="36"/>
        <v>249.77804091581208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18.026373626373623</v>
      </c>
      <c r="BD56" s="12">
        <f>IF('Données projet'!$A$88&gt;35,BD55+BC56-BL55,IF(A56&lt;'Données projet'!$A$88,$BA$205^A56,IF(A56='Données projet'!$A$88,'Données projet'!$B$88,BD55+BC56-BL55)))</f>
        <v>272.63406593406597</v>
      </c>
      <c r="BE56" s="13">
        <f>BD56*VLOOKUP('Données projet'!$B$11,Paramètres!$A$1:$I$89,3,0)*VLOOKUP('Données projet'!$B$11,Paramètres!$A$1:$I$89,5,0)</f>
        <v>134.68122857142859</v>
      </c>
      <c r="BF56" s="13">
        <f t="shared" si="37"/>
        <v>35.075816661622476</v>
      </c>
      <c r="BG56" s="20">
        <f t="shared" si="7"/>
        <v>295.66018711423061</v>
      </c>
      <c r="BH56" s="59">
        <f t="shared" si="8"/>
        <v>588.99352044756392</v>
      </c>
      <c r="BI56" s="59">
        <f ca="1">AVERAGE(OFFSET($BH$3,0,0,'Données projet'!$E$11+1,1))-AVERAGE(OFFSET($H$3,0,0,'Données projet'!$E$11+1,1))</f>
        <v>263.7093252578133</v>
      </c>
      <c r="BJ56" s="59">
        <f t="shared" si="38"/>
        <v>123.27856176791568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18.680773437799633</v>
      </c>
      <c r="BQ56" s="21">
        <f>EXP(-LN(2)/25)*BQ55+(1-EXP(-LN(2)/25))/(LN(2)/25)*Calculateur!BL56*Calculateur!BN56*VLOOKUP('Données projet'!$B$11,Paramètres!$A$1:$I$89,3,0)*0.475*44/12</f>
        <v>27.988521635114797</v>
      </c>
      <c r="BR56" s="21">
        <f>EXP(-LN(2)/2)*BR55+(1-EXP(-LN(2)/2))/(LN(2)/2)*BL56*BO56*VLOOKUP('Données projet'!$B$11,Paramètres!$A$1:$I$89,3,0)*0.475*44/12</f>
        <v>6.1927071738975066</v>
      </c>
      <c r="BS56" s="22">
        <f t="shared" si="9"/>
        <v>52.86200224681194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283.73369613548124</v>
      </c>
      <c r="AO57" s="59">
        <f t="shared" si="36"/>
        <v>249.77804091581208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18.026373626373623</v>
      </c>
      <c r="BD57" s="12">
        <f>IF('Données projet'!$A$88&gt;35,BD56+BC57-BL56,IF(A57&lt;'Données projet'!$A$88,$BA$205^A57,IF(A57='Données projet'!$A$88,'Données projet'!$B$88,BD56+BC57-BL56)))</f>
        <v>290.66043956043961</v>
      </c>
      <c r="BE57" s="13">
        <f>BD57*VLOOKUP('Données projet'!$B$11,Paramètres!$A$1:$I$89,3,0)*VLOOKUP('Données projet'!$B$11,Paramètres!$A$1:$I$89,5,0)</f>
        <v>143.58625714285719</v>
      </c>
      <c r="BF57" s="13">
        <f t="shared" si="37"/>
        <v>37.117353335352398</v>
      </c>
      <c r="BG57" s="20">
        <f t="shared" si="7"/>
        <v>314.72545491621503</v>
      </c>
      <c r="BH57" s="59">
        <f t="shared" si="8"/>
        <v>608.05878824954834</v>
      </c>
      <c r="BI57" s="59">
        <f ca="1">AVERAGE(OFFSET($BH$3,0,0,'Données projet'!$E$11+1,1))-AVERAGE(OFFSET($H$3,0,0,'Données projet'!$E$11+1,1))</f>
        <v>263.7093252578133</v>
      </c>
      <c r="BJ57" s="59">
        <f t="shared" si="38"/>
        <v>123.27856176791568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18.314454864831102</v>
      </c>
      <c r="BQ57" s="21">
        <f>EXP(-LN(2)/25)*BQ56+(1-EXP(-LN(2)/25))/(LN(2)/25)*Calculateur!BL57*Calculateur!BN57*VLOOKUP('Données projet'!$B$11,Paramètres!$A$1:$I$89,3,0)*0.475*44/12</f>
        <v>27.223174039150198</v>
      </c>
      <c r="BR57" s="21">
        <f>EXP(-LN(2)/2)*BR56+(1-EXP(-LN(2)/2))/(LN(2)/2)*BL57*BO57*VLOOKUP('Données projet'!$B$11,Paramètres!$A$1:$I$89,3,0)*0.475*44/12</f>
        <v>4.3789052365655072</v>
      </c>
      <c r="BS57" s="22">
        <f t="shared" si="9"/>
        <v>49.916534140546808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283.73369613548124</v>
      </c>
      <c r="AO58" s="59">
        <f t="shared" si="36"/>
        <v>249.77804091581208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18.026373626373623</v>
      </c>
      <c r="BD58" s="12">
        <f>IF('Données projet'!$A$88&gt;35,BD57+BC58-BL57,IF(A58&lt;'Données projet'!$A$88,$BA$205^A58,IF(A58='Données projet'!$A$88,'Données projet'!$B$88,BD57+BC58-BL57)))</f>
        <v>308.68681318681325</v>
      </c>
      <c r="BE58" s="13">
        <f>BD58*VLOOKUP('Données projet'!$B$11,Paramètres!$A$1:$I$89,3,0)*VLOOKUP('Données projet'!$B$11,Paramètres!$A$1:$I$89,5,0)</f>
        <v>152.49128571428577</v>
      </c>
      <c r="BF58" s="13">
        <f t="shared" si="37"/>
        <v>39.144195337247268</v>
      </c>
      <c r="BG58" s="20">
        <f t="shared" si="7"/>
        <v>333.76512949808665</v>
      </c>
      <c r="BH58" s="59">
        <f t="shared" si="8"/>
        <v>627.09846283141997</v>
      </c>
      <c r="BI58" s="59">
        <f ca="1">AVERAGE(OFFSET($BH$3,0,0,'Données projet'!$E$11+1,1))-AVERAGE(OFFSET($H$3,0,0,'Données projet'!$E$11+1,1))</f>
        <v>263.7093252578133</v>
      </c>
      <c r="BJ58" s="59">
        <f t="shared" si="38"/>
        <v>123.27856176791568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17.955319575646215</v>
      </c>
      <c r="BQ58" s="21">
        <f>EXP(-LN(2)/25)*BQ57+(1-EXP(-LN(2)/25))/(LN(2)/25)*Calculateur!BL58*Calculateur!BN58*VLOOKUP('Données projet'!$B$11,Paramètres!$A$1:$I$89,3,0)*0.475*44/12</f>
        <v>26.478754913445133</v>
      </c>
      <c r="BR58" s="21">
        <f>EXP(-LN(2)/2)*BR57+(1-EXP(-LN(2)/2))/(LN(2)/2)*BL58*BO58*VLOOKUP('Données projet'!$B$11,Paramètres!$A$1:$I$89,3,0)*0.475*44/12</f>
        <v>3.0963535869487533</v>
      </c>
      <c r="BS58" s="22">
        <f t="shared" si="9"/>
        <v>47.530428076040096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283.73369613548124</v>
      </c>
      <c r="AO59" s="59">
        <f t="shared" si="36"/>
        <v>249.77804091581208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18.026373626373623</v>
      </c>
      <c r="BD59" s="12">
        <f>IF('Données projet'!$A$88&gt;35,BD58+BC59-BL58,IF(A59&lt;'Données projet'!$A$88,$BA$205^A59,IF(A59='Données projet'!$A$88,'Données projet'!$B$88,BD58+BC59-BL58)))</f>
        <v>326.71318681318689</v>
      </c>
      <c r="BE59" s="13">
        <f>BD59*VLOOKUP('Données projet'!$B$11,Paramètres!$A$1:$I$89,3,0)*VLOOKUP('Données projet'!$B$11,Paramètres!$A$1:$I$89,5,0)</f>
        <v>161.39631428571434</v>
      </c>
      <c r="BF59" s="13">
        <f t="shared" si="37"/>
        <v>41.15729854624982</v>
      </c>
      <c r="BG59" s="20">
        <f t="shared" si="7"/>
        <v>352.78087568233758</v>
      </c>
      <c r="BH59" s="59">
        <f t="shared" si="8"/>
        <v>646.11420901567089</v>
      </c>
      <c r="BI59" s="59">
        <f ca="1">AVERAGE(OFFSET($BH$3,0,0,'Données projet'!$E$11+1,1))-AVERAGE(OFFSET($H$3,0,0,'Données projet'!$E$11+1,1))</f>
        <v>263.7093252578133</v>
      </c>
      <c r="BJ59" s="59">
        <f t="shared" si="38"/>
        <v>123.27856176791568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17.603226710431347</v>
      </c>
      <c r="BQ59" s="21">
        <f>EXP(-LN(2)/25)*BQ58+(1-EXP(-LN(2)/25))/(LN(2)/25)*Calculateur!BL59*Calculateur!BN59*VLOOKUP('Données projet'!$B$11,Paramètres!$A$1:$I$89,3,0)*0.475*44/12</f>
        <v>25.754691967879772</v>
      </c>
      <c r="BR59" s="21">
        <f>EXP(-LN(2)/2)*BR58+(1-EXP(-LN(2)/2))/(LN(2)/2)*BL59*BO59*VLOOKUP('Données projet'!$B$11,Paramètres!$A$1:$I$89,3,0)*0.475*44/12</f>
        <v>2.1894526182827536</v>
      </c>
      <c r="BS59" s="22">
        <f t="shared" si="9"/>
        <v>45.547371296593873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283.73369613548124</v>
      </c>
      <c r="AO60" s="59">
        <f t="shared" si="36"/>
        <v>249.77804091581208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18.026373626373623</v>
      </c>
      <c r="BD60" s="12">
        <f>IF('Données projet'!$A$88&gt;35,BD59+BC60-BL59,IF(A60&lt;'Données projet'!$A$88,$BA$205^A60,IF(A60='Données projet'!$A$88,'Données projet'!$B$88,BD59+BC60-BL59)))</f>
        <v>344.73956043956053</v>
      </c>
      <c r="BE60" s="13">
        <f>BD60*VLOOKUP('Données projet'!$B$11,Paramètres!$A$1:$I$89,3,0)*VLOOKUP('Données projet'!$B$11,Paramètres!$A$1:$I$89,5,0)</f>
        <v>170.30134285714291</v>
      </c>
      <c r="BF60" s="13">
        <f t="shared" si="37"/>
        <v>43.157507402808356</v>
      </c>
      <c r="BG60" s="20">
        <f t="shared" si="7"/>
        <v>371.77416420274852</v>
      </c>
      <c r="BH60" s="59">
        <f t="shared" si="8"/>
        <v>665.10749753608184</v>
      </c>
      <c r="BI60" s="59">
        <f ca="1">AVERAGE(OFFSET($BH$3,0,0,'Données projet'!$E$11+1,1))-AVERAGE(OFFSET($H$3,0,0,'Données projet'!$E$11+1,1))</f>
        <v>263.7093252578133</v>
      </c>
      <c r="BJ60" s="59">
        <f t="shared" si="38"/>
        <v>123.27856176791568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17.258038171547899</v>
      </c>
      <c r="BQ60" s="21">
        <f>EXP(-LN(2)/25)*BQ59+(1-EXP(-LN(2)/25))/(LN(2)/25)*Calculateur!BL60*Calculateur!BN60*VLOOKUP('Données projet'!$B$11,Paramètres!$A$1:$I$89,3,0)*0.475*44/12</f>
        <v>25.050428561637712</v>
      </c>
      <c r="BR60" s="21">
        <f>EXP(-LN(2)/2)*BR59+(1-EXP(-LN(2)/2))/(LN(2)/2)*BL60*BO60*VLOOKUP('Données projet'!$B$11,Paramètres!$A$1:$I$89,3,0)*0.475*44/12</f>
        <v>1.5481767934743766</v>
      </c>
      <c r="BS60" s="22">
        <f t="shared" si="9"/>
        <v>43.856643526659987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283.73369613548124</v>
      </c>
      <c r="AO61" s="59">
        <f t="shared" si="36"/>
        <v>249.77804091581208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18.026373626373623</v>
      </c>
      <c r="BD61" s="12">
        <f>IF('Données projet'!$A$88&gt;35,BD60+BC61-BL60,IF(A61&lt;'Données projet'!$A$88,$BA$205^A61,IF(A61='Données projet'!$A$88,'Données projet'!$B$88,BD60+BC61-BL60)))</f>
        <v>362.76593406593418</v>
      </c>
      <c r="BE61" s="13">
        <f>BD61*VLOOKUP('Données projet'!$B$11,Paramètres!$A$1:$I$89,3,0)*VLOOKUP('Données projet'!$B$11,Paramètres!$A$1:$I$89,5,0)</f>
        <v>179.20637142857149</v>
      </c>
      <c r="BF61" s="13">
        <f t="shared" si="37"/>
        <v>45.14557304820493</v>
      </c>
      <c r="BG61" s="20">
        <f t="shared" si="7"/>
        <v>390.74630329705224</v>
      </c>
      <c r="BH61" s="59">
        <f t="shared" si="8"/>
        <v>684.07963663038549</v>
      </c>
      <c r="BI61" s="59">
        <f ca="1">AVERAGE(OFFSET($BH$3,0,0,'Données projet'!$E$11+1,1))-AVERAGE(OFFSET($H$3,0,0,'Données projet'!$E$11+1,1))</f>
        <v>263.7093252578133</v>
      </c>
      <c r="BJ61" s="59">
        <f t="shared" si="38"/>
        <v>123.27856176791568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16.919618569367739</v>
      </c>
      <c r="BQ61" s="21">
        <f>EXP(-LN(2)/25)*BQ60+(1-EXP(-LN(2)/25))/(LN(2)/25)*Calculateur!BL61*Calculateur!BN61*VLOOKUP('Données projet'!$B$11,Paramètres!$A$1:$I$89,3,0)*0.475*44/12</f>
        <v>24.365423275274946</v>
      </c>
      <c r="BR61" s="21">
        <f>EXP(-LN(2)/2)*BR60+(1-EXP(-LN(2)/2))/(LN(2)/2)*BL61*BO61*VLOOKUP('Données projet'!$B$11,Paramètres!$A$1:$I$89,3,0)*0.475*44/12</f>
        <v>1.0947263091413768</v>
      </c>
      <c r="BS61" s="22">
        <f t="shared" si="9"/>
        <v>42.379768153784063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283.73369613548124</v>
      </c>
      <c r="AO62" s="59">
        <f t="shared" si="36"/>
        <v>249.77804091581208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380.79230769230765</v>
      </c>
      <c r="BB62" s="12">
        <f>VLOOKUP(A62,'Données projet'!$A$87:$I$107,9,0)</f>
        <v>18.026373626373623</v>
      </c>
      <c r="BC62" s="12">
        <f t="array" ref="BC62">INDEX(BB:BB,MIN(IF(ISNUMBER(BB62:BB258),ROW(BB62:BB258),"")))</f>
        <v>18.026373626373623</v>
      </c>
      <c r="BD62" s="12">
        <f>IF('Données projet'!$A$88&gt;35,BD61+BC62-BL61,IF(A62&lt;'Données projet'!$A$88,$BA$205^A62,IF(A62='Données projet'!$A$88,'Données projet'!$B$88,BD61+BC62-BL61)))</f>
        <v>380.79230769230782</v>
      </c>
      <c r="BE62" s="13">
        <f>BD62*VLOOKUP('Données projet'!$B$11,Paramètres!$A$1:$I$89,3,0)*VLOOKUP('Données projet'!$B$11,Paramètres!$A$1:$I$89,5,0)</f>
        <v>188.11140000000009</v>
      </c>
      <c r="BF62" s="13">
        <f t="shared" si="37"/>
        <v>47.12216775598462</v>
      </c>
      <c r="BG62" s="20">
        <f t="shared" si="7"/>
        <v>409.6984638416734</v>
      </c>
      <c r="BH62" s="59">
        <f t="shared" si="8"/>
        <v>703.03179717500666</v>
      </c>
      <c r="BI62" s="59">
        <f ca="1">AVERAGE(OFFSET($BH$3,0,0,'Données projet'!$E$11+1,1))-AVERAGE(OFFSET($H$3,0,0,'Données projet'!$E$11+1,1))</f>
        <v>263.7093252578133</v>
      </c>
      <c r="BJ62" s="59">
        <f t="shared" si="38"/>
        <v>123.27856176791568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93.91538461538461</v>
      </c>
      <c r="BM62" s="16">
        <f>IF(ISNA(VLOOKUP(A62,'Données projet'!$A$87:$I$107,5,0)),0%,VLOOKUP(A62,'Données projet'!$A$87:$I$107,5,0)*VLOOKUP('Données projet'!$B$11,Paramètres!$A$1:$I$89,7,0))</f>
        <v>0.38500000000000001</v>
      </c>
      <c r="BN62" s="16">
        <f>IF(ISNA(VLOOKUP(A62,'Données projet'!$A$87:$I$107,6,0)),0%,VLOOKUP(A62,'Données projet'!$A$87:$I$107,6,0)*VLOOKUP('Données projet'!$B$11,Paramètres!$A$1:$I$89,7,0))</f>
        <v>9.240000000000001E-2</v>
      </c>
      <c r="BO62" s="16">
        <f>IF(ISNA(VLOOKUP(A62,'Données projet'!$A$87:$I$107,7,0)),0%,VLOOKUP(A62,'Données projet'!$A$87:$I$107,7,0))</f>
        <v>0.13200000000000001</v>
      </c>
      <c r="BP62" s="21">
        <f>EXP(-LN(2)/35)*BP61+(1-EXP(-LN(2)/35))/(LN(2)/35)*BL62*BM62*VLOOKUP('Données projet'!$B$11,Paramètres!$A$1:$I$89,3,0)*0.475*44/12</f>
        <v>40.282620382713709</v>
      </c>
      <c r="BQ62" s="21">
        <f>EXP(-LN(2)/25)*BQ61+(1-EXP(-LN(2)/25))/(LN(2)/25)*Calculateur!BL62*Calculateur!BN62*VLOOKUP('Données projet'!$B$11,Paramètres!$A$1:$I$89,3,0)*0.475*44/12</f>
        <v>29.36350705026733</v>
      </c>
      <c r="BR62" s="21">
        <f>EXP(-LN(2)/2)*BR61+(1-EXP(-LN(2)/2))/(LN(2)/2)*BL62*BO62*VLOOKUP('Données projet'!$B$11,Paramètres!$A$1:$I$89,3,0)*0.475*44/12</f>
        <v>7.7079179355803014</v>
      </c>
      <c r="BS62" s="22">
        <f t="shared" si="9"/>
        <v>77.354045368561344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283.73369613548124</v>
      </c>
      <c r="AO63" s="59">
        <f t="shared" si="36"/>
        <v>249.77804091581208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16.898076923076921</v>
      </c>
      <c r="BD63" s="12">
        <f>IF('Données projet'!$A$88&gt;35,BD62+BC63-BL62,IF(A63&lt;'Données projet'!$A$88,$BA$205^A63,IF(A63='Données projet'!$A$88,'Données projet'!$B$88,BD62+BC63-BL62)))</f>
        <v>303.77500000000015</v>
      </c>
      <c r="BE63" s="13">
        <f>BD63*VLOOKUP('Données projet'!$B$11,Paramètres!$A$1:$I$89,3,0)*VLOOKUP('Données projet'!$B$11,Paramètres!$A$1:$I$89,5,0)</f>
        <v>150.06485000000009</v>
      </c>
      <c r="BF63" s="13">
        <f t="shared" si="37"/>
        <v>38.593322645299359</v>
      </c>
      <c r="BG63" s="20">
        <f t="shared" si="7"/>
        <v>328.57965069056326</v>
      </c>
      <c r="BH63" s="59">
        <f t="shared" si="8"/>
        <v>621.91298402389657</v>
      </c>
      <c r="BI63" s="59">
        <f ca="1">AVERAGE(OFFSET($BH$3,0,0,'Données projet'!$E$11+1,1))-AVERAGE(OFFSET($H$3,0,0,'Données projet'!$E$11+1,1))</f>
        <v>263.7093252578133</v>
      </c>
      <c r="BJ63" s="59">
        <f t="shared" si="38"/>
        <v>123.27856176791568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39.492702766981047</v>
      </c>
      <c r="BQ63" s="21">
        <f>EXP(-LN(2)/25)*BQ62+(1-EXP(-LN(2)/25))/(LN(2)/25)*Calculateur!BL63*Calculateur!BN63*VLOOKUP('Données projet'!$B$11,Paramètres!$A$1:$I$89,3,0)*0.475*44/12</f>
        <v>28.560560405818045</v>
      </c>
      <c r="BR63" s="21">
        <f>EXP(-LN(2)/2)*BR62+(1-EXP(-LN(2)/2))/(LN(2)/2)*BL63*BO63*VLOOKUP('Données projet'!$B$11,Paramètres!$A$1:$I$89,3,0)*0.475*44/12</f>
        <v>5.4503210410782454</v>
      </c>
      <c r="BS63" s="22">
        <f t="shared" si="9"/>
        <v>73.503584213877332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283.73369613548124</v>
      </c>
      <c r="AO64" s="59">
        <f t="shared" si="36"/>
        <v>249.77804091581208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16.898076923076921</v>
      </c>
      <c r="BD64" s="12">
        <f>IF('Données projet'!$A$88&gt;35,BD63+BC64-BL63,IF(A64&lt;'Données projet'!$A$88,$BA$205^A64,IF(A64='Données projet'!$A$88,'Données projet'!$B$88,BD63+BC64-BL63)))</f>
        <v>320.67307692307708</v>
      </c>
      <c r="BE64" s="13">
        <f>BD64*VLOOKUP('Données projet'!$B$11,Paramètres!$A$1:$I$89,3,0)*VLOOKUP('Données projet'!$B$11,Paramètres!$A$1:$I$89,5,0)</f>
        <v>158.41250000000008</v>
      </c>
      <c r="BF64" s="13">
        <f t="shared" si="37"/>
        <v>40.484242817202443</v>
      </c>
      <c r="BG64" s="20">
        <f t="shared" si="7"/>
        <v>346.41182707329443</v>
      </c>
      <c r="BH64" s="59">
        <f t="shared" si="8"/>
        <v>639.74516040662775</v>
      </c>
      <c r="BI64" s="59">
        <f ca="1">AVERAGE(OFFSET($BH$3,0,0,'Données projet'!$E$11+1,1))-AVERAGE(OFFSET($H$3,0,0,'Données projet'!$E$11+1,1))</f>
        <v>263.7093252578133</v>
      </c>
      <c r="BJ64" s="59">
        <f t="shared" si="38"/>
        <v>123.27856176791568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38.718274953890727</v>
      </c>
      <c r="BQ64" s="21">
        <f>EXP(-LN(2)/25)*BQ63+(1-EXP(-LN(2)/25))/(LN(2)/25)*Calculateur!BL64*Calculateur!BN64*VLOOKUP('Données projet'!$B$11,Paramètres!$A$1:$I$89,3,0)*0.475*44/12</f>
        <v>27.779570379586353</v>
      </c>
      <c r="BR64" s="21">
        <f>EXP(-LN(2)/2)*BR63+(1-EXP(-LN(2)/2))/(LN(2)/2)*BL64*BO64*VLOOKUP('Données projet'!$B$11,Paramètres!$A$1:$I$89,3,0)*0.475*44/12</f>
        <v>3.8539589677901511</v>
      </c>
      <c r="BS64" s="22">
        <f t="shared" si="9"/>
        <v>70.351804301267222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283.73369613548124</v>
      </c>
      <c r="AO65" s="59">
        <f t="shared" si="36"/>
        <v>249.77804091581208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16.898076923076921</v>
      </c>
      <c r="BD65" s="12">
        <f>IF('Données projet'!$A$88&gt;35,BD64+BC65-BL64,IF(A65&lt;'Données projet'!$A$88,$BA$205^A65,IF(A65='Données projet'!$A$88,'Données projet'!$B$88,BD64+BC65-BL64)))</f>
        <v>337.571153846154</v>
      </c>
      <c r="BE65" s="13">
        <f>BD65*VLOOKUP('Données projet'!$B$11,Paramètres!$A$1:$I$89,3,0)*VLOOKUP('Données projet'!$B$11,Paramètres!$A$1:$I$89,5,0)</f>
        <v>166.7601500000001</v>
      </c>
      <c r="BF65" s="13">
        <f t="shared" si="37"/>
        <v>42.363594358807489</v>
      </c>
      <c r="BG65" s="20">
        <f t="shared" si="7"/>
        <v>364.22385475825649</v>
      </c>
      <c r="BH65" s="59">
        <f t="shared" si="8"/>
        <v>657.55718809158975</v>
      </c>
      <c r="BI65" s="59">
        <f ca="1">AVERAGE(OFFSET($BH$3,0,0,'Données projet'!$E$11+1,1))-AVERAGE(OFFSET($H$3,0,0,'Données projet'!$E$11+1,1))</f>
        <v>263.7093252578133</v>
      </c>
      <c r="BJ65" s="59">
        <f t="shared" si="38"/>
        <v>123.27856176791568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37.959033197860784</v>
      </c>
      <c r="BQ65" s="21">
        <f>EXP(-LN(2)/25)*BQ64+(1-EXP(-LN(2)/25))/(LN(2)/25)*Calculateur!BL65*Calculateur!BN65*VLOOKUP('Données projet'!$B$11,Paramètres!$A$1:$I$89,3,0)*0.475*44/12</f>
        <v>27.019936566692451</v>
      </c>
      <c r="BR65" s="21">
        <f>EXP(-LN(2)/2)*BR64+(1-EXP(-LN(2)/2))/(LN(2)/2)*BL65*BO65*VLOOKUP('Données projet'!$B$11,Paramètres!$A$1:$I$89,3,0)*0.475*44/12</f>
        <v>2.7251605205391232</v>
      </c>
      <c r="BS65" s="22">
        <f t="shared" si="9"/>
        <v>67.704130285092347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283.73369613548124</v>
      </c>
      <c r="AO66" s="59">
        <f t="shared" si="36"/>
        <v>249.77804091581208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16.898076923076921</v>
      </c>
      <c r="BD66" s="12">
        <f>IF('Données projet'!$A$88&gt;35,BD65+BC66-BL65,IF(A66&lt;'Données projet'!$A$88,$BA$205^A66,IF(A66='Données projet'!$A$88,'Données projet'!$B$88,BD65+BC66-BL65)))</f>
        <v>354.46923076923093</v>
      </c>
      <c r="BE66" s="13">
        <f>BD66*VLOOKUP('Données projet'!$B$11,Paramètres!$A$1:$I$89,3,0)*VLOOKUP('Données projet'!$B$11,Paramètres!$A$1:$I$89,5,0)</f>
        <v>175.10780000000011</v>
      </c>
      <c r="BF66" s="13">
        <f t="shared" si="37"/>
        <v>44.232022449883829</v>
      </c>
      <c r="BG66" s="20">
        <f t="shared" si="7"/>
        <v>382.01685743354784</v>
      </c>
      <c r="BH66" s="59">
        <f t="shared" si="8"/>
        <v>675.35019076688116</v>
      </c>
      <c r="BI66" s="59">
        <f ca="1">AVERAGE(OFFSET($BH$3,0,0,'Données projet'!$E$11+1,1))-AVERAGE(OFFSET($H$3,0,0,'Données projet'!$E$11+1,1))</f>
        <v>263.7093252578133</v>
      </c>
      <c r="BJ66" s="59">
        <f t="shared" si="38"/>
        <v>123.27856176791568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37.214679709574845</v>
      </c>
      <c r="BQ66" s="21">
        <f>EXP(-LN(2)/25)*BQ65+(1-EXP(-LN(2)/25))/(LN(2)/25)*Calculateur!BL66*Calculateur!BN66*VLOOKUP('Données projet'!$B$11,Paramètres!$A$1:$I$89,3,0)*0.475*44/12</f>
        <v>26.281074980359538</v>
      </c>
      <c r="BR66" s="21">
        <f>EXP(-LN(2)/2)*BR65+(1-EXP(-LN(2)/2))/(LN(2)/2)*BL66*BO66*VLOOKUP('Données projet'!$B$11,Paramètres!$A$1:$I$89,3,0)*0.475*44/12</f>
        <v>1.9269794838950758</v>
      </c>
      <c r="BS66" s="22">
        <f t="shared" si="9"/>
        <v>65.422734173829468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283.73369613548124</v>
      </c>
      <c r="AO67" s="59">
        <f t="shared" si="36"/>
        <v>249.77804091581208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16.898076923076921</v>
      </c>
      <c r="BD67" s="12">
        <f>IF('Données projet'!$A$88&gt;35,BD66+BC67-BL66,IF(A67&lt;'Données projet'!$A$88,$BA$205^A67,IF(A67='Données projet'!$A$88,'Données projet'!$B$88,BD66+BC67-BL66)))</f>
        <v>371.36730769230786</v>
      </c>
      <c r="BE67" s="13">
        <f>BD67*VLOOKUP('Données projet'!$B$11,Paramètres!$A$1:$I$89,3,0)*VLOOKUP('Données projet'!$B$11,Paramètres!$A$1:$I$89,5,0)</f>
        <v>183.45545000000007</v>
      </c>
      <c r="BF67" s="13">
        <f t="shared" si="37"/>
        <v>46.090107281011974</v>
      </c>
      <c r="BG67" s="20">
        <f t="shared" si="7"/>
        <v>399.79184559776263</v>
      </c>
      <c r="BH67" s="59">
        <f t="shared" si="8"/>
        <v>693.12517893109589</v>
      </c>
      <c r="BI67" s="59">
        <f ca="1">AVERAGE(OFFSET($BH$3,0,0,'Données projet'!$E$11+1,1))-AVERAGE(OFFSET($H$3,0,0,'Données projet'!$E$11+1,1))</f>
        <v>263.7093252578133</v>
      </c>
      <c r="BJ67" s="59">
        <f t="shared" si="38"/>
        <v>123.27856176791568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36.484922539183394</v>
      </c>
      <c r="BQ67" s="21">
        <f>EXP(-LN(2)/25)*BQ66+(1-EXP(-LN(2)/25))/(LN(2)/25)*Calculateur!BL67*Calculateur!BN67*VLOOKUP('Données projet'!$B$11,Paramètres!$A$1:$I$89,3,0)*0.475*44/12</f>
        <v>25.56241760295994</v>
      </c>
      <c r="BR67" s="21">
        <f>EXP(-LN(2)/2)*BR66+(1-EXP(-LN(2)/2))/(LN(2)/2)*BL67*BO67*VLOOKUP('Données projet'!$B$11,Paramètres!$A$1:$I$89,3,0)*0.475*44/12</f>
        <v>1.3625802602695618</v>
      </c>
      <c r="BS67" s="22">
        <f t="shared" si="9"/>
        <v>63.409920402412894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283.73369613548124</v>
      </c>
      <c r="AO68" s="59">
        <f t="shared" si="36"/>
        <v>249.77804091581208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16.898076923076921</v>
      </c>
      <c r="BD68" s="12">
        <f>IF('Données projet'!$A$88&gt;35,BD67+BC68-BL67,IF(A68&lt;'Données projet'!$A$88,$BA$205^A68,IF(A68='Données projet'!$A$88,'Données projet'!$B$88,BD67+BC68-BL67)))</f>
        <v>388.26538461538479</v>
      </c>
      <c r="BE68" s="13">
        <f>BD68*VLOOKUP('Données projet'!$B$11,Paramètres!$A$1:$I$89,3,0)*VLOOKUP('Données projet'!$B$11,Paramètres!$A$1:$I$89,5,0)</f>
        <v>191.80310000000009</v>
      </c>
      <c r="BF68" s="13">
        <f t="shared" si="37"/>
        <v>47.938373258166315</v>
      </c>
      <c r="BG68" s="20">
        <f t="shared" ref="BG68:BG131" si="61">(BE68+BF68)*0.475*44/12</f>
        <v>417.54973259130639</v>
      </c>
      <c r="BH68" s="59">
        <f t="shared" ref="BH68:BH131" si="62">BG68+(AY68+AZ68)*44/12</f>
        <v>710.88306592463971</v>
      </c>
      <c r="BI68" s="59">
        <f ca="1">AVERAGE(OFFSET($BH$3,0,0,'Données projet'!$E$11+1,1))-AVERAGE(OFFSET($H$3,0,0,'Données projet'!$E$11+1,1))</f>
        <v>263.7093252578133</v>
      </c>
      <c r="BJ68" s="59">
        <f t="shared" si="38"/>
        <v>123.27856176791568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35.769475461795395</v>
      </c>
      <c r="BQ68" s="21">
        <f>EXP(-LN(2)/25)*BQ67+(1-EXP(-LN(2)/25))/(LN(2)/25)*Calculateur!BL68*Calculateur!BN68*VLOOKUP('Données projet'!$B$11,Paramètres!$A$1:$I$89,3,0)*0.475*44/12</f>
        <v>24.86341194933788</v>
      </c>
      <c r="BR68" s="21">
        <f>EXP(-LN(2)/2)*BR67+(1-EXP(-LN(2)/2))/(LN(2)/2)*BL68*BO68*VLOOKUP('Données projet'!$B$11,Paramètres!$A$1:$I$89,3,0)*0.475*44/12</f>
        <v>0.96348974194753811</v>
      </c>
      <c r="BS68" s="22">
        <f t="shared" ref="BS68:BS131" si="63">SUM(BP68:BR68)</f>
        <v>61.596377153080816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283.73369613548124</v>
      </c>
      <c r="AO69" s="59">
        <f t="shared" ref="AO69:AO132" si="90">$AO$3</f>
        <v>249.77804091581208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16.898076923076921</v>
      </c>
      <c r="BD69" s="12">
        <f>IF('Données projet'!$A$88&gt;35,BD68+BC69-BL68,IF(A69&lt;'Données projet'!$A$88,$BA$205^A69,IF(A69='Données projet'!$A$88,'Données projet'!$B$88,BD68+BC69-BL68)))</f>
        <v>405.16346153846172</v>
      </c>
      <c r="BE69" s="13">
        <f>BD69*VLOOKUP('Données projet'!$B$11,Paramètres!$A$1:$I$89,3,0)*VLOOKUP('Données projet'!$B$11,Paramètres!$A$1:$I$89,5,0)</f>
        <v>200.1507500000001</v>
      </c>
      <c r="BF69" s="13">
        <f t="shared" ref="BF69:BF132" si="91">EXP(-1.0587+0.8836*LN(BE69)+0.284)</f>
        <v>49.777296559674383</v>
      </c>
      <c r="BG69" s="20">
        <f t="shared" si="61"/>
        <v>435.29134775809979</v>
      </c>
      <c r="BH69" s="59">
        <f t="shared" si="62"/>
        <v>728.6246810914331</v>
      </c>
      <c r="BI69" s="59">
        <f ca="1">AVERAGE(OFFSET($BH$3,0,0,'Données projet'!$E$11+1,1))-AVERAGE(OFFSET($H$3,0,0,'Données projet'!$E$11+1,1))</f>
        <v>263.7093252578133</v>
      </c>
      <c r="BJ69" s="59">
        <f t="shared" ref="BJ69:BJ132" si="92">$BJ$3</f>
        <v>123.27856176791568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35.068057865215344</v>
      </c>
      <c r="BQ69" s="21">
        <f>EXP(-LN(2)/25)*BQ68+(1-EXP(-LN(2)/25))/(LN(2)/25)*Calculateur!BL69*Calculateur!BN69*VLOOKUP('Données projet'!$B$11,Paramètres!$A$1:$I$89,3,0)*0.475*44/12</f>
        <v>24.183520642073226</v>
      </c>
      <c r="BR69" s="21">
        <f>EXP(-LN(2)/2)*BR68+(1-EXP(-LN(2)/2))/(LN(2)/2)*BL69*BO69*VLOOKUP('Données projet'!$B$11,Paramètres!$A$1:$I$89,3,0)*0.475*44/12</f>
        <v>0.68129013013478101</v>
      </c>
      <c r="BS69" s="22">
        <f t="shared" si="63"/>
        <v>59.932868637423354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283.73369613548124</v>
      </c>
      <c r="AO70" s="59">
        <f t="shared" si="90"/>
        <v>249.77804091581208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422.06153846153842</v>
      </c>
      <c r="BB70" s="12">
        <f>VLOOKUP(A70,'Données projet'!$A$87:$I$107,9,0)</f>
        <v>16.898076923076921</v>
      </c>
      <c r="BC70" s="12">
        <f t="array" ref="BC70">INDEX(BB:BB,MIN(IF(ISNUMBER(BB70:BB266),ROW(BB70:BB266),"")))</f>
        <v>16.898076923076921</v>
      </c>
      <c r="BD70" s="12">
        <f>IF('Données projet'!$A$88&gt;35,BD69+BC70-BL69,IF(A70&lt;'Données projet'!$A$88,$BA$205^A70,IF(A70='Données projet'!$A$88,'Données projet'!$B$88,BD69+BC70-BL69)))</f>
        <v>422.06153846153865</v>
      </c>
      <c r="BE70" s="13">
        <f>BD70*VLOOKUP('Données projet'!$B$11,Paramètres!$A$1:$I$89,3,0)*VLOOKUP('Données projet'!$B$11,Paramètres!$A$1:$I$89,5,0)</f>
        <v>208.49840000000012</v>
      </c>
      <c r="BF70" s="13">
        <f t="shared" si="91"/>
        <v>51.607311396944191</v>
      </c>
      <c r="BG70" s="20">
        <f t="shared" si="61"/>
        <v>453.01744734967798</v>
      </c>
      <c r="BH70" s="59">
        <f t="shared" si="62"/>
        <v>746.35078068301129</v>
      </c>
      <c r="BI70" s="59">
        <f ca="1">AVERAGE(OFFSET($BH$3,0,0,'Données projet'!$E$11+1,1))-AVERAGE(OFFSET($H$3,0,0,'Données projet'!$E$11+1,1))</f>
        <v>263.7093252578133</v>
      </c>
      <c r="BJ70" s="59">
        <f t="shared" si="92"/>
        <v>123.27856176791568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92.107692307692304</v>
      </c>
      <c r="BM70" s="16">
        <f>IF(ISNA(VLOOKUP(A70,'Données projet'!$A$87:$I$107,5,0)),0%,VLOOKUP(A70,'Données projet'!$A$87:$I$107,5,0)*VLOOKUP('Données projet'!$B$11,Paramètres!$A$1:$I$89,7,0))</f>
        <v>0.38500000000000001</v>
      </c>
      <c r="BN70" s="16">
        <f>IF(ISNA(VLOOKUP(A70,'Données projet'!$A$87:$I$107,6,0)),0%,VLOOKUP(A70,'Données projet'!$A$87:$I$107,6,0)*VLOOKUP('Données projet'!$B$11,Paramètres!$A$1:$I$89,7,0))</f>
        <v>9.240000000000001E-2</v>
      </c>
      <c r="BO70" s="16">
        <f>IF(ISNA(VLOOKUP(A70,'Données projet'!$A$87:$I$107,7,0)),0%,VLOOKUP(A70,'Données projet'!$A$87:$I$107,7,0))</f>
        <v>0.13200000000000001</v>
      </c>
      <c r="BP70" s="21">
        <f>EXP(-LN(2)/35)*BP69+(1-EXP(-LN(2)/35))/(LN(2)/35)*BL70*BM70*VLOOKUP('Données projet'!$B$11,Paramètres!$A$1:$I$89,3,0)*0.475*44/12</f>
        <v>57.619100360822301</v>
      </c>
      <c r="BQ70" s="21">
        <f>EXP(-LN(2)/25)*BQ69+(1-EXP(-LN(2)/25))/(LN(2)/25)*Calculateur!BL70*Calculateur!BN70*VLOOKUP('Données projet'!$B$11,Paramètres!$A$1:$I$89,3,0)*0.475*44/12</f>
        <v>29.077550458009931</v>
      </c>
      <c r="BR70" s="21">
        <f>EXP(-LN(2)/2)*BR69+(1-EXP(-LN(2)/2))/(LN(2)/2)*BL70*BO70*VLOOKUP('Données projet'!$B$11,Paramètres!$A$1:$I$89,3,0)*0.475*44/12</f>
        <v>7.2821113955136516</v>
      </c>
      <c r="BS70" s="22">
        <f t="shared" si="63"/>
        <v>93.978762214345892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283.73369613548124</v>
      </c>
      <c r="AO71" s="59">
        <f t="shared" si="90"/>
        <v>249.77804091581208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15.581730769230766</v>
      </c>
      <c r="BD71" s="12">
        <f>IF('Données projet'!$A$88&gt;35,BD70+BC71-BL70,IF(A71&lt;'Données projet'!$A$88,$BA$205^A71,IF(A71='Données projet'!$A$88,'Données projet'!$B$88,BD70+BC71-BL70)))</f>
        <v>345.53557692307709</v>
      </c>
      <c r="BE71" s="13">
        <f>BD71*VLOOKUP('Données projet'!$B$11,Paramètres!$A$1:$I$89,3,0)*VLOOKUP('Données projet'!$B$11,Paramètres!$A$1:$I$89,5,0)</f>
        <v>170.6945750000001</v>
      </c>
      <c r="BF71" s="13">
        <f t="shared" si="91"/>
        <v>43.245548344963211</v>
      </c>
      <c r="BG71" s="20">
        <f t="shared" si="61"/>
        <v>372.61238149247771</v>
      </c>
      <c r="BH71" s="59">
        <f t="shared" si="62"/>
        <v>665.94571482581102</v>
      </c>
      <c r="BI71" s="59">
        <f ca="1">AVERAGE(OFFSET($BH$3,0,0,'Données projet'!$E$11+1,1))-AVERAGE(OFFSET($H$3,0,0,'Données projet'!$E$11+1,1))</f>
        <v>263.7093252578133</v>
      </c>
      <c r="BJ71" s="59">
        <f t="shared" si="92"/>
        <v>123.27856176791568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56.4892249469276</v>
      </c>
      <c r="BQ71" s="21">
        <f>EXP(-LN(2)/25)*BQ70+(1-EXP(-LN(2)/25))/(LN(2)/25)*Calculateur!BL71*Calculateur!BN71*VLOOKUP('Données projet'!$B$11,Paramètres!$A$1:$I$89,3,0)*0.475*44/12</f>
        <v>28.28242331161373</v>
      </c>
      <c r="BR71" s="21">
        <f>EXP(-LN(2)/2)*BR70+(1-EXP(-LN(2)/2))/(LN(2)/2)*BL71*BO71*VLOOKUP('Données projet'!$B$11,Paramètres!$A$1:$I$89,3,0)*0.475*44/12</f>
        <v>5.1492303491235365</v>
      </c>
      <c r="BS71" s="22">
        <f t="shared" si="63"/>
        <v>89.920878607664875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283.73369613548124</v>
      </c>
      <c r="AO72" s="59">
        <f t="shared" si="90"/>
        <v>249.77804091581208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15.581730769230766</v>
      </c>
      <c r="BD72" s="12">
        <f>IF('Données projet'!$A$88&gt;35,BD71+BC72-BL71,IF(A72&lt;'Données projet'!$A$88,$BA$205^A72,IF(A72='Données projet'!$A$88,'Données projet'!$B$88,BD71+BC72-BL71)))</f>
        <v>361.11730769230786</v>
      </c>
      <c r="BE72" s="13">
        <f>BD72*VLOOKUP('Données projet'!$B$11,Paramètres!$A$1:$I$89,3,0)*VLOOKUP('Données projet'!$B$11,Paramètres!$A$1:$I$89,5,0)</f>
        <v>178.39195000000009</v>
      </c>
      <c r="BF72" s="13">
        <f t="shared" si="91"/>
        <v>44.964238033646232</v>
      </c>
      <c r="BG72" s="20">
        <f t="shared" si="61"/>
        <v>389.01202749193402</v>
      </c>
      <c r="BH72" s="59">
        <f t="shared" si="62"/>
        <v>682.34536082526733</v>
      </c>
      <c r="BI72" s="59">
        <f ca="1">AVERAGE(OFFSET($BH$3,0,0,'Données projet'!$E$11+1,1))-AVERAGE(OFFSET($H$3,0,0,'Données projet'!$E$11+1,1))</f>
        <v>263.7093252578133</v>
      </c>
      <c r="BJ72" s="59">
        <f t="shared" si="92"/>
        <v>123.27856176791568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55.381505700743418</v>
      </c>
      <c r="BQ72" s="21">
        <f>EXP(-LN(2)/25)*BQ71+(1-EXP(-LN(2)/25))/(LN(2)/25)*Calculateur!BL72*Calculateur!BN72*VLOOKUP('Données projet'!$B$11,Paramètres!$A$1:$I$89,3,0)*0.475*44/12</f>
        <v>27.509038958849651</v>
      </c>
      <c r="BR72" s="21">
        <f>EXP(-LN(2)/2)*BR71+(1-EXP(-LN(2)/2))/(LN(2)/2)*BL72*BO72*VLOOKUP('Données projet'!$B$11,Paramètres!$A$1:$I$89,3,0)*0.475*44/12</f>
        <v>3.6410556977568267</v>
      </c>
      <c r="BS72" s="22">
        <f t="shared" si="63"/>
        <v>86.531600357349902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283.73369613548124</v>
      </c>
      <c r="AO73" s="59">
        <f t="shared" si="90"/>
        <v>249.77804091581208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15.581730769230766</v>
      </c>
      <c r="BD73" s="12">
        <f>IF('Données projet'!$A$88&gt;35,BD72+BC73-BL72,IF(A73&lt;'Données projet'!$A$88,$BA$205^A73,IF(A73='Données projet'!$A$88,'Données projet'!$B$88,BD72+BC73-BL72)))</f>
        <v>376.69903846153863</v>
      </c>
      <c r="BE73" s="13">
        <f>BD73*VLOOKUP('Données projet'!$B$11,Paramètres!$A$1:$I$89,3,0)*VLOOKUP('Données projet'!$B$11,Paramètres!$A$1:$I$89,5,0)</f>
        <v>186.08932500000012</v>
      </c>
      <c r="BF73" s="13">
        <f t="shared" si="91"/>
        <v>46.674314413633489</v>
      </c>
      <c r="BG73" s="20">
        <f t="shared" si="61"/>
        <v>405.39667197874513</v>
      </c>
      <c r="BH73" s="59">
        <f t="shared" si="62"/>
        <v>698.73000531207845</v>
      </c>
      <c r="BI73" s="59">
        <f ca="1">AVERAGE(OFFSET($BH$3,0,0,'Données projet'!$E$11+1,1))-AVERAGE(OFFSET($H$3,0,0,'Données projet'!$E$11+1,1))</f>
        <v>263.7093252578133</v>
      </c>
      <c r="BJ73" s="59">
        <f t="shared" si="92"/>
        <v>123.27856176791568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54.295508153334879</v>
      </c>
      <c r="BQ73" s="21">
        <f>EXP(-LN(2)/25)*BQ72+(1-EXP(-LN(2)/25))/(LN(2)/25)*Calculateur!BL73*Calculateur!BN73*VLOOKUP('Données projet'!$B$11,Paramètres!$A$1:$I$89,3,0)*0.475*44/12</f>
        <v>26.756802841882422</v>
      </c>
      <c r="BR73" s="21">
        <f>EXP(-LN(2)/2)*BR72+(1-EXP(-LN(2)/2))/(LN(2)/2)*BL73*BO73*VLOOKUP('Données projet'!$B$11,Paramètres!$A$1:$I$89,3,0)*0.475*44/12</f>
        <v>2.5746151745617687</v>
      </c>
      <c r="BS73" s="22">
        <f t="shared" si="63"/>
        <v>83.626926169779068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283.73369613548124</v>
      </c>
      <c r="AO74" s="59">
        <f t="shared" si="90"/>
        <v>249.77804091581208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15.581730769230766</v>
      </c>
      <c r="BD74" s="12">
        <f>IF('Données projet'!$A$88&gt;35,BD73+BC74-BL73,IF(A74&lt;'Données projet'!$A$88,$BA$205^A74,IF(A74='Données projet'!$A$88,'Données projet'!$B$88,BD73+BC74-BL73)))</f>
        <v>392.28076923076941</v>
      </c>
      <c r="BE74" s="13">
        <f>BD74*VLOOKUP('Données projet'!$B$11,Paramètres!$A$1:$I$89,3,0)*VLOOKUP('Données projet'!$B$11,Paramètres!$A$1:$I$89,5,0)</f>
        <v>193.78670000000008</v>
      </c>
      <c r="BF74" s="13">
        <f t="shared" si="91"/>
        <v>48.376174510564908</v>
      </c>
      <c r="BG74" s="20">
        <f t="shared" si="61"/>
        <v>421.76700643923397</v>
      </c>
      <c r="BH74" s="59">
        <f t="shared" si="62"/>
        <v>715.10033977256728</v>
      </c>
      <c r="BI74" s="59">
        <f ca="1">AVERAGE(OFFSET($BH$3,0,0,'Données projet'!$E$11+1,1))-AVERAGE(OFFSET($H$3,0,0,'Données projet'!$E$11+1,1))</f>
        <v>263.7093252578133</v>
      </c>
      <c r="BJ74" s="59">
        <f t="shared" si="92"/>
        <v>123.27856176791568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53.230806355437927</v>
      </c>
      <c r="BQ74" s="21">
        <f>EXP(-LN(2)/25)*BQ73+(1-EXP(-LN(2)/25))/(LN(2)/25)*Calculateur!BL74*Calculateur!BN74*VLOOKUP('Données projet'!$B$11,Paramètres!$A$1:$I$89,3,0)*0.475*44/12</f>
        <v>26.025136661092038</v>
      </c>
      <c r="BR74" s="21">
        <f>EXP(-LN(2)/2)*BR73+(1-EXP(-LN(2)/2))/(LN(2)/2)*BL74*BO74*VLOOKUP('Données projet'!$B$11,Paramètres!$A$1:$I$89,3,0)*0.475*44/12</f>
        <v>1.8205278488784136</v>
      </c>
      <c r="BS74" s="22">
        <f t="shared" si="63"/>
        <v>81.076470865408382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283.73369613548124</v>
      </c>
      <c r="AO75" s="59">
        <f t="shared" si="90"/>
        <v>249.77804091581208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15.581730769230766</v>
      </c>
      <c r="BD75" s="12">
        <f>IF('Données projet'!$A$88&gt;35,BD74+BC75-BL74,IF(A75&lt;'Données projet'!$A$88,$BA$205^A75,IF(A75='Données projet'!$A$88,'Données projet'!$B$88,BD74+BC75-BL74)))</f>
        <v>407.86250000000018</v>
      </c>
      <c r="BE75" s="13">
        <f>BD75*VLOOKUP('Données projet'!$B$11,Paramètres!$A$1:$I$89,3,0)*VLOOKUP('Données projet'!$B$11,Paramètres!$A$1:$I$89,5,0)</f>
        <v>201.48407500000008</v>
      </c>
      <c r="BF75" s="13">
        <f t="shared" si="91"/>
        <v>50.070182024236615</v>
      </c>
      <c r="BG75" s="20">
        <f t="shared" si="61"/>
        <v>438.12366431721216</v>
      </c>
      <c r="BH75" s="59">
        <f t="shared" si="62"/>
        <v>731.45699765054542</v>
      </c>
      <c r="BI75" s="59">
        <f ca="1">AVERAGE(OFFSET($BH$3,0,0,'Données projet'!$E$11+1,1))-AVERAGE(OFFSET($H$3,0,0,'Données projet'!$E$11+1,1))</f>
        <v>263.7093252578133</v>
      </c>
      <c r="BJ75" s="59">
        <f t="shared" si="92"/>
        <v>123.27856176791568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52.186982710393757</v>
      </c>
      <c r="BQ75" s="21">
        <f>EXP(-LN(2)/25)*BQ74+(1-EXP(-LN(2)/25))/(LN(2)/25)*Calculateur!BL75*Calculateur!BN75*VLOOKUP('Données projet'!$B$11,Paramètres!$A$1:$I$89,3,0)*0.475*44/12</f>
        <v>25.31347793049202</v>
      </c>
      <c r="BR75" s="21">
        <f>EXP(-LN(2)/2)*BR74+(1-EXP(-LN(2)/2))/(LN(2)/2)*BL75*BO75*VLOOKUP('Données projet'!$B$11,Paramètres!$A$1:$I$89,3,0)*0.475*44/12</f>
        <v>1.2873075872808846</v>
      </c>
      <c r="BS75" s="22">
        <f t="shared" si="63"/>
        <v>78.787768228166655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283.73369613548124</v>
      </c>
      <c r="AO76" s="59">
        <f t="shared" si="90"/>
        <v>249.77804091581208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15.581730769230766</v>
      </c>
      <c r="BD76" s="12">
        <f>IF('Données projet'!$A$88&gt;35,BD75+BC76-BL75,IF(A76&lt;'Données projet'!$A$88,$BA$205^A76,IF(A76='Données projet'!$A$88,'Données projet'!$B$88,BD75+BC76-BL75)))</f>
        <v>423.44423076923096</v>
      </c>
      <c r="BE76" s="13">
        <f>BD76*VLOOKUP('Données projet'!$B$11,Paramètres!$A$1:$I$89,3,0)*VLOOKUP('Données projet'!$B$11,Paramètres!$A$1:$I$89,5,0)</f>
        <v>209.1814500000001</v>
      </c>
      <c r="BF76" s="13">
        <f t="shared" si="91"/>
        <v>51.756671291441307</v>
      </c>
      <c r="BG76" s="20">
        <f t="shared" si="61"/>
        <v>454.46722791592714</v>
      </c>
      <c r="BH76" s="59">
        <f t="shared" si="62"/>
        <v>747.80056124926045</v>
      </c>
      <c r="BI76" s="59">
        <f ca="1">AVERAGE(OFFSET($BH$3,0,0,'Données projet'!$E$11+1,1))-AVERAGE(OFFSET($H$3,0,0,'Données projet'!$E$11+1,1))</f>
        <v>263.7093252578133</v>
      </c>
      <c r="BJ76" s="59">
        <f t="shared" si="92"/>
        <v>123.27856176791568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51.163627810359344</v>
      </c>
      <c r="BQ76" s="21">
        <f>EXP(-LN(2)/25)*BQ75+(1-EXP(-LN(2)/25))/(LN(2)/25)*Calculateur!BL76*Calculateur!BN76*VLOOKUP('Données projet'!$B$11,Paramètres!$A$1:$I$89,3,0)*0.475*44/12</f>
        <v>24.621279545304766</v>
      </c>
      <c r="BR76" s="21">
        <f>EXP(-LN(2)/2)*BR75+(1-EXP(-LN(2)/2))/(LN(2)/2)*BL76*BO76*VLOOKUP('Données projet'!$B$11,Paramètres!$A$1:$I$89,3,0)*0.475*44/12</f>
        <v>0.9102639244392069</v>
      </c>
      <c r="BS76" s="22">
        <f t="shared" si="63"/>
        <v>76.69517128010331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283.73369613548124</v>
      </c>
      <c r="AO77" s="59">
        <f t="shared" si="90"/>
        <v>249.77804091581208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15.581730769230766</v>
      </c>
      <c r="BD77" s="12">
        <f>IF('Données projet'!$A$88&gt;35,BD76+BC77-BL76,IF(A77&lt;'Données projet'!$A$88,$BA$205^A77,IF(A77='Données projet'!$A$88,'Données projet'!$B$88,BD76+BC77-BL76)))</f>
        <v>439.02596153846173</v>
      </c>
      <c r="BE77" s="13">
        <f>BD77*VLOOKUP('Données projet'!$B$11,Paramètres!$A$1:$I$89,3,0)*VLOOKUP('Données projet'!$B$11,Paramètres!$A$1:$I$89,5,0)</f>
        <v>216.87882500000009</v>
      </c>
      <c r="BF77" s="13">
        <f t="shared" si="91"/>
        <v>53.435950649120208</v>
      </c>
      <c r="BG77" s="20">
        <f t="shared" si="61"/>
        <v>470.79823425555111</v>
      </c>
      <c r="BH77" s="59">
        <f t="shared" si="62"/>
        <v>764.13156758888442</v>
      </c>
      <c r="BI77" s="59">
        <f ca="1">AVERAGE(OFFSET($BH$3,0,0,'Données projet'!$E$11+1,1))-AVERAGE(OFFSET($H$3,0,0,'Données projet'!$E$11+1,1))</f>
        <v>263.7093252578133</v>
      </c>
      <c r="BJ77" s="59">
        <f t="shared" si="92"/>
        <v>123.27856176791568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50.160340275729752</v>
      </c>
      <c r="BQ77" s="21">
        <f>EXP(-LN(2)/25)*BQ76+(1-EXP(-LN(2)/25))/(LN(2)/25)*Calculateur!BL77*Calculateur!BN77*VLOOKUP('Données projet'!$B$11,Paramètres!$A$1:$I$89,3,0)*0.475*44/12</f>
        <v>23.948009361361589</v>
      </c>
      <c r="BR77" s="21">
        <f>EXP(-LN(2)/2)*BR76+(1-EXP(-LN(2)/2))/(LN(2)/2)*BL77*BO77*VLOOKUP('Données projet'!$B$11,Paramètres!$A$1:$I$89,3,0)*0.475*44/12</f>
        <v>0.6436537936404424</v>
      </c>
      <c r="BS77" s="22">
        <f t="shared" si="63"/>
        <v>74.752003430731776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283.73369613548124</v>
      </c>
      <c r="AO78" s="59">
        <f t="shared" si="90"/>
        <v>249.77804091581208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454.60769230769228</v>
      </c>
      <c r="BB78" s="12">
        <f>VLOOKUP(A78,'Données projet'!$A$87:$I$107,9,0)</f>
        <v>15.581730769230766</v>
      </c>
      <c r="BC78" s="12">
        <f t="array" ref="BC78">INDEX(BB:BB,MIN(IF(ISNUMBER(BB78:BB274),ROW(BB78:BB274),"")))</f>
        <v>15.581730769230766</v>
      </c>
      <c r="BD78" s="12">
        <f>IF('Données projet'!$A$88&gt;35,BD77+BC78-BL77,IF(A78&lt;'Données projet'!$A$88,$BA$205^A78,IF(A78='Données projet'!$A$88,'Données projet'!$B$88,BD77+BC78-BL77)))</f>
        <v>454.6076923076925</v>
      </c>
      <c r="BE78" s="13">
        <f>BD78*VLOOKUP('Données projet'!$B$11,Paramètres!$A$1:$I$89,3,0)*VLOOKUP('Données projet'!$B$11,Paramètres!$A$1:$I$89,5,0)</f>
        <v>224.57620000000011</v>
      </c>
      <c r="BF78" s="13">
        <f t="shared" si="91"/>
        <v>55.108305306644844</v>
      </c>
      <c r="BG78" s="20">
        <f t="shared" si="61"/>
        <v>487.1171800757399</v>
      </c>
      <c r="BH78" s="59">
        <f t="shared" si="62"/>
        <v>780.45051340907321</v>
      </c>
      <c r="BI78" s="59">
        <f ca="1">AVERAGE(OFFSET($BH$3,0,0,'Données projet'!$E$11+1,1))-AVERAGE(OFFSET($H$3,0,0,'Données projet'!$E$11+1,1))</f>
        <v>263.7093252578133</v>
      </c>
      <c r="BJ78" s="59">
        <f t="shared" si="92"/>
        <v>123.27856176791568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86.946153846153848</v>
      </c>
      <c r="BM78" s="16">
        <f>IF(ISNA(VLOOKUP(A78,'Données projet'!$A$87:$I$107,5,0)),0%,VLOOKUP(A78,'Données projet'!$A$87:$I$107,5,0)*VLOOKUP('Données projet'!$B$11,Paramètres!$A$1:$I$89,7,0))</f>
        <v>0.38500000000000001</v>
      </c>
      <c r="BN78" s="16">
        <f>IF(ISNA(VLOOKUP(A78,'Données projet'!$A$87:$I$107,6,0)),0%,VLOOKUP(A78,'Données projet'!$A$87:$I$107,6,0)*VLOOKUP('Données projet'!$B$11,Paramètres!$A$1:$I$89,7,0))</f>
        <v>9.240000000000001E-2</v>
      </c>
      <c r="BO78" s="16">
        <f>IF(ISNA(VLOOKUP(A78,'Données projet'!$A$87:$I$107,7,0)),0%,VLOOKUP(A78,'Données projet'!$A$87:$I$107,7,0))</f>
        <v>0.13200000000000001</v>
      </c>
      <c r="BP78" s="21">
        <f>EXP(-LN(2)/35)*BP77+(1-EXP(-LN(2)/35))/(LN(2)/35)*BL78*BM78*VLOOKUP('Données projet'!$B$11,Paramètres!$A$1:$I$89,3,0)*0.475*44/12</f>
        <v>71.113179809985141</v>
      </c>
      <c r="BQ78" s="21">
        <f>EXP(-LN(2)/25)*BQ77+(1-EXP(-LN(2)/25))/(LN(2)/25)*Calculateur!BL78*Calculateur!BN78*VLOOKUP('Données projet'!$B$11,Paramètres!$A$1:$I$89,3,0)*0.475*44/12</f>
        <v>28.53716923501252</v>
      </c>
      <c r="BR78" s="21">
        <f>EXP(-LN(2)/2)*BR77+(1-EXP(-LN(2)/2))/(LN(2)/2)*BL78*BO78*VLOOKUP('Données projet'!$B$11,Paramètres!$A$1:$I$89,3,0)*0.475*44/12</f>
        <v>6.8744189863447334</v>
      </c>
      <c r="BS78" s="22">
        <f t="shared" si="63"/>
        <v>106.52476803134239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283.73369613548124</v>
      </c>
      <c r="AO79" s="59">
        <f t="shared" si="90"/>
        <v>249.77804091581208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14.197115384615387</v>
      </c>
      <c r="BD79" s="12">
        <f>IF('Données projet'!$A$88&gt;35,BD78+BC79-BL78,IF(A79&lt;'Données projet'!$A$88,$BA$205^A79,IF(A79='Données projet'!$A$88,'Données projet'!$B$88,BD78+BC79-BL78)))</f>
        <v>381.85865384615408</v>
      </c>
      <c r="BE79" s="13">
        <f>BD79*VLOOKUP('Données projet'!$B$11,Paramètres!$A$1:$I$89,3,0)*VLOOKUP('Données projet'!$B$11,Paramètres!$A$1:$I$89,5,0)</f>
        <v>188.63817500000013</v>
      </c>
      <c r="BF79" s="13">
        <f t="shared" si="91"/>
        <v>47.238746747796945</v>
      </c>
      <c r="BG79" s="20">
        <f t="shared" si="61"/>
        <v>410.81897204407989</v>
      </c>
      <c r="BH79" s="59">
        <f t="shared" si="62"/>
        <v>704.1523053774132</v>
      </c>
      <c r="BI79" s="59">
        <f ca="1">AVERAGE(OFFSET($BH$3,0,0,'Données projet'!$E$11+1,1))-AVERAGE(OFFSET($H$3,0,0,'Données projet'!$E$11+1,1))</f>
        <v>263.7093252578133</v>
      </c>
      <c r="BJ79" s="59">
        <f t="shared" si="92"/>
        <v>123.27856176791568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69.718693728668114</v>
      </c>
      <c r="BQ79" s="21">
        <f>EXP(-LN(2)/25)*BQ78+(1-EXP(-LN(2)/25))/(LN(2)/25)*Calculateur!BL79*Calculateur!BN79*VLOOKUP('Données projet'!$B$11,Paramètres!$A$1:$I$89,3,0)*0.475*44/12</f>
        <v>27.756818841576596</v>
      </c>
      <c r="BR79" s="21">
        <f>EXP(-LN(2)/2)*BR78+(1-EXP(-LN(2)/2))/(LN(2)/2)*BL79*BO79*VLOOKUP('Données projet'!$B$11,Paramètres!$A$1:$I$89,3,0)*0.475*44/12</f>
        <v>4.8609482819619139</v>
      </c>
      <c r="BS79" s="22">
        <f t="shared" si="63"/>
        <v>102.33646085220663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283.73369613548124</v>
      </c>
      <c r="AO80" s="59">
        <f t="shared" si="90"/>
        <v>249.77804091581208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14.197115384615387</v>
      </c>
      <c r="BD80" s="12">
        <f>IF('Données projet'!$A$88&gt;35,BD79+BC80-BL79,IF(A80&lt;'Données projet'!$A$88,$BA$205^A80,IF(A80='Données projet'!$A$88,'Données projet'!$B$88,BD79+BC80-BL79)))</f>
        <v>396.05576923076944</v>
      </c>
      <c r="BE80" s="13">
        <f>BD80*VLOOKUP('Données projet'!$B$11,Paramètres!$A$1:$I$89,3,0)*VLOOKUP('Données projet'!$B$11,Paramètres!$A$1:$I$89,5,0)</f>
        <v>195.6515500000001</v>
      </c>
      <c r="BF80" s="13">
        <f t="shared" si="91"/>
        <v>48.787290843151588</v>
      </c>
      <c r="BG80" s="20">
        <f t="shared" si="61"/>
        <v>425.73098113515584</v>
      </c>
      <c r="BH80" s="59">
        <f t="shared" si="62"/>
        <v>719.0643144684891</v>
      </c>
      <c r="BI80" s="59">
        <f ca="1">AVERAGE(OFFSET($BH$3,0,0,'Données projet'!$E$11+1,1))-AVERAGE(OFFSET($H$3,0,0,'Données projet'!$E$11+1,1))</f>
        <v>263.7093252578133</v>
      </c>
      <c r="BJ80" s="59">
        <f t="shared" si="92"/>
        <v>123.27856176791568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68.351552668853188</v>
      </c>
      <c r="BQ80" s="21">
        <f>EXP(-LN(2)/25)*BQ79+(1-EXP(-LN(2)/25))/(LN(2)/25)*Calculateur!BL80*Calculateur!BN80*VLOOKUP('Données projet'!$B$11,Paramètres!$A$1:$I$89,3,0)*0.475*44/12</f>
        <v>26.99780717068602</v>
      </c>
      <c r="BR80" s="21">
        <f>EXP(-LN(2)/2)*BR79+(1-EXP(-LN(2)/2))/(LN(2)/2)*BL80*BO80*VLOOKUP('Données projet'!$B$11,Paramètres!$A$1:$I$89,3,0)*0.475*44/12</f>
        <v>3.4372094931723676</v>
      </c>
      <c r="BS80" s="22">
        <f t="shared" si="63"/>
        <v>98.786569332711565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283.73369613548124</v>
      </c>
      <c r="AO81" s="59">
        <f t="shared" si="90"/>
        <v>249.77804091581208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14.197115384615387</v>
      </c>
      <c r="BD81" s="12">
        <f>IF('Données projet'!$A$88&gt;35,BD80+BC81-BL80,IF(A81&lt;'Données projet'!$A$88,$BA$205^A81,IF(A81='Données projet'!$A$88,'Données projet'!$B$88,BD80+BC81-BL80)))</f>
        <v>410.2528846153848</v>
      </c>
      <c r="BE81" s="13">
        <f>BD81*VLOOKUP('Données projet'!$B$11,Paramètres!$A$1:$I$89,3,0)*VLOOKUP('Données projet'!$B$11,Paramètres!$A$1:$I$89,5,0)</f>
        <v>202.6649250000001</v>
      </c>
      <c r="BF81" s="13">
        <f t="shared" si="91"/>
        <v>50.329385634487416</v>
      </c>
      <c r="BG81" s="20">
        <f t="shared" si="61"/>
        <v>440.63175768839909</v>
      </c>
      <c r="BH81" s="59">
        <f t="shared" si="62"/>
        <v>733.96509102173241</v>
      </c>
      <c r="BI81" s="59">
        <f ca="1">AVERAGE(OFFSET($BH$3,0,0,'Données projet'!$E$11+1,1))-AVERAGE(OFFSET($H$3,0,0,'Données projet'!$E$11+1,1))</f>
        <v>263.7093252578133</v>
      </c>
      <c r="BJ81" s="59">
        <f t="shared" si="92"/>
        <v>123.27856176791568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67.011220411347523</v>
      </c>
      <c r="BQ81" s="21">
        <f>EXP(-LN(2)/25)*BQ80+(1-EXP(-LN(2)/25))/(LN(2)/25)*Calculateur!BL81*Calculateur!BN81*VLOOKUP('Données projet'!$B$11,Paramètres!$A$1:$I$89,3,0)*0.475*44/12</f>
        <v>26.259550713850636</v>
      </c>
      <c r="BR81" s="21">
        <f>EXP(-LN(2)/2)*BR80+(1-EXP(-LN(2)/2))/(LN(2)/2)*BL81*BO81*VLOOKUP('Données projet'!$B$11,Paramètres!$A$1:$I$89,3,0)*0.475*44/12</f>
        <v>2.4304741409809574</v>
      </c>
      <c r="BS81" s="22">
        <f t="shared" si="63"/>
        <v>95.701245266179129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283.73369613548124</v>
      </c>
      <c r="AO82" s="59">
        <f t="shared" si="90"/>
        <v>249.77804091581208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14.197115384615387</v>
      </c>
      <c r="BD82" s="12">
        <f>IF('Données projet'!$A$88&gt;35,BD81+BC82-BL81,IF(A82&lt;'Données projet'!$A$88,$BA$205^A82,IF(A82='Données projet'!$A$88,'Données projet'!$B$88,BD81+BC82-BL81)))</f>
        <v>424.45000000000016</v>
      </c>
      <c r="BE82" s="13">
        <f>BD82*VLOOKUP('Données projet'!$B$11,Paramètres!$A$1:$I$89,3,0)*VLOOKUP('Données projet'!$B$11,Paramètres!$A$1:$I$89,5,0)</f>
        <v>209.67830000000006</v>
      </c>
      <c r="BF82" s="13">
        <f t="shared" si="91"/>
        <v>51.865279883184577</v>
      </c>
      <c r="BG82" s="20">
        <f t="shared" si="61"/>
        <v>455.52173496321319</v>
      </c>
      <c r="BH82" s="59">
        <f t="shared" si="62"/>
        <v>748.85506829654651</v>
      </c>
      <c r="BI82" s="59">
        <f ca="1">AVERAGE(OFFSET($BH$3,0,0,'Données projet'!$E$11+1,1))-AVERAGE(OFFSET($H$3,0,0,'Données projet'!$E$11+1,1))</f>
        <v>263.7093252578133</v>
      </c>
      <c r="BJ82" s="59">
        <f t="shared" si="92"/>
        <v>123.27856176791568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65.6971712518896</v>
      </c>
      <c r="BQ82" s="21">
        <f>EXP(-LN(2)/25)*BQ81+(1-EXP(-LN(2)/25))/(LN(2)/25)*Calculateur!BL82*Calculateur!BN82*VLOOKUP('Données projet'!$B$11,Paramètres!$A$1:$I$89,3,0)*0.475*44/12</f>
        <v>25.541481918650636</v>
      </c>
      <c r="BR82" s="21">
        <f>EXP(-LN(2)/2)*BR81+(1-EXP(-LN(2)/2))/(LN(2)/2)*BL82*BO82*VLOOKUP('Données projet'!$B$11,Paramètres!$A$1:$I$89,3,0)*0.475*44/12</f>
        <v>1.718604746586184</v>
      </c>
      <c r="BS82" s="22">
        <f t="shared" si="63"/>
        <v>92.957257917126412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283.73369613548124</v>
      </c>
      <c r="AO83" s="59">
        <f t="shared" si="90"/>
        <v>249.77804091581208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14.197115384615387</v>
      </c>
      <c r="BD83" s="12">
        <f>IF('Données projet'!$A$88&gt;35,BD82+BC83-BL82,IF(A83&lt;'Données projet'!$A$88,$BA$205^A83,IF(A83='Données projet'!$A$88,'Données projet'!$B$88,BD82+BC83-BL82)))</f>
        <v>438.64711538461552</v>
      </c>
      <c r="BE83" s="13">
        <f>BD83*VLOOKUP('Données projet'!$B$11,Paramètres!$A$1:$I$89,3,0)*VLOOKUP('Données projet'!$B$11,Paramètres!$A$1:$I$89,5,0)</f>
        <v>216.69167500000009</v>
      </c>
      <c r="BF83" s="13">
        <f t="shared" si="91"/>
        <v>53.395204765092878</v>
      </c>
      <c r="BG83" s="20">
        <f t="shared" si="61"/>
        <v>470.4013155908703</v>
      </c>
      <c r="BH83" s="59">
        <f t="shared" si="62"/>
        <v>763.73464892420361</v>
      </c>
      <c r="BI83" s="59">
        <f ca="1">AVERAGE(OFFSET($BH$3,0,0,'Données projet'!$E$11+1,1))-AVERAGE(OFFSET($H$3,0,0,'Données projet'!$E$11+1,1))</f>
        <v>263.7093252578133</v>
      </c>
      <c r="BJ83" s="59">
        <f t="shared" si="92"/>
        <v>123.27856176791568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64.408889794957801</v>
      </c>
      <c r="BQ83" s="21">
        <f>EXP(-LN(2)/25)*BQ82+(1-EXP(-LN(2)/25))/(LN(2)/25)*Calculateur!BL83*Calculateur!BN83*VLOOKUP('Données projet'!$B$11,Paramètres!$A$1:$I$89,3,0)*0.475*44/12</f>
        <v>24.843048752416976</v>
      </c>
      <c r="BR83" s="21">
        <f>EXP(-LN(2)/2)*BR82+(1-EXP(-LN(2)/2))/(LN(2)/2)*BL83*BO83*VLOOKUP('Données projet'!$B$11,Paramètres!$A$1:$I$89,3,0)*0.475*44/12</f>
        <v>1.2152370704904789</v>
      </c>
      <c r="BS83" s="22">
        <f t="shared" si="63"/>
        <v>90.467175617865252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283.73369613548124</v>
      </c>
      <c r="AO84" s="59">
        <f t="shared" si="90"/>
        <v>249.77804091581208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14.197115384615387</v>
      </c>
      <c r="BD84" s="12">
        <f>IF('Données projet'!$A$88&gt;35,BD83+BC84-BL83,IF(A84&lt;'Données projet'!$A$88,$BA$205^A84,IF(A84='Données projet'!$A$88,'Données projet'!$B$88,BD83+BC84-BL83)))</f>
        <v>452.84423076923088</v>
      </c>
      <c r="BE84" s="13">
        <f>BD84*VLOOKUP('Données projet'!$B$11,Paramètres!$A$1:$I$89,3,0)*VLOOKUP('Données projet'!$B$11,Paramètres!$A$1:$I$89,5,0)</f>
        <v>223.70505000000006</v>
      </c>
      <c r="BF84" s="13">
        <f t="shared" si="91"/>
        <v>54.919375642211712</v>
      </c>
      <c r="BG84" s="20">
        <f t="shared" si="61"/>
        <v>485.27087466018548</v>
      </c>
      <c r="BH84" s="59">
        <f t="shared" si="62"/>
        <v>778.6042079935188</v>
      </c>
      <c r="BI84" s="59">
        <f ca="1">AVERAGE(OFFSET($BH$3,0,0,'Données projet'!$E$11+1,1))-AVERAGE(OFFSET($H$3,0,0,'Données projet'!$E$11+1,1))</f>
        <v>263.7093252578133</v>
      </c>
      <c r="BJ84" s="59">
        <f t="shared" si="92"/>
        <v>123.27856176791568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63.145870751622326</v>
      </c>
      <c r="BQ84" s="21">
        <f>EXP(-LN(2)/25)*BQ83+(1-EXP(-LN(2)/25))/(LN(2)/25)*Calculateur!BL84*Calculateur!BN84*VLOOKUP('Données projet'!$B$11,Paramètres!$A$1:$I$89,3,0)*0.475*44/12</f>
        <v>24.163714277842981</v>
      </c>
      <c r="BR84" s="21">
        <f>EXP(-LN(2)/2)*BR83+(1-EXP(-LN(2)/2))/(LN(2)/2)*BL84*BO84*VLOOKUP('Données projet'!$B$11,Paramètres!$A$1:$I$89,3,0)*0.475*44/12</f>
        <v>0.85930237329309211</v>
      </c>
      <c r="BS84" s="22">
        <f t="shared" si="63"/>
        <v>88.168887402758401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283.73369613548124</v>
      </c>
      <c r="AO85" s="59">
        <f t="shared" si="90"/>
        <v>249.77804091581208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14.197115384615387</v>
      </c>
      <c r="BD85" s="12">
        <f>IF('Données projet'!$A$88&gt;35,BD84+BC85-BL84,IF(A85&lt;'Données projet'!$A$88,$BA$205^A85,IF(A85='Données projet'!$A$88,'Données projet'!$B$88,BD84+BC85-BL84)))</f>
        <v>467.04134615384623</v>
      </c>
      <c r="BE85" s="13">
        <f>BD85*VLOOKUP('Données projet'!$B$11,Paramètres!$A$1:$I$89,3,0)*VLOOKUP('Données projet'!$B$11,Paramètres!$A$1:$I$89,5,0)</f>
        <v>230.71842500000005</v>
      </c>
      <c r="BF85" s="13">
        <f t="shared" si="91"/>
        <v>56.437993605953146</v>
      </c>
      <c r="BG85" s="20">
        <f t="shared" si="61"/>
        <v>500.13076240536844</v>
      </c>
      <c r="BH85" s="59">
        <f t="shared" si="62"/>
        <v>793.46409573870176</v>
      </c>
      <c r="BI85" s="59">
        <f ca="1">AVERAGE(OFFSET($BH$3,0,0,'Données projet'!$E$11+1,1))-AVERAGE(OFFSET($H$3,0,0,'Données projet'!$E$11+1,1))</f>
        <v>263.7093252578133</v>
      </c>
      <c r="BJ85" s="59">
        <f t="shared" si="92"/>
        <v>123.27856176791568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61.907618741361112</v>
      </c>
      <c r="BQ85" s="21">
        <f>EXP(-LN(2)/25)*BQ84+(1-EXP(-LN(2)/25))/(LN(2)/25)*Calculateur!BL85*Calculateur!BN85*VLOOKUP('Données projet'!$B$11,Paramètres!$A$1:$I$89,3,0)*0.475*44/12</f>
        <v>23.502956240200859</v>
      </c>
      <c r="BR85" s="21">
        <f>EXP(-LN(2)/2)*BR84+(1-EXP(-LN(2)/2))/(LN(2)/2)*BL85*BO85*VLOOKUP('Données projet'!$B$11,Paramètres!$A$1:$I$89,3,0)*0.475*44/12</f>
        <v>0.60761853524523946</v>
      </c>
      <c r="BS85" s="22">
        <f t="shared" si="63"/>
        <v>86.018193516807216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283.73369613548124</v>
      </c>
      <c r="AO86" s="59">
        <f t="shared" si="90"/>
        <v>249.77804091581208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481.23846153846154</v>
      </c>
      <c r="BB86" s="12">
        <f>VLOOKUP(A86,'Données projet'!$A$87:$I$107,9,0)</f>
        <v>14.197115384615387</v>
      </c>
      <c r="BC86" s="12">
        <f t="array" ref="BC86">INDEX(BB:BB,MIN(IF(ISNUMBER(BB86:BB282),ROW(BB86:BB282),"")))</f>
        <v>14.197115384615387</v>
      </c>
      <c r="BD86" s="12">
        <f>IF('Données projet'!$A$88&gt;35,BD85+BC86-BL85,IF(A86&lt;'Données projet'!$A$88,$BA$205^A86,IF(A86='Données projet'!$A$88,'Données projet'!$B$88,BD85+BC86-BL85)))</f>
        <v>481.23846153846159</v>
      </c>
      <c r="BE86" s="13">
        <f>BD86*VLOOKUP('Données projet'!$B$11,Paramètres!$A$1:$I$89,3,0)*VLOOKUP('Données projet'!$B$11,Paramètres!$A$1:$I$89,5,0)</f>
        <v>237.73180000000002</v>
      </c>
      <c r="BF86" s="13">
        <f t="shared" si="91"/>
        <v>57.951246827483871</v>
      </c>
      <c r="BG86" s="20">
        <f t="shared" si="61"/>
        <v>514.98130655786781</v>
      </c>
      <c r="BH86" s="59">
        <f t="shared" si="62"/>
        <v>808.31463989120107</v>
      </c>
      <c r="BI86" s="59">
        <f ca="1">AVERAGE(OFFSET($BH$3,0,0,'Données projet'!$E$11+1,1))-AVERAGE(OFFSET($H$3,0,0,'Données projet'!$E$11+1,1))</f>
        <v>263.7093252578133</v>
      </c>
      <c r="BJ86" s="59">
        <f t="shared" si="92"/>
        <v>123.27856176791568</v>
      </c>
      <c r="BK86" s="15">
        <f>IF(ISNA(VLOOKUP(A86,'Données projet'!$A$87:$I$107,3,0)),0,VLOOKUP(A86,'Données projet'!$A$87:$I$107,3,0))</f>
        <v>6</v>
      </c>
      <c r="BL86" s="15">
        <f>IF(ISNA(VLOOKUP(A86,'Données projet'!$A$87:$I$107,4,0)),0,VLOOKUP(A86,'Données projet'!$A$87:$I$107,4,0))</f>
        <v>91.153846153846146</v>
      </c>
      <c r="BM86" s="16">
        <f>IF(ISNA(VLOOKUP(A86,'Données projet'!$A$87:$I$107,5,0)),0%,VLOOKUP(A86,'Données projet'!$A$87:$I$107,5,0)*VLOOKUP('Données projet'!$B$11,Paramètres!$A$1:$I$89,7,0))</f>
        <v>0.38500000000000001</v>
      </c>
      <c r="BN86" s="16">
        <f>IF(ISNA(VLOOKUP(A86,'Données projet'!$A$87:$I$107,6,0)),0%,VLOOKUP(A86,'Données projet'!$A$87:$I$107,6,0)*VLOOKUP('Données projet'!$B$11,Paramètres!$A$1:$I$89,7,0))</f>
        <v>9.240000000000001E-2</v>
      </c>
      <c r="BO86" s="16">
        <f>IF(ISNA(VLOOKUP(A86,'Données projet'!$A$87:$I$107,7,0)),0%,VLOOKUP(A86,'Données projet'!$A$87:$I$107,7,0))</f>
        <v>0.13200000000000001</v>
      </c>
      <c r="BP86" s="21">
        <f>EXP(-LN(2)/35)*BP85+(1-EXP(-LN(2)/35))/(LN(2)/35)*BL86*BM86*VLOOKUP('Données projet'!$B$11,Paramètres!$A$1:$I$89,3,0)*0.475*44/12</f>
        <v>83.691699107712338</v>
      </c>
      <c r="BQ86" s="21">
        <f>EXP(-LN(2)/25)*BQ85+(1-EXP(-LN(2)/25))/(LN(2)/25)*Calculateur!BL86*Calculateur!BN86*VLOOKUP('Données projet'!$B$11,Paramètres!$A$1:$I$89,3,0)*0.475*44/12</f>
        <v>28.358066406688952</v>
      </c>
      <c r="BR86" s="21">
        <f>EXP(-LN(2)/2)*BR85+(1-EXP(-LN(2)/2))/(LN(2)/2)*BL86*BO86*VLOOKUP('Données projet'!$B$11,Paramètres!$A$1:$I$89,3,0)*0.475*44/12</f>
        <v>7.1595946738519576</v>
      </c>
      <c r="BS86" s="22">
        <f t="shared" si="63"/>
        <v>119.20936018825324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283.73369613548124</v>
      </c>
      <c r="AO87" s="59">
        <f t="shared" si="90"/>
        <v>249.77804091581208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12.692307692307686</v>
      </c>
      <c r="BD87" s="12">
        <f>IF('Données projet'!$A$88&gt;35,BD86+BC87-BL86,IF(A87&lt;'Données projet'!$A$88,$BA$205^A87,IF(A87='Données projet'!$A$88,'Données projet'!$B$88,BD86+BC87-BL86)))</f>
        <v>402.77692307692314</v>
      </c>
      <c r="BE87" s="13">
        <f>BD87*VLOOKUP('Données projet'!$B$11,Paramètres!$A$1:$I$89,3,0)*VLOOKUP('Données projet'!$B$11,Paramètres!$A$1:$I$89,5,0)</f>
        <v>198.97180000000006</v>
      </c>
      <c r="BF87" s="13">
        <f t="shared" si="91"/>
        <v>49.518132745400777</v>
      </c>
      <c r="BG87" s="20">
        <f t="shared" si="61"/>
        <v>432.78663286490649</v>
      </c>
      <c r="BH87" s="59">
        <f t="shared" si="62"/>
        <v>726.11996619823981</v>
      </c>
      <c r="BI87" s="59">
        <f ca="1">AVERAGE(OFFSET($BH$3,0,0,'Données projet'!$E$11+1,1))-AVERAGE(OFFSET($H$3,0,0,'Données projet'!$E$11+1,1))</f>
        <v>263.7093252578133</v>
      </c>
      <c r="BJ87" s="59">
        <f t="shared" si="92"/>
        <v>123.27856176791568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82.05055593510609</v>
      </c>
      <c r="BQ87" s="21">
        <f>EXP(-LN(2)/25)*BQ86+(1-EXP(-LN(2)/25))/(LN(2)/25)*Calculateur!BL87*Calculateur!BN87*VLOOKUP('Données projet'!$B$11,Paramètres!$A$1:$I$89,3,0)*0.475*44/12</f>
        <v>27.582613589512142</v>
      </c>
      <c r="BR87" s="21">
        <f>EXP(-LN(2)/2)*BR86+(1-EXP(-LN(2)/2))/(LN(2)/2)*BL87*BO87*VLOOKUP('Données projet'!$B$11,Paramètres!$A$1:$I$89,3,0)*0.475*44/12</f>
        <v>5.0625979444278073</v>
      </c>
      <c r="BS87" s="22">
        <f t="shared" si="63"/>
        <v>114.69576746904605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283.73369613548124</v>
      </c>
      <c r="AO88" s="59">
        <f t="shared" si="90"/>
        <v>249.77804091581208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12.692307692307686</v>
      </c>
      <c r="BD88" s="12">
        <f>IF('Données projet'!$A$88&gt;35,BD87+BC88-BL87,IF(A88&lt;'Données projet'!$A$88,$BA$205^A88,IF(A88='Données projet'!$A$88,'Données projet'!$B$88,BD87+BC88-BL87)))</f>
        <v>415.46923076923082</v>
      </c>
      <c r="BE88" s="13">
        <f>BD88*VLOOKUP('Données projet'!$B$11,Paramètres!$A$1:$I$89,3,0)*VLOOKUP('Données projet'!$B$11,Paramètres!$A$1:$I$89,5,0)</f>
        <v>205.24180000000004</v>
      </c>
      <c r="BF88" s="13">
        <f t="shared" si="91"/>
        <v>50.894416414153305</v>
      </c>
      <c r="BG88" s="20">
        <f t="shared" si="61"/>
        <v>446.10391025465037</v>
      </c>
      <c r="BH88" s="59">
        <f t="shared" si="62"/>
        <v>739.43724358798363</v>
      </c>
      <c r="BI88" s="59">
        <f ca="1">AVERAGE(OFFSET($BH$3,0,0,'Données projet'!$E$11+1,1))-AVERAGE(OFFSET($H$3,0,0,'Données projet'!$E$11+1,1))</f>
        <v>263.7093252578133</v>
      </c>
      <c r="BJ88" s="59">
        <f t="shared" si="92"/>
        <v>123.27856176791568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80.441594579116156</v>
      </c>
      <c r="BQ88" s="21">
        <f>EXP(-LN(2)/25)*BQ87+(1-EXP(-LN(2)/25))/(LN(2)/25)*Calculateur!BL88*Calculateur!BN88*VLOOKUP('Données projet'!$B$11,Paramètres!$A$1:$I$89,3,0)*0.475*44/12</f>
        <v>26.828365570400326</v>
      </c>
      <c r="BR88" s="21">
        <f>EXP(-LN(2)/2)*BR87+(1-EXP(-LN(2)/2))/(LN(2)/2)*BL88*BO88*VLOOKUP('Données projet'!$B$11,Paramètres!$A$1:$I$89,3,0)*0.475*44/12</f>
        <v>3.5797973369259792</v>
      </c>
      <c r="BS88" s="22">
        <f t="shared" si="63"/>
        <v>110.84975748644246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283.73369613548124</v>
      </c>
      <c r="AO89" s="59">
        <f t="shared" si="90"/>
        <v>249.77804091581208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12.692307692307686</v>
      </c>
      <c r="BD89" s="12">
        <f>IF('Données projet'!$A$88&gt;35,BD88+BC89-BL88,IF(A89&lt;'Données projet'!$A$88,$BA$205^A89,IF(A89='Données projet'!$A$88,'Données projet'!$B$88,BD88+BC89-BL88)))</f>
        <v>428.1615384615385</v>
      </c>
      <c r="BE89" s="13">
        <f>BD89*VLOOKUP('Données projet'!$B$11,Paramètres!$A$1:$I$89,3,0)*VLOOKUP('Données projet'!$B$11,Paramètres!$A$1:$I$89,5,0)</f>
        <v>211.51180000000002</v>
      </c>
      <c r="BF89" s="13">
        <f t="shared" si="91"/>
        <v>52.265813985654411</v>
      </c>
      <c r="BG89" s="20">
        <f t="shared" si="61"/>
        <v>459.41267769168144</v>
      </c>
      <c r="BH89" s="59">
        <f t="shared" si="62"/>
        <v>752.7460110250147</v>
      </c>
      <c r="BI89" s="59">
        <f ca="1">AVERAGE(OFFSET($BH$3,0,0,'Données projet'!$E$11+1,1))-AVERAGE(OFFSET($H$3,0,0,'Données projet'!$E$11+1,1))</f>
        <v>263.7093252578133</v>
      </c>
      <c r="BJ89" s="59">
        <f t="shared" si="92"/>
        <v>123.27856176791568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78.864183973947661</v>
      </c>
      <c r="BQ89" s="21">
        <f>EXP(-LN(2)/25)*BQ88+(1-EXP(-LN(2)/25))/(LN(2)/25)*Calculateur!BL89*Calculateur!BN89*VLOOKUP('Données projet'!$B$11,Paramètres!$A$1:$I$89,3,0)*0.475*44/12</f>
        <v>26.094742503035302</v>
      </c>
      <c r="BR89" s="21">
        <f>EXP(-LN(2)/2)*BR88+(1-EXP(-LN(2)/2))/(LN(2)/2)*BL89*BO89*VLOOKUP('Données projet'!$B$11,Paramètres!$A$1:$I$89,3,0)*0.475*44/12</f>
        <v>2.5312989722139041</v>
      </c>
      <c r="BS89" s="22">
        <f t="shared" si="63"/>
        <v>107.49022544919687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283.73369613548124</v>
      </c>
      <c r="AO90" s="59">
        <f t="shared" si="90"/>
        <v>249.77804091581208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12.692307692307686</v>
      </c>
      <c r="BD90" s="12">
        <f>IF('Données projet'!$A$88&gt;35,BD89+BC90-BL89,IF(A90&lt;'Données projet'!$A$88,$BA$205^A90,IF(A90='Données projet'!$A$88,'Données projet'!$B$88,BD89+BC90-BL89)))</f>
        <v>440.85384615384618</v>
      </c>
      <c r="BE90" s="13">
        <f>BD90*VLOOKUP('Données projet'!$B$11,Paramètres!$A$1:$I$89,3,0)*VLOOKUP('Données projet'!$B$11,Paramètres!$A$1:$I$89,5,0)</f>
        <v>217.7818</v>
      </c>
      <c r="BF90" s="13">
        <f t="shared" si="91"/>
        <v>53.63248693100202</v>
      </c>
      <c r="BG90" s="20">
        <f t="shared" si="61"/>
        <v>472.71321640482853</v>
      </c>
      <c r="BH90" s="59">
        <f t="shared" si="62"/>
        <v>766.04654973816184</v>
      </c>
      <c r="BI90" s="59">
        <f ca="1">AVERAGE(OFFSET($BH$3,0,0,'Données projet'!$E$11+1,1))-AVERAGE(OFFSET($H$3,0,0,'Données projet'!$E$11+1,1))</f>
        <v>263.7093252578133</v>
      </c>
      <c r="BJ90" s="59">
        <f t="shared" si="92"/>
        <v>123.27856176791568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77.317705428621053</v>
      </c>
      <c r="BQ90" s="21">
        <f>EXP(-LN(2)/25)*BQ89+(1-EXP(-LN(2)/25))/(LN(2)/25)*Calculateur!BL90*Calculateur!BN90*VLOOKUP('Données projet'!$B$11,Paramètres!$A$1:$I$89,3,0)*0.475*44/12</f>
        <v>25.381180397026935</v>
      </c>
      <c r="BR90" s="21">
        <f>EXP(-LN(2)/2)*BR89+(1-EXP(-LN(2)/2))/(LN(2)/2)*BL90*BO90*VLOOKUP('Données projet'!$B$11,Paramètres!$A$1:$I$89,3,0)*0.475*44/12</f>
        <v>1.7898986684629898</v>
      </c>
      <c r="BS90" s="22">
        <f t="shared" si="63"/>
        <v>104.48878449411099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283.73369613548124</v>
      </c>
      <c r="AO91" s="59">
        <f t="shared" si="90"/>
        <v>249.77804091581208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12.692307692307686</v>
      </c>
      <c r="BD91" s="12">
        <f>IF('Données projet'!$A$88&gt;35,BD90+BC91-BL90,IF(A91&lt;'Données projet'!$A$88,$BA$205^A91,IF(A91='Données projet'!$A$88,'Données projet'!$B$88,BD90+BC91-BL90)))</f>
        <v>453.54615384615386</v>
      </c>
      <c r="BE91" s="13">
        <f>BD91*VLOOKUP('Données projet'!$B$11,Paramètres!$A$1:$I$89,3,0)*VLOOKUP('Données projet'!$B$11,Paramètres!$A$1:$I$89,5,0)</f>
        <v>224.05180000000001</v>
      </c>
      <c r="BF91" s="13">
        <f t="shared" si="91"/>
        <v>54.994586894935274</v>
      </c>
      <c r="BG91" s="20">
        <f t="shared" si="61"/>
        <v>486.0057905086789</v>
      </c>
      <c r="BH91" s="59">
        <f t="shared" si="62"/>
        <v>779.33912384201221</v>
      </c>
      <c r="BI91" s="59">
        <f ca="1">AVERAGE(OFFSET($BH$3,0,0,'Données projet'!$E$11+1,1))-AVERAGE(OFFSET($H$3,0,0,'Données projet'!$E$11+1,1))</f>
        <v>263.7093252578133</v>
      </c>
      <c r="BJ91" s="59">
        <f t="shared" si="92"/>
        <v>123.27856176791568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75.801552384309531</v>
      </c>
      <c r="BQ91" s="21">
        <f>EXP(-LN(2)/25)*BQ90+(1-EXP(-LN(2)/25))/(LN(2)/25)*Calculateur!BL91*Calculateur!BN91*VLOOKUP('Données projet'!$B$11,Paramètres!$A$1:$I$89,3,0)*0.475*44/12</f>
        <v>24.687130684331965</v>
      </c>
      <c r="BR91" s="21">
        <f>EXP(-LN(2)/2)*BR90+(1-EXP(-LN(2)/2))/(LN(2)/2)*BL91*BO91*VLOOKUP('Données projet'!$B$11,Paramètres!$A$1:$I$89,3,0)*0.475*44/12</f>
        <v>1.2656494861069523</v>
      </c>
      <c r="BS91" s="22">
        <f t="shared" si="63"/>
        <v>101.75433255474844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283.73369613548124</v>
      </c>
      <c r="AO92" s="59">
        <f t="shared" si="90"/>
        <v>249.77804091581208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12.692307692307686</v>
      </c>
      <c r="BD92" s="12">
        <f>IF('Données projet'!$A$88&gt;35,BD91+BC92-BL91,IF(A92&lt;'Données projet'!$A$88,$BA$205^A92,IF(A92='Données projet'!$A$88,'Données projet'!$B$88,BD91+BC92-BL91)))</f>
        <v>466.23846153846154</v>
      </c>
      <c r="BE92" s="13">
        <f>BD92*VLOOKUP('Données projet'!$B$11,Paramètres!$A$1:$I$89,3,0)*VLOOKUP('Données projet'!$B$11,Paramètres!$A$1:$I$89,5,0)</f>
        <v>230.32180000000002</v>
      </c>
      <c r="BF92" s="13">
        <f t="shared" si="91"/>
        <v>56.352256551861423</v>
      </c>
      <c r="BG92" s="20">
        <f t="shared" si="61"/>
        <v>499.29064849449202</v>
      </c>
      <c r="BH92" s="59">
        <f t="shared" si="62"/>
        <v>792.62398182782533</v>
      </c>
      <c r="BI92" s="59">
        <f ca="1">AVERAGE(OFFSET($BH$3,0,0,'Données projet'!$E$11+1,1))-AVERAGE(OFFSET($H$3,0,0,'Données projet'!$E$11+1,1))</f>
        <v>263.7093252578133</v>
      </c>
      <c r="BJ92" s="59">
        <f t="shared" si="92"/>
        <v>123.27856176791568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74.315130176434906</v>
      </c>
      <c r="BQ92" s="21">
        <f>EXP(-LN(2)/25)*BQ91+(1-EXP(-LN(2)/25))/(LN(2)/25)*Calculateur!BL92*Calculateur!BN92*VLOOKUP('Données projet'!$B$11,Paramètres!$A$1:$I$89,3,0)*0.475*44/12</f>
        <v>24.01205979752913</v>
      </c>
      <c r="BR92" s="21">
        <f>EXP(-LN(2)/2)*BR91+(1-EXP(-LN(2)/2))/(LN(2)/2)*BL92*BO92*VLOOKUP('Données projet'!$B$11,Paramètres!$A$1:$I$89,3,0)*0.475*44/12</f>
        <v>0.89494933423149503</v>
      </c>
      <c r="BS92" s="22">
        <f t="shared" si="63"/>
        <v>99.222139308195537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283.73369613548124</v>
      </c>
      <c r="AO93" s="59">
        <f t="shared" si="90"/>
        <v>249.77804091581208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12.692307692307686</v>
      </c>
      <c r="BD93" s="12">
        <f>IF('Données projet'!$A$88&gt;35,BD92+BC93-BL92,IF(A93&lt;'Données projet'!$A$88,$BA$205^A93,IF(A93='Données projet'!$A$88,'Données projet'!$B$88,BD92+BC93-BL92)))</f>
        <v>478.93076923076922</v>
      </c>
      <c r="BE93" s="13">
        <f>BD93*VLOOKUP('Données projet'!$B$11,Paramètres!$A$1:$I$89,3,0)*VLOOKUP('Données projet'!$B$11,Paramètres!$A$1:$I$89,5,0)</f>
        <v>236.59180000000001</v>
      </c>
      <c r="BF93" s="13">
        <f t="shared" si="91"/>
        <v>57.705630366048347</v>
      </c>
      <c r="BG93" s="20">
        <f t="shared" si="61"/>
        <v>512.56802455420086</v>
      </c>
      <c r="BH93" s="59">
        <f t="shared" si="62"/>
        <v>805.90135788753423</v>
      </c>
      <c r="BI93" s="59">
        <f ca="1">AVERAGE(OFFSET($BH$3,0,0,'Données projet'!$E$11+1,1))-AVERAGE(OFFSET($H$3,0,0,'Données projet'!$E$11+1,1))</f>
        <v>263.7093252578133</v>
      </c>
      <c r="BJ93" s="59">
        <f t="shared" si="92"/>
        <v>123.27856176791568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72.857855801428684</v>
      </c>
      <c r="BQ93" s="21">
        <f>EXP(-LN(2)/25)*BQ92+(1-EXP(-LN(2)/25))/(LN(2)/25)*Calculateur!BL93*Calculateur!BN93*VLOOKUP('Données projet'!$B$11,Paramètres!$A$1:$I$89,3,0)*0.475*44/12</f>
        <v>23.355448759626352</v>
      </c>
      <c r="BR93" s="21">
        <f>EXP(-LN(2)/2)*BR92+(1-EXP(-LN(2)/2))/(LN(2)/2)*BL93*BO93*VLOOKUP('Données projet'!$B$11,Paramètres!$A$1:$I$89,3,0)*0.475*44/12</f>
        <v>0.63282474305347614</v>
      </c>
      <c r="BS93" s="22">
        <f t="shared" si="63"/>
        <v>96.846129304108516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283.73369613548124</v>
      </c>
      <c r="AO94" s="59">
        <f t="shared" si="90"/>
        <v>249.77804091581208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>
        <f>VLOOKUP(A94,'Données projet'!$A$87:$I$107,2,0)</f>
        <v>491.62307692307689</v>
      </c>
      <c r="BB94" s="12">
        <f>VLOOKUP(A94,'Données projet'!$A$87:$I$107,9,0)</f>
        <v>12.692307692307686</v>
      </c>
      <c r="BC94" s="12">
        <f t="array" ref="BC94">INDEX(BB:BB,MIN(IF(ISNUMBER(BB94:BB290),ROW(BB94:BB290),"")))</f>
        <v>12.692307692307686</v>
      </c>
      <c r="BD94" s="12">
        <f>IF('Données projet'!$A$88&gt;35,BD93+BC94-BL93,IF(A94&lt;'Données projet'!$A$88,$BA$205^A94,IF(A94='Données projet'!$A$88,'Données projet'!$B$88,BD93+BC94-BL93)))</f>
        <v>491.62307692307689</v>
      </c>
      <c r="BE94" s="13">
        <f>BD94*VLOOKUP('Données projet'!$B$11,Paramètres!$A$1:$I$89,3,0)*VLOOKUP('Données projet'!$B$11,Paramètres!$A$1:$I$89,5,0)</f>
        <v>242.86179999999999</v>
      </c>
      <c r="BF94" s="13">
        <f t="shared" si="91"/>
        <v>59.054835268965434</v>
      </c>
      <c r="BG94" s="20">
        <f t="shared" si="61"/>
        <v>525.8381397601147</v>
      </c>
      <c r="BH94" s="59">
        <f t="shared" si="62"/>
        <v>819.17147309344796</v>
      </c>
      <c r="BI94" s="59">
        <f ca="1">AVERAGE(OFFSET($BH$3,0,0,'Données projet'!$E$11+1,1))-AVERAGE(OFFSET($H$3,0,0,'Données projet'!$E$11+1,1))</f>
        <v>263.7093252578133</v>
      </c>
      <c r="BJ94" s="59">
        <f t="shared" si="92"/>
        <v>123.27856176791568</v>
      </c>
      <c r="BK94" s="15">
        <f>IF(ISNA(VLOOKUP(A94,'Données projet'!$A$87:$I$107,3,0)),0,VLOOKUP(A94,'Données projet'!$A$87:$I$107,3,0))</f>
        <v>7</v>
      </c>
      <c r="BL94" s="15">
        <f>IF(ISNA(VLOOKUP(A94,'Données projet'!$A$87:$I$107,4,0)),0,VLOOKUP(A94,'Données projet'!$A$87:$I$107,4,0))</f>
        <v>87.884615384615387</v>
      </c>
      <c r="BM94" s="16">
        <f>IF(ISNA(VLOOKUP(A94,'Données projet'!$A$87:$I$107,5,0)),0%,VLOOKUP(A94,'Données projet'!$A$87:$I$107,5,0)*VLOOKUP('Données projet'!$B$11,Paramètres!$A$1:$I$89,7,0))</f>
        <v>0.38500000000000001</v>
      </c>
      <c r="BN94" s="16">
        <f>IF(ISNA(VLOOKUP(A94,'Données projet'!$A$87:$I$107,6,0)),0%,VLOOKUP(A94,'Données projet'!$A$87:$I$107,6,0)*VLOOKUP('Données projet'!$B$11,Paramètres!$A$1:$I$89,7,0))</f>
        <v>9.240000000000001E-2</v>
      </c>
      <c r="BO94" s="16">
        <f>IF(ISNA(VLOOKUP(A94,'Données projet'!$A$87:$I$107,7,0)),0%,VLOOKUP(A94,'Données projet'!$A$87:$I$107,7,0))</f>
        <v>0.13200000000000001</v>
      </c>
      <c r="BP94" s="21">
        <f>EXP(-LN(2)/35)*BP93+(1-EXP(-LN(2)/35))/(LN(2)/35)*BL94*BM94*VLOOKUP('Données projet'!$B$11,Paramètres!$A$1:$I$89,3,0)*0.475*44/12</f>
        <v>93.602384083736169</v>
      </c>
      <c r="BQ94" s="21">
        <f>EXP(-LN(2)/25)*BQ93+(1-EXP(-LN(2)/25))/(LN(2)/25)*Calculateur!BL94*Calculateur!BN94*VLOOKUP('Données projet'!$B$11,Paramètres!$A$1:$I$89,3,0)*0.475*44/12</f>
        <v>28.017414054209837</v>
      </c>
      <c r="BR94" s="21">
        <f>EXP(-LN(2)/2)*BR93+(1-EXP(-LN(2)/2))/(LN(2)/2)*BL94*BO94*VLOOKUP('Données projet'!$B$11,Paramètres!$A$1:$I$89,3,0)*0.475*44/12</f>
        <v>6.9360488731344665</v>
      </c>
      <c r="BS94" s="22">
        <f t="shared" si="63"/>
        <v>128.55584701108046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283.73369613548124</v>
      </c>
      <c r="AO95" s="59">
        <f t="shared" si="90"/>
        <v>249.77804091581208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11.344230769230776</v>
      </c>
      <c r="BD95" s="12">
        <f>IF('Données projet'!$A$88&gt;35,BD94+BC95-BL94,IF(A95&lt;'Données projet'!$A$88,$BA$205^A95,IF(A95='Données projet'!$A$88,'Données projet'!$B$88,BD94+BC95-BL94)))</f>
        <v>415.08269230769224</v>
      </c>
      <c r="BE95" s="13">
        <f>BD95*VLOOKUP('Données projet'!$B$11,Paramètres!$A$1:$I$89,3,0)*VLOOKUP('Données projet'!$B$11,Paramètres!$A$1:$I$89,5,0)</f>
        <v>205.05084999999997</v>
      </c>
      <c r="BF95" s="13">
        <f t="shared" si="91"/>
        <v>50.852575302232715</v>
      </c>
      <c r="BG95" s="20">
        <f t="shared" si="61"/>
        <v>445.69846573472188</v>
      </c>
      <c r="BH95" s="59">
        <f t="shared" si="62"/>
        <v>739.03179906805519</v>
      </c>
      <c r="BI95" s="59">
        <f ca="1">AVERAGE(OFFSET($BH$3,0,0,'Données projet'!$E$11+1,1))-AVERAGE(OFFSET($H$3,0,0,'Données projet'!$E$11+1,1))</f>
        <v>263.7093252578133</v>
      </c>
      <c r="BJ95" s="59">
        <f t="shared" si="92"/>
        <v>123.27856176791568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91.766898423671051</v>
      </c>
      <c r="BQ95" s="21">
        <f>EXP(-LN(2)/25)*BQ94+(1-EXP(-LN(2)/25))/(LN(2)/25)*Calculateur!BL95*Calculateur!BN95*VLOOKUP('Données projet'!$B$11,Paramètres!$A$1:$I$89,3,0)*0.475*44/12</f>
        <v>27.2512763935257</v>
      </c>
      <c r="BR95" s="21">
        <f>EXP(-LN(2)/2)*BR94+(1-EXP(-LN(2)/2))/(LN(2)/2)*BL95*BO95*VLOOKUP('Données projet'!$B$11,Paramètres!$A$1:$I$89,3,0)*0.475*44/12</f>
        <v>4.904527192834693</v>
      </c>
      <c r="BS95" s="22">
        <f t="shared" si="63"/>
        <v>123.92270201003144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283.73369613548124</v>
      </c>
      <c r="AO96" s="59">
        <f t="shared" si="90"/>
        <v>249.77804091581208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11.344230769230776</v>
      </c>
      <c r="BD96" s="12">
        <f>IF('Données projet'!$A$88&gt;35,BD95+BC96-BL95,IF(A96&lt;'Données projet'!$A$88,$BA$205^A96,IF(A96='Données projet'!$A$88,'Données projet'!$B$88,BD95+BC96-BL95)))</f>
        <v>426.426923076923</v>
      </c>
      <c r="BE96" s="13">
        <f>BD96*VLOOKUP('Données projet'!$B$11,Paramètres!$A$1:$I$89,3,0)*VLOOKUP('Données projet'!$B$11,Paramètres!$A$1:$I$89,5,0)</f>
        <v>210.65489999999997</v>
      </c>
      <c r="BF96" s="13">
        <f t="shared" si="91"/>
        <v>52.078671880466082</v>
      </c>
      <c r="BG96" s="20">
        <f t="shared" si="61"/>
        <v>457.59430435847838</v>
      </c>
      <c r="BH96" s="59">
        <f t="shared" si="62"/>
        <v>750.9276376918117</v>
      </c>
      <c r="BI96" s="59">
        <f ca="1">AVERAGE(OFFSET($BH$3,0,0,'Données projet'!$E$11+1,1))-AVERAGE(OFFSET($H$3,0,0,'Données projet'!$E$11+1,1))</f>
        <v>263.7093252578133</v>
      </c>
      <c r="BJ96" s="59">
        <f t="shared" si="92"/>
        <v>123.27856176791568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89.967405517864094</v>
      </c>
      <c r="BQ96" s="21">
        <f>EXP(-LN(2)/25)*BQ95+(1-EXP(-LN(2)/25))/(LN(2)/25)*Calculateur!BL96*Calculateur!BN96*VLOOKUP('Données projet'!$B$11,Paramètres!$A$1:$I$89,3,0)*0.475*44/12</f>
        <v>26.506088807462397</v>
      </c>
      <c r="BR96" s="21">
        <f>EXP(-LN(2)/2)*BR95+(1-EXP(-LN(2)/2))/(LN(2)/2)*BL96*BO96*VLOOKUP('Données projet'!$B$11,Paramètres!$A$1:$I$89,3,0)*0.475*44/12</f>
        <v>3.4680244365672337</v>
      </c>
      <c r="BS96" s="22">
        <f t="shared" si="63"/>
        <v>119.94151876189373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283.73369613548124</v>
      </c>
      <c r="AO97" s="59">
        <f t="shared" si="90"/>
        <v>249.77804091581208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11.344230769230776</v>
      </c>
      <c r="BD97" s="12">
        <f>IF('Données projet'!$A$88&gt;35,BD96+BC97-BL96,IF(A97&lt;'Données projet'!$A$88,$BA$205^A97,IF(A97='Données projet'!$A$88,'Données projet'!$B$88,BD96+BC97-BL96)))</f>
        <v>437.77115384615377</v>
      </c>
      <c r="BE97" s="13">
        <f>BD97*VLOOKUP('Données projet'!$B$11,Paramètres!$A$1:$I$89,3,0)*VLOOKUP('Données projet'!$B$11,Paramètres!$A$1:$I$89,5,0)</f>
        <v>216.25894999999997</v>
      </c>
      <c r="BF97" s="13">
        <f t="shared" si="91"/>
        <v>53.300977142634395</v>
      </c>
      <c r="BG97" s="20">
        <f t="shared" si="61"/>
        <v>469.48353977342146</v>
      </c>
      <c r="BH97" s="59">
        <f t="shared" si="62"/>
        <v>762.81687310675477</v>
      </c>
      <c r="BI97" s="59">
        <f ca="1">AVERAGE(OFFSET($BH$3,0,0,'Données projet'!$E$11+1,1))-AVERAGE(OFFSET($H$3,0,0,'Données projet'!$E$11+1,1))</f>
        <v>263.7093252578133</v>
      </c>
      <c r="BJ97" s="59">
        <f t="shared" si="92"/>
        <v>123.27856176791568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88.203199570357725</v>
      </c>
      <c r="BQ97" s="21">
        <f>EXP(-LN(2)/25)*BQ96+(1-EXP(-LN(2)/25))/(LN(2)/25)*Calculateur!BL97*Calculateur!BN97*VLOOKUP('Données projet'!$B$11,Paramètres!$A$1:$I$89,3,0)*0.475*44/12</f>
        <v>25.781278415127709</v>
      </c>
      <c r="BR97" s="21">
        <f>EXP(-LN(2)/2)*BR96+(1-EXP(-LN(2)/2))/(LN(2)/2)*BL97*BO97*VLOOKUP('Données projet'!$B$11,Paramètres!$A$1:$I$89,3,0)*0.475*44/12</f>
        <v>2.4522635964173469</v>
      </c>
      <c r="BS97" s="22">
        <f t="shared" si="63"/>
        <v>116.43674158190278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283.73369613548124</v>
      </c>
      <c r="AO98" s="59">
        <f t="shared" si="90"/>
        <v>249.77804091581208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11.344230769230776</v>
      </c>
      <c r="BD98" s="12">
        <f>IF('Données projet'!$A$88&gt;35,BD97+BC98-BL97,IF(A98&lt;'Données projet'!$A$88,$BA$205^A98,IF(A98='Données projet'!$A$88,'Données projet'!$B$88,BD97+BC98-BL97)))</f>
        <v>449.11538461538453</v>
      </c>
      <c r="BE98" s="13">
        <f>BD98*VLOOKUP('Données projet'!$B$11,Paramètres!$A$1:$I$89,3,0)*VLOOKUP('Données projet'!$B$11,Paramètres!$A$1:$I$89,5,0)</f>
        <v>221.86299999999997</v>
      </c>
      <c r="BF98" s="13">
        <f t="shared" si="91"/>
        <v>54.519600630894693</v>
      </c>
      <c r="BG98" s="20">
        <f t="shared" si="61"/>
        <v>481.36636276547483</v>
      </c>
      <c r="BH98" s="59">
        <f t="shared" si="62"/>
        <v>774.69969609880809</v>
      </c>
      <c r="BI98" s="59">
        <f ca="1">AVERAGE(OFFSET($BH$3,0,0,'Données projet'!$E$11+1,1))-AVERAGE(OFFSET($H$3,0,0,'Données projet'!$E$11+1,1))</f>
        <v>263.7093252578133</v>
      </c>
      <c r="BJ98" s="59">
        <f t="shared" si="92"/>
        <v>123.27856176791568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86.473588625422579</v>
      </c>
      <c r="BQ98" s="21">
        <f>EXP(-LN(2)/25)*BQ97+(1-EXP(-LN(2)/25))/(LN(2)/25)*Calculateur!BL98*Calculateur!BN98*VLOOKUP('Données projet'!$B$11,Paramètres!$A$1:$I$89,3,0)*0.475*44/12</f>
        <v>25.076288001087534</v>
      </c>
      <c r="BR98" s="21">
        <f>EXP(-LN(2)/2)*BR97+(1-EXP(-LN(2)/2))/(LN(2)/2)*BL98*BO98*VLOOKUP('Données projet'!$B$11,Paramètres!$A$1:$I$89,3,0)*0.475*44/12</f>
        <v>1.7340122182836171</v>
      </c>
      <c r="BS98" s="22">
        <f t="shared" si="63"/>
        <v>113.28388884479374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283.73369613548124</v>
      </c>
      <c r="AO99" s="59">
        <f t="shared" si="90"/>
        <v>249.77804091581208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11.344230769230776</v>
      </c>
      <c r="BD99" s="12">
        <f>IF('Données projet'!$A$88&gt;35,BD98+BC99-BL98,IF(A99&lt;'Données projet'!$A$88,$BA$205^A99,IF(A99='Données projet'!$A$88,'Données projet'!$B$88,BD98+BC99-BL98)))</f>
        <v>460.45961538461529</v>
      </c>
      <c r="BE99" s="13">
        <f>BD99*VLOOKUP('Données projet'!$B$11,Paramètres!$A$1:$I$89,3,0)*VLOOKUP('Données projet'!$B$11,Paramètres!$A$1:$I$89,5,0)</f>
        <v>227.46704999999997</v>
      </c>
      <c r="BF99" s="13">
        <f t="shared" si="91"/>
        <v>55.73464603819491</v>
      </c>
      <c r="BG99" s="20">
        <f t="shared" si="61"/>
        <v>493.24295393318943</v>
      </c>
      <c r="BH99" s="59">
        <f t="shared" si="62"/>
        <v>786.57628726652274</v>
      </c>
      <c r="BI99" s="59">
        <f ca="1">AVERAGE(OFFSET($BH$3,0,0,'Données projet'!$E$11+1,1))-AVERAGE(OFFSET($H$3,0,0,'Données projet'!$E$11+1,1))</f>
        <v>263.7093252578133</v>
      </c>
      <c r="BJ99" s="59">
        <f t="shared" si="92"/>
        <v>123.27856176791568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84.777894296159104</v>
      </c>
      <c r="BQ99" s="21">
        <f>EXP(-LN(2)/25)*BQ98+(1-EXP(-LN(2)/25))/(LN(2)/25)*Calculateur!BL99*Calculateur!BN99*VLOOKUP('Données projet'!$B$11,Paramètres!$A$1:$I$89,3,0)*0.475*44/12</f>
        <v>24.390575586993123</v>
      </c>
      <c r="BR99" s="21">
        <f>EXP(-LN(2)/2)*BR98+(1-EXP(-LN(2)/2))/(LN(2)/2)*BL99*BO99*VLOOKUP('Données projet'!$B$11,Paramètres!$A$1:$I$89,3,0)*0.475*44/12</f>
        <v>1.2261317982086737</v>
      </c>
      <c r="BS99" s="22">
        <f t="shared" si="63"/>
        <v>110.3946016813609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283.73369613548124</v>
      </c>
      <c r="AO100" s="59">
        <f t="shared" si="90"/>
        <v>249.77804091581208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11.344230769230776</v>
      </c>
      <c r="BD100" s="12">
        <f>IF('Données projet'!$A$88&gt;35,BD99+BC100-BL99,IF(A100&lt;'Données projet'!$A$88,$BA$205^A100,IF(A100='Données projet'!$A$88,'Données projet'!$B$88,BD99+BC100-BL99)))</f>
        <v>471.80384615384605</v>
      </c>
      <c r="BE100" s="13">
        <f>BD100*VLOOKUP('Données projet'!$B$11,Paramètres!$A$1:$I$89,3,0)*VLOOKUP('Données projet'!$B$11,Paramètres!$A$1:$I$89,5,0)</f>
        <v>233.07109999999997</v>
      </c>
      <c r="BF100" s="13">
        <f t="shared" si="91"/>
        <v>56.94621165690382</v>
      </c>
      <c r="BG100" s="20">
        <f t="shared" si="61"/>
        <v>505.11348446910739</v>
      </c>
      <c r="BH100" s="59">
        <f t="shared" si="62"/>
        <v>798.44681780244071</v>
      </c>
      <c r="BI100" s="59">
        <f ca="1">AVERAGE(OFFSET($BH$3,0,0,'Données projet'!$E$11+1,1))-AVERAGE(OFFSET($H$3,0,0,'Données projet'!$E$11+1,1))</f>
        <v>263.7093252578133</v>
      </c>
      <c r="BJ100" s="59">
        <f t="shared" si="92"/>
        <v>123.27856176791568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83.115451498421066</v>
      </c>
      <c r="BQ100" s="21">
        <f>EXP(-LN(2)/25)*BQ99+(1-EXP(-LN(2)/25))/(LN(2)/25)*Calculateur!BL100*Calculateur!BN100*VLOOKUP('Données projet'!$B$11,Paramètres!$A$1:$I$89,3,0)*0.475*44/12</f>
        <v>23.72361401492217</v>
      </c>
      <c r="BR100" s="21">
        <f>EXP(-LN(2)/2)*BR99+(1-EXP(-LN(2)/2))/(LN(2)/2)*BL100*BO100*VLOOKUP('Données projet'!$B$11,Paramètres!$A$1:$I$89,3,0)*0.475*44/12</f>
        <v>0.86700610914180876</v>
      </c>
      <c r="BS100" s="22">
        <f t="shared" si="63"/>
        <v>107.70607162248504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283.73369613548124</v>
      </c>
      <c r="AO101" s="59">
        <f t="shared" si="90"/>
        <v>249.77804091581208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11.344230769230776</v>
      </c>
      <c r="BD101" s="12">
        <f>IF('Données projet'!$A$88&gt;35,BD100+BC101-BL100,IF(A101&lt;'Données projet'!$A$88,$BA$205^A101,IF(A101='Données projet'!$A$88,'Données projet'!$B$88,BD100+BC101-BL100)))</f>
        <v>483.14807692307681</v>
      </c>
      <c r="BE101" s="13">
        <f>BD101*VLOOKUP('Données projet'!$B$11,Paramètres!$A$1:$I$89,3,0)*VLOOKUP('Données projet'!$B$11,Paramètres!$A$1:$I$89,5,0)</f>
        <v>238.67514999999997</v>
      </c>
      <c r="BF101" s="13">
        <f t="shared" si="91"/>
        <v>58.154390783077922</v>
      </c>
      <c r="BG101" s="20">
        <f t="shared" si="61"/>
        <v>516.97811686386069</v>
      </c>
      <c r="BH101" s="59">
        <f t="shared" si="62"/>
        <v>810.31145019719406</v>
      </c>
      <c r="BI101" s="59">
        <f ca="1">AVERAGE(OFFSET($BH$3,0,0,'Données projet'!$E$11+1,1))-AVERAGE(OFFSET($H$3,0,0,'Données projet'!$E$11+1,1))</f>
        <v>263.7093252578133</v>
      </c>
      <c r="BJ101" s="59">
        <f t="shared" si="92"/>
        <v>123.27856176791568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81.485608189956693</v>
      </c>
      <c r="BQ101" s="21">
        <f>EXP(-LN(2)/25)*BQ100+(1-EXP(-LN(2)/25))/(LN(2)/25)*Calculateur!BL101*Calculateur!BN101*VLOOKUP('Données projet'!$B$11,Paramètres!$A$1:$I$89,3,0)*0.475*44/12</f>
        <v>23.074890542113483</v>
      </c>
      <c r="BR101" s="21">
        <f>EXP(-LN(2)/2)*BR100+(1-EXP(-LN(2)/2))/(LN(2)/2)*BL101*BO101*VLOOKUP('Données projet'!$B$11,Paramètres!$A$1:$I$89,3,0)*0.475*44/12</f>
        <v>0.61306589910433695</v>
      </c>
      <c r="BS101" s="22">
        <f t="shared" si="63"/>
        <v>105.17356463117451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283.73369613548124</v>
      </c>
      <c r="AO102" s="59">
        <f t="shared" si="90"/>
        <v>249.77804091581208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494.49230769230769</v>
      </c>
      <c r="BB102" s="12">
        <f>VLOOKUP(A102,'Données projet'!$A$87:$I$107,9,0)</f>
        <v>11.344230769230776</v>
      </c>
      <c r="BC102" s="12">
        <f t="array" ref="BC102">INDEX(BB:BB,MIN(IF(ISNUMBER(BB102:BB298),ROW(BB102:BB298),"")))</f>
        <v>11.344230769230776</v>
      </c>
      <c r="BD102" s="12">
        <f>IF('Données projet'!$A$88&gt;35,BD101+BC102-BL101,IF(A102&lt;'Données projet'!$A$88,$BA$205^A102,IF(A102='Données projet'!$A$88,'Données projet'!$B$88,BD101+BC102-BL101)))</f>
        <v>494.49230769230758</v>
      </c>
      <c r="BE102" s="13">
        <f>BD102*VLOOKUP('Données projet'!$B$11,Paramètres!$A$1:$I$89,3,0)*VLOOKUP('Données projet'!$B$11,Paramètres!$A$1:$I$89,5,0)</f>
        <v>244.27919999999995</v>
      </c>
      <c r="BF102" s="13">
        <f t="shared" si="91"/>
        <v>59.359272081690001</v>
      </c>
      <c r="BG102" s="20">
        <f t="shared" si="61"/>
        <v>528.83700554227664</v>
      </c>
      <c r="BH102" s="59">
        <f t="shared" si="62"/>
        <v>822.17033887561001</v>
      </c>
      <c r="BI102" s="59">
        <f ca="1">AVERAGE(OFFSET($BH$3,0,0,'Données projet'!$E$11+1,1))-AVERAGE(OFFSET($H$3,0,0,'Données projet'!$E$11+1,1))</f>
        <v>263.7093252578133</v>
      </c>
      <c r="BJ102" s="59">
        <f t="shared" si="92"/>
        <v>123.27856176791568</v>
      </c>
      <c r="BK102" s="15">
        <f>IF(ISNA(VLOOKUP(A102,'Données projet'!$A$87:$I$107,3,0)),0,VLOOKUP(A102,'Données projet'!$A$87:$I$107,3,0))</f>
        <v>8</v>
      </c>
      <c r="BL102" s="15">
        <f>IF(ISNA(VLOOKUP(A102,'Données projet'!$A$87:$I$107,4,0)),0,VLOOKUP(A102,'Données projet'!$A$87:$I$107,4,0))</f>
        <v>69.692307692307679</v>
      </c>
      <c r="BM102" s="16">
        <f>IF(ISNA(VLOOKUP(A102,'Données projet'!$A$87:$I$107,5,0)),0%,VLOOKUP(A102,'Données projet'!$A$87:$I$107,5,0)*VLOOKUP('Données projet'!$B$11,Paramètres!$A$1:$I$89,7,0))</f>
        <v>0.38500000000000001</v>
      </c>
      <c r="BN102" s="16">
        <f>IF(ISNA(VLOOKUP(A102,'Données projet'!$A$87:$I$107,6,0)),0%,VLOOKUP(A102,'Données projet'!$A$87:$I$107,6,0)*VLOOKUP('Données projet'!$B$11,Paramètres!$A$1:$I$89,7,0))</f>
        <v>9.240000000000001E-2</v>
      </c>
      <c r="BO102" s="16">
        <f>IF(ISNA(VLOOKUP(A102,'Données projet'!$A$87:$I$107,7,0)),0%,VLOOKUP(A102,'Données projet'!$A$87:$I$107,7,0))</f>
        <v>0.13200000000000001</v>
      </c>
      <c r="BP102" s="21">
        <f>EXP(-LN(2)/35)*BP101+(1-EXP(-LN(2)/35))/(LN(2)/35)*BL102*BM102*VLOOKUP('Données projet'!$B$11,Paramètres!$A$1:$I$89,3,0)*0.475*44/12</f>
        <v>97.471045127335955</v>
      </c>
      <c r="BQ102" s="21">
        <f>EXP(-LN(2)/25)*BQ101+(1-EXP(-LN(2)/25))/(LN(2)/25)*Calculateur!BL102*Calculateur!BN102*VLOOKUP('Données projet'!$B$11,Paramètres!$A$1:$I$89,3,0)*0.475*44/12</f>
        <v>26.647287514466239</v>
      </c>
      <c r="BR102" s="21">
        <f>EXP(-LN(2)/2)*BR101+(1-EXP(-LN(2)/2))/(LN(2)/2)*BL102*BO102*VLOOKUP('Données projet'!$B$11,Paramètres!$A$1:$I$89,3,0)*0.475*44/12</f>
        <v>5.5789282017507373</v>
      </c>
      <c r="BS102" s="22">
        <f t="shared" si="63"/>
        <v>129.69726084355293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283.73369613548124</v>
      </c>
      <c r="AO103" s="59">
        <f t="shared" si="90"/>
        <v>249.77804091581208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10.246153846153838</v>
      </c>
      <c r="BD103" s="12">
        <f>IF('Données projet'!$A$88&gt;35,BD102+BC103-BL102,IF(A103&lt;'Données projet'!$A$88,$BA$205^A103,IF(A103='Données projet'!$A$88,'Données projet'!$B$88,BD102+BC103-BL102)))</f>
        <v>435.04615384615374</v>
      </c>
      <c r="BE103" s="13">
        <f>BD103*VLOOKUP('Données projet'!$B$11,Paramètres!$A$1:$I$89,3,0)*VLOOKUP('Données projet'!$B$11,Paramètres!$A$1:$I$89,5,0)</f>
        <v>214.91279999999995</v>
      </c>
      <c r="BF103" s="13">
        <f t="shared" si="91"/>
        <v>53.007706955677776</v>
      </c>
      <c r="BG103" s="20">
        <f t="shared" si="61"/>
        <v>466.62821628113875</v>
      </c>
      <c r="BH103" s="59">
        <f t="shared" si="62"/>
        <v>759.96154961447201</v>
      </c>
      <c r="BI103" s="59">
        <f ca="1">AVERAGE(OFFSET($BH$3,0,0,'Données projet'!$E$11+1,1))-AVERAGE(OFFSET($H$3,0,0,'Données projet'!$E$11+1,1))</f>
        <v>263.7093252578133</v>
      </c>
      <c r="BJ103" s="59">
        <f t="shared" si="92"/>
        <v>123.27856176791568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95.559697383856076</v>
      </c>
      <c r="BQ103" s="21">
        <f>EXP(-LN(2)/25)*BQ102+(1-EXP(-LN(2)/25))/(LN(2)/25)*Calculateur!BL103*Calculateur!BN103*VLOOKUP('Données projet'!$B$11,Paramètres!$A$1:$I$89,3,0)*0.475*44/12</f>
        <v>25.918616036063213</v>
      </c>
      <c r="BR103" s="21">
        <f>EXP(-LN(2)/2)*BR102+(1-EXP(-LN(2)/2))/(LN(2)/2)*BL103*BO103*VLOOKUP('Données projet'!$B$11,Paramètres!$A$1:$I$89,3,0)*0.475*44/12</f>
        <v>3.9448979632108179</v>
      </c>
      <c r="BS103" s="22">
        <f t="shared" si="63"/>
        <v>125.42321138313011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283.73369613548124</v>
      </c>
      <c r="AO104" s="59">
        <f t="shared" si="90"/>
        <v>249.77804091581208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10.246153846153838</v>
      </c>
      <c r="BD104" s="12">
        <f>IF('Données projet'!$A$88&gt;35,BD103+BC104-BL103,IF(A104&lt;'Données projet'!$A$88,$BA$205^A104,IF(A104='Données projet'!$A$88,'Données projet'!$B$88,BD103+BC104-BL103)))</f>
        <v>445.29230769230759</v>
      </c>
      <c r="BE104" s="13">
        <f>BD104*VLOOKUP('Données projet'!$B$11,Paramètres!$A$1:$I$89,3,0)*VLOOKUP('Données projet'!$B$11,Paramètres!$A$1:$I$89,5,0)</f>
        <v>219.97439999999997</v>
      </c>
      <c r="BF104" s="13">
        <f t="shared" si="91"/>
        <v>54.109321649397359</v>
      </c>
      <c r="BG104" s="20">
        <f t="shared" si="61"/>
        <v>477.3624818727003</v>
      </c>
      <c r="BH104" s="59">
        <f t="shared" si="62"/>
        <v>770.69581520603356</v>
      </c>
      <c r="BI104" s="59">
        <f ca="1">AVERAGE(OFFSET($BH$3,0,0,'Données projet'!$E$11+1,1))-AVERAGE(OFFSET($H$3,0,0,'Données projet'!$E$11+1,1))</f>
        <v>263.7093252578133</v>
      </c>
      <c r="BJ104" s="59">
        <f t="shared" si="92"/>
        <v>123.27856176791568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93.685830003818836</v>
      </c>
      <c r="BQ104" s="21">
        <f>EXP(-LN(2)/25)*BQ103+(1-EXP(-LN(2)/25))/(LN(2)/25)*Calculateur!BL104*Calculateur!BN104*VLOOKUP('Données projet'!$B$11,Paramètres!$A$1:$I$89,3,0)*0.475*44/12</f>
        <v>25.209870117556285</v>
      </c>
      <c r="BR104" s="21">
        <f>EXP(-LN(2)/2)*BR103+(1-EXP(-LN(2)/2))/(LN(2)/2)*BL104*BO104*VLOOKUP('Données projet'!$B$11,Paramètres!$A$1:$I$89,3,0)*0.475*44/12</f>
        <v>2.7894641008753691</v>
      </c>
      <c r="BS104" s="22">
        <f t="shared" si="63"/>
        <v>121.68516422225048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283.73369613548124</v>
      </c>
      <c r="AO105" s="59">
        <f t="shared" si="90"/>
        <v>249.77804091581208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10.246153846153838</v>
      </c>
      <c r="BD105" s="12">
        <f>IF('Données projet'!$A$88&gt;35,BD104+BC105-BL104,IF(A105&lt;'Données projet'!$A$88,$BA$205^A105,IF(A105='Données projet'!$A$88,'Données projet'!$B$88,BD104+BC105-BL104)))</f>
        <v>455.53846153846143</v>
      </c>
      <c r="BE105" s="13">
        <f>BD105*VLOOKUP('Données projet'!$B$11,Paramètres!$A$1:$I$89,3,0)*VLOOKUP('Données projet'!$B$11,Paramètres!$A$1:$I$89,5,0)</f>
        <v>225.03599999999997</v>
      </c>
      <c r="BF105" s="13">
        <f t="shared" si="91"/>
        <v>55.20798949726705</v>
      </c>
      <c r="BG105" s="20">
        <f t="shared" si="61"/>
        <v>488.09161504107345</v>
      </c>
      <c r="BH105" s="59">
        <f t="shared" si="62"/>
        <v>781.42494837440677</v>
      </c>
      <c r="BI105" s="59">
        <f ca="1">AVERAGE(OFFSET($BH$3,0,0,'Données projet'!$E$11+1,1))-AVERAGE(OFFSET($H$3,0,0,'Données projet'!$E$11+1,1))</f>
        <v>263.7093252578133</v>
      </c>
      <c r="BJ105" s="59">
        <f t="shared" si="92"/>
        <v>123.27856176791568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91.848708020157872</v>
      </c>
      <c r="BQ105" s="21">
        <f>EXP(-LN(2)/25)*BQ104+(1-EXP(-LN(2)/25))/(LN(2)/25)*Calculateur!BL105*Calculateur!BN105*VLOOKUP('Données projet'!$B$11,Paramètres!$A$1:$I$89,3,0)*0.475*44/12</f>
        <v>24.520504893462256</v>
      </c>
      <c r="BR105" s="21">
        <f>EXP(-LN(2)/2)*BR104+(1-EXP(-LN(2)/2))/(LN(2)/2)*BL105*BO105*VLOOKUP('Données projet'!$B$11,Paramètres!$A$1:$I$89,3,0)*0.475*44/12</f>
        <v>1.9724489816054094</v>
      </c>
      <c r="BS105" s="22">
        <f t="shared" si="63"/>
        <v>118.34166189522554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283.73369613548124</v>
      </c>
      <c r="AO106" s="59">
        <f t="shared" si="90"/>
        <v>249.77804091581208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10.246153846153838</v>
      </c>
      <c r="BD106" s="12">
        <f>IF('Données projet'!$A$88&gt;35,BD105+BC106-BL105,IF(A106&lt;'Données projet'!$A$88,$BA$205^A106,IF(A106='Données projet'!$A$88,'Données projet'!$B$88,BD105+BC106-BL105)))</f>
        <v>465.78461538461528</v>
      </c>
      <c r="BE106" s="13">
        <f>BD106*VLOOKUP('Données projet'!$B$11,Paramètres!$A$1:$I$89,3,0)*VLOOKUP('Données projet'!$B$11,Paramètres!$A$1:$I$89,5,0)</f>
        <v>230.09759999999994</v>
      </c>
      <c r="BF106" s="13">
        <f t="shared" si="91"/>
        <v>56.303784411920056</v>
      </c>
      <c r="BG106" s="20">
        <f t="shared" si="61"/>
        <v>498.81574451742728</v>
      </c>
      <c r="BH106" s="59">
        <f t="shared" si="62"/>
        <v>792.14907785076059</v>
      </c>
      <c r="BI106" s="59">
        <f ca="1">AVERAGE(OFFSET($BH$3,0,0,'Données projet'!$E$11+1,1))-AVERAGE(OFFSET($H$3,0,0,'Données projet'!$E$11+1,1))</f>
        <v>263.7093252578133</v>
      </c>
      <c r="BJ106" s="59">
        <f t="shared" si="92"/>
        <v>123.27856176791568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90.047610878062741</v>
      </c>
      <c r="BQ106" s="21">
        <f>EXP(-LN(2)/25)*BQ105+(1-EXP(-LN(2)/25))/(LN(2)/25)*Calculateur!BL106*Calculateur!BN106*VLOOKUP('Données projet'!$B$11,Paramètres!$A$1:$I$89,3,0)*0.475*44/12</f>
        <v>23.849990397673221</v>
      </c>
      <c r="BR106" s="21">
        <f>EXP(-LN(2)/2)*BR105+(1-EXP(-LN(2)/2))/(LN(2)/2)*BL106*BO106*VLOOKUP('Données projet'!$B$11,Paramètres!$A$1:$I$89,3,0)*0.475*44/12</f>
        <v>1.3947320504376848</v>
      </c>
      <c r="BS106" s="22">
        <f t="shared" si="63"/>
        <v>115.29233332617365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283.73369613548124</v>
      </c>
      <c r="AO107" s="59">
        <f t="shared" si="90"/>
        <v>249.77804091581208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10.246153846153838</v>
      </c>
      <c r="BD107" s="12">
        <f>IF('Données projet'!$A$88&gt;35,BD106+BC107-BL106,IF(A107&lt;'Données projet'!$A$88,$BA$205^A107,IF(A107='Données projet'!$A$88,'Données projet'!$B$88,BD106+BC107-BL106)))</f>
        <v>476.03076923076912</v>
      </c>
      <c r="BE107" s="13">
        <f>BD107*VLOOKUP('Données projet'!$B$11,Paramètres!$A$1:$I$89,3,0)*VLOOKUP('Données projet'!$B$11,Paramètres!$A$1:$I$89,5,0)</f>
        <v>235.15919999999994</v>
      </c>
      <c r="BF107" s="13">
        <f t="shared" si="91"/>
        <v>57.396776868498684</v>
      </c>
      <c r="BG107" s="20">
        <f t="shared" si="61"/>
        <v>509.53499304596841</v>
      </c>
      <c r="BH107" s="59">
        <f t="shared" si="62"/>
        <v>802.86832637930172</v>
      </c>
      <c r="BI107" s="59">
        <f ca="1">AVERAGE(OFFSET($BH$3,0,0,'Données projet'!$E$11+1,1))-AVERAGE(OFFSET($H$3,0,0,'Données projet'!$E$11+1,1))</f>
        <v>263.7093252578133</v>
      </c>
      <c r="BJ107" s="59">
        <f t="shared" si="92"/>
        <v>123.27856176791568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88.281832152363307</v>
      </c>
      <c r="BQ107" s="21">
        <f>EXP(-LN(2)/25)*BQ106+(1-EXP(-LN(2)/25))/(LN(2)/25)*Calculateur!BL107*Calculateur!BN107*VLOOKUP('Données projet'!$B$11,Paramètres!$A$1:$I$89,3,0)*0.475*44/12</f>
        <v>23.197811156032362</v>
      </c>
      <c r="BR107" s="21">
        <f>EXP(-LN(2)/2)*BR106+(1-EXP(-LN(2)/2))/(LN(2)/2)*BL107*BO107*VLOOKUP('Données projet'!$B$11,Paramètres!$A$1:$I$89,3,0)*0.475*44/12</f>
        <v>0.9862244908027048</v>
      </c>
      <c r="BS107" s="22">
        <f t="shared" si="63"/>
        <v>112.46586779919836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283.73369613548124</v>
      </c>
      <c r="AO108" s="59">
        <f t="shared" si="90"/>
        <v>249.77804091581208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10.246153846153838</v>
      </c>
      <c r="BD108" s="12">
        <f>IF('Données projet'!$A$88&gt;35,BD107+BC108-BL107,IF(A108&lt;'Données projet'!$A$88,$BA$205^A108,IF(A108='Données projet'!$A$88,'Données projet'!$B$88,BD107+BC108-BL107)))</f>
        <v>486.27692307692297</v>
      </c>
      <c r="BE108" s="13">
        <f>BD108*VLOOKUP('Données projet'!$B$11,Paramètres!$A$1:$I$89,3,0)*VLOOKUP('Données projet'!$B$11,Paramètres!$A$1:$I$89,5,0)</f>
        <v>240.22079999999997</v>
      </c>
      <c r="BF108" s="13">
        <f t="shared" si="91"/>
        <v>58.487034135016607</v>
      </c>
      <c r="BG108" s="20">
        <f t="shared" si="61"/>
        <v>520.24947778515377</v>
      </c>
      <c r="BH108" s="59">
        <f t="shared" si="62"/>
        <v>813.58281111848714</v>
      </c>
      <c r="BI108" s="59">
        <f ca="1">AVERAGE(OFFSET($BH$3,0,0,'Données projet'!$E$11+1,1))-AVERAGE(OFFSET($H$3,0,0,'Données projet'!$E$11+1,1))</f>
        <v>263.7093252578133</v>
      </c>
      <c r="BJ108" s="59">
        <f t="shared" si="92"/>
        <v>123.27856176791568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86.550679270456172</v>
      </c>
      <c r="BQ108" s="21">
        <f>EXP(-LN(2)/25)*BQ107+(1-EXP(-LN(2)/25))/(LN(2)/25)*Calculateur!BL108*Calculateur!BN108*VLOOKUP('Données projet'!$B$11,Paramètres!$A$1:$I$89,3,0)*0.475*44/12</f>
        <v>22.563465790050788</v>
      </c>
      <c r="BR108" s="21">
        <f>EXP(-LN(2)/2)*BR107+(1-EXP(-LN(2)/2))/(LN(2)/2)*BL108*BO108*VLOOKUP('Données projet'!$B$11,Paramètres!$A$1:$I$89,3,0)*0.475*44/12</f>
        <v>0.6973660252188425</v>
      </c>
      <c r="BS108" s="22">
        <f t="shared" si="63"/>
        <v>109.8115110857258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283.73369613548124</v>
      </c>
      <c r="AO109" s="59">
        <f t="shared" si="90"/>
        <v>249.77804091581208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10.246153846153838</v>
      </c>
      <c r="BD109" s="12">
        <f>IF('Données projet'!$A$88&gt;35,BD108+BC109-BL108,IF(A109&lt;'Données projet'!$A$88,$BA$205^A109,IF(A109='Données projet'!$A$88,'Données projet'!$B$88,BD108+BC109-BL108)))</f>
        <v>496.52307692307681</v>
      </c>
      <c r="BE109" s="13">
        <f>BD109*VLOOKUP('Données projet'!$B$11,Paramètres!$A$1:$I$89,3,0)*VLOOKUP('Données projet'!$B$11,Paramètres!$A$1:$I$89,5,0)</f>
        <v>245.28239999999997</v>
      </c>
      <c r="BF109" s="13">
        <f t="shared" si="91"/>
        <v>59.574620482757446</v>
      </c>
      <c r="BG109" s="20">
        <f t="shared" si="61"/>
        <v>530.95931067413574</v>
      </c>
      <c r="BH109" s="59">
        <f t="shared" si="62"/>
        <v>824.29264400746911</v>
      </c>
      <c r="BI109" s="59">
        <f ca="1">AVERAGE(OFFSET($BH$3,0,0,'Données projet'!$E$11+1,1))-AVERAGE(OFFSET($H$3,0,0,'Données projet'!$E$11+1,1))</f>
        <v>263.7093252578133</v>
      </c>
      <c r="BJ109" s="59">
        <f t="shared" si="92"/>
        <v>123.27856176791568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84.853473240664229</v>
      </c>
      <c r="BQ109" s="21">
        <f>EXP(-LN(2)/25)*BQ108+(1-EXP(-LN(2)/25))/(LN(2)/25)*Calculateur!BL109*Calculateur!BN109*VLOOKUP('Données projet'!$B$11,Paramètres!$A$1:$I$89,3,0)*0.475*44/12</f>
        <v>21.946466631460751</v>
      </c>
      <c r="BR109" s="21">
        <f>EXP(-LN(2)/2)*BR108+(1-EXP(-LN(2)/2))/(LN(2)/2)*BL109*BO109*VLOOKUP('Données projet'!$B$11,Paramètres!$A$1:$I$89,3,0)*0.475*44/12</f>
        <v>0.49311224540135246</v>
      </c>
      <c r="BS109" s="22">
        <f t="shared" si="63"/>
        <v>107.29305211752633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283.73369613548124</v>
      </c>
      <c r="AO110" s="59">
        <f t="shared" si="90"/>
        <v>249.77804091581208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>
        <f>VLOOKUP(A110,'Données projet'!$A$87:$I$107,2,0)</f>
        <v>506.76923076923072</v>
      </c>
      <c r="BB110" s="12">
        <f>VLOOKUP(A110,'Données projet'!$A$87:$I$107,9,0)</f>
        <v>10.246153846153838</v>
      </c>
      <c r="BC110" s="12">
        <f t="array" ref="BC110">INDEX(BB:BB,MIN(IF(ISNUMBER(BB110:BB306),ROW(BB110:BB306),"")))</f>
        <v>10.246153846153838</v>
      </c>
      <c r="BD110" s="12">
        <f>IF('Données projet'!$A$88&gt;35,BD109+BC110-BL109,IF(A110&lt;'Données projet'!$A$88,$BA$205^A110,IF(A110='Données projet'!$A$88,'Données projet'!$B$88,BD109+BC110-BL109)))</f>
        <v>506.76923076923066</v>
      </c>
      <c r="BE110" s="13">
        <f>BD110*VLOOKUP('Données projet'!$B$11,Paramètres!$A$1:$I$89,3,0)*VLOOKUP('Données projet'!$B$11,Paramètres!$A$1:$I$89,5,0)</f>
        <v>250.34399999999994</v>
      </c>
      <c r="BF110" s="13">
        <f t="shared" si="91"/>
        <v>60.659597378816613</v>
      </c>
      <c r="BG110" s="20">
        <f t="shared" si="61"/>
        <v>541.66459876810541</v>
      </c>
      <c r="BH110" s="59">
        <f t="shared" si="62"/>
        <v>834.99793210143866</v>
      </c>
      <c r="BI110" s="59">
        <f ca="1">AVERAGE(OFFSET($BH$3,0,0,'Données projet'!$E$11+1,1))-AVERAGE(OFFSET($H$3,0,0,'Données projet'!$E$11+1,1))</f>
        <v>263.7093252578133</v>
      </c>
      <c r="BJ110" s="59">
        <f t="shared" si="92"/>
        <v>123.27856176791568</v>
      </c>
      <c r="BK110" s="15">
        <f>IF(ISNA(VLOOKUP(A110,'Données projet'!$A$87:$I$107,3,0)),0,VLOOKUP(A110,'Données projet'!$A$87:$I$107,3,0))</f>
        <v>9</v>
      </c>
      <c r="BL110" s="15">
        <f>IF(ISNA(VLOOKUP(A110,'Données projet'!$A$87:$I$107,4,0)),0,VLOOKUP(A110,'Données projet'!$A$87:$I$107,4,0))</f>
        <v>76.292307692307702</v>
      </c>
      <c r="BM110" s="16">
        <f>IF(ISNA(VLOOKUP(A110,'Données projet'!$A$87:$I$107,5,0)),0%,VLOOKUP(A110,'Données projet'!$A$87:$I$107,5,0)*VLOOKUP('Données projet'!$B$11,Paramètres!$A$1:$I$89,7,0))</f>
        <v>0.38500000000000001</v>
      </c>
      <c r="BN110" s="16">
        <f>IF(ISNA(VLOOKUP(A110,'Données projet'!$A$87:$I$107,6,0)),0%,VLOOKUP(A110,'Données projet'!$A$87:$I$107,6,0)*VLOOKUP('Données projet'!$B$11,Paramètres!$A$1:$I$89,7,0))</f>
        <v>9.240000000000001E-2</v>
      </c>
      <c r="BO110" s="16">
        <f>IF(ISNA(VLOOKUP(A110,'Données projet'!$A$87:$I$107,7,0)),0%,VLOOKUP(A110,'Données projet'!$A$87:$I$107,7,0))</f>
        <v>0.13200000000000001</v>
      </c>
      <c r="BP110" s="21">
        <f>EXP(-LN(2)/35)*BP109+(1-EXP(-LN(2)/35))/(LN(2)/35)*BL110*BM110*VLOOKUP('Données projet'!$B$11,Paramètres!$A$1:$I$89,3,0)*0.475*44/12</f>
        <v>102.43804373754226</v>
      </c>
      <c r="BQ110" s="21">
        <f>EXP(-LN(2)/25)*BQ109+(1-EXP(-LN(2)/25))/(LN(2)/25)*Calculateur!BL110*Calculateur!BN110*VLOOKUP('Données projet'!$B$11,Paramètres!$A$1:$I$89,3,0)*0.475*44/12</f>
        <v>25.947788953189299</v>
      </c>
      <c r="BR110" s="21">
        <f>EXP(-LN(2)/2)*BR109+(1-EXP(-LN(2)/2))/(LN(2)/2)*BL110*BO110*VLOOKUP('Données projet'!$B$11,Paramètres!$A$1:$I$89,3,0)*0.475*44/12</f>
        <v>5.9813901439261556</v>
      </c>
      <c r="BS110" s="22">
        <f t="shared" si="63"/>
        <v>134.3672228346577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283.73369613548124</v>
      </c>
      <c r="AO111" s="59">
        <f t="shared" si="90"/>
        <v>249.77804091581208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9.1623931623931671</v>
      </c>
      <c r="BD111" s="12">
        <f>IF('Données projet'!$A$88&gt;35,BD110+BC111-BL110,IF(A111&lt;'Données projet'!$A$88,$BA$205^A111,IF(A111='Données projet'!$A$88,'Données projet'!$B$88,BD110+BC111-BL110)))</f>
        <v>439.63931623931609</v>
      </c>
      <c r="BE111" s="13">
        <f>BD111*VLOOKUP('Données projet'!$B$11,Paramètres!$A$1:$I$89,3,0)*VLOOKUP('Données projet'!$B$11,Paramètres!$A$1:$I$89,5,0)</f>
        <v>217.18182222222217</v>
      </c>
      <c r="BF111" s="13">
        <f t="shared" si="91"/>
        <v>53.501909859368794</v>
      </c>
      <c r="BG111" s="20">
        <f t="shared" si="61"/>
        <v>471.44083337543765</v>
      </c>
      <c r="BH111" s="59">
        <f t="shared" si="62"/>
        <v>764.77416670877096</v>
      </c>
      <c r="BI111" s="59">
        <f ca="1">AVERAGE(OFFSET($BH$3,0,0,'Données projet'!$E$11+1,1))-AVERAGE(OFFSET($H$3,0,0,'Données projet'!$E$11+1,1))</f>
        <v>263.7093252578133</v>
      </c>
      <c r="BJ111" s="59">
        <f t="shared" si="92"/>
        <v>123.27856176791568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100.42929618088624</v>
      </c>
      <c r="BQ111" s="21">
        <f>EXP(-LN(2)/25)*BQ110+(1-EXP(-LN(2)/25))/(LN(2)/25)*Calculateur!BL111*Calculateur!BN111*VLOOKUP('Données projet'!$B$11,Paramètres!$A$1:$I$89,3,0)*0.475*44/12</f>
        <v>25.238245299729421</v>
      </c>
      <c r="BR111" s="21">
        <f>EXP(-LN(2)/2)*BR110+(1-EXP(-LN(2)/2))/(LN(2)/2)*BL111*BO111*VLOOKUP('Données projet'!$B$11,Paramètres!$A$1:$I$89,3,0)*0.475*44/12</f>
        <v>4.2294815316925645</v>
      </c>
      <c r="BS111" s="22">
        <f t="shared" si="63"/>
        <v>129.89702301230821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283.73369613548124</v>
      </c>
      <c r="AO112" s="59">
        <f t="shared" si="90"/>
        <v>249.77804091581208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9.1623931623931671</v>
      </c>
      <c r="BD112" s="12">
        <f>IF('Données projet'!$A$88&gt;35,BD111+BC112-BL111,IF(A112&lt;'Données projet'!$A$88,$BA$205^A112,IF(A112='Données projet'!$A$88,'Données projet'!$B$88,BD111+BC112-BL111)))</f>
        <v>448.80170940170927</v>
      </c>
      <c r="BE112" s="13">
        <f>BD112*VLOOKUP('Données projet'!$B$11,Paramètres!$A$1:$I$89,3,0)*VLOOKUP('Données projet'!$B$11,Paramètres!$A$1:$I$89,5,0)</f>
        <v>221.70804444444437</v>
      </c>
      <c r="BF112" s="13">
        <f t="shared" si="91"/>
        <v>54.485953479596901</v>
      </c>
      <c r="BG112" s="20">
        <f t="shared" si="61"/>
        <v>481.03787971770515</v>
      </c>
      <c r="BH112" s="59">
        <f t="shared" si="62"/>
        <v>774.37121305103847</v>
      </c>
      <c r="BI112" s="59">
        <f ca="1">AVERAGE(OFFSET($BH$3,0,0,'Données projet'!$E$11+1,1))-AVERAGE(OFFSET($H$3,0,0,'Données projet'!$E$11+1,1))</f>
        <v>263.7093252578133</v>
      </c>
      <c r="BJ112" s="59">
        <f t="shared" si="92"/>
        <v>123.27856176791568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98.459938938601226</v>
      </c>
      <c r="BQ112" s="21">
        <f>EXP(-LN(2)/25)*BQ111+(1-EXP(-LN(2)/25))/(LN(2)/25)*Calculateur!BL112*Calculateur!BN112*VLOOKUP('Données projet'!$B$11,Paramètres!$A$1:$I$89,3,0)*0.475*44/12</f>
        <v>24.548104154786682</v>
      </c>
      <c r="BR112" s="21">
        <f>EXP(-LN(2)/2)*BR111+(1-EXP(-LN(2)/2))/(LN(2)/2)*BL112*BO112*VLOOKUP('Données projet'!$B$11,Paramètres!$A$1:$I$89,3,0)*0.475*44/12</f>
        <v>2.9906950719630783</v>
      </c>
      <c r="BS112" s="22">
        <f t="shared" si="63"/>
        <v>125.99873816535099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283.73369613548124</v>
      </c>
      <c r="AO113" s="59">
        <f t="shared" si="90"/>
        <v>249.77804091581208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9.1623931623931671</v>
      </c>
      <c r="BD113" s="12">
        <f>IF('Données projet'!$A$88&gt;35,BD112+BC113-BL112,IF(A113&lt;'Données projet'!$A$88,$BA$205^A113,IF(A113='Données projet'!$A$88,'Données projet'!$B$88,BD112+BC113-BL112)))</f>
        <v>457.96410256410246</v>
      </c>
      <c r="BE113" s="13">
        <f>BD113*VLOOKUP('Données projet'!$B$11,Paramètres!$A$1:$I$89,3,0)*VLOOKUP('Données projet'!$B$11,Paramètres!$A$1:$I$89,5,0)</f>
        <v>226.23426666666663</v>
      </c>
      <c r="BF113" s="13">
        <f t="shared" si="91"/>
        <v>55.467661288663166</v>
      </c>
      <c r="BG113" s="20">
        <f t="shared" si="61"/>
        <v>490.63085785553267</v>
      </c>
      <c r="BH113" s="59">
        <f t="shared" si="62"/>
        <v>783.96419118886593</v>
      </c>
      <c r="BI113" s="59">
        <f ca="1">AVERAGE(OFFSET($BH$3,0,0,'Données projet'!$E$11+1,1))-AVERAGE(OFFSET($H$3,0,0,'Données projet'!$E$11+1,1))</f>
        <v>263.7093252578133</v>
      </c>
      <c r="BJ113" s="59">
        <f t="shared" si="92"/>
        <v>123.27856176791568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96.529199590648105</v>
      </c>
      <c r="BQ113" s="21">
        <f>EXP(-LN(2)/25)*BQ112+(1-EXP(-LN(2)/25))/(LN(2)/25)*Calculateur!BL113*Calculateur!BN113*VLOOKUP('Données projet'!$B$11,Paramètres!$A$1:$I$89,3,0)*0.475*44/12</f>
        <v>23.876834955745348</v>
      </c>
      <c r="BR113" s="21">
        <f>EXP(-LN(2)/2)*BR112+(1-EXP(-LN(2)/2))/(LN(2)/2)*BL113*BO113*VLOOKUP('Données projet'!$B$11,Paramètres!$A$1:$I$89,3,0)*0.475*44/12</f>
        <v>2.1147407658462827</v>
      </c>
      <c r="BS113" s="22">
        <f t="shared" si="63"/>
        <v>122.52077531223973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283.73369613548124</v>
      </c>
      <c r="AO114" s="59">
        <f t="shared" si="90"/>
        <v>249.77804091581208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9.1623931623931671</v>
      </c>
      <c r="BD114" s="12">
        <f>IF('Données projet'!$A$88&gt;35,BD113+BC114-BL113,IF(A114&lt;'Données projet'!$A$88,$BA$205^A114,IF(A114='Données projet'!$A$88,'Données projet'!$B$88,BD113+BC114-BL113)))</f>
        <v>467.12649572649565</v>
      </c>
      <c r="BE114" s="13">
        <f>BD114*VLOOKUP('Données projet'!$B$11,Paramètres!$A$1:$I$89,3,0)*VLOOKUP('Données projet'!$B$11,Paramètres!$A$1:$I$89,5,0)</f>
        <v>230.76048888888886</v>
      </c>
      <c r="BF114" s="13">
        <f t="shared" si="91"/>
        <v>56.44708540459014</v>
      </c>
      <c r="BG114" s="20">
        <f t="shared" si="61"/>
        <v>500.21985856114253</v>
      </c>
      <c r="BH114" s="59">
        <f t="shared" si="62"/>
        <v>793.55319189447584</v>
      </c>
      <c r="BI114" s="59">
        <f ca="1">AVERAGE(OFFSET($BH$3,0,0,'Données projet'!$E$11+1,1))-AVERAGE(OFFSET($H$3,0,0,'Données projet'!$E$11+1,1))</f>
        <v>263.7093252578133</v>
      </c>
      <c r="BJ114" s="59">
        <f t="shared" si="92"/>
        <v>123.27856176791568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94.636320863673632</v>
      </c>
      <c r="BQ114" s="21">
        <f>EXP(-LN(2)/25)*BQ113+(1-EXP(-LN(2)/25))/(LN(2)/25)*Calculateur!BL114*Calculateur!BN114*VLOOKUP('Données projet'!$B$11,Paramètres!$A$1:$I$89,3,0)*0.475*44/12</f>
        <v>23.223921648252311</v>
      </c>
      <c r="BR114" s="21">
        <f>EXP(-LN(2)/2)*BR113+(1-EXP(-LN(2)/2))/(LN(2)/2)*BL114*BO114*VLOOKUP('Données projet'!$B$11,Paramètres!$A$1:$I$89,3,0)*0.475*44/12</f>
        <v>1.4953475359815394</v>
      </c>
      <c r="BS114" s="22">
        <f t="shared" si="63"/>
        <v>119.35559004790748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283.73369613548124</v>
      </c>
      <c r="AO115" s="59">
        <f t="shared" si="90"/>
        <v>249.77804091581208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9.1623931623931671</v>
      </c>
      <c r="BD115" s="12">
        <f>IF('Données projet'!$A$88&gt;35,BD114+BC115-BL114,IF(A115&lt;'Données projet'!$A$88,$BA$205^A115,IF(A115='Données projet'!$A$88,'Données projet'!$B$88,BD114+BC115-BL114)))</f>
        <v>476.28888888888883</v>
      </c>
      <c r="BE115" s="13">
        <f>BD115*VLOOKUP('Données projet'!$B$11,Paramètres!$A$1:$I$89,3,0)*VLOOKUP('Données projet'!$B$11,Paramètres!$A$1:$I$89,5,0)</f>
        <v>235.28671111111109</v>
      </c>
      <c r="BF115" s="13">
        <f t="shared" si="91"/>
        <v>57.424275783936665</v>
      </c>
      <c r="BG115" s="20">
        <f t="shared" si="61"/>
        <v>509.80496884220815</v>
      </c>
      <c r="BH115" s="59">
        <f t="shared" si="62"/>
        <v>803.13830217554141</v>
      </c>
      <c r="BI115" s="59">
        <f ca="1">AVERAGE(OFFSET($BH$3,0,0,'Données projet'!$E$11+1,1))-AVERAGE(OFFSET($H$3,0,0,'Données projet'!$E$11+1,1))</f>
        <v>263.7093252578133</v>
      </c>
      <c r="BJ115" s="59">
        <f t="shared" si="92"/>
        <v>123.27856176791568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92.780560333993094</v>
      </c>
      <c r="BQ115" s="21">
        <f>EXP(-LN(2)/25)*BQ114+(1-EXP(-LN(2)/25))/(LN(2)/25)*Calculateur!BL115*Calculateur!BN115*VLOOKUP('Données projet'!$B$11,Paramètres!$A$1:$I$89,3,0)*0.475*44/12</f>
        <v>22.588862289487892</v>
      </c>
      <c r="BR115" s="21">
        <f>EXP(-LN(2)/2)*BR114+(1-EXP(-LN(2)/2))/(LN(2)/2)*BL115*BO115*VLOOKUP('Données projet'!$B$11,Paramètres!$A$1:$I$89,3,0)*0.475*44/12</f>
        <v>1.0573703829231413</v>
      </c>
      <c r="BS115" s="22">
        <f t="shared" si="63"/>
        <v>116.42679300640413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283.73369613548124</v>
      </c>
      <c r="AO116" s="59">
        <f t="shared" si="90"/>
        <v>249.77804091581208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9.1623931623931671</v>
      </c>
      <c r="BD116" s="12">
        <f>IF('Données projet'!$A$88&gt;35,BD115+BC116-BL115,IF(A116&lt;'Données projet'!$A$88,$BA$205^A116,IF(A116='Données projet'!$A$88,'Données projet'!$B$88,BD115+BC116-BL115)))</f>
        <v>485.45128205128202</v>
      </c>
      <c r="BE116" s="13">
        <f>BD116*VLOOKUP('Données projet'!$B$11,Paramètres!$A$1:$I$89,3,0)*VLOOKUP('Données projet'!$B$11,Paramètres!$A$1:$I$89,5,0)</f>
        <v>239.81293333333335</v>
      </c>
      <c r="BF116" s="13">
        <f t="shared" si="91"/>
        <v>58.399280351265638</v>
      </c>
      <c r="BG116" s="20">
        <f t="shared" si="61"/>
        <v>519.38627216734324</v>
      </c>
      <c r="BH116" s="59">
        <f t="shared" si="62"/>
        <v>812.71960550067661</v>
      </c>
      <c r="BI116" s="59">
        <f ca="1">AVERAGE(OFFSET($BH$3,0,0,'Données projet'!$E$11+1,1))-AVERAGE(OFFSET($H$3,0,0,'Données projet'!$E$11+1,1))</f>
        <v>263.7093252578133</v>
      </c>
      <c r="BJ116" s="59">
        <f t="shared" si="92"/>
        <v>123.27856176791568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90.961190136397434</v>
      </c>
      <c r="BQ116" s="21">
        <f>EXP(-LN(2)/25)*BQ115+(1-EXP(-LN(2)/25))/(LN(2)/25)*Calculateur!BL116*Calculateur!BN116*VLOOKUP('Données projet'!$B$11,Paramètres!$A$1:$I$89,3,0)*0.475*44/12</f>
        <v>21.971168662285205</v>
      </c>
      <c r="BR116" s="21">
        <f>EXP(-LN(2)/2)*BR115+(1-EXP(-LN(2)/2))/(LN(2)/2)*BL116*BO116*VLOOKUP('Données projet'!$B$11,Paramètres!$A$1:$I$89,3,0)*0.475*44/12</f>
        <v>0.74767376799076968</v>
      </c>
      <c r="BS116" s="22">
        <f t="shared" si="63"/>
        <v>113.68003256667342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283.73369613548124</v>
      </c>
      <c r="AO117" s="59">
        <f t="shared" si="90"/>
        <v>249.77804091581208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9.1623931623931671</v>
      </c>
      <c r="BD117" s="12">
        <f>IF('Données projet'!$A$88&gt;35,BD116+BC117-BL116,IF(A117&lt;'Données projet'!$A$88,$BA$205^A117,IF(A117='Données projet'!$A$88,'Données projet'!$B$88,BD116+BC117-BL116)))</f>
        <v>494.61367521367521</v>
      </c>
      <c r="BE117" s="13">
        <f>BD117*VLOOKUP('Données projet'!$B$11,Paramètres!$A$1:$I$89,3,0)*VLOOKUP('Données projet'!$B$11,Paramètres!$A$1:$I$89,5,0)</f>
        <v>244.33915555555555</v>
      </c>
      <c r="BF117" s="13">
        <f t="shared" si="91"/>
        <v>59.372145118560283</v>
      </c>
      <c r="BG117" s="20">
        <f t="shared" si="61"/>
        <v>528.96384867408494</v>
      </c>
      <c r="BH117" s="59">
        <f t="shared" si="62"/>
        <v>822.29718200741831</v>
      </c>
      <c r="BI117" s="59">
        <f ca="1">AVERAGE(OFFSET($BH$3,0,0,'Données projet'!$E$11+1,1))-AVERAGE(OFFSET($H$3,0,0,'Données projet'!$E$11+1,1))</f>
        <v>263.7093252578133</v>
      </c>
      <c r="BJ117" s="59">
        <f t="shared" si="92"/>
        <v>123.27856176791568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89.17749667867038</v>
      </c>
      <c r="BQ117" s="21">
        <f>EXP(-LN(2)/25)*BQ116+(1-EXP(-LN(2)/25))/(LN(2)/25)*Calculateur!BL117*Calculateur!BN117*VLOOKUP('Données projet'!$B$11,Paramètres!$A$1:$I$89,3,0)*0.475*44/12</f>
        <v>21.37036589980147</v>
      </c>
      <c r="BR117" s="21">
        <f>EXP(-LN(2)/2)*BR116+(1-EXP(-LN(2)/2))/(LN(2)/2)*BL117*BO117*VLOOKUP('Données projet'!$B$11,Paramètres!$A$1:$I$89,3,0)*0.475*44/12</f>
        <v>0.52868519146157067</v>
      </c>
      <c r="BS117" s="22">
        <f t="shared" si="63"/>
        <v>111.07654776993343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283.73369613548124</v>
      </c>
      <c r="AO118" s="59">
        <f t="shared" si="90"/>
        <v>249.77804091581208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9.1623931623931671</v>
      </c>
      <c r="BD118" s="12">
        <f>IF('Données projet'!$A$88&gt;35,BD117+BC118-BL117,IF(A118&lt;'Données projet'!$A$88,$BA$205^A118,IF(A118='Données projet'!$A$88,'Données projet'!$B$88,BD117+BC118-BL117)))</f>
        <v>503.77606837606839</v>
      </c>
      <c r="BE118" s="13">
        <f>BD118*VLOOKUP('Données projet'!$B$11,Paramètres!$A$1:$I$89,3,0)*VLOOKUP('Données projet'!$B$11,Paramètres!$A$1:$I$89,5,0)</f>
        <v>248.86537777777781</v>
      </c>
      <c r="BF118" s="13">
        <f t="shared" si="91"/>
        <v>60.342914295542535</v>
      </c>
      <c r="BG118" s="20">
        <f t="shared" si="61"/>
        <v>538.53777536103291</v>
      </c>
      <c r="BH118" s="59">
        <f t="shared" si="62"/>
        <v>831.87110869436628</v>
      </c>
      <c r="BI118" s="59">
        <f ca="1">AVERAGE(OFFSET($BH$3,0,0,'Données projet'!$E$11+1,1))-AVERAGE(OFFSET($H$3,0,0,'Données projet'!$E$11+1,1))</f>
        <v>263.7093252578133</v>
      </c>
      <c r="BJ118" s="59">
        <f t="shared" si="92"/>
        <v>123.27856176791568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87.428780361703772</v>
      </c>
      <c r="BQ118" s="21">
        <f>EXP(-LN(2)/25)*BQ117+(1-EXP(-LN(2)/25))/(LN(2)/25)*Calculateur!BL118*Calculateur!BN118*VLOOKUP('Données projet'!$B$11,Paramètres!$A$1:$I$89,3,0)*0.475*44/12</f>
        <v>20.785992120452701</v>
      </c>
      <c r="BR118" s="21">
        <f>EXP(-LN(2)/2)*BR117+(1-EXP(-LN(2)/2))/(LN(2)/2)*BL118*BO118*VLOOKUP('Données projet'!$B$11,Paramètres!$A$1:$I$89,3,0)*0.475*44/12</f>
        <v>0.37383688399538484</v>
      </c>
      <c r="BS118" s="22">
        <f t="shared" si="63"/>
        <v>108.58860936615186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283.73369613548124</v>
      </c>
      <c r="AO119" s="59">
        <f t="shared" si="90"/>
        <v>249.77804091581208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>
        <f>VLOOKUP(A119,'Données projet'!$A$87:$I$107,2,0)</f>
        <v>512.93846153846152</v>
      </c>
      <c r="BB119" s="12">
        <f>VLOOKUP(A119,'Données projet'!$A$87:$I$107,9,0)</f>
        <v>9.1623931623931671</v>
      </c>
      <c r="BC119" s="12">
        <f t="array" ref="BC119">INDEX(BB:BB,MIN(IF(ISNUMBER(BB119:BB315),ROW(BB119:BB315),"")))</f>
        <v>9.1623931623931671</v>
      </c>
      <c r="BD119" s="12">
        <f>IF('Données projet'!$A$88&gt;35,BD118+BC119-BL118,IF(A119&lt;'Données projet'!$A$88,$BA$205^A119,IF(A119='Données projet'!$A$88,'Données projet'!$B$88,BD118+BC119-BL118)))</f>
        <v>512.93846153846152</v>
      </c>
      <c r="BE119" s="13">
        <f>BD119*VLOOKUP('Données projet'!$B$11,Paramètres!$A$1:$I$89,3,0)*VLOOKUP('Données projet'!$B$11,Paramètres!$A$1:$I$89,5,0)</f>
        <v>253.39159999999998</v>
      </c>
      <c r="BF119" s="13">
        <f t="shared" si="91"/>
        <v>61.311630391738426</v>
      </c>
      <c r="BG119" s="20">
        <f t="shared" si="61"/>
        <v>548.10812626561108</v>
      </c>
      <c r="BH119" s="59">
        <f t="shared" si="62"/>
        <v>841.44145959894445</v>
      </c>
      <c r="BI119" s="59">
        <f ca="1">AVERAGE(OFFSET($BH$3,0,0,'Données projet'!$E$11+1,1))-AVERAGE(OFFSET($H$3,0,0,'Données projet'!$E$11+1,1))</f>
        <v>263.7093252578133</v>
      </c>
      <c r="BJ119" s="59">
        <f t="shared" si="92"/>
        <v>123.27856176791568</v>
      </c>
      <c r="BK119" s="15">
        <f>IF(ISNA(VLOOKUP(A119,'Données projet'!$A$87:$I$107,3,0)),0,VLOOKUP(A119,'Données projet'!$A$87:$I$107,3,0))</f>
        <v>10</v>
      </c>
      <c r="BL119" s="15">
        <f>IF(ISNA(VLOOKUP(A119,'Données projet'!$A$87:$I$107,4,0)),0,VLOOKUP(A119,'Données projet'!$A$87:$I$107,4,0))</f>
        <v>78.146153846153851</v>
      </c>
      <c r="BM119" s="16">
        <f>IF(ISNA(VLOOKUP(A119,'Données projet'!$A$87:$I$107,5,0)),0%,VLOOKUP(A119,'Données projet'!$A$87:$I$107,5,0)*VLOOKUP('Données projet'!$B$11,Paramètres!$A$1:$I$89,7,0))</f>
        <v>0.38500000000000001</v>
      </c>
      <c r="BN119" s="16">
        <f>IF(ISNA(VLOOKUP(A119,'Données projet'!$A$87:$I$107,6,0)),0%,VLOOKUP(A119,'Données projet'!$A$87:$I$107,6,0)*VLOOKUP('Données projet'!$B$11,Paramètres!$A$1:$I$89,7,0))</f>
        <v>9.240000000000001E-2</v>
      </c>
      <c r="BO119" s="16">
        <f>IF(ISNA(VLOOKUP(A119,'Données projet'!$A$87:$I$107,7,0)),0%,VLOOKUP(A119,'Données projet'!$A$87:$I$107,7,0))</f>
        <v>0.13200000000000001</v>
      </c>
      <c r="BP119" s="21">
        <f>EXP(-LN(2)/35)*BP118+(1-EXP(-LN(2)/35))/(LN(2)/35)*BL119*BM119*VLOOKUP('Données projet'!$B$11,Paramètres!$A$1:$I$89,3,0)*0.475*44/12</f>
        <v>105.4305747321127</v>
      </c>
      <c r="BQ119" s="21">
        <f>EXP(-LN(2)/25)*BQ118+(1-EXP(-LN(2)/25))/(LN(2)/25)*Calculateur!BL119*Calculateur!BN119*VLOOKUP('Données projet'!$B$11,Paramètres!$A$1:$I$89,3,0)*0.475*44/12</f>
        <v>24.930859470909198</v>
      </c>
      <c r="BR119" s="21">
        <f>EXP(-LN(2)/2)*BR118+(1-EXP(-LN(2)/2))/(LN(2)/2)*BL119*BO119*VLOOKUP('Données projet'!$B$11,Paramètres!$A$1:$I$89,3,0)*0.475*44/12</f>
        <v>6.0339203076733847</v>
      </c>
      <c r="BS119" s="22">
        <f t="shared" si="63"/>
        <v>136.39535451069528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283.73369613548124</v>
      </c>
      <c r="AO120" s="59">
        <f t="shared" si="90"/>
        <v>249.77804091581208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8.0846153846153914</v>
      </c>
      <c r="BD120" s="12">
        <f>IF('Données projet'!$A$88&gt;35,BD119+BC120-BL119,IF(A120&lt;'Données projet'!$A$88,$BA$205^A120,IF(A120='Données projet'!$A$88,'Données projet'!$B$88,BD119+BC120-BL119)))</f>
        <v>442.87692307692305</v>
      </c>
      <c r="BE120" s="13">
        <f>BD120*VLOOKUP('Données projet'!$B$11,Paramètres!$A$1:$I$89,3,0)*VLOOKUP('Données projet'!$B$11,Paramètres!$A$1:$I$89,5,0)</f>
        <v>218.78120000000001</v>
      </c>
      <c r="BF120" s="13">
        <f t="shared" si="91"/>
        <v>53.849899974618637</v>
      </c>
      <c r="BG120" s="20">
        <f t="shared" si="61"/>
        <v>474.83249912246083</v>
      </c>
      <c r="BH120" s="59">
        <f t="shared" si="62"/>
        <v>768.16583245579409</v>
      </c>
      <c r="BI120" s="59">
        <f ca="1">AVERAGE(OFFSET($BH$3,0,0,'Données projet'!$E$11+1,1))-AVERAGE(OFFSET($H$3,0,0,'Données projet'!$E$11+1,1))</f>
        <v>263.7093252578133</v>
      </c>
      <c r="BJ120" s="59">
        <f t="shared" si="92"/>
        <v>123.27856176791568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103.36314546791684</v>
      </c>
      <c r="BQ120" s="21">
        <f>EXP(-LN(2)/25)*BQ119+(1-EXP(-LN(2)/25))/(LN(2)/25)*Calculateur!BL120*Calculateur!BN120*VLOOKUP('Données projet'!$B$11,Paramètres!$A$1:$I$89,3,0)*0.475*44/12</f>
        <v>24.249123807620265</v>
      </c>
      <c r="BR120" s="21">
        <f>EXP(-LN(2)/2)*BR119+(1-EXP(-LN(2)/2))/(LN(2)/2)*BL120*BO120*VLOOKUP('Données projet'!$B$11,Paramètres!$A$1:$I$89,3,0)*0.475*44/12</f>
        <v>4.2666259666950701</v>
      </c>
      <c r="BS120" s="22">
        <f t="shared" si="63"/>
        <v>131.87889524223218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283.73369613548124</v>
      </c>
      <c r="AO121" s="59">
        <f t="shared" si="90"/>
        <v>249.77804091581208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8.0846153846153914</v>
      </c>
      <c r="BD121" s="12">
        <f>IF('Données projet'!$A$88&gt;35,BD120+BC121-BL120,IF(A121&lt;'Données projet'!$A$88,$BA$205^A121,IF(A121='Données projet'!$A$88,'Données projet'!$B$88,BD120+BC121-BL120)))</f>
        <v>450.96153846153845</v>
      </c>
      <c r="BE121" s="13">
        <f>BD121*VLOOKUP('Données projet'!$B$11,Paramètres!$A$1:$I$89,3,0)*VLOOKUP('Données projet'!$B$11,Paramètres!$A$1:$I$89,5,0)</f>
        <v>222.77500000000001</v>
      </c>
      <c r="BF121" s="13">
        <f t="shared" si="91"/>
        <v>54.71757755660785</v>
      </c>
      <c r="BG121" s="20">
        <f t="shared" si="61"/>
        <v>483.29957257775868</v>
      </c>
      <c r="BH121" s="59">
        <f t="shared" si="62"/>
        <v>776.63290591109194</v>
      </c>
      <c r="BI121" s="59">
        <f ca="1">AVERAGE(OFFSET($BH$3,0,0,'Données projet'!$E$11+1,1))-AVERAGE(OFFSET($H$3,0,0,'Données projet'!$E$11+1,1))</f>
        <v>263.7093252578133</v>
      </c>
      <c r="BJ121" s="59">
        <f t="shared" si="92"/>
        <v>123.27856176791568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101.33625723058452</v>
      </c>
      <c r="BQ121" s="21">
        <f>EXP(-LN(2)/25)*BQ120+(1-EXP(-LN(2)/25))/(LN(2)/25)*Calculateur!BL121*Calculateur!BN121*VLOOKUP('Données projet'!$B$11,Paramètres!$A$1:$I$89,3,0)*0.475*44/12</f>
        <v>23.586030241894889</v>
      </c>
      <c r="BR121" s="21">
        <f>EXP(-LN(2)/2)*BR120+(1-EXP(-LN(2)/2))/(LN(2)/2)*BL121*BO121*VLOOKUP('Données projet'!$B$11,Paramètres!$A$1:$I$89,3,0)*0.475*44/12</f>
        <v>3.0169601538366928</v>
      </c>
      <c r="BS121" s="22">
        <f t="shared" si="63"/>
        <v>127.9392476263161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283.73369613548124</v>
      </c>
      <c r="AO122" s="59">
        <f t="shared" si="90"/>
        <v>249.77804091581208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8.0846153846153914</v>
      </c>
      <c r="BD122" s="12">
        <f>IF('Données projet'!$A$88&gt;35,BD121+BC122-BL121,IF(A122&lt;'Données projet'!$A$88,$BA$205^A122,IF(A122='Données projet'!$A$88,'Données projet'!$B$88,BD121+BC122-BL121)))</f>
        <v>459.04615384615386</v>
      </c>
      <c r="BE122" s="13">
        <f>BD122*VLOOKUP('Données projet'!$B$11,Paramètres!$A$1:$I$89,3,0)*VLOOKUP('Données projet'!$B$11,Paramètres!$A$1:$I$89,5,0)</f>
        <v>226.76880000000003</v>
      </c>
      <c r="BF122" s="13">
        <f t="shared" si="91"/>
        <v>55.583446287756836</v>
      </c>
      <c r="BG122" s="20">
        <f t="shared" si="61"/>
        <v>491.76349561784315</v>
      </c>
      <c r="BH122" s="59">
        <f t="shared" si="62"/>
        <v>785.09682895117646</v>
      </c>
      <c r="BI122" s="59">
        <f ca="1">AVERAGE(OFFSET($BH$3,0,0,'Données projet'!$E$11+1,1))-AVERAGE(OFFSET($H$3,0,0,'Données projet'!$E$11+1,1))</f>
        <v>263.7093252578133</v>
      </c>
      <c r="BJ122" s="59">
        <f t="shared" si="92"/>
        <v>123.27856176791568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99.349115035306539</v>
      </c>
      <c r="BQ122" s="21">
        <f>EXP(-LN(2)/25)*BQ121+(1-EXP(-LN(2)/25))/(LN(2)/25)*Calculateur!BL122*Calculateur!BN122*VLOOKUP('Données projet'!$B$11,Paramètres!$A$1:$I$89,3,0)*0.475*44/12</f>
        <v>22.941069004594848</v>
      </c>
      <c r="BR122" s="21">
        <f>EXP(-LN(2)/2)*BR121+(1-EXP(-LN(2)/2))/(LN(2)/2)*BL122*BO122*VLOOKUP('Données projet'!$B$11,Paramètres!$A$1:$I$89,3,0)*0.475*44/12</f>
        <v>2.1333129833475351</v>
      </c>
      <c r="BS122" s="22">
        <f t="shared" si="63"/>
        <v>124.42349702324893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283.73369613548124</v>
      </c>
      <c r="AO123" s="59">
        <f t="shared" si="90"/>
        <v>249.77804091581208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8.0846153846153914</v>
      </c>
      <c r="BD123" s="12">
        <f>IF('Données projet'!$A$88&gt;35,BD122+BC123-BL122,IF(A123&lt;'Données projet'!$A$88,$BA$205^A123,IF(A123='Données projet'!$A$88,'Données projet'!$B$88,BD122+BC123-BL122)))</f>
        <v>467.13076923076926</v>
      </c>
      <c r="BE123" s="13">
        <f>BD123*VLOOKUP('Données projet'!$B$11,Paramètres!$A$1:$I$89,3,0)*VLOOKUP('Données projet'!$B$11,Paramètres!$A$1:$I$89,5,0)</f>
        <v>230.76260000000002</v>
      </c>
      <c r="BF123" s="13">
        <f t="shared" si="91"/>
        <v>56.447541700566852</v>
      </c>
      <c r="BG123" s="20">
        <f t="shared" si="61"/>
        <v>500.22433012848722</v>
      </c>
      <c r="BH123" s="59">
        <f t="shared" si="62"/>
        <v>793.55766346182054</v>
      </c>
      <c r="BI123" s="59">
        <f ca="1">AVERAGE(OFFSET($BH$3,0,0,'Données projet'!$E$11+1,1))-AVERAGE(OFFSET($H$3,0,0,'Données projet'!$E$11+1,1))</f>
        <v>263.7093252578133</v>
      </c>
      <c r="BJ123" s="59">
        <f t="shared" si="92"/>
        <v>123.27856176791568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97.40093948644089</v>
      </c>
      <c r="BQ123" s="21">
        <f>EXP(-LN(2)/25)*BQ122+(1-EXP(-LN(2)/25))/(LN(2)/25)*Calculateur!BL123*Calculateur!BN123*VLOOKUP('Données projet'!$B$11,Paramètres!$A$1:$I$89,3,0)*0.475*44/12</f>
        <v>22.313744266245816</v>
      </c>
      <c r="BR123" s="21">
        <f>EXP(-LN(2)/2)*BR122+(1-EXP(-LN(2)/2))/(LN(2)/2)*BL123*BO123*VLOOKUP('Données projet'!$B$11,Paramètres!$A$1:$I$89,3,0)*0.475*44/12</f>
        <v>1.5084800769183464</v>
      </c>
      <c r="BS123" s="22">
        <f t="shared" si="63"/>
        <v>121.22316382960506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283.73369613548124</v>
      </c>
      <c r="AO124" s="59">
        <f t="shared" si="90"/>
        <v>249.77804091581208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8.0846153846153914</v>
      </c>
      <c r="BD124" s="12">
        <f>IF('Données projet'!$A$88&gt;35,BD123+BC124-BL123,IF(A124&lt;'Données projet'!$A$88,$BA$205^A124,IF(A124='Données projet'!$A$88,'Données projet'!$B$88,BD123+BC124-BL123)))</f>
        <v>475.21538461538466</v>
      </c>
      <c r="BE124" s="13">
        <f>BD124*VLOOKUP('Données projet'!$B$11,Paramètres!$A$1:$I$89,3,0)*VLOOKUP('Données projet'!$B$11,Paramètres!$A$1:$I$89,5,0)</f>
        <v>234.75640000000004</v>
      </c>
      <c r="BF124" s="13">
        <f t="shared" si="91"/>
        <v>57.309898027154368</v>
      </c>
      <c r="BG124" s="20">
        <f t="shared" si="61"/>
        <v>508.68213573062718</v>
      </c>
      <c r="BH124" s="59">
        <f t="shared" si="62"/>
        <v>802.0154690639605</v>
      </c>
      <c r="BI124" s="59">
        <f ca="1">AVERAGE(OFFSET($BH$3,0,0,'Données projet'!$E$11+1,1))-AVERAGE(OFFSET($H$3,0,0,'Données projet'!$E$11+1,1))</f>
        <v>263.7093252578133</v>
      </c>
      <c r="BJ124" s="59">
        <f t="shared" si="92"/>
        <v>123.27856176791568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95.490966471818751</v>
      </c>
      <c r="BQ124" s="21">
        <f>EXP(-LN(2)/25)*BQ123+(1-EXP(-LN(2)/25))/(LN(2)/25)*Calculateur!BL124*Calculateur!BN124*VLOOKUP('Données projet'!$B$11,Paramètres!$A$1:$I$89,3,0)*0.475*44/12</f>
        <v>21.703573755856514</v>
      </c>
      <c r="BR124" s="21">
        <f>EXP(-LN(2)/2)*BR123+(1-EXP(-LN(2)/2))/(LN(2)/2)*BL124*BO124*VLOOKUP('Données projet'!$B$11,Paramètres!$A$1:$I$89,3,0)*0.475*44/12</f>
        <v>1.0666564916737675</v>
      </c>
      <c r="BS124" s="22">
        <f t="shared" si="63"/>
        <v>118.26119671934903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283.73369613548124</v>
      </c>
      <c r="AO125" s="59">
        <f t="shared" si="90"/>
        <v>249.77804091581208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8.0846153846153914</v>
      </c>
      <c r="BD125" s="12">
        <f>IF('Données projet'!$A$88&gt;35,BD124+BC125-BL124,IF(A125&lt;'Données projet'!$A$88,$BA$205^A125,IF(A125='Données projet'!$A$88,'Données projet'!$B$88,BD124+BC125-BL124)))</f>
        <v>483.30000000000007</v>
      </c>
      <c r="BE125" s="13">
        <f>BD125*VLOOKUP('Données projet'!$B$11,Paramètres!$A$1:$I$89,3,0)*VLOOKUP('Données projet'!$B$11,Paramètres!$A$1:$I$89,5,0)</f>
        <v>238.75020000000004</v>
      </c>
      <c r="BF125" s="13">
        <f t="shared" si="91"/>
        <v>58.170548268139562</v>
      </c>
      <c r="BG125" s="20">
        <f t="shared" si="61"/>
        <v>517.13696990034316</v>
      </c>
      <c r="BH125" s="59">
        <f t="shared" si="62"/>
        <v>810.47030323367653</v>
      </c>
      <c r="BI125" s="59">
        <f ca="1">AVERAGE(OFFSET($BH$3,0,0,'Données projet'!$E$11+1,1))-AVERAGE(OFFSET($H$3,0,0,'Données projet'!$E$11+1,1))</f>
        <v>263.7093252578133</v>
      </c>
      <c r="BJ125" s="59">
        <f t="shared" si="92"/>
        <v>123.27856176791568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93.618446863044838</v>
      </c>
      <c r="BQ125" s="21">
        <f>EXP(-LN(2)/25)*BQ124+(1-EXP(-LN(2)/25))/(LN(2)/25)*Calculateur!BL125*Calculateur!BN125*VLOOKUP('Données projet'!$B$11,Paramètres!$A$1:$I$89,3,0)*0.475*44/12</f>
        <v>21.110088390161277</v>
      </c>
      <c r="BR125" s="21">
        <f>EXP(-LN(2)/2)*BR124+(1-EXP(-LN(2)/2))/(LN(2)/2)*BL125*BO125*VLOOKUP('Données projet'!$B$11,Paramètres!$A$1:$I$89,3,0)*0.475*44/12</f>
        <v>0.7542400384591732</v>
      </c>
      <c r="BS125" s="22">
        <f t="shared" si="63"/>
        <v>115.48277529166529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283.73369613548124</v>
      </c>
      <c r="AO126" s="59">
        <f t="shared" si="90"/>
        <v>249.77804091581208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8.0846153846153914</v>
      </c>
      <c r="BD126" s="12">
        <f>IF('Données projet'!$A$88&gt;35,BD125+BC126-BL125,IF(A126&lt;'Données projet'!$A$88,$BA$205^A126,IF(A126='Données projet'!$A$88,'Données projet'!$B$88,BD125+BC126-BL125)))</f>
        <v>491.38461538461547</v>
      </c>
      <c r="BE126" s="13">
        <f>BD126*VLOOKUP('Données projet'!$B$11,Paramètres!$A$1:$I$89,3,0)*VLOOKUP('Données projet'!$B$11,Paramètres!$A$1:$I$89,5,0)</f>
        <v>242.74400000000006</v>
      </c>
      <c r="BF126" s="13">
        <f t="shared" si="91"/>
        <v>59.029524256794872</v>
      </c>
      <c r="BG126" s="20">
        <f t="shared" si="61"/>
        <v>525.58888808058452</v>
      </c>
      <c r="BH126" s="59">
        <f t="shared" si="62"/>
        <v>818.9222214139179</v>
      </c>
      <c r="BI126" s="59">
        <f ca="1">AVERAGE(OFFSET($BH$3,0,0,'Données projet'!$E$11+1,1))-AVERAGE(OFFSET($H$3,0,0,'Données projet'!$E$11+1,1))</f>
        <v>263.7093252578133</v>
      </c>
      <c r="BJ126" s="59">
        <f t="shared" si="92"/>
        <v>123.27856176791568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91.782646221674796</v>
      </c>
      <c r="BQ126" s="21">
        <f>EXP(-LN(2)/25)*BQ125+(1-EXP(-LN(2)/25))/(LN(2)/25)*Calculateur!BL126*Calculateur!BN126*VLOOKUP('Données projet'!$B$11,Paramètres!$A$1:$I$89,3,0)*0.475*44/12</f>
        <v>20.532831913001015</v>
      </c>
      <c r="BR126" s="21">
        <f>EXP(-LN(2)/2)*BR125+(1-EXP(-LN(2)/2))/(LN(2)/2)*BL126*BO126*VLOOKUP('Données projet'!$B$11,Paramètres!$A$1:$I$89,3,0)*0.475*44/12</f>
        <v>0.53332824583688376</v>
      </c>
      <c r="BS126" s="22">
        <f t="shared" si="63"/>
        <v>112.8488063805127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283.73369613548124</v>
      </c>
      <c r="AO127" s="59">
        <f t="shared" si="90"/>
        <v>249.77804091581208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8.0846153846153914</v>
      </c>
      <c r="BD127" s="12">
        <f>IF('Données projet'!$A$88&gt;35,BD126+BC127-BL126,IF(A127&lt;'Données projet'!$A$88,$BA$205^A127,IF(A127='Données projet'!$A$88,'Données projet'!$B$88,BD126+BC127-BL126)))</f>
        <v>499.46923076923088</v>
      </c>
      <c r="BE127" s="13">
        <f>BD127*VLOOKUP('Données projet'!$B$11,Paramètres!$A$1:$I$89,3,0)*VLOOKUP('Données projet'!$B$11,Paramètres!$A$1:$I$89,5,0)</f>
        <v>246.73780000000005</v>
      </c>
      <c r="BF127" s="13">
        <f t="shared" si="91"/>
        <v>59.886856718852187</v>
      </c>
      <c r="BG127" s="20">
        <f t="shared" si="61"/>
        <v>534.03794378533428</v>
      </c>
      <c r="BH127" s="59">
        <f t="shared" si="62"/>
        <v>827.37127711866765</v>
      </c>
      <c r="BI127" s="59">
        <f ca="1">AVERAGE(OFFSET($BH$3,0,0,'Données projet'!$E$11+1,1))-AVERAGE(OFFSET($H$3,0,0,'Données projet'!$E$11+1,1))</f>
        <v>263.7093252578133</v>
      </c>
      <c r="BJ127" s="59">
        <f t="shared" si="92"/>
        <v>123.27856176791568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89.982844511154198</v>
      </c>
      <c r="BQ127" s="21">
        <f>EXP(-LN(2)/25)*BQ126+(1-EXP(-LN(2)/25))/(LN(2)/25)*Calculateur!BL127*Calculateur!BN127*VLOOKUP('Données projet'!$B$11,Paramètres!$A$1:$I$89,3,0)*0.475*44/12</f>
        <v>19.9713605445653</v>
      </c>
      <c r="BR127" s="21">
        <f>EXP(-LN(2)/2)*BR126+(1-EXP(-LN(2)/2))/(LN(2)/2)*BL127*BO127*VLOOKUP('Données projet'!$B$11,Paramètres!$A$1:$I$89,3,0)*0.475*44/12</f>
        <v>0.3771200192295866</v>
      </c>
      <c r="BS127" s="22">
        <f t="shared" si="63"/>
        <v>110.33132507494909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283.73369613548124</v>
      </c>
      <c r="AO128" s="59">
        <f t="shared" si="90"/>
        <v>249.77804091581208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507.55384615384617</v>
      </c>
      <c r="BB128" s="12">
        <f>VLOOKUP(A128,'Données projet'!$A$87:$I$107,9,0)</f>
        <v>8.0846153846153914</v>
      </c>
      <c r="BC128" s="12">
        <f t="array" ref="BC128">INDEX(BB:BB,MIN(IF(ISNUMBER(BB128:BB324),ROW(BB128:BB324),"")))</f>
        <v>8.0846153846153914</v>
      </c>
      <c r="BD128" s="12">
        <f>IF('Données projet'!$A$88&gt;35,BD127+BC128-BL127,IF(A128&lt;'Données projet'!$A$88,$BA$205^A128,IF(A128='Données projet'!$A$88,'Données projet'!$B$88,BD127+BC128-BL127)))</f>
        <v>507.55384615384628</v>
      </c>
      <c r="BE128" s="13">
        <f>BD128*VLOOKUP('Données projet'!$B$11,Paramètres!$A$1:$I$89,3,0)*VLOOKUP('Données projet'!$B$11,Paramètres!$A$1:$I$89,5,0)</f>
        <v>250.7316000000001</v>
      </c>
      <c r="BF128" s="13">
        <f t="shared" si="91"/>
        <v>60.742575328328201</v>
      </c>
      <c r="BG128" s="20">
        <f t="shared" si="61"/>
        <v>542.48418869683849</v>
      </c>
      <c r="BH128" s="59">
        <f t="shared" si="62"/>
        <v>835.81752203017186</v>
      </c>
      <c r="BI128" s="59">
        <f ca="1">AVERAGE(OFFSET($BH$3,0,0,'Données projet'!$E$11+1,1))-AVERAGE(OFFSET($H$3,0,0,'Données projet'!$E$11+1,1))</f>
        <v>263.7093252578133</v>
      </c>
      <c r="BJ128" s="59">
        <f t="shared" si="92"/>
        <v>123.27856176791568</v>
      </c>
      <c r="BK128" s="15">
        <f>IF(ISNA(VLOOKUP(A128,'Données projet'!$A$87:$I$107,3,0)),0,VLOOKUP(A128,'Données projet'!$A$87:$I$107,3,0))</f>
        <v>11</v>
      </c>
      <c r="BL128" s="15">
        <f>IF(ISNA(VLOOKUP(A128,'Données projet'!$A$87:$I$107,4,0)),0,VLOOKUP(A128,'Données projet'!$A$87:$I$107,4,0))</f>
        <v>66.315384615384602</v>
      </c>
      <c r="BM128" s="16">
        <f>IF(ISNA(VLOOKUP(A128,'Données projet'!$A$87:$I$107,5,0)),0%,VLOOKUP(A128,'Données projet'!$A$87:$I$107,5,0)*VLOOKUP('Données projet'!$B$11,Paramètres!$A$1:$I$89,7,0))</f>
        <v>0.38500000000000001</v>
      </c>
      <c r="BN128" s="16">
        <f>IF(ISNA(VLOOKUP(A128,'Données projet'!$A$87:$I$107,6,0)),0%,VLOOKUP(A128,'Données projet'!$A$87:$I$107,6,0)*VLOOKUP('Données projet'!$B$11,Paramètres!$A$1:$I$89,7,0))</f>
        <v>9.240000000000001E-2</v>
      </c>
      <c r="BO128" s="16">
        <f>IF(ISNA(VLOOKUP(A128,'Données projet'!$A$87:$I$107,7,0)),0%,VLOOKUP(A128,'Données projet'!$A$87:$I$107,7,0))</f>
        <v>0.13200000000000001</v>
      </c>
      <c r="BP128" s="21">
        <f>EXP(-LN(2)/35)*BP127+(1-EXP(-LN(2)/35))/(LN(2)/35)*BL128*BM128*VLOOKUP('Données projet'!$B$11,Paramètres!$A$1:$I$89,3,0)*0.475*44/12</f>
        <v>104.94966051961994</v>
      </c>
      <c r="BQ128" s="21">
        <f>EXP(-LN(2)/25)*BQ127+(1-EXP(-LN(2)/25))/(LN(2)/25)*Calculateur!BL128*Calculateur!BN128*VLOOKUP('Données projet'!$B$11,Paramètres!$A$1:$I$89,3,0)*0.475*44/12</f>
        <v>23.424949945357493</v>
      </c>
      <c r="BR128" s="21">
        <f>EXP(-LN(2)/2)*BR127+(1-EXP(-LN(2)/2))/(LN(2)/2)*BL128*BO128*VLOOKUP('Données projet'!$B$11,Paramètres!$A$1:$I$89,3,0)*0.475*44/12</f>
        <v>5.1627690008254321</v>
      </c>
      <c r="BS128" s="22">
        <f t="shared" si="63"/>
        <v>133.53737946580284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283.73369613548124</v>
      </c>
      <c r="AO129" s="59">
        <f t="shared" si="90"/>
        <v>249.77804091581208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7.2581196581196474</v>
      </c>
      <c r="BD129" s="12">
        <f>IF('Données projet'!$A$88&gt;35,BD128+BC129-BL128,IF(A129&lt;'Données projet'!$A$88,$BA$205^A129,IF(A129='Données projet'!$A$88,'Données projet'!$B$88,BD128+BC129-BL128)))</f>
        <v>448.49658119658136</v>
      </c>
      <c r="BE129" s="13">
        <f>BD129*VLOOKUP('Données projet'!$B$11,Paramètres!$A$1:$I$89,3,0)*VLOOKUP('Données projet'!$B$11,Paramètres!$A$1:$I$89,5,0)</f>
        <v>221.55731111111118</v>
      </c>
      <c r="BF129" s="13">
        <f t="shared" si="91"/>
        <v>54.453220517857176</v>
      </c>
      <c r="BG129" s="20">
        <f t="shared" si="61"/>
        <v>480.71834258711988</v>
      </c>
      <c r="BH129" s="59">
        <f t="shared" si="62"/>
        <v>774.05167592045314</v>
      </c>
      <c r="BI129" s="59">
        <f ca="1">AVERAGE(OFFSET($BH$3,0,0,'Données projet'!$E$11+1,1))-AVERAGE(OFFSET($H$3,0,0,'Données projet'!$E$11+1,1))</f>
        <v>263.7093252578133</v>
      </c>
      <c r="BJ129" s="59">
        <f t="shared" si="92"/>
        <v>123.27856176791568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102.89166168980235</v>
      </c>
      <c r="BQ129" s="21">
        <f>EXP(-LN(2)/25)*BQ128+(1-EXP(-LN(2)/25))/(LN(2)/25)*Calculateur!BL129*Calculateur!BN129*VLOOKUP('Données projet'!$B$11,Paramètres!$A$1:$I$89,3,0)*0.475*44/12</f>
        <v>22.784393457237112</v>
      </c>
      <c r="BR129" s="21">
        <f>EXP(-LN(2)/2)*BR128+(1-EXP(-LN(2)/2))/(LN(2)/2)*BL129*BO129*VLOOKUP('Données projet'!$B$11,Paramètres!$A$1:$I$89,3,0)*0.475*44/12</f>
        <v>3.6506289701833596</v>
      </c>
      <c r="BS129" s="22">
        <f t="shared" si="63"/>
        <v>129.32668411722281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283.73369613548124</v>
      </c>
      <c r="AO130" s="59">
        <f t="shared" si="90"/>
        <v>249.77804091581208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7.2581196581196474</v>
      </c>
      <c r="BD130" s="12">
        <f>IF('Données projet'!$A$88&gt;35,BD129+BC130-BL129,IF(A130&lt;'Données projet'!$A$88,$BA$205^A130,IF(A130='Données projet'!$A$88,'Données projet'!$B$88,BD129+BC130-BL129)))</f>
        <v>455.75470085470101</v>
      </c>
      <c r="BE130" s="13">
        <f>BD130*VLOOKUP('Données projet'!$B$11,Paramètres!$A$1:$I$89,3,0)*VLOOKUP('Données projet'!$B$11,Paramètres!$A$1:$I$89,5,0)</f>
        <v>225.14282222222232</v>
      </c>
      <c r="BF130" s="13">
        <f t="shared" si="91"/>
        <v>55.231145055286106</v>
      </c>
      <c r="BG130" s="20">
        <f t="shared" si="61"/>
        <v>488.31799300832716</v>
      </c>
      <c r="BH130" s="59">
        <f t="shared" si="62"/>
        <v>781.65132634166048</v>
      </c>
      <c r="BI130" s="59">
        <f ca="1">AVERAGE(OFFSET($BH$3,0,0,'Données projet'!$E$11+1,1))-AVERAGE(OFFSET($H$3,0,0,'Données projet'!$E$11+1,1))</f>
        <v>263.7093252578133</v>
      </c>
      <c r="BJ130" s="59">
        <f t="shared" si="92"/>
        <v>123.27856176791568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100.87401896178214</v>
      </c>
      <c r="BQ130" s="21">
        <f>EXP(-LN(2)/25)*BQ129+(1-EXP(-LN(2)/25))/(LN(2)/25)*Calculateur!BL130*Calculateur!BN130*VLOOKUP('Données projet'!$B$11,Paramètres!$A$1:$I$89,3,0)*0.475*44/12</f>
        <v>22.161353019969784</v>
      </c>
      <c r="BR130" s="21">
        <f>EXP(-LN(2)/2)*BR129+(1-EXP(-LN(2)/2))/(LN(2)/2)*BL130*BO130*VLOOKUP('Données projet'!$B$11,Paramètres!$A$1:$I$89,3,0)*0.475*44/12</f>
        <v>2.5813845004127165</v>
      </c>
      <c r="BS130" s="22">
        <f t="shared" si="63"/>
        <v>125.61675648216463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283.73369613548124</v>
      </c>
      <c r="AO131" s="59">
        <f t="shared" si="90"/>
        <v>249.77804091581208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7.2581196581196474</v>
      </c>
      <c r="BD131" s="12">
        <f>IF('Données projet'!$A$88&gt;35,BD130+BC131-BL130,IF(A131&lt;'Données projet'!$A$88,$BA$205^A131,IF(A131='Données projet'!$A$88,'Données projet'!$B$88,BD130+BC131-BL130)))</f>
        <v>463.01282051282067</v>
      </c>
      <c r="BE131" s="13">
        <f>BD131*VLOOKUP('Données projet'!$B$11,Paramètres!$A$1:$I$89,3,0)*VLOOKUP('Données projet'!$B$11,Paramètres!$A$1:$I$89,5,0)</f>
        <v>228.72833333333341</v>
      </c>
      <c r="BF131" s="13">
        <f t="shared" si="91"/>
        <v>56.007628803802895</v>
      </c>
      <c r="BG131" s="20">
        <f t="shared" si="61"/>
        <v>495.9151340555124</v>
      </c>
      <c r="BH131" s="59">
        <f t="shared" si="62"/>
        <v>789.24846738884571</v>
      </c>
      <c r="BI131" s="59">
        <f ca="1">AVERAGE(OFFSET($BH$3,0,0,'Données projet'!$E$11+1,1))-AVERAGE(OFFSET($H$3,0,0,'Données projet'!$E$11+1,1))</f>
        <v>263.7093252578133</v>
      </c>
      <c r="BJ131" s="59">
        <f t="shared" si="92"/>
        <v>123.27856176791568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98.895940977017872</v>
      </c>
      <c r="BQ131" s="21">
        <f>EXP(-LN(2)/25)*BQ130+(1-EXP(-LN(2)/25))/(LN(2)/25)*Calculateur!BL131*Calculateur!BN131*VLOOKUP('Données projet'!$B$11,Paramètres!$A$1:$I$89,3,0)*0.475*44/12</f>
        <v>21.555349656223804</v>
      </c>
      <c r="BR131" s="21">
        <f>EXP(-LN(2)/2)*BR130+(1-EXP(-LN(2)/2))/(LN(2)/2)*BL131*BO131*VLOOKUP('Données projet'!$B$11,Paramètres!$A$1:$I$89,3,0)*0.475*44/12</f>
        <v>1.82531448509168</v>
      </c>
      <c r="BS131" s="22">
        <f t="shared" si="63"/>
        <v>122.27660511833336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283.73369613548124</v>
      </c>
      <c r="AO132" s="59">
        <f t="shared" si="90"/>
        <v>249.77804091581208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7.2581196581196474</v>
      </c>
      <c r="BD132" s="12">
        <f>IF('Données projet'!$A$88&gt;35,BD131+BC132-BL131,IF(A132&lt;'Données projet'!$A$88,$BA$205^A132,IF(A132='Données projet'!$A$88,'Données projet'!$B$88,BD131+BC132-BL131)))</f>
        <v>470.27094017094032</v>
      </c>
      <c r="BE132" s="13">
        <f>BD132*VLOOKUP('Données projet'!$B$11,Paramètres!$A$1:$I$89,3,0)*VLOOKUP('Données projet'!$B$11,Paramètres!$A$1:$I$89,5,0)</f>
        <v>232.31384444444453</v>
      </c>
      <c r="BF132" s="13">
        <f t="shared" si="91"/>
        <v>56.782696957049993</v>
      </c>
      <c r="BG132" s="20">
        <f t="shared" ref="BG132:BG153" si="115">(BE132+BF132)*0.475*44/12</f>
        <v>503.5098096076029</v>
      </c>
      <c r="BH132" s="59">
        <f t="shared" ref="BH132:BH195" si="116">BG132+(AY132+AZ132)*44/12</f>
        <v>796.84314294093622</v>
      </c>
      <c r="BI132" s="59">
        <f ca="1">AVERAGE(OFFSET($BH$3,0,0,'Données projet'!$E$11+1,1))-AVERAGE(OFFSET($H$3,0,0,'Données projet'!$E$11+1,1))</f>
        <v>263.7093252578133</v>
      </c>
      <c r="BJ132" s="59">
        <f t="shared" si="92"/>
        <v>123.27856176791568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96.956651895026383</v>
      </c>
      <c r="BQ132" s="21">
        <f>EXP(-LN(2)/25)*BQ131+(1-EXP(-LN(2)/25))/(LN(2)/25)*Calculateur!BL132*Calculateur!BN132*VLOOKUP('Données projet'!$B$11,Paramètres!$A$1:$I$89,3,0)*0.475*44/12</f>
        <v>20.96591748632779</v>
      </c>
      <c r="BR132" s="21">
        <f>EXP(-LN(2)/2)*BR131+(1-EXP(-LN(2)/2))/(LN(2)/2)*BL132*BO132*VLOOKUP('Données projet'!$B$11,Paramètres!$A$1:$I$89,3,0)*0.475*44/12</f>
        <v>1.2906922502063582</v>
      </c>
      <c r="BS132" s="22">
        <f t="shared" ref="BS132:BS153" si="117">SUM(BP132:BR132)</f>
        <v>119.21326163156054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283.73369613548124</v>
      </c>
      <c r="AO133" s="59">
        <f t="shared" ref="AO133:AO196" si="144">$AO$3</f>
        <v>249.77804091581208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7.2581196581196474</v>
      </c>
      <c r="BD133" s="12">
        <f>IF('Données projet'!$A$88&gt;35,BD132+BC133-BL132,IF(A133&lt;'Données projet'!$A$88,$BA$205^A133,IF(A133='Données projet'!$A$88,'Données projet'!$B$88,BD132+BC133-BL132)))</f>
        <v>477.52905982905997</v>
      </c>
      <c r="BE133" s="13">
        <f>BD133*VLOOKUP('Données projet'!$B$11,Paramètres!$A$1:$I$89,3,0)*VLOOKUP('Données projet'!$B$11,Paramètres!$A$1:$I$89,5,0)</f>
        <v>235.89935555555562</v>
      </c>
      <c r="BF133" s="13">
        <f t="shared" ref="BF133:BF153" si="145">EXP(-1.0587+0.8836*LN(BE133)+0.284)</f>
        <v>57.556373886377401</v>
      </c>
      <c r="BG133" s="20">
        <f t="shared" si="115"/>
        <v>511.10206211136665</v>
      </c>
      <c r="BH133" s="59">
        <f t="shared" si="116"/>
        <v>804.43539544469991</v>
      </c>
      <c r="BI133" s="59">
        <f ca="1">AVERAGE(OFFSET($BH$3,0,0,'Données projet'!$E$11+1,1))-AVERAGE(OFFSET($H$3,0,0,'Données projet'!$E$11+1,1))</f>
        <v>263.7093252578133</v>
      </c>
      <c r="BJ133" s="59">
        <f t="shared" ref="BJ133:BJ196" si="146">$BJ$3</f>
        <v>123.27856176791568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95.055391089083201</v>
      </c>
      <c r="BQ133" s="21">
        <f>EXP(-LN(2)/25)*BQ132+(1-EXP(-LN(2)/25))/(LN(2)/25)*Calculateur!BL133*Calculateur!BN133*VLOOKUP('Données projet'!$B$11,Paramètres!$A$1:$I$89,3,0)*0.475*44/12</f>
        <v>20.392603370114475</v>
      </c>
      <c r="BR133" s="21">
        <f>EXP(-LN(2)/2)*BR132+(1-EXP(-LN(2)/2))/(LN(2)/2)*BL133*BO133*VLOOKUP('Données projet'!$B$11,Paramètres!$A$1:$I$89,3,0)*0.475*44/12</f>
        <v>0.91265724254584002</v>
      </c>
      <c r="BS133" s="22">
        <f t="shared" si="117"/>
        <v>116.36065170174351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283.73369613548124</v>
      </c>
      <c r="AO134" s="59">
        <f t="shared" si="144"/>
        <v>249.77804091581208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7.2581196581196474</v>
      </c>
      <c r="BD134" s="12">
        <f>IF('Données projet'!$A$88&gt;35,BD133+BC134-BL133,IF(A134&lt;'Données projet'!$A$88,$BA$205^A134,IF(A134='Données projet'!$A$88,'Données projet'!$B$88,BD133+BC134-BL133)))</f>
        <v>484.78717948717963</v>
      </c>
      <c r="BE134" s="13">
        <f>BD134*VLOOKUP('Données projet'!$B$11,Paramètres!$A$1:$I$89,3,0)*VLOOKUP('Données projet'!$B$11,Paramètres!$A$1:$I$89,5,0)</f>
        <v>239.48486666666676</v>
      </c>
      <c r="BF134" s="13">
        <f t="shared" si="145"/>
        <v>58.32868317976444</v>
      </c>
      <c r="BG134" s="20">
        <f t="shared" si="115"/>
        <v>518.69193264920102</v>
      </c>
      <c r="BH134" s="59">
        <f t="shared" si="116"/>
        <v>812.02526598253439</v>
      </c>
      <c r="BI134" s="59">
        <f ca="1">AVERAGE(OFFSET($BH$3,0,0,'Données projet'!$E$11+1,1))-AVERAGE(OFFSET($H$3,0,0,'Données projet'!$E$11+1,1))</f>
        <v>263.7093252578133</v>
      </c>
      <c r="BJ134" s="59">
        <f t="shared" si="146"/>
        <v>123.27856176791568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93.191412847889993</v>
      </c>
      <c r="BQ134" s="21">
        <f>EXP(-LN(2)/25)*BQ133+(1-EXP(-LN(2)/25))/(LN(2)/25)*Calculateur!BL134*Calculateur!BN134*VLOOKUP('Données projet'!$B$11,Paramètres!$A$1:$I$89,3,0)*0.475*44/12</f>
        <v>19.834966558558293</v>
      </c>
      <c r="BR134" s="21">
        <f>EXP(-LN(2)/2)*BR133+(1-EXP(-LN(2)/2))/(LN(2)/2)*BL134*BO134*VLOOKUP('Données projet'!$B$11,Paramètres!$A$1:$I$89,3,0)*0.475*44/12</f>
        <v>0.64534612510317912</v>
      </c>
      <c r="BS134" s="22">
        <f t="shared" si="117"/>
        <v>113.67172553155146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283.73369613548124</v>
      </c>
      <c r="AO135" s="59">
        <f t="shared" si="144"/>
        <v>249.77804091581208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7.2581196581196474</v>
      </c>
      <c r="BD135" s="12">
        <f>IF('Données projet'!$A$88&gt;35,BD134+BC135-BL134,IF(A135&lt;'Données projet'!$A$88,$BA$205^A135,IF(A135='Données projet'!$A$88,'Données projet'!$B$88,BD134+BC135-BL134)))</f>
        <v>492.04529914529928</v>
      </c>
      <c r="BE135" s="13">
        <f>BD135*VLOOKUP('Données projet'!$B$11,Paramètres!$A$1:$I$89,3,0)*VLOOKUP('Données projet'!$B$11,Paramètres!$A$1:$I$89,5,0)</f>
        <v>243.07037777777785</v>
      </c>
      <c r="BF135" s="13">
        <f t="shared" si="145"/>
        <v>59.099647678343395</v>
      </c>
      <c r="BG135" s="20">
        <f t="shared" si="115"/>
        <v>526.2794610027446</v>
      </c>
      <c r="BH135" s="59">
        <f t="shared" si="116"/>
        <v>819.61279433607797</v>
      </c>
      <c r="BI135" s="59">
        <f ca="1">AVERAGE(OFFSET($BH$3,0,0,'Données projet'!$E$11+1,1))-AVERAGE(OFFSET($H$3,0,0,'Données projet'!$E$11+1,1))</f>
        <v>263.7093252578133</v>
      </c>
      <c r="BJ135" s="59">
        <f t="shared" si="146"/>
        <v>123.27856176791568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91.363986083092115</v>
      </c>
      <c r="BQ135" s="21">
        <f>EXP(-LN(2)/25)*BQ134+(1-EXP(-LN(2)/25))/(LN(2)/25)*Calculateur!BL135*Calculateur!BN135*VLOOKUP('Données projet'!$B$11,Paramètres!$A$1:$I$89,3,0)*0.475*44/12</f>
        <v>19.292578354938957</v>
      </c>
      <c r="BR135" s="21">
        <f>EXP(-LN(2)/2)*BR134+(1-EXP(-LN(2)/2))/(LN(2)/2)*BL135*BO135*VLOOKUP('Données projet'!$B$11,Paramètres!$A$1:$I$89,3,0)*0.475*44/12</f>
        <v>0.45632862127292001</v>
      </c>
      <c r="BS135" s="22">
        <f t="shared" si="117"/>
        <v>111.11289305930399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283.73369613548124</v>
      </c>
      <c r="AO136" s="59">
        <f t="shared" si="144"/>
        <v>249.77804091581208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7.2581196581196474</v>
      </c>
      <c r="BD136" s="12">
        <f>IF('Données projet'!$A$88&gt;35,BD135+BC136-BL135,IF(A136&lt;'Données projet'!$A$88,$BA$205^A136,IF(A136='Données projet'!$A$88,'Données projet'!$B$88,BD135+BC136-BL135)))</f>
        <v>499.30341880341894</v>
      </c>
      <c r="BE136" s="13">
        <f>BD136*VLOOKUP('Données projet'!$B$11,Paramètres!$A$1:$I$89,3,0)*VLOOKUP('Données projet'!$B$11,Paramètres!$A$1:$I$89,5,0)</f>
        <v>246.65588888888897</v>
      </c>
      <c r="BF136" s="13">
        <f t="shared" si="145"/>
        <v>59.869289510707695</v>
      </c>
      <c r="BG136" s="20">
        <f t="shared" si="115"/>
        <v>533.86468571263083</v>
      </c>
      <c r="BH136" s="59">
        <f t="shared" si="116"/>
        <v>827.1980190459642</v>
      </c>
      <c r="BI136" s="59">
        <f ca="1">AVERAGE(OFFSET($BH$3,0,0,'Données projet'!$E$11+1,1))-AVERAGE(OFFSET($H$3,0,0,'Données projet'!$E$11+1,1))</f>
        <v>263.7093252578133</v>
      </c>
      <c r="BJ136" s="59">
        <f t="shared" si="146"/>
        <v>123.27856176791568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89.572394042531656</v>
      </c>
      <c r="BQ136" s="21">
        <f>EXP(-LN(2)/25)*BQ135+(1-EXP(-LN(2)/25))/(LN(2)/25)*Calculateur!BL136*Calculateur!BN136*VLOOKUP('Données projet'!$B$11,Paramètres!$A$1:$I$89,3,0)*0.475*44/12</f>
        <v>18.765021785270548</v>
      </c>
      <c r="BR136" s="21">
        <f>EXP(-LN(2)/2)*BR135+(1-EXP(-LN(2)/2))/(LN(2)/2)*BL136*BO136*VLOOKUP('Données projet'!$B$11,Paramètres!$A$1:$I$89,3,0)*0.475*44/12</f>
        <v>0.32267306255158956</v>
      </c>
      <c r="BS136" s="22">
        <f t="shared" si="117"/>
        <v>108.66008889035379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283.73369613548124</v>
      </c>
      <c r="AO137" s="59">
        <f t="shared" si="144"/>
        <v>249.77804091581208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506.56153846153842</v>
      </c>
      <c r="BB137" s="12">
        <f>VLOOKUP(A137,'Données projet'!$A$87:$I$107,9,0)</f>
        <v>7.2581196581196474</v>
      </c>
      <c r="BC137" s="12">
        <f t="array" ref="BC137">INDEX(BB:BB,MIN(IF(ISNUMBER(BB137:BB333),ROW(BB137:BB333),"")))</f>
        <v>7.2581196581196474</v>
      </c>
      <c r="BD137" s="12">
        <f>IF('Données projet'!$A$88&gt;35,BD136+BC137-BL136,IF(A137&lt;'Données projet'!$A$88,$BA$205^A137,IF(A137='Données projet'!$A$88,'Données projet'!$B$88,BD136+BC137-BL136)))</f>
        <v>506.56153846153859</v>
      </c>
      <c r="BE137" s="13">
        <f>BD137*VLOOKUP('Données projet'!$B$11,Paramètres!$A$1:$I$89,3,0)*VLOOKUP('Données projet'!$B$11,Paramètres!$A$1:$I$89,5,0)</f>
        <v>250.24140000000006</v>
      </c>
      <c r="BF137" s="13">
        <f t="shared" si="145"/>
        <v>60.637630125168016</v>
      </c>
      <c r="BG137" s="20">
        <f t="shared" si="115"/>
        <v>541.44764413466771</v>
      </c>
      <c r="BH137" s="59">
        <f t="shared" si="116"/>
        <v>834.78097746800108</v>
      </c>
      <c r="BI137" s="59">
        <f ca="1">AVERAGE(OFFSET($BH$3,0,0,'Données projet'!$E$11+1,1))-AVERAGE(OFFSET($H$3,0,0,'Données projet'!$E$11+1,1))</f>
        <v>263.7093252578133</v>
      </c>
      <c r="BJ137" s="59">
        <f t="shared" si="146"/>
        <v>123.27856176791568</v>
      </c>
      <c r="BK137" s="15">
        <f>IF(ISNA(VLOOKUP(A137,'Données projet'!$A$87:$I$107,3,0)),0,VLOOKUP(A137,'Données projet'!$A$87:$I$107,3,0))</f>
        <v>12</v>
      </c>
      <c r="BL137" s="15">
        <f>IF(ISNA(VLOOKUP(A137,'Données projet'!$A$87:$I$107,4,0)),0,VLOOKUP(A137,'Données projet'!$A$87:$I$107,4,0))</f>
        <v>506.56153846153842</v>
      </c>
      <c r="BM137" s="16">
        <f>IF(ISNA(VLOOKUP(A137,'Données projet'!$A$87:$I$107,5,0)),0%,VLOOKUP(A137,'Données projet'!$A$87:$I$107,5,0)*VLOOKUP('Données projet'!$B$11,Paramètres!$A$1:$I$89,7,0))</f>
        <v>0.38500000000000001</v>
      </c>
      <c r="BN137" s="16">
        <f>IF(ISNA(VLOOKUP(A137,'Données projet'!$A$87:$I$107,6,0)),0%,VLOOKUP(A137,'Données projet'!$A$87:$I$107,6,0)*VLOOKUP('Données projet'!$B$11,Paramètres!$A$1:$I$89,7,0))</f>
        <v>9.240000000000001E-2</v>
      </c>
      <c r="BO137" s="16">
        <f>IF(ISNA(VLOOKUP(A137,'Données projet'!$A$87:$I$107,7,0)),0%,VLOOKUP(A137,'Données projet'!$A$87:$I$107,7,0))</f>
        <v>0.13200000000000001</v>
      </c>
      <c r="BP137" s="21">
        <f>EXP(-LN(2)/35)*BP136+(1-EXP(-LN(2)/35))/(LN(2)/35)*BL137*BM137*VLOOKUP('Données projet'!$B$11,Paramètres!$A$1:$I$89,3,0)*0.475*44/12</f>
        <v>215.62105243910318</v>
      </c>
      <c r="BQ137" s="21">
        <f>EXP(-LN(2)/25)*BQ136+(1-EXP(-LN(2)/25))/(LN(2)/25)*Calculateur!BL137*Calculateur!BN137*VLOOKUP('Données projet'!$B$11,Paramètres!$A$1:$I$89,3,0)*0.475*44/12</f>
        <v>48.804347508438347</v>
      </c>
      <c r="BR137" s="21">
        <f>EXP(-LN(2)/2)*BR136+(1-EXP(-LN(2)/2))/(LN(2)/2)*BL137*BO137*VLOOKUP('Données projet'!$B$11,Paramètres!$A$1:$I$89,3,0)*0.475*44/12</f>
        <v>37.627908484724053</v>
      </c>
      <c r="BS137" s="22">
        <f t="shared" si="117"/>
        <v>302.05330843226557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283.73369613548124</v>
      </c>
      <c r="AO138" s="59">
        <f t="shared" si="144"/>
        <v>249.77804091581208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8.424194675171749E-14</v>
      </c>
      <c r="BF138" s="13">
        <f t="shared" si="145"/>
        <v>1.2910675160666962E-12</v>
      </c>
      <c r="BG138" s="20">
        <f t="shared" si="115"/>
        <v>2.3953306477420704E-12</v>
      </c>
      <c r="BH138" s="59">
        <f t="shared" si="116"/>
        <v>293.3333333333357</v>
      </c>
      <c r="BI138" s="59">
        <f ca="1">AVERAGE(OFFSET($BH$3,0,0,'Données projet'!$E$11+1,1))-AVERAGE(OFFSET($H$3,0,0,'Données projet'!$E$11+1,1))</f>
        <v>263.7093252578133</v>
      </c>
      <c r="BJ138" s="59">
        <f t="shared" si="146"/>
        <v>123.27856176791568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211.39285511662825</v>
      </c>
      <c r="BQ138" s="21">
        <f>EXP(-LN(2)/25)*BQ137+(1-EXP(-LN(2)/25))/(LN(2)/25)*Calculateur!BL138*Calculateur!BN138*VLOOKUP('Données projet'!$B$11,Paramètres!$A$1:$I$89,3,0)*0.475*44/12</f>
        <v>47.469790059311009</v>
      </c>
      <c r="BR138" s="21">
        <f>EXP(-LN(2)/2)*BR137+(1-EXP(-LN(2)/2))/(LN(2)/2)*BL138*BO138*VLOOKUP('Données projet'!$B$11,Paramètres!$A$1:$I$89,3,0)*0.475*44/12</f>
        <v>26.606949251415209</v>
      </c>
      <c r="BS138" s="22">
        <f t="shared" si="117"/>
        <v>285.46959442735448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283.73369613548124</v>
      </c>
      <c r="AO139" s="59">
        <f t="shared" si="144"/>
        <v>249.77804091581208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8.424194675171749E-14</v>
      </c>
      <c r="BF139" s="13">
        <f t="shared" si="145"/>
        <v>1.2910675160666962E-12</v>
      </c>
      <c r="BG139" s="20">
        <f t="shared" si="115"/>
        <v>2.3953306477420704E-12</v>
      </c>
      <c r="BH139" s="59">
        <f t="shared" si="116"/>
        <v>293.3333333333357</v>
      </c>
      <c r="BI139" s="59">
        <f ca="1">AVERAGE(OFFSET($BH$3,0,0,'Données projet'!$E$11+1,1))-AVERAGE(OFFSET($H$3,0,0,'Données projet'!$E$11+1,1))</f>
        <v>263.7093252578133</v>
      </c>
      <c r="BJ139" s="59">
        <f t="shared" si="146"/>
        <v>123.27856176791568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207.24757016470133</v>
      </c>
      <c r="BQ139" s="21">
        <f>EXP(-LN(2)/25)*BQ138+(1-EXP(-LN(2)/25))/(LN(2)/25)*Calculateur!BL139*Calculateur!BN139*VLOOKUP('Données projet'!$B$11,Paramètres!$A$1:$I$89,3,0)*0.475*44/12</f>
        <v>46.171726153811385</v>
      </c>
      <c r="BR139" s="21">
        <f>EXP(-LN(2)/2)*BR138+(1-EXP(-LN(2)/2))/(LN(2)/2)*BL139*BO139*VLOOKUP('Données projet'!$B$11,Paramètres!$A$1:$I$89,3,0)*0.475*44/12</f>
        <v>18.81395424236203</v>
      </c>
      <c r="BS139" s="22">
        <f t="shared" si="117"/>
        <v>272.23325056087475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283.73369613548124</v>
      </c>
      <c r="AO140" s="59">
        <f t="shared" si="144"/>
        <v>249.77804091581208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8.424194675171749E-14</v>
      </c>
      <c r="BF140" s="13">
        <f t="shared" si="145"/>
        <v>1.2910675160666962E-12</v>
      </c>
      <c r="BG140" s="20">
        <f t="shared" si="115"/>
        <v>2.3953306477420704E-12</v>
      </c>
      <c r="BH140" s="59">
        <f t="shared" si="116"/>
        <v>293.3333333333357</v>
      </c>
      <c r="BI140" s="59">
        <f ca="1">AVERAGE(OFFSET($BH$3,0,0,'Données projet'!$E$11+1,1))-AVERAGE(OFFSET($H$3,0,0,'Données projet'!$E$11+1,1))</f>
        <v>263.7093252578133</v>
      </c>
      <c r="BJ140" s="59">
        <f t="shared" si="146"/>
        <v>123.27856176791568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203.18357172230753</v>
      </c>
      <c r="BQ140" s="21">
        <f>EXP(-LN(2)/25)*BQ139+(1-EXP(-LN(2)/25))/(LN(2)/25)*Calculateur!BL140*Calculateur!BN140*VLOOKUP('Données projet'!$B$11,Paramètres!$A$1:$I$89,3,0)*0.475*44/12</f>
        <v>44.909157874069862</v>
      </c>
      <c r="BR140" s="21">
        <f>EXP(-LN(2)/2)*BR139+(1-EXP(-LN(2)/2))/(LN(2)/2)*BL140*BO140*VLOOKUP('Données projet'!$B$11,Paramètres!$A$1:$I$89,3,0)*0.475*44/12</f>
        <v>13.303474625707606</v>
      </c>
      <c r="BS140" s="22">
        <f t="shared" si="117"/>
        <v>261.39620422208503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283.73369613548124</v>
      </c>
      <c r="AO141" s="59">
        <f t="shared" si="144"/>
        <v>249.77804091581208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8.424194675171749E-14</v>
      </c>
      <c r="BF141" s="13">
        <f t="shared" si="145"/>
        <v>1.2910675160666962E-12</v>
      </c>
      <c r="BG141" s="20">
        <f t="shared" si="115"/>
        <v>2.3953306477420704E-12</v>
      </c>
      <c r="BH141" s="59">
        <f t="shared" si="116"/>
        <v>293.3333333333357</v>
      </c>
      <c r="BI141" s="59">
        <f ca="1">AVERAGE(OFFSET($BH$3,0,0,'Données projet'!$E$11+1,1))-AVERAGE(OFFSET($H$3,0,0,'Données projet'!$E$11+1,1))</f>
        <v>263.7093252578133</v>
      </c>
      <c r="BJ141" s="59">
        <f t="shared" si="146"/>
        <v>123.27856176791568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199.19926581057479</v>
      </c>
      <c r="BQ141" s="21">
        <f>EXP(-LN(2)/25)*BQ140+(1-EXP(-LN(2)/25))/(LN(2)/25)*Calculateur!BL141*Calculateur!BN141*VLOOKUP('Données projet'!$B$11,Paramètres!$A$1:$I$89,3,0)*0.475*44/12</f>
        <v>43.681114590333451</v>
      </c>
      <c r="BR141" s="21">
        <f>EXP(-LN(2)/2)*BR140+(1-EXP(-LN(2)/2))/(LN(2)/2)*BL141*BO141*VLOOKUP('Données projet'!$B$11,Paramètres!$A$1:$I$89,3,0)*0.475*44/12</f>
        <v>9.4069771211810167</v>
      </c>
      <c r="BS141" s="22">
        <f t="shared" si="117"/>
        <v>252.28735752208925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283.73369613548124</v>
      </c>
      <c r="AO142" s="59">
        <f t="shared" si="144"/>
        <v>249.77804091581208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8.424194675171749E-14</v>
      </c>
      <c r="BF142" s="13">
        <f t="shared" si="145"/>
        <v>1.2910675160666962E-12</v>
      </c>
      <c r="BG142" s="20">
        <f t="shared" si="115"/>
        <v>2.3953306477420704E-12</v>
      </c>
      <c r="BH142" s="59">
        <f t="shared" si="116"/>
        <v>293.3333333333357</v>
      </c>
      <c r="BI142" s="59">
        <f ca="1">AVERAGE(OFFSET($BH$3,0,0,'Données projet'!$E$11+1,1))-AVERAGE(OFFSET($H$3,0,0,'Données projet'!$E$11+1,1))</f>
        <v>263.7093252578133</v>
      </c>
      <c r="BJ142" s="59">
        <f t="shared" si="146"/>
        <v>123.27856176791568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195.29308970758447</v>
      </c>
      <c r="BQ142" s="21">
        <f>EXP(-LN(2)/25)*BQ141+(1-EXP(-LN(2)/25))/(LN(2)/25)*Calculateur!BL142*Calculateur!BN142*VLOOKUP('Données projet'!$B$11,Paramètres!$A$1:$I$89,3,0)*0.475*44/12</f>
        <v>42.4866522147708</v>
      </c>
      <c r="BR142" s="21">
        <f>EXP(-LN(2)/2)*BR141+(1-EXP(-LN(2)/2))/(LN(2)/2)*BL142*BO142*VLOOKUP('Données projet'!$B$11,Paramètres!$A$1:$I$89,3,0)*0.475*44/12</f>
        <v>6.651737312853804</v>
      </c>
      <c r="BS142" s="22">
        <f t="shared" si="117"/>
        <v>244.43147923520908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283.73369613548124</v>
      </c>
      <c r="AO143" s="59">
        <f t="shared" si="144"/>
        <v>249.77804091581208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8.424194675171749E-14</v>
      </c>
      <c r="BF143" s="13">
        <f t="shared" si="145"/>
        <v>1.2910675160666962E-12</v>
      </c>
      <c r="BG143" s="20">
        <f t="shared" si="115"/>
        <v>2.3953306477420704E-12</v>
      </c>
      <c r="BH143" s="59">
        <f t="shared" si="116"/>
        <v>293.3333333333357</v>
      </c>
      <c r="BI143" s="59">
        <f ca="1">AVERAGE(OFFSET($BH$3,0,0,'Données projet'!$E$11+1,1))-AVERAGE(OFFSET($H$3,0,0,'Données projet'!$E$11+1,1))</f>
        <v>263.7093252578133</v>
      </c>
      <c r="BJ143" s="59">
        <f t="shared" si="146"/>
        <v>123.27856176791568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191.46351133544164</v>
      </c>
      <c r="BQ143" s="21">
        <f>EXP(-LN(2)/25)*BQ142+(1-EXP(-LN(2)/25))/(LN(2)/25)*Calculateur!BL143*Calculateur!BN143*VLOOKUP('Données projet'!$B$11,Paramètres!$A$1:$I$89,3,0)*0.475*44/12</f>
        <v>41.324852475681958</v>
      </c>
      <c r="BR143" s="21">
        <f>EXP(-LN(2)/2)*BR142+(1-EXP(-LN(2)/2))/(LN(2)/2)*BL143*BO143*VLOOKUP('Données projet'!$B$11,Paramètres!$A$1:$I$89,3,0)*0.475*44/12</f>
        <v>4.7034885605905083</v>
      </c>
      <c r="BS143" s="22">
        <f t="shared" si="117"/>
        <v>237.49185237171409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283.73369613548124</v>
      </c>
      <c r="AO144" s="59">
        <f t="shared" si="144"/>
        <v>249.77804091581208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8.424194675171749E-14</v>
      </c>
      <c r="BF144" s="13">
        <f t="shared" si="145"/>
        <v>1.2910675160666962E-12</v>
      </c>
      <c r="BG144" s="20">
        <f t="shared" si="115"/>
        <v>2.3953306477420704E-12</v>
      </c>
      <c r="BH144" s="59">
        <f t="shared" si="116"/>
        <v>293.3333333333357</v>
      </c>
      <c r="BI144" s="59">
        <f ca="1">AVERAGE(OFFSET($BH$3,0,0,'Données projet'!$E$11+1,1))-AVERAGE(OFFSET($H$3,0,0,'Données projet'!$E$11+1,1))</f>
        <v>263.7093252578133</v>
      </c>
      <c r="BJ144" s="59">
        <f t="shared" si="146"/>
        <v>123.27856176791568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187.70902865936435</v>
      </c>
      <c r="BQ144" s="21">
        <f>EXP(-LN(2)/25)*BQ143+(1-EXP(-LN(2)/25))/(LN(2)/25)*Calculateur!BL144*Calculateur!BN144*VLOOKUP('Données projet'!$B$11,Paramètres!$A$1:$I$89,3,0)*0.475*44/12</f>
        <v>40.194822211554893</v>
      </c>
      <c r="BR144" s="21">
        <f>EXP(-LN(2)/2)*BR143+(1-EXP(-LN(2)/2))/(LN(2)/2)*BL144*BO144*VLOOKUP('Données projet'!$B$11,Paramètres!$A$1:$I$89,3,0)*0.475*44/12</f>
        <v>3.325868656426902</v>
      </c>
      <c r="BS144" s="22">
        <f t="shared" si="117"/>
        <v>231.22971952734616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283.73369613548124</v>
      </c>
      <c r="AO145" s="59">
        <f t="shared" si="144"/>
        <v>249.77804091581208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8.424194675171749E-14</v>
      </c>
      <c r="BF145" s="13">
        <f t="shared" si="145"/>
        <v>1.2910675160666962E-12</v>
      </c>
      <c r="BG145" s="20">
        <f t="shared" si="115"/>
        <v>2.3953306477420704E-12</v>
      </c>
      <c r="BH145" s="59">
        <f t="shared" si="116"/>
        <v>293.3333333333357</v>
      </c>
      <c r="BI145" s="59">
        <f ca="1">AVERAGE(OFFSET($BH$3,0,0,'Données projet'!$E$11+1,1))-AVERAGE(OFFSET($H$3,0,0,'Données projet'!$E$11+1,1))</f>
        <v>263.7093252578133</v>
      </c>
      <c r="BJ145" s="59">
        <f t="shared" si="146"/>
        <v>123.27856176791568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184.02816909855662</v>
      </c>
      <c r="BQ145" s="21">
        <f>EXP(-LN(2)/25)*BQ144+(1-EXP(-LN(2)/25))/(LN(2)/25)*Calculateur!BL145*Calculateur!BN145*VLOOKUP('Données projet'!$B$11,Paramètres!$A$1:$I$89,3,0)*0.475*44/12</f>
        <v>39.095692684426091</v>
      </c>
      <c r="BR145" s="21">
        <f>EXP(-LN(2)/2)*BR144+(1-EXP(-LN(2)/2))/(LN(2)/2)*BL145*BO145*VLOOKUP('Données projet'!$B$11,Paramètres!$A$1:$I$89,3,0)*0.475*44/12</f>
        <v>2.3517442802952542</v>
      </c>
      <c r="BS145" s="22">
        <f t="shared" si="117"/>
        <v>225.47560606327798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283.73369613548124</v>
      </c>
      <c r="AO146" s="59">
        <f t="shared" si="144"/>
        <v>249.77804091581208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8.424194675171749E-14</v>
      </c>
      <c r="BF146" s="13">
        <f t="shared" si="145"/>
        <v>1.2910675160666962E-12</v>
      </c>
      <c r="BG146" s="20">
        <f t="shared" si="115"/>
        <v>2.3953306477420704E-12</v>
      </c>
      <c r="BH146" s="59">
        <f t="shared" si="116"/>
        <v>293.3333333333357</v>
      </c>
      <c r="BI146" s="59">
        <f ca="1">AVERAGE(OFFSET($BH$3,0,0,'Données projet'!$E$11+1,1))-AVERAGE(OFFSET($H$3,0,0,'Données projet'!$E$11+1,1))</f>
        <v>263.7093252578133</v>
      </c>
      <c r="BJ146" s="59">
        <f t="shared" si="146"/>
        <v>123.27856176791568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180.4194889486337</v>
      </c>
      <c r="BQ146" s="21">
        <f>EXP(-LN(2)/25)*BQ145+(1-EXP(-LN(2)/25))/(LN(2)/25)*Calculateur!BL146*Calculateur!BN146*VLOOKUP('Données projet'!$B$11,Paramètres!$A$1:$I$89,3,0)*0.475*44/12</f>
        <v>38.026618912017334</v>
      </c>
      <c r="BR146" s="21">
        <f>EXP(-LN(2)/2)*BR145+(1-EXP(-LN(2)/2))/(LN(2)/2)*BL146*BO146*VLOOKUP('Données projet'!$B$11,Paramètres!$A$1:$I$89,3,0)*0.475*44/12</f>
        <v>1.662934328213451</v>
      </c>
      <c r="BS146" s="22">
        <f t="shared" si="117"/>
        <v>220.10904218886449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283.73369613548124</v>
      </c>
      <c r="AO147" s="59">
        <f t="shared" si="144"/>
        <v>249.77804091581208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8.424194675171749E-14</v>
      </c>
      <c r="BF147" s="13">
        <f t="shared" si="145"/>
        <v>1.2910675160666962E-12</v>
      </c>
      <c r="BG147" s="20">
        <f t="shared" si="115"/>
        <v>2.3953306477420704E-12</v>
      </c>
      <c r="BH147" s="59">
        <f t="shared" si="116"/>
        <v>293.3333333333357</v>
      </c>
      <c r="BI147" s="59">
        <f ca="1">AVERAGE(OFFSET($BH$3,0,0,'Données projet'!$E$11+1,1))-AVERAGE(OFFSET($H$3,0,0,'Données projet'!$E$11+1,1))</f>
        <v>263.7093252578133</v>
      </c>
      <c r="BJ147" s="59">
        <f t="shared" si="146"/>
        <v>123.27856176791568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176.8815728153732</v>
      </c>
      <c r="BQ147" s="21">
        <f>EXP(-LN(2)/25)*BQ146+(1-EXP(-LN(2)/25))/(LN(2)/25)*Calculateur!BL147*Calculateur!BN147*VLOOKUP('Données projet'!$B$11,Paramètres!$A$1:$I$89,3,0)*0.475*44/12</f>
        <v>36.986779018135245</v>
      </c>
      <c r="BR147" s="21">
        <f>EXP(-LN(2)/2)*BR146+(1-EXP(-LN(2)/2))/(LN(2)/2)*BL147*BO147*VLOOKUP('Données projet'!$B$11,Paramètres!$A$1:$I$89,3,0)*0.475*44/12</f>
        <v>1.1758721401476271</v>
      </c>
      <c r="BS147" s="22">
        <f t="shared" si="117"/>
        <v>215.04422397365607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283.73369613548124</v>
      </c>
      <c r="AO148" s="59">
        <f t="shared" si="144"/>
        <v>249.77804091581208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8.424194675171749E-14</v>
      </c>
      <c r="BF148" s="13">
        <f t="shared" si="145"/>
        <v>1.2910675160666962E-12</v>
      </c>
      <c r="BG148" s="20">
        <f t="shared" si="115"/>
        <v>2.3953306477420704E-12</v>
      </c>
      <c r="BH148" s="59">
        <f t="shared" si="116"/>
        <v>293.3333333333357</v>
      </c>
      <c r="BI148" s="59">
        <f ca="1">AVERAGE(OFFSET($BH$3,0,0,'Données projet'!$E$11+1,1))-AVERAGE(OFFSET($H$3,0,0,'Données projet'!$E$11+1,1))</f>
        <v>263.7093252578133</v>
      </c>
      <c r="BJ148" s="59">
        <f t="shared" si="146"/>
        <v>123.27856176791568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173.41303305957018</v>
      </c>
      <c r="BQ148" s="21">
        <f>EXP(-LN(2)/25)*BQ147+(1-EXP(-LN(2)/25))/(LN(2)/25)*Calculateur!BL148*Calculateur!BN148*VLOOKUP('Données projet'!$B$11,Paramètres!$A$1:$I$89,3,0)*0.475*44/12</f>
        <v>35.97537360083416</v>
      </c>
      <c r="BR148" s="21">
        <f>EXP(-LN(2)/2)*BR147+(1-EXP(-LN(2)/2))/(LN(2)/2)*BL148*BO148*VLOOKUP('Données projet'!$B$11,Paramètres!$A$1:$I$89,3,0)*0.475*44/12</f>
        <v>0.8314671641067255</v>
      </c>
      <c r="BS148" s="22">
        <f t="shared" si="117"/>
        <v>210.21987382451107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283.73369613548124</v>
      </c>
      <c r="AO149" s="59">
        <f t="shared" si="144"/>
        <v>249.77804091581208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8.424194675171749E-14</v>
      </c>
      <c r="BF149" s="13">
        <f t="shared" si="145"/>
        <v>1.2910675160666962E-12</v>
      </c>
      <c r="BG149" s="20">
        <f t="shared" si="115"/>
        <v>2.3953306477420704E-12</v>
      </c>
      <c r="BH149" s="59">
        <f t="shared" si="116"/>
        <v>293.3333333333357</v>
      </c>
      <c r="BI149" s="59">
        <f ca="1">AVERAGE(OFFSET($BH$3,0,0,'Données projet'!$E$11+1,1))-AVERAGE(OFFSET($H$3,0,0,'Données projet'!$E$11+1,1))</f>
        <v>263.7093252578133</v>
      </c>
      <c r="BJ149" s="59">
        <f t="shared" si="146"/>
        <v>123.27856176791568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170.0125092527781</v>
      </c>
      <c r="BQ149" s="21">
        <f>EXP(-LN(2)/25)*BQ148+(1-EXP(-LN(2)/25))/(LN(2)/25)*Calculateur!BL149*Calculateur!BN149*VLOOKUP('Données projet'!$B$11,Paramètres!$A$1:$I$89,3,0)*0.475*44/12</f>
        <v>34.991625117856678</v>
      </c>
      <c r="BR149" s="21">
        <f>EXP(-LN(2)/2)*BR148+(1-EXP(-LN(2)/2))/(LN(2)/2)*BL149*BO149*VLOOKUP('Données projet'!$B$11,Paramètres!$A$1:$I$89,3,0)*0.475*44/12</f>
        <v>0.58793607007381354</v>
      </c>
      <c r="BS149" s="22">
        <f t="shared" si="117"/>
        <v>205.5920704407086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283.73369613548124</v>
      </c>
      <c r="AO150" s="59">
        <f t="shared" si="144"/>
        <v>249.77804091581208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8.424194675171749E-14</v>
      </c>
      <c r="BF150" s="13">
        <f t="shared" si="145"/>
        <v>1.2910675160666962E-12</v>
      </c>
      <c r="BG150" s="20">
        <f t="shared" si="115"/>
        <v>2.3953306477420704E-12</v>
      </c>
      <c r="BH150" s="59">
        <f t="shared" si="116"/>
        <v>293.3333333333357</v>
      </c>
      <c r="BI150" s="59">
        <f ca="1">AVERAGE(OFFSET($BH$3,0,0,'Données projet'!$E$11+1,1))-AVERAGE(OFFSET($H$3,0,0,'Données projet'!$E$11+1,1))</f>
        <v>263.7093252578133</v>
      </c>
      <c r="BJ150" s="59">
        <f t="shared" si="146"/>
        <v>123.27856176791568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166.67866764372249</v>
      </c>
      <c r="BQ150" s="21">
        <f>EXP(-LN(2)/25)*BQ149+(1-EXP(-LN(2)/25))/(LN(2)/25)*Calculateur!BL150*Calculateur!BN150*VLOOKUP('Données projet'!$B$11,Paramètres!$A$1:$I$89,3,0)*0.475*44/12</f>
        <v>34.034777288879297</v>
      </c>
      <c r="BR150" s="21">
        <f>EXP(-LN(2)/2)*BR149+(1-EXP(-LN(2)/2))/(LN(2)/2)*BL150*BO150*VLOOKUP('Données projet'!$B$11,Paramètres!$A$1:$I$89,3,0)*0.475*44/12</f>
        <v>0.41573358205336275</v>
      </c>
      <c r="BS150" s="22">
        <f t="shared" si="117"/>
        <v>201.12917851465514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283.73369613548124</v>
      </c>
      <c r="AO151" s="59">
        <f t="shared" si="144"/>
        <v>249.77804091581208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8.424194675171749E-14</v>
      </c>
      <c r="BF151" s="13">
        <f t="shared" si="145"/>
        <v>1.2910675160666962E-12</v>
      </c>
      <c r="BG151" s="20">
        <f t="shared" si="115"/>
        <v>2.3953306477420704E-12</v>
      </c>
      <c r="BH151" s="59">
        <f t="shared" si="116"/>
        <v>293.3333333333357</v>
      </c>
      <c r="BI151" s="59">
        <f ca="1">AVERAGE(OFFSET($BH$3,0,0,'Données projet'!$E$11+1,1))-AVERAGE(OFFSET($H$3,0,0,'Données projet'!$E$11+1,1))</f>
        <v>263.7093252578133</v>
      </c>
      <c r="BJ151" s="59">
        <f t="shared" si="146"/>
        <v>123.27856176791568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163.41020063517789</v>
      </c>
      <c r="BQ151" s="21">
        <f>EXP(-LN(2)/25)*BQ150+(1-EXP(-LN(2)/25))/(LN(2)/25)*Calculateur!BL151*Calculateur!BN151*VLOOKUP('Données projet'!$B$11,Paramètres!$A$1:$I$89,3,0)*0.475*44/12</f>
        <v>33.104094514103743</v>
      </c>
      <c r="BR151" s="21">
        <f>EXP(-LN(2)/2)*BR150+(1-EXP(-LN(2)/2))/(LN(2)/2)*BL151*BO151*VLOOKUP('Données projet'!$B$11,Paramètres!$A$1:$I$89,3,0)*0.475*44/12</f>
        <v>0.29396803503690677</v>
      </c>
      <c r="BS151" s="22">
        <f t="shared" si="117"/>
        <v>196.80826318431852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283.73369613548124</v>
      </c>
      <c r="AO152" s="59">
        <f t="shared" si="144"/>
        <v>249.77804091581208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8.424194675171749E-14</v>
      </c>
      <c r="BF152" s="13">
        <f t="shared" si="145"/>
        <v>1.2910675160666962E-12</v>
      </c>
      <c r="BG152" s="20">
        <f t="shared" si="115"/>
        <v>2.3953306477420704E-12</v>
      </c>
      <c r="BH152" s="59">
        <f t="shared" si="116"/>
        <v>293.3333333333357</v>
      </c>
      <c r="BI152" s="59">
        <f ca="1">AVERAGE(OFFSET($BH$3,0,0,'Données projet'!$E$11+1,1))-AVERAGE(OFFSET($H$3,0,0,'Données projet'!$E$11+1,1))</f>
        <v>263.7093252578133</v>
      </c>
      <c r="BJ152" s="59">
        <f t="shared" si="146"/>
        <v>123.27856176791568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160.20582627110281</v>
      </c>
      <c r="BQ152" s="21">
        <f>EXP(-LN(2)/25)*BQ151+(1-EXP(-LN(2)/25))/(LN(2)/25)*Calculateur!BL152*Calculateur!BN152*VLOOKUP('Données projet'!$B$11,Paramètres!$A$1:$I$89,3,0)*0.475*44/12</f>
        <v>32.198861308746906</v>
      </c>
      <c r="BR152" s="21">
        <f>EXP(-LN(2)/2)*BR151+(1-EXP(-LN(2)/2))/(LN(2)/2)*BL152*BO152*VLOOKUP('Données projet'!$B$11,Paramètres!$A$1:$I$89,3,0)*0.475*44/12</f>
        <v>0.20786679102668137</v>
      </c>
      <c r="BS152" s="22">
        <f t="shared" si="117"/>
        <v>192.61255437087638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283.73369613548124</v>
      </c>
      <c r="AO153" s="59">
        <f t="shared" si="144"/>
        <v>249.77804091581208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8.424194675171749E-14</v>
      </c>
      <c r="BF153" s="13">
        <f t="shared" si="145"/>
        <v>1.2910675160666962E-12</v>
      </c>
      <c r="BG153" s="20">
        <f t="shared" si="115"/>
        <v>2.3953306477420704E-12</v>
      </c>
      <c r="BH153" s="59">
        <f t="shared" si="116"/>
        <v>293.3333333333357</v>
      </c>
      <c r="BI153" s="59">
        <f ca="1">AVERAGE(OFFSET($BH$3,0,0,'Données projet'!$E$11+1,1))-AVERAGE(OFFSET($H$3,0,0,'Données projet'!$E$11+1,1))</f>
        <v>263.7093252578133</v>
      </c>
      <c r="BJ153" s="59">
        <f t="shared" si="146"/>
        <v>123.27856176791568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157.06428773383186</v>
      </c>
      <c r="BQ153" s="21">
        <f>EXP(-LN(2)/25)*BQ152+(1-EXP(-LN(2)/25))/(LN(2)/25)*Calculateur!BL153*Calculateur!BN153*VLOOKUP('Données projet'!$B$11,Paramètres!$A$1:$I$89,3,0)*0.475*44/12</f>
        <v>31.318381752994696</v>
      </c>
      <c r="BR153" s="21">
        <f>EXP(-LN(2)/2)*BR152+(1-EXP(-LN(2)/2))/(LN(2)/2)*BL153*BO153*VLOOKUP('Données projet'!$B$11,Paramètres!$A$1:$I$89,3,0)*0.475*44/12</f>
        <v>0.14698401751845339</v>
      </c>
      <c r="BS153" s="22">
        <f t="shared" si="117"/>
        <v>188.52965350434502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283.73369613548124</v>
      </c>
      <c r="AO154" s="59">
        <f t="shared" si="144"/>
        <v>249.77804091581208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8.424194675171749E-14</v>
      </c>
      <c r="BF154" s="13">
        <f t="shared" ref="BF154:BF203" si="167">EXP(-1.0587+0.8836*LN(BE154)+0.284)</f>
        <v>1.2910675160666962E-12</v>
      </c>
      <c r="BG154" s="20">
        <f t="shared" ref="BG154:BG203" si="168">(BE154+BF154)*0.475*44/12</f>
        <v>2.3953306477420704E-12</v>
      </c>
      <c r="BH154" s="59">
        <f t="shared" si="116"/>
        <v>293.3333333333357</v>
      </c>
      <c r="BI154" s="59">
        <f ca="1">AVERAGE(OFFSET($BH$3,0,0,'Données projet'!$E$11+1,1))-AVERAGE(OFFSET($H$3,0,0,'Données projet'!$E$11+1,1))</f>
        <v>263.7093252578133</v>
      </c>
      <c r="BJ154" s="59">
        <f t="shared" si="146"/>
        <v>123.27856176791568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153.98435285112748</v>
      </c>
      <c r="BQ154" s="21">
        <f>EXP(-LN(2)/25)*BQ153+(1-EXP(-LN(2)/25))/(LN(2)/25)*Calculateur!BL154*Calculateur!BN154*VLOOKUP('Données projet'!$B$11,Paramètres!$A$1:$I$89,3,0)*0.475*44/12</f>
        <v>30.461978956996941</v>
      </c>
      <c r="BR154" s="21">
        <f>EXP(-LN(2)/2)*BR153+(1-EXP(-LN(2)/2))/(LN(2)/2)*BL154*BO154*VLOOKUP('Données projet'!$B$11,Paramètres!$A$1:$I$89,3,0)*0.475*44/12</f>
        <v>0.10393339551334069</v>
      </c>
      <c r="BS154" s="22">
        <f t="shared" ref="BS154:BS203" si="169">SUM(BP154:BR154)</f>
        <v>184.55026520363776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283.73369613548124</v>
      </c>
      <c r="AO155" s="59">
        <f t="shared" si="144"/>
        <v>249.77804091581208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8.424194675171749E-14</v>
      </c>
      <c r="BF155" s="13">
        <f t="shared" si="167"/>
        <v>1.2910675160666962E-12</v>
      </c>
      <c r="BG155" s="20">
        <f t="shared" si="168"/>
        <v>2.3953306477420704E-12</v>
      </c>
      <c r="BH155" s="59">
        <f t="shared" si="116"/>
        <v>293.3333333333357</v>
      </c>
      <c r="BI155" s="59">
        <f ca="1">AVERAGE(OFFSET($BH$3,0,0,'Données projet'!$E$11+1,1))-AVERAGE(OFFSET($H$3,0,0,'Données projet'!$E$11+1,1))</f>
        <v>263.7093252578133</v>
      </c>
      <c r="BJ155" s="59">
        <f t="shared" si="146"/>
        <v>123.27856176791568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150.96481361289815</v>
      </c>
      <c r="BQ155" s="21">
        <f>EXP(-LN(2)/25)*BQ154+(1-EXP(-LN(2)/25))/(LN(2)/25)*Calculateur!BL155*Calculateur!BN155*VLOOKUP('Données projet'!$B$11,Paramètres!$A$1:$I$89,3,0)*0.475*44/12</f>
        <v>29.628994540492009</v>
      </c>
      <c r="BR155" s="21">
        <f>EXP(-LN(2)/2)*BR154+(1-EXP(-LN(2)/2))/(LN(2)/2)*BL155*BO155*VLOOKUP('Données projet'!$B$11,Paramètres!$A$1:$I$89,3,0)*0.475*44/12</f>
        <v>7.3492008759226693E-2</v>
      </c>
      <c r="BS155" s="22">
        <f t="shared" si="169"/>
        <v>180.66730016214939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283.73369613548124</v>
      </c>
      <c r="AO156" s="59">
        <f t="shared" si="144"/>
        <v>249.77804091581208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8.424194675171749E-14</v>
      </c>
      <c r="BF156" s="13">
        <f t="shared" si="167"/>
        <v>1.2910675160666962E-12</v>
      </c>
      <c r="BG156" s="20">
        <f t="shared" si="168"/>
        <v>2.3953306477420704E-12</v>
      </c>
      <c r="BH156" s="59">
        <f t="shared" si="116"/>
        <v>293.3333333333357</v>
      </c>
      <c r="BI156" s="59">
        <f ca="1">AVERAGE(OFFSET($BH$3,0,0,'Données projet'!$E$11+1,1))-AVERAGE(OFFSET($H$3,0,0,'Données projet'!$E$11+1,1))</f>
        <v>263.7093252578133</v>
      </c>
      <c r="BJ156" s="59">
        <f t="shared" si="146"/>
        <v>123.27856176791568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148.00448569739345</v>
      </c>
      <c r="BQ156" s="21">
        <f>EXP(-LN(2)/25)*BQ155+(1-EXP(-LN(2)/25))/(LN(2)/25)*Calculateur!BL156*Calculateur!BN156*VLOOKUP('Données projet'!$B$11,Paramètres!$A$1:$I$89,3,0)*0.475*44/12</f>
        <v>28.818788126661151</v>
      </c>
      <c r="BR156" s="21">
        <f>EXP(-LN(2)/2)*BR155+(1-EXP(-LN(2)/2))/(LN(2)/2)*BL156*BO156*VLOOKUP('Données projet'!$B$11,Paramètres!$A$1:$I$89,3,0)*0.475*44/12</f>
        <v>5.1966697756670344E-2</v>
      </c>
      <c r="BS156" s="22">
        <f t="shared" si="169"/>
        <v>176.87524052181129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283.73369613548124</v>
      </c>
      <c r="AO157" s="59">
        <f t="shared" si="144"/>
        <v>249.77804091581208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8.424194675171749E-14</v>
      </c>
      <c r="BF157" s="13">
        <f t="shared" si="167"/>
        <v>1.2910675160666962E-12</v>
      </c>
      <c r="BG157" s="20">
        <f t="shared" si="168"/>
        <v>2.3953306477420704E-12</v>
      </c>
      <c r="BH157" s="59">
        <f t="shared" si="116"/>
        <v>293.3333333333357</v>
      </c>
      <c r="BI157" s="59">
        <f ca="1">AVERAGE(OFFSET($BH$3,0,0,'Données projet'!$E$11+1,1))-AVERAGE(OFFSET($H$3,0,0,'Données projet'!$E$11+1,1))</f>
        <v>263.7093252578133</v>
      </c>
      <c r="BJ157" s="59">
        <f t="shared" si="146"/>
        <v>123.27856176791568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145.10220800669003</v>
      </c>
      <c r="BQ157" s="21">
        <f>EXP(-LN(2)/25)*BQ156+(1-EXP(-LN(2)/25))/(LN(2)/25)*Calculateur!BL157*Calculateur!BN157*VLOOKUP('Données projet'!$B$11,Paramètres!$A$1:$I$89,3,0)*0.475*44/12</f>
        <v>28.030736849823398</v>
      </c>
      <c r="BR157" s="21">
        <f>EXP(-LN(2)/2)*BR156+(1-EXP(-LN(2)/2))/(LN(2)/2)*BL157*BO157*VLOOKUP('Données projet'!$B$11,Paramètres!$A$1:$I$89,3,0)*0.475*44/12</f>
        <v>3.6746004379613346E-2</v>
      </c>
      <c r="BS157" s="22">
        <f t="shared" si="169"/>
        <v>173.16969086089304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283.73369613548124</v>
      </c>
      <c r="AO158" s="59">
        <f t="shared" si="144"/>
        <v>249.77804091581208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8.424194675171749E-14</v>
      </c>
      <c r="BF158" s="13">
        <f t="shared" si="167"/>
        <v>1.2910675160666962E-12</v>
      </c>
      <c r="BG158" s="20">
        <f t="shared" si="168"/>
        <v>2.3953306477420704E-12</v>
      </c>
      <c r="BH158" s="59">
        <f t="shared" si="116"/>
        <v>293.3333333333357</v>
      </c>
      <c r="BI158" s="59">
        <f ca="1">AVERAGE(OFFSET($BH$3,0,0,'Données projet'!$E$11+1,1))-AVERAGE(OFFSET($H$3,0,0,'Données projet'!$E$11+1,1))</f>
        <v>263.7093252578133</v>
      </c>
      <c r="BJ158" s="59">
        <f t="shared" si="146"/>
        <v>123.27856176791568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142.25684221128671</v>
      </c>
      <c r="BQ158" s="21">
        <f>EXP(-LN(2)/25)*BQ157+(1-EXP(-LN(2)/25))/(LN(2)/25)*Calculateur!BL158*Calculateur!BN158*VLOOKUP('Données projet'!$B$11,Paramètres!$A$1:$I$89,3,0)*0.475*44/12</f>
        <v>27.264234876592592</v>
      </c>
      <c r="BR158" s="21">
        <f>EXP(-LN(2)/2)*BR157+(1-EXP(-LN(2)/2))/(LN(2)/2)*BL158*BO158*VLOOKUP('Données projet'!$B$11,Paramètres!$A$1:$I$89,3,0)*0.475*44/12</f>
        <v>2.5983348878335172E-2</v>
      </c>
      <c r="BS158" s="22">
        <f t="shared" si="169"/>
        <v>169.54706043675762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283.73369613548124</v>
      </c>
      <c r="AO159" s="59">
        <f t="shared" si="144"/>
        <v>249.77804091581208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8.424194675171749E-14</v>
      </c>
      <c r="BF159" s="13">
        <f t="shared" si="167"/>
        <v>1.2910675160666962E-12</v>
      </c>
      <c r="BG159" s="20">
        <f t="shared" si="168"/>
        <v>2.3953306477420704E-12</v>
      </c>
      <c r="BH159" s="59">
        <f t="shared" si="116"/>
        <v>293.3333333333357</v>
      </c>
      <c r="BI159" s="59">
        <f ca="1">AVERAGE(OFFSET($BH$3,0,0,'Données projet'!$E$11+1,1))-AVERAGE(OFFSET($H$3,0,0,'Données projet'!$E$11+1,1))</f>
        <v>263.7093252578133</v>
      </c>
      <c r="BJ159" s="59">
        <f t="shared" si="146"/>
        <v>123.27856176791568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139.4672723036295</v>
      </c>
      <c r="BQ159" s="21">
        <f>EXP(-LN(2)/25)*BQ158+(1-EXP(-LN(2)/25))/(LN(2)/25)*Calculateur!BL159*Calculateur!BN159*VLOOKUP('Données projet'!$B$11,Paramètres!$A$1:$I$89,3,0)*0.475*44/12</f>
        <v>26.518692940128368</v>
      </c>
      <c r="BR159" s="21">
        <f>EXP(-LN(2)/2)*BR158+(1-EXP(-LN(2)/2))/(LN(2)/2)*BL159*BO159*VLOOKUP('Données projet'!$B$11,Paramètres!$A$1:$I$89,3,0)*0.475*44/12</f>
        <v>1.8373002189806673E-2</v>
      </c>
      <c r="BS159" s="22">
        <f t="shared" si="169"/>
        <v>166.00433824594768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283.73369613548124</v>
      </c>
      <c r="AO160" s="59">
        <f t="shared" si="144"/>
        <v>249.77804091581208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8.424194675171749E-14</v>
      </c>
      <c r="BF160" s="13">
        <f t="shared" si="167"/>
        <v>1.2910675160666962E-12</v>
      </c>
      <c r="BG160" s="20">
        <f t="shared" si="168"/>
        <v>2.3953306477420704E-12</v>
      </c>
      <c r="BH160" s="59">
        <f t="shared" si="116"/>
        <v>293.3333333333357</v>
      </c>
      <c r="BI160" s="59">
        <f ca="1">AVERAGE(OFFSET($BH$3,0,0,'Données projet'!$E$11+1,1))-AVERAGE(OFFSET($H$3,0,0,'Données projet'!$E$11+1,1))</f>
        <v>263.7093252578133</v>
      </c>
      <c r="BJ160" s="59">
        <f t="shared" si="146"/>
        <v>123.27856176791568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136.73240416039181</v>
      </c>
      <c r="BQ160" s="21">
        <f>EXP(-LN(2)/25)*BQ159+(1-EXP(-LN(2)/25))/(LN(2)/25)*Calculateur!BL160*Calculateur!BN160*VLOOKUP('Données projet'!$B$11,Paramètres!$A$1:$I$89,3,0)*0.475*44/12</f>
        <v>25.793537887123104</v>
      </c>
      <c r="BR160" s="21">
        <f>EXP(-LN(2)/2)*BR159+(1-EXP(-LN(2)/2))/(LN(2)/2)*BL160*BO160*VLOOKUP('Données projet'!$B$11,Paramètres!$A$1:$I$89,3,0)*0.475*44/12</f>
        <v>1.2991674439167586E-2</v>
      </c>
      <c r="BS160" s="22">
        <f t="shared" si="169"/>
        <v>162.53893372195409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283.73369613548124</v>
      </c>
      <c r="AO161" s="59">
        <f t="shared" si="144"/>
        <v>249.77804091581208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8.424194675171749E-14</v>
      </c>
      <c r="BF161" s="13">
        <f t="shared" si="167"/>
        <v>1.2910675160666962E-12</v>
      </c>
      <c r="BG161" s="20">
        <f t="shared" si="168"/>
        <v>2.3953306477420704E-12</v>
      </c>
      <c r="BH161" s="59">
        <f t="shared" si="116"/>
        <v>293.3333333333357</v>
      </c>
      <c r="BI161" s="59">
        <f ca="1">AVERAGE(OFFSET($BH$3,0,0,'Données projet'!$E$11+1,1))-AVERAGE(OFFSET($H$3,0,0,'Données projet'!$E$11+1,1))</f>
        <v>263.7093252578133</v>
      </c>
      <c r="BJ161" s="59">
        <f t="shared" si="146"/>
        <v>123.27856176791568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134.05116511333813</v>
      </c>
      <c r="BQ161" s="21">
        <f>EXP(-LN(2)/25)*BQ160+(1-EXP(-LN(2)/25))/(LN(2)/25)*Calculateur!BL161*Calculateur!BN161*VLOOKUP('Données projet'!$B$11,Paramètres!$A$1:$I$89,3,0)*0.475*44/12</f>
        <v>25.088212237176517</v>
      </c>
      <c r="BR161" s="21">
        <f>EXP(-LN(2)/2)*BR160+(1-EXP(-LN(2)/2))/(LN(2)/2)*BL161*BO161*VLOOKUP('Données projet'!$B$11,Paramètres!$A$1:$I$89,3,0)*0.475*44/12</f>
        <v>9.1865010949033366E-3</v>
      </c>
      <c r="BS161" s="22">
        <f t="shared" si="169"/>
        <v>159.14856385160957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283.73369613548124</v>
      </c>
      <c r="AO162" s="59">
        <f t="shared" si="144"/>
        <v>249.77804091581208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8.424194675171749E-14</v>
      </c>
      <c r="BF162" s="13">
        <f t="shared" si="167"/>
        <v>1.2910675160666962E-12</v>
      </c>
      <c r="BG162" s="20">
        <f t="shared" si="168"/>
        <v>2.3953306477420704E-12</v>
      </c>
      <c r="BH162" s="59">
        <f t="shared" si="116"/>
        <v>293.3333333333357</v>
      </c>
      <c r="BI162" s="59">
        <f ca="1">AVERAGE(OFFSET($BH$3,0,0,'Données projet'!$E$11+1,1))-AVERAGE(OFFSET($H$3,0,0,'Données projet'!$E$11+1,1))</f>
        <v>263.7093252578133</v>
      </c>
      <c r="BJ162" s="59">
        <f t="shared" si="146"/>
        <v>123.27856176791568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131.42250352860285</v>
      </c>
      <c r="BQ162" s="21">
        <f>EXP(-LN(2)/25)*BQ161+(1-EXP(-LN(2)/25))/(LN(2)/25)*Calculateur!BL162*Calculateur!BN162*VLOOKUP('Données projet'!$B$11,Paramètres!$A$1:$I$89,3,0)*0.475*44/12</f>
        <v>24.402173754219184</v>
      </c>
      <c r="BR162" s="21">
        <f>EXP(-LN(2)/2)*BR161+(1-EXP(-LN(2)/2))/(LN(2)/2)*BL162*BO162*VLOOKUP('Données projet'!$B$11,Paramètres!$A$1:$I$89,3,0)*0.475*44/12</f>
        <v>6.495837219583793E-3</v>
      </c>
      <c r="BS162" s="22">
        <f t="shared" si="169"/>
        <v>155.8311731200416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283.73369613548124</v>
      </c>
      <c r="AO163" s="59">
        <f t="shared" si="144"/>
        <v>249.77804091581208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8.424194675171749E-14</v>
      </c>
      <c r="BF163" s="13">
        <f t="shared" si="167"/>
        <v>1.2910675160666962E-12</v>
      </c>
      <c r="BG163" s="20">
        <f t="shared" si="168"/>
        <v>2.3953306477420704E-12</v>
      </c>
      <c r="BH163" s="59">
        <f t="shared" si="116"/>
        <v>293.3333333333357</v>
      </c>
      <c r="BI163" s="59">
        <f ca="1">AVERAGE(OFFSET($BH$3,0,0,'Données projet'!$E$11+1,1))-AVERAGE(OFFSET($H$3,0,0,'Données projet'!$E$11+1,1))</f>
        <v>263.7093252578133</v>
      </c>
      <c r="BJ163" s="59">
        <f t="shared" si="146"/>
        <v>123.27856176791568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128.84538839421899</v>
      </c>
      <c r="BQ163" s="21">
        <f>EXP(-LN(2)/25)*BQ162+(1-EXP(-LN(2)/25))/(LN(2)/25)*Calculateur!BL163*Calculateur!BN163*VLOOKUP('Données projet'!$B$11,Paramètres!$A$1:$I$89,3,0)*0.475*44/12</f>
        <v>23.734895029655515</v>
      </c>
      <c r="BR163" s="21">
        <f>EXP(-LN(2)/2)*BR162+(1-EXP(-LN(2)/2))/(LN(2)/2)*BL163*BO163*VLOOKUP('Données projet'!$B$11,Paramètres!$A$1:$I$89,3,0)*0.475*44/12</f>
        <v>4.5932505474516683E-3</v>
      </c>
      <c r="BS163" s="22">
        <f t="shared" si="169"/>
        <v>152.58487667442196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283.73369613548124</v>
      </c>
      <c r="AO164" s="59">
        <f t="shared" si="144"/>
        <v>249.77804091581208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8.424194675171749E-14</v>
      </c>
      <c r="BF164" s="13">
        <f t="shared" si="167"/>
        <v>1.2910675160666962E-12</v>
      </c>
      <c r="BG164" s="20">
        <f t="shared" si="168"/>
        <v>2.3953306477420704E-12</v>
      </c>
      <c r="BH164" s="59">
        <f t="shared" si="116"/>
        <v>293.3333333333357</v>
      </c>
      <c r="BI164" s="59">
        <f ca="1">AVERAGE(OFFSET($BH$3,0,0,'Données projet'!$E$11+1,1))-AVERAGE(OFFSET($H$3,0,0,'Données projet'!$E$11+1,1))</f>
        <v>263.7093252578133</v>
      </c>
      <c r="BJ164" s="59">
        <f t="shared" si="146"/>
        <v>123.27856176791568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126.31880891573536</v>
      </c>
      <c r="BQ164" s="21">
        <f>EXP(-LN(2)/25)*BQ163+(1-EXP(-LN(2)/25))/(LN(2)/25)*Calculateur!BL164*Calculateur!BN164*VLOOKUP('Données projet'!$B$11,Paramètres!$A$1:$I$89,3,0)*0.475*44/12</f>
        <v>23.085863076905703</v>
      </c>
      <c r="BR164" s="21">
        <f>EXP(-LN(2)/2)*BR163+(1-EXP(-LN(2)/2))/(LN(2)/2)*BL164*BO164*VLOOKUP('Données projet'!$B$11,Paramètres!$A$1:$I$89,3,0)*0.475*44/12</f>
        <v>3.2479186097918965E-3</v>
      </c>
      <c r="BS164" s="22">
        <f t="shared" si="169"/>
        <v>149.40791991125084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283.73369613548124</v>
      </c>
      <c r="AO165" s="59">
        <f t="shared" si="144"/>
        <v>249.77804091581208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8.424194675171749E-14</v>
      </c>
      <c r="BF165" s="13">
        <f t="shared" si="167"/>
        <v>1.2910675160666962E-12</v>
      </c>
      <c r="BG165" s="20">
        <f t="shared" si="168"/>
        <v>2.3953306477420704E-12</v>
      </c>
      <c r="BH165" s="59">
        <f t="shared" si="116"/>
        <v>293.3333333333357</v>
      </c>
      <c r="BI165" s="59">
        <f ca="1">AVERAGE(OFFSET($BH$3,0,0,'Données projet'!$E$11+1,1))-AVERAGE(OFFSET($H$3,0,0,'Données projet'!$E$11+1,1))</f>
        <v>263.7093252578133</v>
      </c>
      <c r="BJ165" s="59">
        <f t="shared" si="146"/>
        <v>123.27856176791568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123.84177411976349</v>
      </c>
      <c r="BQ165" s="21">
        <f>EXP(-LN(2)/25)*BQ164+(1-EXP(-LN(2)/25))/(LN(2)/25)*Calculateur!BL165*Calculateur!BN165*VLOOKUP('Données projet'!$B$11,Paramètres!$A$1:$I$89,3,0)*0.475*44/12</f>
        <v>22.454578937034942</v>
      </c>
      <c r="BR165" s="21">
        <f>EXP(-LN(2)/2)*BR164+(1-EXP(-LN(2)/2))/(LN(2)/2)*BL165*BO165*VLOOKUP('Données projet'!$B$11,Paramètres!$A$1:$I$89,3,0)*0.475*44/12</f>
        <v>2.2966252737258342E-3</v>
      </c>
      <c r="BS165" s="22">
        <f t="shared" si="169"/>
        <v>146.29864968207215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283.73369613548124</v>
      </c>
      <c r="AO166" s="59">
        <f t="shared" si="144"/>
        <v>249.77804091581208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8.424194675171749E-14</v>
      </c>
      <c r="BF166" s="13">
        <f t="shared" si="167"/>
        <v>1.2910675160666962E-12</v>
      </c>
      <c r="BG166" s="20">
        <f t="shared" si="168"/>
        <v>2.3953306477420704E-12</v>
      </c>
      <c r="BH166" s="59">
        <f t="shared" si="116"/>
        <v>293.3333333333357</v>
      </c>
      <c r="BI166" s="59">
        <f ca="1">AVERAGE(OFFSET($BH$3,0,0,'Données projet'!$E$11+1,1))-AVERAGE(OFFSET($H$3,0,0,'Données projet'!$E$11+1,1))</f>
        <v>263.7093252578133</v>
      </c>
      <c r="BJ166" s="59">
        <f t="shared" si="146"/>
        <v>123.27856176791568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121.41331246529857</v>
      </c>
      <c r="BQ166" s="21">
        <f>EXP(-LN(2)/25)*BQ165+(1-EXP(-LN(2)/25))/(LN(2)/25)*Calculateur!BL166*Calculateur!BN166*VLOOKUP('Données projet'!$B$11,Paramètres!$A$1:$I$89,3,0)*0.475*44/12</f>
        <v>21.840557295166736</v>
      </c>
      <c r="BR166" s="21">
        <f>EXP(-LN(2)/2)*BR165+(1-EXP(-LN(2)/2))/(LN(2)/2)*BL166*BO166*VLOOKUP('Données projet'!$B$11,Paramètres!$A$1:$I$89,3,0)*0.475*44/12</f>
        <v>1.6239593048959482E-3</v>
      </c>
      <c r="BS166" s="22">
        <f t="shared" si="169"/>
        <v>143.25549371977021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283.73369613548124</v>
      </c>
      <c r="AO167" s="59">
        <f t="shared" si="144"/>
        <v>249.77804091581208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8.424194675171749E-14</v>
      </c>
      <c r="BF167" s="13">
        <f t="shared" si="167"/>
        <v>1.2910675160666962E-12</v>
      </c>
      <c r="BG167" s="20">
        <f t="shared" si="168"/>
        <v>2.3953306477420704E-12</v>
      </c>
      <c r="BH167" s="59">
        <f t="shared" si="116"/>
        <v>293.3333333333357</v>
      </c>
      <c r="BI167" s="59">
        <f ca="1">AVERAGE(OFFSET($BH$3,0,0,'Données projet'!$E$11+1,1))-AVERAGE(OFFSET($H$3,0,0,'Données projet'!$E$11+1,1))</f>
        <v>263.7093252578133</v>
      </c>
      <c r="BJ167" s="59">
        <f t="shared" si="146"/>
        <v>123.27856176791568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119.03247146266237</v>
      </c>
      <c r="BQ167" s="21">
        <f>EXP(-LN(2)/25)*BQ166+(1-EXP(-LN(2)/25))/(LN(2)/25)*Calculateur!BL167*Calculateur!BN167*VLOOKUP('Données projet'!$B$11,Paramètres!$A$1:$I$89,3,0)*0.475*44/12</f>
        <v>21.24332610738541</v>
      </c>
      <c r="BR167" s="21">
        <f>EXP(-LN(2)/2)*BR166+(1-EXP(-LN(2)/2))/(LN(2)/2)*BL167*BO167*VLOOKUP('Données projet'!$B$11,Paramètres!$A$1:$I$89,3,0)*0.475*44/12</f>
        <v>1.1483126368629171E-3</v>
      </c>
      <c r="BS167" s="22">
        <f t="shared" si="169"/>
        <v>140.27694588268466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283.73369613548124</v>
      </c>
      <c r="AO168" s="59">
        <f t="shared" si="144"/>
        <v>249.77804091581208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8.424194675171749E-14</v>
      </c>
      <c r="BF168" s="13">
        <f t="shared" si="167"/>
        <v>1.2910675160666962E-12</v>
      </c>
      <c r="BG168" s="20">
        <f t="shared" si="168"/>
        <v>2.3953306477420704E-12</v>
      </c>
      <c r="BH168" s="59">
        <f t="shared" si="116"/>
        <v>293.3333333333357</v>
      </c>
      <c r="BI168" s="59">
        <f ca="1">AVERAGE(OFFSET($BH$3,0,0,'Données projet'!$E$11+1,1))-AVERAGE(OFFSET($H$3,0,0,'Données projet'!$E$11+1,1))</f>
        <v>263.7093252578133</v>
      </c>
      <c r="BJ168" s="59">
        <f t="shared" si="146"/>
        <v>123.27856176791568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116.69831729991824</v>
      </c>
      <c r="BQ168" s="21">
        <f>EXP(-LN(2)/25)*BQ167+(1-EXP(-LN(2)/25))/(LN(2)/25)*Calculateur!BL168*Calculateur!BN168*VLOOKUP('Données projet'!$B$11,Paramètres!$A$1:$I$89,3,0)*0.475*44/12</f>
        <v>20.66242623784099</v>
      </c>
      <c r="BR168" s="21">
        <f>EXP(-LN(2)/2)*BR167+(1-EXP(-LN(2)/2))/(LN(2)/2)*BL168*BO168*VLOOKUP('Données projet'!$B$11,Paramètres!$A$1:$I$89,3,0)*0.475*44/12</f>
        <v>8.1197965244797412E-4</v>
      </c>
      <c r="BS168" s="22">
        <f t="shared" si="169"/>
        <v>137.36155551741166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283.73369613548124</v>
      </c>
      <c r="AO169" s="59">
        <f t="shared" si="144"/>
        <v>249.77804091581208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8.424194675171749E-14</v>
      </c>
      <c r="BF169" s="13">
        <f t="shared" si="167"/>
        <v>1.2910675160666962E-12</v>
      </c>
      <c r="BG169" s="20">
        <f t="shared" si="168"/>
        <v>2.3953306477420704E-12</v>
      </c>
      <c r="BH169" s="59">
        <f t="shared" si="116"/>
        <v>293.3333333333357</v>
      </c>
      <c r="BI169" s="59">
        <f ca="1">AVERAGE(OFFSET($BH$3,0,0,'Données projet'!$E$11+1,1))-AVERAGE(OFFSET($H$3,0,0,'Données projet'!$E$11+1,1))</f>
        <v>263.7093252578133</v>
      </c>
      <c r="BJ169" s="59">
        <f t="shared" si="146"/>
        <v>123.27856176791568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114.40993447661207</v>
      </c>
      <c r="BQ169" s="21">
        <f>EXP(-LN(2)/25)*BQ168+(1-EXP(-LN(2)/25))/(LN(2)/25)*Calculateur!BL169*Calculateur!BN169*VLOOKUP('Données projet'!$B$11,Paramètres!$A$1:$I$89,3,0)*0.475*44/12</f>
        <v>20.097411105777457</v>
      </c>
      <c r="BR169" s="21">
        <f>EXP(-LN(2)/2)*BR168+(1-EXP(-LN(2)/2))/(LN(2)/2)*BL169*BO169*VLOOKUP('Données projet'!$B$11,Paramètres!$A$1:$I$89,3,0)*0.475*44/12</f>
        <v>5.7415631843145854E-4</v>
      </c>
      <c r="BS169" s="22">
        <f t="shared" si="169"/>
        <v>134.50791973870795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283.73369613548124</v>
      </c>
      <c r="AO170" s="59">
        <f t="shared" si="144"/>
        <v>249.77804091581208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8.424194675171749E-14</v>
      </c>
      <c r="BF170" s="13">
        <f t="shared" si="167"/>
        <v>1.2910675160666962E-12</v>
      </c>
      <c r="BG170" s="20">
        <f t="shared" si="168"/>
        <v>2.3953306477420704E-12</v>
      </c>
      <c r="BH170" s="59">
        <f t="shared" si="116"/>
        <v>293.3333333333357</v>
      </c>
      <c r="BI170" s="59">
        <f ca="1">AVERAGE(OFFSET($BH$3,0,0,'Données projet'!$E$11+1,1))-AVERAGE(OFFSET($H$3,0,0,'Données projet'!$E$11+1,1))</f>
        <v>263.7093252578133</v>
      </c>
      <c r="BJ170" s="59">
        <f t="shared" si="146"/>
        <v>123.27856176791568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112.16642544469522</v>
      </c>
      <c r="BQ170" s="21">
        <f>EXP(-LN(2)/25)*BQ169+(1-EXP(-LN(2)/25))/(LN(2)/25)*Calculateur!BL170*Calculateur!BN170*VLOOKUP('Données projet'!$B$11,Paramètres!$A$1:$I$89,3,0)*0.475*44/12</f>
        <v>19.547846342213056</v>
      </c>
      <c r="BR170" s="21">
        <f>EXP(-LN(2)/2)*BR169+(1-EXP(-LN(2)/2))/(LN(2)/2)*BL170*BO170*VLOOKUP('Données projet'!$B$11,Paramètres!$A$1:$I$89,3,0)*0.475*44/12</f>
        <v>4.0598982622398706E-4</v>
      </c>
      <c r="BS170" s="22">
        <f t="shared" si="169"/>
        <v>131.7146777767345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283.73369613548124</v>
      </c>
      <c r="AO171" s="59">
        <f t="shared" si="144"/>
        <v>249.77804091581208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8.424194675171749E-14</v>
      </c>
      <c r="BF171" s="13">
        <f t="shared" si="167"/>
        <v>1.2910675160666962E-12</v>
      </c>
      <c r="BG171" s="20">
        <f t="shared" si="168"/>
        <v>2.3953306477420704E-12</v>
      </c>
      <c r="BH171" s="59">
        <f t="shared" si="116"/>
        <v>293.3333333333357</v>
      </c>
      <c r="BI171" s="59">
        <f ca="1">AVERAGE(OFFSET($BH$3,0,0,'Données projet'!$E$11+1,1))-AVERAGE(OFFSET($H$3,0,0,'Données projet'!$E$11+1,1))</f>
        <v>263.7093252578133</v>
      </c>
      <c r="BJ171" s="59">
        <f t="shared" si="146"/>
        <v>123.27856176791568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109.96691025648887</v>
      </c>
      <c r="BQ171" s="21">
        <f>EXP(-LN(2)/25)*BQ170+(1-EXP(-LN(2)/25))/(LN(2)/25)*Calculateur!BL171*Calculateur!BN171*VLOOKUP('Données projet'!$B$11,Paramètres!$A$1:$I$89,3,0)*0.475*44/12</f>
        <v>19.013309456008678</v>
      </c>
      <c r="BR171" s="21">
        <f>EXP(-LN(2)/2)*BR170+(1-EXP(-LN(2)/2))/(LN(2)/2)*BL171*BO171*VLOOKUP('Données projet'!$B$11,Paramètres!$A$1:$I$89,3,0)*0.475*44/12</f>
        <v>2.8707815921572927E-4</v>
      </c>
      <c r="BS171" s="22">
        <f t="shared" si="169"/>
        <v>128.98050679065676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283.73369613548124</v>
      </c>
      <c r="AO172" s="59">
        <f t="shared" si="144"/>
        <v>249.77804091581208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8.424194675171749E-14</v>
      </c>
      <c r="BF172" s="13">
        <f t="shared" si="167"/>
        <v>1.2910675160666962E-12</v>
      </c>
      <c r="BG172" s="20">
        <f t="shared" si="168"/>
        <v>2.3953306477420704E-12</v>
      </c>
      <c r="BH172" s="59">
        <f t="shared" si="116"/>
        <v>293.3333333333357</v>
      </c>
      <c r="BI172" s="59">
        <f ca="1">AVERAGE(OFFSET($BH$3,0,0,'Données projet'!$E$11+1,1))-AVERAGE(OFFSET($H$3,0,0,'Données projet'!$E$11+1,1))</f>
        <v>263.7093252578133</v>
      </c>
      <c r="BJ172" s="59">
        <f t="shared" si="146"/>
        <v>123.27856176791568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107.81052621955145</v>
      </c>
      <c r="BQ172" s="21">
        <f>EXP(-LN(2)/25)*BQ171+(1-EXP(-LN(2)/25))/(LN(2)/25)*Calculateur!BL172*Calculateur!BN172*VLOOKUP('Données projet'!$B$11,Paramètres!$A$1:$I$89,3,0)*0.475*44/12</f>
        <v>18.493389509067633</v>
      </c>
      <c r="BR172" s="21">
        <f>EXP(-LN(2)/2)*BR171+(1-EXP(-LN(2)/2))/(LN(2)/2)*BL172*BO172*VLOOKUP('Données projet'!$B$11,Paramètres!$A$1:$I$89,3,0)*0.475*44/12</f>
        <v>2.0299491311199353E-4</v>
      </c>
      <c r="BS172" s="22">
        <f t="shared" si="169"/>
        <v>126.30411872353218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283.73369613548124</v>
      </c>
      <c r="AO173" s="59">
        <f t="shared" si="144"/>
        <v>249.77804091581208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8.424194675171749E-14</v>
      </c>
      <c r="BF173" s="13">
        <f t="shared" si="167"/>
        <v>1.2910675160666962E-12</v>
      </c>
      <c r="BG173" s="20">
        <f t="shared" si="168"/>
        <v>2.3953306477420704E-12</v>
      </c>
      <c r="BH173" s="59">
        <f t="shared" si="116"/>
        <v>293.3333333333357</v>
      </c>
      <c r="BI173" s="59">
        <f ca="1">AVERAGE(OFFSET($BH$3,0,0,'Données projet'!$E$11+1,1))-AVERAGE(OFFSET($H$3,0,0,'Données projet'!$E$11+1,1))</f>
        <v>263.7093252578133</v>
      </c>
      <c r="BJ173" s="59">
        <f t="shared" si="146"/>
        <v>123.27856176791568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105.69642755831399</v>
      </c>
      <c r="BQ173" s="21">
        <f>EXP(-LN(2)/25)*BQ172+(1-EXP(-LN(2)/25))/(LN(2)/25)*Calculateur!BL173*Calculateur!BN173*VLOOKUP('Données projet'!$B$11,Paramètres!$A$1:$I$89,3,0)*0.475*44/12</f>
        <v>17.987686800417091</v>
      </c>
      <c r="BR173" s="21">
        <f>EXP(-LN(2)/2)*BR172+(1-EXP(-LN(2)/2))/(LN(2)/2)*BL173*BO173*VLOOKUP('Données projet'!$B$11,Paramètres!$A$1:$I$89,3,0)*0.475*44/12</f>
        <v>1.4353907960786463E-4</v>
      </c>
      <c r="BS173" s="22">
        <f t="shared" si="169"/>
        <v>123.68425789781068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283.73369613548124</v>
      </c>
      <c r="AO174" s="59">
        <f t="shared" si="144"/>
        <v>249.77804091581208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8.424194675171749E-14</v>
      </c>
      <c r="BF174" s="13">
        <f t="shared" si="167"/>
        <v>1.2910675160666962E-12</v>
      </c>
      <c r="BG174" s="20">
        <f t="shared" si="168"/>
        <v>2.3953306477420704E-12</v>
      </c>
      <c r="BH174" s="59">
        <f t="shared" si="116"/>
        <v>293.3333333333357</v>
      </c>
      <c r="BI174" s="59">
        <f ca="1">AVERAGE(OFFSET($BH$3,0,0,'Données projet'!$E$11+1,1))-AVERAGE(OFFSET($H$3,0,0,'Données projet'!$E$11+1,1))</f>
        <v>263.7093252578133</v>
      </c>
      <c r="BJ174" s="59">
        <f t="shared" si="146"/>
        <v>123.27856176791568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103.62378508235052</v>
      </c>
      <c r="BQ174" s="21">
        <f>EXP(-LN(2)/25)*BQ173+(1-EXP(-LN(2)/25))/(LN(2)/25)*Calculateur!BL174*Calculateur!BN174*VLOOKUP('Données projet'!$B$11,Paramètres!$A$1:$I$89,3,0)*0.475*44/12</f>
        <v>17.49581255892835</v>
      </c>
      <c r="BR174" s="21">
        <f>EXP(-LN(2)/2)*BR173+(1-EXP(-LN(2)/2))/(LN(2)/2)*BL174*BO174*VLOOKUP('Données projet'!$B$11,Paramètres!$A$1:$I$89,3,0)*0.475*44/12</f>
        <v>1.0149745655599676E-4</v>
      </c>
      <c r="BS174" s="22">
        <f t="shared" si="169"/>
        <v>121.11969913873543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283.73369613548124</v>
      </c>
      <c r="AO175" s="59">
        <f t="shared" si="144"/>
        <v>249.77804091581208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8.424194675171749E-14</v>
      </c>
      <c r="BF175" s="13">
        <f t="shared" si="167"/>
        <v>1.2910675160666962E-12</v>
      </c>
      <c r="BG175" s="20">
        <f t="shared" si="168"/>
        <v>2.3953306477420704E-12</v>
      </c>
      <c r="BH175" s="59">
        <f t="shared" si="116"/>
        <v>293.3333333333357</v>
      </c>
      <c r="BI175" s="59">
        <f ca="1">AVERAGE(OFFSET($BH$3,0,0,'Données projet'!$E$11+1,1))-AVERAGE(OFFSET($H$3,0,0,'Données projet'!$E$11+1,1))</f>
        <v>263.7093252578133</v>
      </c>
      <c r="BJ175" s="59">
        <f t="shared" si="146"/>
        <v>123.27856176791568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101.59178586115362</v>
      </c>
      <c r="BQ175" s="21">
        <f>EXP(-LN(2)/25)*BQ174+(1-EXP(-LN(2)/25))/(LN(2)/25)*Calculateur!BL175*Calculateur!BN175*VLOOKUP('Données projet'!$B$11,Paramètres!$A$1:$I$89,3,0)*0.475*44/12</f>
        <v>17.017388644439659</v>
      </c>
      <c r="BR175" s="21">
        <f>EXP(-LN(2)/2)*BR174+(1-EXP(-LN(2)/2))/(LN(2)/2)*BL175*BO175*VLOOKUP('Données projet'!$B$11,Paramètres!$A$1:$I$89,3,0)*0.475*44/12</f>
        <v>7.1769539803932317E-5</v>
      </c>
      <c r="BS175" s="22">
        <f t="shared" si="169"/>
        <v>118.60924627513309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283.73369613548124</v>
      </c>
      <c r="AO176" s="59">
        <f t="shared" si="144"/>
        <v>249.77804091581208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8.424194675171749E-14</v>
      </c>
      <c r="BF176" s="13">
        <f t="shared" si="167"/>
        <v>1.2910675160666962E-12</v>
      </c>
      <c r="BG176" s="20">
        <f t="shared" si="168"/>
        <v>2.3953306477420704E-12</v>
      </c>
      <c r="BH176" s="59">
        <f t="shared" si="116"/>
        <v>293.3333333333357</v>
      </c>
      <c r="BI176" s="59">
        <f ca="1">AVERAGE(OFFSET($BH$3,0,0,'Données projet'!$E$11+1,1))-AVERAGE(OFFSET($H$3,0,0,'Données projet'!$E$11+1,1))</f>
        <v>263.7093252578133</v>
      </c>
      <c r="BJ176" s="59">
        <f t="shared" si="146"/>
        <v>123.27856176791568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99.599632905287251</v>
      </c>
      <c r="BQ176" s="21">
        <f>EXP(-LN(2)/25)*BQ175+(1-EXP(-LN(2)/25))/(LN(2)/25)*Calculateur!BL176*Calculateur!BN176*VLOOKUP('Données projet'!$B$11,Paramètres!$A$1:$I$89,3,0)*0.475*44/12</f>
        <v>16.552047257051882</v>
      </c>
      <c r="BR176" s="21">
        <f>EXP(-LN(2)/2)*BR175+(1-EXP(-LN(2)/2))/(LN(2)/2)*BL176*BO176*VLOOKUP('Données projet'!$B$11,Paramètres!$A$1:$I$89,3,0)*0.475*44/12</f>
        <v>5.0748728277998382E-5</v>
      </c>
      <c r="BS176" s="22">
        <f t="shared" si="169"/>
        <v>116.15173091106742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283.73369613548124</v>
      </c>
      <c r="AO177" s="59">
        <f t="shared" si="144"/>
        <v>249.77804091581208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8.424194675171749E-14</v>
      </c>
      <c r="BF177" s="13">
        <f t="shared" si="167"/>
        <v>1.2910675160666962E-12</v>
      </c>
      <c r="BG177" s="20">
        <f t="shared" si="168"/>
        <v>2.3953306477420704E-12</v>
      </c>
      <c r="BH177" s="59">
        <f t="shared" si="116"/>
        <v>293.3333333333357</v>
      </c>
      <c r="BI177" s="59">
        <f ca="1">AVERAGE(OFFSET($BH$3,0,0,'Données projet'!$E$11+1,1))-AVERAGE(OFFSET($H$3,0,0,'Données projet'!$E$11+1,1))</f>
        <v>263.7093252578133</v>
      </c>
      <c r="BJ177" s="59">
        <f t="shared" si="146"/>
        <v>123.27856176791568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97.646544853792093</v>
      </c>
      <c r="BQ177" s="21">
        <f>EXP(-LN(2)/25)*BQ176+(1-EXP(-LN(2)/25))/(LN(2)/25)*Calculateur!BL177*Calculateur!BN177*VLOOKUP('Données projet'!$B$11,Paramètres!$A$1:$I$89,3,0)*0.475*44/12</f>
        <v>16.099430654373464</v>
      </c>
      <c r="BR177" s="21">
        <f>EXP(-LN(2)/2)*BR176+(1-EXP(-LN(2)/2))/(LN(2)/2)*BL177*BO177*VLOOKUP('Données projet'!$B$11,Paramètres!$A$1:$I$89,3,0)*0.475*44/12</f>
        <v>3.5884769901966159E-5</v>
      </c>
      <c r="BS177" s="22">
        <f t="shared" si="169"/>
        <v>113.74601139293546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283.73369613548124</v>
      </c>
      <c r="AO178" s="59">
        <f t="shared" si="144"/>
        <v>249.77804091581208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8.424194675171749E-14</v>
      </c>
      <c r="BF178" s="13">
        <f t="shared" si="167"/>
        <v>1.2910675160666962E-12</v>
      </c>
      <c r="BG178" s="20">
        <f t="shared" si="168"/>
        <v>2.3953306477420704E-12</v>
      </c>
      <c r="BH178" s="59">
        <f t="shared" si="116"/>
        <v>293.3333333333357</v>
      </c>
      <c r="BI178" s="59">
        <f ca="1">AVERAGE(OFFSET($BH$3,0,0,'Données projet'!$E$11+1,1))-AVERAGE(OFFSET($H$3,0,0,'Données projet'!$E$11+1,1))</f>
        <v>263.7093252578133</v>
      </c>
      <c r="BJ178" s="59">
        <f t="shared" si="146"/>
        <v>123.27856176791568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95.731755667720677</v>
      </c>
      <c r="BQ178" s="21">
        <f>EXP(-LN(2)/25)*BQ177+(1-EXP(-LN(2)/25))/(LN(2)/25)*Calculateur!BL178*Calculateur!BN178*VLOOKUP('Données projet'!$B$11,Paramètres!$A$1:$I$89,3,0)*0.475*44/12</f>
        <v>15.659190876497359</v>
      </c>
      <c r="BR178" s="21">
        <f>EXP(-LN(2)/2)*BR177+(1-EXP(-LN(2)/2))/(LN(2)/2)*BL178*BO178*VLOOKUP('Données projet'!$B$11,Paramètres!$A$1:$I$89,3,0)*0.475*44/12</f>
        <v>2.5374364138999191E-5</v>
      </c>
      <c r="BS178" s="22">
        <f t="shared" si="169"/>
        <v>111.39097191858218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283.73369613548124</v>
      </c>
      <c r="AO179" s="59">
        <f t="shared" si="144"/>
        <v>249.77804091581208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8.424194675171749E-14</v>
      </c>
      <c r="BF179" s="13">
        <f t="shared" si="167"/>
        <v>1.2910675160666962E-12</v>
      </c>
      <c r="BG179" s="20">
        <f t="shared" si="168"/>
        <v>2.3953306477420704E-12</v>
      </c>
      <c r="BH179" s="59">
        <f t="shared" si="116"/>
        <v>293.3333333333357</v>
      </c>
      <c r="BI179" s="59">
        <f ca="1">AVERAGE(OFFSET($BH$3,0,0,'Données projet'!$E$11+1,1))-AVERAGE(OFFSET($H$3,0,0,'Données projet'!$E$11+1,1))</f>
        <v>263.7093252578133</v>
      </c>
      <c r="BJ179" s="59">
        <f t="shared" si="146"/>
        <v>123.27856176791568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93.854514329682033</v>
      </c>
      <c r="BQ179" s="21">
        <f>EXP(-LN(2)/25)*BQ178+(1-EXP(-LN(2)/25))/(LN(2)/25)*Calculateur!BL179*Calculateur!BN179*VLOOKUP('Données projet'!$B$11,Paramètres!$A$1:$I$89,3,0)*0.475*44/12</f>
        <v>15.230989478498479</v>
      </c>
      <c r="BR179" s="21">
        <f>EXP(-LN(2)/2)*BR178+(1-EXP(-LN(2)/2))/(LN(2)/2)*BL179*BO179*VLOOKUP('Données projet'!$B$11,Paramètres!$A$1:$I$89,3,0)*0.475*44/12</f>
        <v>1.7942384950983079E-5</v>
      </c>
      <c r="BS179" s="22">
        <f t="shared" si="169"/>
        <v>109.08552175056546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283.73369613548124</v>
      </c>
      <c r="AO180" s="59">
        <f t="shared" si="144"/>
        <v>249.77804091581208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8.424194675171749E-14</v>
      </c>
      <c r="BF180" s="13">
        <f t="shared" si="167"/>
        <v>1.2910675160666962E-12</v>
      </c>
      <c r="BG180" s="20">
        <f t="shared" si="168"/>
        <v>2.3953306477420704E-12</v>
      </c>
      <c r="BH180" s="59">
        <f t="shared" si="116"/>
        <v>293.3333333333357</v>
      </c>
      <c r="BI180" s="59">
        <f ca="1">AVERAGE(OFFSET($BH$3,0,0,'Données projet'!$E$11+1,1))-AVERAGE(OFFSET($H$3,0,0,'Données projet'!$E$11+1,1))</f>
        <v>263.7093252578133</v>
      </c>
      <c r="BJ180" s="59">
        <f t="shared" si="146"/>
        <v>123.27856176791568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92.014084549278181</v>
      </c>
      <c r="BQ180" s="21">
        <f>EXP(-LN(2)/25)*BQ179+(1-EXP(-LN(2)/25))/(LN(2)/25)*Calculateur!BL180*Calculateur!BN180*VLOOKUP('Données projet'!$B$11,Paramètres!$A$1:$I$89,3,0)*0.475*44/12</f>
        <v>14.814497270246012</v>
      </c>
      <c r="BR180" s="21">
        <f>EXP(-LN(2)/2)*BR179+(1-EXP(-LN(2)/2))/(LN(2)/2)*BL180*BO180*VLOOKUP('Données projet'!$B$11,Paramètres!$A$1:$I$89,3,0)*0.475*44/12</f>
        <v>1.2687182069499596E-5</v>
      </c>
      <c r="BS180" s="22">
        <f t="shared" si="169"/>
        <v>106.82859450670625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283.73369613548124</v>
      </c>
      <c r="AO181" s="59">
        <f t="shared" si="144"/>
        <v>249.77804091581208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8.424194675171749E-14</v>
      </c>
      <c r="BF181" s="13">
        <f t="shared" si="167"/>
        <v>1.2910675160666962E-12</v>
      </c>
      <c r="BG181" s="20">
        <f t="shared" si="168"/>
        <v>2.3953306477420704E-12</v>
      </c>
      <c r="BH181" s="59">
        <f t="shared" si="116"/>
        <v>293.3333333333357</v>
      </c>
      <c r="BI181" s="59">
        <f ca="1">AVERAGE(OFFSET($BH$3,0,0,'Données projet'!$E$11+1,1))-AVERAGE(OFFSET($H$3,0,0,'Données projet'!$E$11+1,1))</f>
        <v>263.7093252578133</v>
      </c>
      <c r="BJ181" s="59">
        <f t="shared" si="146"/>
        <v>123.27856176791568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90.209744474316722</v>
      </c>
      <c r="BQ181" s="21">
        <f>EXP(-LN(2)/25)*BQ180+(1-EXP(-LN(2)/25))/(LN(2)/25)*Calculateur!BL181*Calculateur!BN181*VLOOKUP('Données projet'!$B$11,Paramètres!$A$1:$I$89,3,0)*0.475*44/12</f>
        <v>14.409394063330582</v>
      </c>
      <c r="BR181" s="21">
        <f>EXP(-LN(2)/2)*BR180+(1-EXP(-LN(2)/2))/(LN(2)/2)*BL181*BO181*VLOOKUP('Données projet'!$B$11,Paramètres!$A$1:$I$89,3,0)*0.475*44/12</f>
        <v>8.9711924754915397E-6</v>
      </c>
      <c r="BS181" s="22">
        <f t="shared" si="169"/>
        <v>104.61914750883977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283.73369613548124</v>
      </c>
      <c r="AO182" s="59">
        <f t="shared" si="144"/>
        <v>249.77804091581208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8.424194675171749E-14</v>
      </c>
      <c r="BF182" s="13">
        <f t="shared" si="167"/>
        <v>1.2910675160666962E-12</v>
      </c>
      <c r="BG182" s="20">
        <f t="shared" si="168"/>
        <v>2.3953306477420704E-12</v>
      </c>
      <c r="BH182" s="59">
        <f t="shared" si="116"/>
        <v>293.3333333333357</v>
      </c>
      <c r="BI182" s="59">
        <f ca="1">AVERAGE(OFFSET($BH$3,0,0,'Données projet'!$E$11+1,1))-AVERAGE(OFFSET($H$3,0,0,'Données projet'!$E$11+1,1))</f>
        <v>263.7093252578133</v>
      </c>
      <c r="BJ182" s="59">
        <f t="shared" si="146"/>
        <v>123.27856176791568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88.440786407686474</v>
      </c>
      <c r="BQ182" s="21">
        <f>EXP(-LN(2)/25)*BQ181+(1-EXP(-LN(2)/25))/(LN(2)/25)*Calculateur!BL182*Calculateur!BN182*VLOOKUP('Données projet'!$B$11,Paramètres!$A$1:$I$89,3,0)*0.475*44/12</f>
        <v>14.015368424911706</v>
      </c>
      <c r="BR182" s="21">
        <f>EXP(-LN(2)/2)*BR181+(1-EXP(-LN(2)/2))/(LN(2)/2)*BL182*BO182*VLOOKUP('Données projet'!$B$11,Paramètres!$A$1:$I$89,3,0)*0.475*44/12</f>
        <v>6.3435910347497978E-6</v>
      </c>
      <c r="BS182" s="22">
        <f t="shared" si="169"/>
        <v>102.45616117618921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283.73369613548124</v>
      </c>
      <c r="AO183" s="59">
        <f t="shared" si="144"/>
        <v>249.77804091581208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8.424194675171749E-14</v>
      </c>
      <c r="BF183" s="13">
        <f t="shared" si="167"/>
        <v>1.2910675160666962E-12</v>
      </c>
      <c r="BG183" s="20">
        <f t="shared" si="168"/>
        <v>2.3953306477420704E-12</v>
      </c>
      <c r="BH183" s="59">
        <f t="shared" si="116"/>
        <v>293.3333333333357</v>
      </c>
      <c r="BI183" s="59">
        <f ca="1">AVERAGE(OFFSET($BH$3,0,0,'Données projet'!$E$11+1,1))-AVERAGE(OFFSET($H$3,0,0,'Données projet'!$E$11+1,1))</f>
        <v>263.7093252578133</v>
      </c>
      <c r="BJ183" s="59">
        <f t="shared" si="146"/>
        <v>123.27856176791568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86.706516529784963</v>
      </c>
      <c r="BQ183" s="21">
        <f>EXP(-LN(2)/25)*BQ182+(1-EXP(-LN(2)/25))/(LN(2)/25)*Calculateur!BL183*Calculateur!BN183*VLOOKUP('Données projet'!$B$11,Paramètres!$A$1:$I$89,3,0)*0.475*44/12</f>
        <v>13.632117438296303</v>
      </c>
      <c r="BR183" s="21">
        <f>EXP(-LN(2)/2)*BR182+(1-EXP(-LN(2)/2))/(LN(2)/2)*BL183*BO183*VLOOKUP('Données projet'!$B$11,Paramètres!$A$1:$I$89,3,0)*0.475*44/12</f>
        <v>4.4855962377457698E-6</v>
      </c>
      <c r="BS183" s="22">
        <f t="shared" si="169"/>
        <v>100.3386384536775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283.73369613548124</v>
      </c>
      <c r="AO184" s="59">
        <f t="shared" si="144"/>
        <v>249.77804091581208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8.424194675171749E-14</v>
      </c>
      <c r="BF184" s="13">
        <f t="shared" si="167"/>
        <v>1.2910675160666962E-12</v>
      </c>
      <c r="BG184" s="20">
        <f t="shared" si="168"/>
        <v>2.3953306477420704E-12</v>
      </c>
      <c r="BH184" s="59">
        <f t="shared" si="116"/>
        <v>293.3333333333357</v>
      </c>
      <c r="BI184" s="59">
        <f ca="1">AVERAGE(OFFSET($BH$3,0,0,'Données projet'!$E$11+1,1))-AVERAGE(OFFSET($H$3,0,0,'Données projet'!$E$11+1,1))</f>
        <v>263.7093252578133</v>
      </c>
      <c r="BJ184" s="59">
        <f t="shared" si="146"/>
        <v>123.27856176791568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85.006254626388923</v>
      </c>
      <c r="BQ184" s="21">
        <f>EXP(-LN(2)/25)*BQ183+(1-EXP(-LN(2)/25))/(LN(2)/25)*Calculateur!BL184*Calculateur!BN184*VLOOKUP('Données projet'!$B$11,Paramètres!$A$1:$I$89,3,0)*0.475*44/12</f>
        <v>13.259346470064191</v>
      </c>
      <c r="BR184" s="21">
        <f>EXP(-LN(2)/2)*BR183+(1-EXP(-LN(2)/2))/(LN(2)/2)*BL184*BO184*VLOOKUP('Données projet'!$B$11,Paramètres!$A$1:$I$89,3,0)*0.475*44/12</f>
        <v>3.1717955173748989E-6</v>
      </c>
      <c r="BS184" s="22">
        <f t="shared" si="169"/>
        <v>98.265604268248623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283.73369613548124</v>
      </c>
      <c r="AO185" s="59">
        <f t="shared" si="144"/>
        <v>249.77804091581208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8.424194675171749E-14</v>
      </c>
      <c r="BF185" s="13">
        <f t="shared" si="167"/>
        <v>1.2910675160666962E-12</v>
      </c>
      <c r="BG185" s="20">
        <f t="shared" si="168"/>
        <v>2.3953306477420704E-12</v>
      </c>
      <c r="BH185" s="59">
        <f t="shared" si="116"/>
        <v>293.3333333333357</v>
      </c>
      <c r="BI185" s="59">
        <f ca="1">AVERAGE(OFFSET($BH$3,0,0,'Données projet'!$E$11+1,1))-AVERAGE(OFFSET($H$3,0,0,'Données projet'!$E$11+1,1))</f>
        <v>263.7093252578133</v>
      </c>
      <c r="BJ185" s="59">
        <f t="shared" si="146"/>
        <v>123.27856176791568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83.339333821861132</v>
      </c>
      <c r="BQ185" s="21">
        <f>EXP(-LN(2)/25)*BQ184+(1-EXP(-LN(2)/25))/(LN(2)/25)*Calculateur!BL185*Calculateur!BN185*VLOOKUP('Données projet'!$B$11,Paramètres!$A$1:$I$89,3,0)*0.475*44/12</f>
        <v>12.896768943561559</v>
      </c>
      <c r="BR185" s="21">
        <f>EXP(-LN(2)/2)*BR184+(1-EXP(-LN(2)/2))/(LN(2)/2)*BL185*BO185*VLOOKUP('Données projet'!$B$11,Paramètres!$A$1:$I$89,3,0)*0.475*44/12</f>
        <v>2.2427981188728849E-6</v>
      </c>
      <c r="BS185" s="22">
        <f t="shared" si="169"/>
        <v>96.236105008220804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283.73369613548124</v>
      </c>
      <c r="AO186" s="59">
        <f t="shared" si="144"/>
        <v>249.77804091581208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8.424194675171749E-14</v>
      </c>
      <c r="BF186" s="13">
        <f t="shared" si="167"/>
        <v>1.2910675160666962E-12</v>
      </c>
      <c r="BG186" s="20">
        <f t="shared" si="168"/>
        <v>2.3953306477420704E-12</v>
      </c>
      <c r="BH186" s="59">
        <f t="shared" si="116"/>
        <v>293.3333333333357</v>
      </c>
      <c r="BI186" s="59">
        <f ca="1">AVERAGE(OFFSET($BH$3,0,0,'Données projet'!$E$11+1,1))-AVERAGE(OFFSET($H$3,0,0,'Données projet'!$E$11+1,1))</f>
        <v>263.7093252578133</v>
      </c>
      <c r="BJ186" s="59">
        <f t="shared" si="146"/>
        <v>123.27856176791568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81.70510031758883</v>
      </c>
      <c r="BQ186" s="21">
        <f>EXP(-LN(2)/25)*BQ185+(1-EXP(-LN(2)/25))/(LN(2)/25)*Calculateur!BL186*Calculateur!BN186*VLOOKUP('Données projet'!$B$11,Paramètres!$A$1:$I$89,3,0)*0.475*44/12</f>
        <v>12.544106118588266</v>
      </c>
      <c r="BR186" s="21">
        <f>EXP(-LN(2)/2)*BR185+(1-EXP(-LN(2)/2))/(LN(2)/2)*BL186*BO186*VLOOKUP('Données projet'!$B$11,Paramètres!$A$1:$I$89,3,0)*0.475*44/12</f>
        <v>1.5858977586874495E-6</v>
      </c>
      <c r="BS186" s="22">
        <f t="shared" si="169"/>
        <v>94.249208022074853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283.73369613548124</v>
      </c>
      <c r="AO187" s="59">
        <f t="shared" si="144"/>
        <v>249.77804091581208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8.424194675171749E-14</v>
      </c>
      <c r="BF187" s="13">
        <f t="shared" si="167"/>
        <v>1.2910675160666962E-12</v>
      </c>
      <c r="BG187" s="20">
        <f t="shared" si="168"/>
        <v>2.3953306477420704E-12</v>
      </c>
      <c r="BH187" s="59">
        <f t="shared" si="116"/>
        <v>293.3333333333357</v>
      </c>
      <c r="BI187" s="59">
        <f ca="1">AVERAGE(OFFSET($BH$3,0,0,'Données projet'!$E$11+1,1))-AVERAGE(OFFSET($H$3,0,0,'Données projet'!$E$11+1,1))</f>
        <v>263.7093252578133</v>
      </c>
      <c r="BJ187" s="59">
        <f t="shared" si="146"/>
        <v>123.27856176791568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80.10291313555129</v>
      </c>
      <c r="BQ187" s="21">
        <f>EXP(-LN(2)/25)*BQ186+(1-EXP(-LN(2)/25))/(LN(2)/25)*Calculateur!BL187*Calculateur!BN187*VLOOKUP('Données projet'!$B$11,Paramètres!$A$1:$I$89,3,0)*0.475*44/12</f>
        <v>12.201086877109599</v>
      </c>
      <c r="BR187" s="21">
        <f>EXP(-LN(2)/2)*BR186+(1-EXP(-LN(2)/2))/(LN(2)/2)*BL187*BO187*VLOOKUP('Données projet'!$B$11,Paramètres!$A$1:$I$89,3,0)*0.475*44/12</f>
        <v>1.1213990594364425E-6</v>
      </c>
      <c r="BS187" s="22">
        <f t="shared" si="169"/>
        <v>92.304001134059959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283.73369613548124</v>
      </c>
      <c r="AO188" s="59">
        <f t="shared" si="144"/>
        <v>249.77804091581208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8.424194675171749E-14</v>
      </c>
      <c r="BF188" s="13">
        <f t="shared" si="167"/>
        <v>1.2910675160666962E-12</v>
      </c>
      <c r="BG188" s="20">
        <f t="shared" si="168"/>
        <v>2.3953306477420704E-12</v>
      </c>
      <c r="BH188" s="59">
        <f t="shared" si="116"/>
        <v>293.3333333333357</v>
      </c>
      <c r="BI188" s="59">
        <f ca="1">AVERAGE(OFFSET($BH$3,0,0,'Données projet'!$E$11+1,1))-AVERAGE(OFFSET($H$3,0,0,'Données projet'!$E$11+1,1))</f>
        <v>263.7093252578133</v>
      </c>
      <c r="BJ188" s="59">
        <f t="shared" si="146"/>
        <v>123.27856176791568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78.532143866915817</v>
      </c>
      <c r="BQ188" s="21">
        <f>EXP(-LN(2)/25)*BQ187+(1-EXP(-LN(2)/25))/(LN(2)/25)*Calculateur!BL188*Calculateur!BN188*VLOOKUP('Données projet'!$B$11,Paramètres!$A$1:$I$89,3,0)*0.475*44/12</f>
        <v>11.867447514827765</v>
      </c>
      <c r="BR188" s="21">
        <f>EXP(-LN(2)/2)*BR187+(1-EXP(-LN(2)/2))/(LN(2)/2)*BL188*BO188*VLOOKUP('Données projet'!$B$11,Paramètres!$A$1:$I$89,3,0)*0.475*44/12</f>
        <v>7.9294887934372473E-7</v>
      </c>
      <c r="BS188" s="22">
        <f t="shared" si="169"/>
        <v>90.399592174692458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283.73369613548124</v>
      </c>
      <c r="AO189" s="59">
        <f t="shared" si="144"/>
        <v>249.77804091581208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8.424194675171749E-14</v>
      </c>
      <c r="BF189" s="13">
        <f t="shared" si="167"/>
        <v>1.2910675160666962E-12</v>
      </c>
      <c r="BG189" s="20">
        <f t="shared" si="168"/>
        <v>2.3953306477420704E-12</v>
      </c>
      <c r="BH189" s="59">
        <f t="shared" si="116"/>
        <v>293.3333333333357</v>
      </c>
      <c r="BI189" s="59">
        <f ca="1">AVERAGE(OFFSET($BH$3,0,0,'Données projet'!$E$11+1,1))-AVERAGE(OFFSET($H$3,0,0,'Données projet'!$E$11+1,1))</f>
        <v>263.7093252578133</v>
      </c>
      <c r="BJ189" s="59">
        <f t="shared" si="146"/>
        <v>123.27856176791568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76.992176425563642</v>
      </c>
      <c r="BQ189" s="21">
        <f>EXP(-LN(2)/25)*BQ188+(1-EXP(-LN(2)/25))/(LN(2)/25)*Calculateur!BL189*Calculateur!BN189*VLOOKUP('Données projet'!$B$11,Paramètres!$A$1:$I$89,3,0)*0.475*44/12</f>
        <v>11.542931538452859</v>
      </c>
      <c r="BR189" s="21">
        <f>EXP(-LN(2)/2)*BR188+(1-EXP(-LN(2)/2))/(LN(2)/2)*BL189*BO189*VLOOKUP('Données projet'!$B$11,Paramètres!$A$1:$I$89,3,0)*0.475*44/12</f>
        <v>5.6069952971822123E-7</v>
      </c>
      <c r="BS189" s="22">
        <f t="shared" si="169"/>
        <v>88.535108524716037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283.73369613548124</v>
      </c>
      <c r="AO190" s="59">
        <f t="shared" si="144"/>
        <v>249.77804091581208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8.424194675171749E-14</v>
      </c>
      <c r="BF190" s="13">
        <f t="shared" si="167"/>
        <v>1.2910675160666962E-12</v>
      </c>
      <c r="BG190" s="20">
        <f t="shared" si="168"/>
        <v>2.3953306477420704E-12</v>
      </c>
      <c r="BH190" s="59">
        <f t="shared" si="116"/>
        <v>293.3333333333357</v>
      </c>
      <c r="BI190" s="59">
        <f ca="1">AVERAGE(OFFSET($BH$3,0,0,'Données projet'!$E$11+1,1))-AVERAGE(OFFSET($H$3,0,0,'Données projet'!$E$11+1,1))</f>
        <v>263.7093252578133</v>
      </c>
      <c r="BJ190" s="59">
        <f t="shared" si="146"/>
        <v>123.27856176791568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75.482406806448992</v>
      </c>
      <c r="BQ190" s="21">
        <f>EXP(-LN(2)/25)*BQ189+(1-EXP(-LN(2)/25))/(LN(2)/25)*Calculateur!BL190*Calculateur!BN190*VLOOKUP('Données projet'!$B$11,Paramètres!$A$1:$I$89,3,0)*0.475*44/12</f>
        <v>11.227289468517478</v>
      </c>
      <c r="BR190" s="21">
        <f>EXP(-LN(2)/2)*BR189+(1-EXP(-LN(2)/2))/(LN(2)/2)*BL190*BO190*VLOOKUP('Données projet'!$B$11,Paramètres!$A$1:$I$89,3,0)*0.475*44/12</f>
        <v>3.9647443967186236E-7</v>
      </c>
      <c r="BS190" s="22">
        <f t="shared" si="169"/>
        <v>86.709696671440909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283.73369613548124</v>
      </c>
      <c r="AO191" s="59">
        <f t="shared" si="144"/>
        <v>249.77804091581208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8.424194675171749E-14</v>
      </c>
      <c r="BF191" s="13">
        <f t="shared" si="167"/>
        <v>1.2910675160666962E-12</v>
      </c>
      <c r="BG191" s="20">
        <f t="shared" si="168"/>
        <v>2.3953306477420704E-12</v>
      </c>
      <c r="BH191" s="59">
        <f t="shared" si="116"/>
        <v>293.3333333333357</v>
      </c>
      <c r="BI191" s="59">
        <f ca="1">AVERAGE(OFFSET($BH$3,0,0,'Données projet'!$E$11+1,1))-AVERAGE(OFFSET($H$3,0,0,'Données projet'!$E$11+1,1))</f>
        <v>263.7093252578133</v>
      </c>
      <c r="BJ191" s="59">
        <f t="shared" si="146"/>
        <v>123.27856176791568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74.002242848696639</v>
      </c>
      <c r="BQ191" s="21">
        <f>EXP(-LN(2)/25)*BQ190+(1-EXP(-LN(2)/25))/(LN(2)/25)*Calculateur!BL191*Calculateur!BN191*VLOOKUP('Données projet'!$B$11,Paramètres!$A$1:$I$89,3,0)*0.475*44/12</f>
        <v>10.920278647583375</v>
      </c>
      <c r="BR191" s="21">
        <f>EXP(-LN(2)/2)*BR190+(1-EXP(-LN(2)/2))/(LN(2)/2)*BL191*BO191*VLOOKUP('Données projet'!$B$11,Paramètres!$A$1:$I$89,3,0)*0.475*44/12</f>
        <v>2.8034976485911061E-7</v>
      </c>
      <c r="BS191" s="22">
        <f t="shared" si="169"/>
        <v>84.922521776629779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283.73369613548124</v>
      </c>
      <c r="AO192" s="59">
        <f t="shared" si="144"/>
        <v>249.77804091581208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8.424194675171749E-14</v>
      </c>
      <c r="BF192" s="13">
        <f t="shared" si="167"/>
        <v>1.2910675160666962E-12</v>
      </c>
      <c r="BG192" s="20">
        <f t="shared" si="168"/>
        <v>2.3953306477420704E-12</v>
      </c>
      <c r="BH192" s="59">
        <f t="shared" si="116"/>
        <v>293.3333333333357</v>
      </c>
      <c r="BI192" s="59">
        <f ca="1">AVERAGE(OFFSET($BH$3,0,0,'Données projet'!$E$11+1,1))-AVERAGE(OFFSET($H$3,0,0,'Données projet'!$E$11+1,1))</f>
        <v>263.7093252578133</v>
      </c>
      <c r="BJ192" s="59">
        <f t="shared" si="146"/>
        <v>123.27856176791568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72.551104003344932</v>
      </c>
      <c r="BQ192" s="21">
        <f>EXP(-LN(2)/25)*BQ191+(1-EXP(-LN(2)/25))/(LN(2)/25)*Calculateur!BL192*Calculateur!BN192*VLOOKUP('Données projet'!$B$11,Paramètres!$A$1:$I$89,3,0)*0.475*44/12</f>
        <v>10.621663053692712</v>
      </c>
      <c r="BR192" s="21">
        <f>EXP(-LN(2)/2)*BR191+(1-EXP(-LN(2)/2))/(LN(2)/2)*BL192*BO192*VLOOKUP('Données projet'!$B$11,Paramètres!$A$1:$I$89,3,0)*0.475*44/12</f>
        <v>1.9823721983593118E-7</v>
      </c>
      <c r="BS192" s="22">
        <f t="shared" si="169"/>
        <v>83.172767255274863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283.73369613548124</v>
      </c>
      <c r="AO193" s="59">
        <f t="shared" si="144"/>
        <v>249.77804091581208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8.424194675171749E-14</v>
      </c>
      <c r="BF193" s="13">
        <f t="shared" si="167"/>
        <v>1.2910675160666962E-12</v>
      </c>
      <c r="BG193" s="20">
        <f t="shared" si="168"/>
        <v>2.3953306477420704E-12</v>
      </c>
      <c r="BH193" s="59">
        <f t="shared" si="116"/>
        <v>293.3333333333357</v>
      </c>
      <c r="BI193" s="59">
        <f ca="1">AVERAGE(OFFSET($BH$3,0,0,'Données projet'!$E$11+1,1))-AVERAGE(OFFSET($H$3,0,0,'Données projet'!$E$11+1,1))</f>
        <v>263.7093252578133</v>
      </c>
      <c r="BJ193" s="59">
        <f t="shared" si="146"/>
        <v>123.27856176791568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71.128421105643284</v>
      </c>
      <c r="BQ193" s="21">
        <f>EXP(-LN(2)/25)*BQ192+(1-EXP(-LN(2)/25))/(LN(2)/25)*Calculateur!BL193*Calculateur!BN193*VLOOKUP('Données projet'!$B$11,Paramètres!$A$1:$I$89,3,0)*0.475*44/12</f>
        <v>10.331213118920502</v>
      </c>
      <c r="BR193" s="21">
        <f>EXP(-LN(2)/2)*BR192+(1-EXP(-LN(2)/2))/(LN(2)/2)*BL193*BO193*VLOOKUP('Données projet'!$B$11,Paramètres!$A$1:$I$89,3,0)*0.475*44/12</f>
        <v>1.4017488242955531E-7</v>
      </c>
      <c r="BS193" s="22">
        <f t="shared" si="169"/>
        <v>81.459634364738662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283.73369613548124</v>
      </c>
      <c r="AO194" s="59">
        <f t="shared" si="144"/>
        <v>249.77804091581208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8.424194675171749E-14</v>
      </c>
      <c r="BF194" s="13">
        <f t="shared" si="167"/>
        <v>1.2910675160666962E-12</v>
      </c>
      <c r="BG194" s="20">
        <f t="shared" si="168"/>
        <v>2.3953306477420704E-12</v>
      </c>
      <c r="BH194" s="59">
        <f t="shared" si="116"/>
        <v>293.3333333333357</v>
      </c>
      <c r="BI194" s="59">
        <f ca="1">AVERAGE(OFFSET($BH$3,0,0,'Données projet'!$E$11+1,1))-AVERAGE(OFFSET($H$3,0,0,'Données projet'!$E$11+1,1))</f>
        <v>263.7093252578133</v>
      </c>
      <c r="BJ194" s="59">
        <f t="shared" si="146"/>
        <v>123.27856176791568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69.733636151814679</v>
      </c>
      <c r="BQ194" s="21">
        <f>EXP(-LN(2)/25)*BQ193+(1-EXP(-LN(2)/25))/(LN(2)/25)*Calculateur!BL194*Calculateur!BN194*VLOOKUP('Données projet'!$B$11,Paramètres!$A$1:$I$89,3,0)*0.475*44/12</f>
        <v>10.048705552888736</v>
      </c>
      <c r="BR194" s="21">
        <f>EXP(-LN(2)/2)*BR193+(1-EXP(-LN(2)/2))/(LN(2)/2)*BL194*BO194*VLOOKUP('Données projet'!$B$11,Paramètres!$A$1:$I$89,3,0)*0.475*44/12</f>
        <v>9.9118609917965591E-8</v>
      </c>
      <c r="BS194" s="22">
        <f t="shared" si="169"/>
        <v>79.782341803822021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283.73369613548124</v>
      </c>
      <c r="AO195" s="59">
        <f t="shared" si="144"/>
        <v>249.77804091581208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8.424194675171749E-14</v>
      </c>
      <c r="BF195" s="13">
        <f t="shared" si="167"/>
        <v>1.2910675160666962E-12</v>
      </c>
      <c r="BG195" s="20">
        <f t="shared" si="168"/>
        <v>2.3953306477420704E-12</v>
      </c>
      <c r="BH195" s="59">
        <f t="shared" si="116"/>
        <v>293.3333333333357</v>
      </c>
      <c r="BI195" s="59">
        <f ca="1">AVERAGE(OFFSET($BH$3,0,0,'Données projet'!$E$11+1,1))-AVERAGE(OFFSET($H$3,0,0,'Données projet'!$E$11+1,1))</f>
        <v>263.7093252578133</v>
      </c>
      <c r="BJ195" s="59">
        <f t="shared" si="146"/>
        <v>123.27856176791568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68.366202080195833</v>
      </c>
      <c r="BQ195" s="21">
        <f>EXP(-LN(2)/25)*BQ194+(1-EXP(-LN(2)/25))/(LN(2)/25)*Calculateur!BL195*Calculateur!BN195*VLOOKUP('Données projet'!$B$11,Paramètres!$A$1:$I$89,3,0)*0.475*44/12</f>
        <v>9.7739231711065351</v>
      </c>
      <c r="BR195" s="21">
        <f>EXP(-LN(2)/2)*BR194+(1-EXP(-LN(2)/2))/(LN(2)/2)*BL195*BO195*VLOOKUP('Données projet'!$B$11,Paramètres!$A$1:$I$89,3,0)*0.475*44/12</f>
        <v>7.0087441214777654E-8</v>
      </c>
      <c r="BS195" s="22">
        <f t="shared" si="169"/>
        <v>78.140125321389803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283.73369613548124</v>
      </c>
      <c r="AO196" s="59">
        <f t="shared" si="144"/>
        <v>249.77804091581208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8.424194675171749E-14</v>
      </c>
      <c r="BF196" s="13">
        <f t="shared" si="167"/>
        <v>1.2910675160666962E-12</v>
      </c>
      <c r="BG196" s="20">
        <f t="shared" si="168"/>
        <v>2.3953306477420704E-12</v>
      </c>
      <c r="BH196" s="59">
        <f t="shared" ref="BH196:BH203" si="194">BG196+(AY196+AZ196)*44/12</f>
        <v>293.3333333333357</v>
      </c>
      <c r="BI196" s="59">
        <f ca="1">AVERAGE(OFFSET($BH$3,0,0,'Données projet'!$E$11+1,1))-AVERAGE(OFFSET($H$3,0,0,'Données projet'!$E$11+1,1))</f>
        <v>263.7093252578133</v>
      </c>
      <c r="BJ196" s="59">
        <f t="shared" si="146"/>
        <v>123.27856176791568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67.025582556669008</v>
      </c>
      <c r="BQ196" s="21">
        <f>EXP(-LN(2)/25)*BQ195+(1-EXP(-LN(2)/25))/(LN(2)/25)*Calculateur!BL196*Calculateur!BN196*VLOOKUP('Données projet'!$B$11,Paramètres!$A$1:$I$89,3,0)*0.475*44/12</f>
        <v>9.5066547280043459</v>
      </c>
      <c r="BR196" s="21">
        <f>EXP(-LN(2)/2)*BR195+(1-EXP(-LN(2)/2))/(LN(2)/2)*BL196*BO196*VLOOKUP('Données projet'!$B$11,Paramètres!$A$1:$I$89,3,0)*0.475*44/12</f>
        <v>4.9559304958982795E-8</v>
      </c>
      <c r="BS196" s="22">
        <f t="shared" si="169"/>
        <v>76.532237334232661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283.73369613548124</v>
      </c>
      <c r="AO197" s="59">
        <f t="shared" ref="AO197:AO203" si="205">$AO$3</f>
        <v>249.77804091581208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8.424194675171749E-14</v>
      </c>
      <c r="BF197" s="13">
        <f t="shared" si="167"/>
        <v>1.2910675160666962E-12</v>
      </c>
      <c r="BG197" s="20">
        <f t="shared" si="168"/>
        <v>2.3953306477420704E-12</v>
      </c>
      <c r="BH197" s="59">
        <f t="shared" si="194"/>
        <v>293.3333333333357</v>
      </c>
      <c r="BI197" s="59">
        <f ca="1">AVERAGE(OFFSET($BH$3,0,0,'Données projet'!$E$11+1,1))-AVERAGE(OFFSET($H$3,0,0,'Données projet'!$E$11+1,1))</f>
        <v>263.7093252578133</v>
      </c>
      <c r="BJ197" s="59">
        <f t="shared" ref="BJ197:BJ203" si="206">$BJ$3</f>
        <v>123.27856176791568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65.711251764301366</v>
      </c>
      <c r="BQ197" s="21">
        <f>EXP(-LN(2)/25)*BQ196+(1-EXP(-LN(2)/25))/(LN(2)/25)*Calculateur!BL197*Calculateur!BN197*VLOOKUP('Données projet'!$B$11,Paramètres!$A$1:$I$89,3,0)*0.475*44/12</f>
        <v>9.2466947545338218</v>
      </c>
      <c r="BR197" s="21">
        <f>EXP(-LN(2)/2)*BR196+(1-EXP(-LN(2)/2))/(LN(2)/2)*BL197*BO197*VLOOKUP('Données projet'!$B$11,Paramètres!$A$1:$I$89,3,0)*0.475*44/12</f>
        <v>3.5043720607388827E-8</v>
      </c>
      <c r="BS197" s="22">
        <f t="shared" si="169"/>
        <v>74.957946553878912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283.73369613548124</v>
      </c>
      <c r="AO198" s="59">
        <f t="shared" si="205"/>
        <v>249.77804091581208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8.424194675171749E-14</v>
      </c>
      <c r="BF198" s="13">
        <f t="shared" si="167"/>
        <v>1.2910675160666962E-12</v>
      </c>
      <c r="BG198" s="20">
        <f t="shared" si="168"/>
        <v>2.3953306477420704E-12</v>
      </c>
      <c r="BH198" s="59">
        <f t="shared" si="194"/>
        <v>293.3333333333357</v>
      </c>
      <c r="BI198" s="59">
        <f ca="1">AVERAGE(OFFSET($BH$3,0,0,'Données projet'!$E$11+1,1))-AVERAGE(OFFSET($H$3,0,0,'Données projet'!$E$11+1,1))</f>
        <v>263.7093252578133</v>
      </c>
      <c r="BJ198" s="59">
        <f t="shared" si="206"/>
        <v>123.27856176791568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64.422694197109436</v>
      </c>
      <c r="BQ198" s="21">
        <f>EXP(-LN(2)/25)*BQ197+(1-EXP(-LN(2)/25))/(LN(2)/25)*Calculateur!BL198*Calculateur!BN198*VLOOKUP('Données projet'!$B$11,Paramètres!$A$1:$I$89,3,0)*0.475*44/12</f>
        <v>8.9938434002085508</v>
      </c>
      <c r="BR198" s="21">
        <f>EXP(-LN(2)/2)*BR197+(1-EXP(-LN(2)/2))/(LN(2)/2)*BL198*BO198*VLOOKUP('Données projet'!$B$11,Paramètres!$A$1:$I$89,3,0)*0.475*44/12</f>
        <v>2.4779652479491398E-8</v>
      </c>
      <c r="BS198" s="22">
        <f t="shared" si="169"/>
        <v>73.416537622097636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283.73369613548124</v>
      </c>
      <c r="AO199" s="59">
        <f t="shared" si="205"/>
        <v>249.77804091581208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8.424194675171749E-14</v>
      </c>
      <c r="BF199" s="13">
        <f t="shared" si="167"/>
        <v>1.2910675160666962E-12</v>
      </c>
      <c r="BG199" s="20">
        <f t="shared" si="168"/>
        <v>2.3953306477420704E-12</v>
      </c>
      <c r="BH199" s="59">
        <f t="shared" si="194"/>
        <v>293.3333333333357</v>
      </c>
      <c r="BI199" s="59">
        <f ca="1">AVERAGE(OFFSET($BH$3,0,0,'Données projet'!$E$11+1,1))-AVERAGE(OFFSET($H$3,0,0,'Données projet'!$E$11+1,1))</f>
        <v>263.7093252578133</v>
      </c>
      <c r="BJ199" s="59">
        <f t="shared" si="206"/>
        <v>123.27856176791568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63.159404457867623</v>
      </c>
      <c r="BQ199" s="21">
        <f>EXP(-LN(2)/25)*BQ198+(1-EXP(-LN(2)/25))/(LN(2)/25)*Calculateur!BL199*Calculateur!BN199*VLOOKUP('Données projet'!$B$11,Paramètres!$A$1:$I$89,3,0)*0.475*44/12</f>
        <v>8.7479062794641784</v>
      </c>
      <c r="BR199" s="21">
        <f>EXP(-LN(2)/2)*BR198+(1-EXP(-LN(2)/2))/(LN(2)/2)*BL199*BO199*VLOOKUP('Données projet'!$B$11,Paramètres!$A$1:$I$89,3,0)*0.475*44/12</f>
        <v>1.7521860303694413E-8</v>
      </c>
      <c r="BS199" s="22">
        <f t="shared" si="169"/>
        <v>71.907310754853654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283.73369613548124</v>
      </c>
      <c r="AO200" s="59">
        <f t="shared" si="205"/>
        <v>249.77804091581208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8.424194675171749E-14</v>
      </c>
      <c r="BF200" s="13">
        <f t="shared" si="167"/>
        <v>1.2910675160666962E-12</v>
      </c>
      <c r="BG200" s="20">
        <f t="shared" si="168"/>
        <v>2.3953306477420704E-12</v>
      </c>
      <c r="BH200" s="59">
        <f t="shared" si="194"/>
        <v>293.3333333333357</v>
      </c>
      <c r="BI200" s="59">
        <f ca="1">AVERAGE(OFFSET($BH$3,0,0,'Données projet'!$E$11+1,1))-AVERAGE(OFFSET($H$3,0,0,'Données projet'!$E$11+1,1))</f>
        <v>263.7093252578133</v>
      </c>
      <c r="BJ200" s="59">
        <f t="shared" si="206"/>
        <v>123.27856176791568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61.920887059881686</v>
      </c>
      <c r="BQ200" s="21">
        <f>EXP(-LN(2)/25)*BQ199+(1-EXP(-LN(2)/25))/(LN(2)/25)*Calculateur!BL200*Calculateur!BN200*VLOOKUP('Données projet'!$B$11,Paramètres!$A$1:$I$89,3,0)*0.475*44/12</f>
        <v>8.5086943222198332</v>
      </c>
      <c r="BR200" s="21">
        <f>EXP(-LN(2)/2)*BR199+(1-EXP(-LN(2)/2))/(LN(2)/2)*BL200*BO200*VLOOKUP('Données projet'!$B$11,Paramètres!$A$1:$I$89,3,0)*0.475*44/12</f>
        <v>1.2389826239745699E-8</v>
      </c>
      <c r="BS200" s="22">
        <f t="shared" si="169"/>
        <v>70.42958139449135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283.73369613548124</v>
      </c>
      <c r="AO201" s="59">
        <f t="shared" si="205"/>
        <v>249.77804091581208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8.424194675171749E-14</v>
      </c>
      <c r="BF201" s="13">
        <f t="shared" si="167"/>
        <v>1.2910675160666962E-12</v>
      </c>
      <c r="BG201" s="20">
        <f t="shared" si="168"/>
        <v>2.3953306477420704E-12</v>
      </c>
      <c r="BH201" s="59">
        <f t="shared" si="194"/>
        <v>293.3333333333357</v>
      </c>
      <c r="BI201" s="59">
        <f ca="1">AVERAGE(OFFSET($BH$3,0,0,'Données projet'!$E$11+1,1))-AVERAGE(OFFSET($H$3,0,0,'Données projet'!$E$11+1,1))</f>
        <v>263.7093252578133</v>
      </c>
      <c r="BJ201" s="59">
        <f t="shared" si="206"/>
        <v>123.27856176791568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60.70665623264923</v>
      </c>
      <c r="BQ201" s="21">
        <f>EXP(-LN(2)/25)*BQ200+(1-EXP(-LN(2)/25))/(LN(2)/25)*Calculateur!BL201*Calculateur!BN201*VLOOKUP('Données projet'!$B$11,Paramètres!$A$1:$I$89,3,0)*0.475*44/12</f>
        <v>8.2760236285259445</v>
      </c>
      <c r="BR201" s="21">
        <f>EXP(-LN(2)/2)*BR200+(1-EXP(-LN(2)/2))/(LN(2)/2)*BL201*BO201*VLOOKUP('Données projet'!$B$11,Paramètres!$A$1:$I$89,3,0)*0.475*44/12</f>
        <v>8.7609301518472067E-9</v>
      </c>
      <c r="BS201" s="22">
        <f t="shared" si="169"/>
        <v>68.982679869936106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283.73369613548124</v>
      </c>
      <c r="AO202" s="59">
        <f t="shared" si="205"/>
        <v>249.77804091581208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8.424194675171749E-14</v>
      </c>
      <c r="BF202" s="13">
        <f t="shared" si="167"/>
        <v>1.2910675160666962E-12</v>
      </c>
      <c r="BG202" s="20">
        <f t="shared" si="168"/>
        <v>2.3953306477420704E-12</v>
      </c>
      <c r="BH202" s="59">
        <f t="shared" si="194"/>
        <v>293.3333333333357</v>
      </c>
      <c r="BI202" s="59">
        <f ca="1">AVERAGE(OFFSET($BH$3,0,0,'Données projet'!$E$11+1,1))-AVERAGE(OFFSET($H$3,0,0,'Données projet'!$E$11+1,1))</f>
        <v>263.7093252578133</v>
      </c>
      <c r="BJ202" s="59">
        <f t="shared" si="206"/>
        <v>123.27856176791568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59.516235731331129</v>
      </c>
      <c r="BQ202" s="21">
        <f>EXP(-LN(2)/25)*BQ201+(1-EXP(-LN(2)/25))/(LN(2)/25)*Calculateur!BL202*Calculateur!BN202*VLOOKUP('Données projet'!$B$11,Paramètres!$A$1:$I$89,3,0)*0.475*44/12</f>
        <v>8.0497153271867354</v>
      </c>
      <c r="BR202" s="21">
        <f>EXP(-LN(2)/2)*BR201+(1-EXP(-LN(2)/2))/(LN(2)/2)*BL202*BO202*VLOOKUP('Données projet'!$B$11,Paramètres!$A$1:$I$89,3,0)*0.475*44/12</f>
        <v>6.1949131198728494E-9</v>
      </c>
      <c r="BS202" s="22">
        <f t="shared" si="169"/>
        <v>67.565951064712777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283.73369613548124</v>
      </c>
      <c r="AO203" s="59">
        <f t="shared" si="205"/>
        <v>249.77804091581208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8.424194675171749E-14</v>
      </c>
      <c r="BF203" s="13">
        <f t="shared" si="167"/>
        <v>1.2910675160666962E-12</v>
      </c>
      <c r="BG203" s="20">
        <f t="shared" si="168"/>
        <v>2.3953306477420704E-12</v>
      </c>
      <c r="BH203" s="59">
        <f t="shared" si="194"/>
        <v>293.3333333333357</v>
      </c>
      <c r="BI203" s="59">
        <f ca="1">AVERAGE(OFFSET($BH$3,0,0,'Données projet'!$E$11+1,1))-AVERAGE(OFFSET($H$3,0,0,'Données projet'!$E$11+1,1))</f>
        <v>263.7093252578133</v>
      </c>
      <c r="BJ203" s="59">
        <f t="shared" si="206"/>
        <v>123.27856176791568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58.349158649959065</v>
      </c>
      <c r="BQ203" s="21">
        <f>EXP(-LN(2)/25)*BQ202+(1-EXP(-LN(2)/25))/(LN(2)/25)*Calculateur!BL203*Calculateur!BN203*VLOOKUP('Données projet'!$B$11,Paramètres!$A$1:$I$89,3,0)*0.475*44/12</f>
        <v>7.829595438248683</v>
      </c>
      <c r="BR203" s="21">
        <f>EXP(-LN(2)/2)*BR202+(1-EXP(-LN(2)/2))/(LN(2)/2)*BL203*BO203*VLOOKUP('Données projet'!$B$11,Paramètres!$A$1:$I$89,3,0)*0.475*44/12</f>
        <v>4.3804650759236034E-9</v>
      </c>
      <c r="BS203" s="22">
        <f t="shared" si="169"/>
        <v>66.178754092588221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1.1797243348509765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5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90" t="s">
        <v>114</v>
      </c>
      <c r="P2" s="121">
        <v>0</v>
      </c>
    </row>
    <row r="3" spans="1:16" ht="15" thickBot="1" x14ac:dyDescent="0.4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91"/>
      <c r="P3" s="128">
        <v>0.2</v>
      </c>
    </row>
    <row r="4" spans="1:16" ht="15" thickBot="1" x14ac:dyDescent="0.4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90" t="s">
        <v>121</v>
      </c>
      <c r="P5" s="121">
        <v>0</v>
      </c>
    </row>
    <row r="6" spans="1:16" x14ac:dyDescent="0.35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92"/>
      <c r="P6" s="129">
        <v>0.05</v>
      </c>
    </row>
    <row r="7" spans="1:16" x14ac:dyDescent="0.35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92"/>
      <c r="P7" s="129">
        <v>0.1</v>
      </c>
    </row>
    <row r="8" spans="1:16" ht="15" thickBot="1" x14ac:dyDescent="0.4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91"/>
      <c r="P8" s="128">
        <v>0.15</v>
      </c>
    </row>
    <row r="9" spans="1:16" ht="15" thickBot="1" x14ac:dyDescent="0.4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90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91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143</v>
      </c>
      <c r="B15" s="123" t="s">
        <v>144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112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71</v>
      </c>
      <c r="B24" s="123" t="s">
        <v>162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112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112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112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112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112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112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112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112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112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112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112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112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112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112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112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112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112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112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112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112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112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112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112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112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220</v>
      </c>
      <c r="B62" s="123" t="s">
        <v>221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222</v>
      </c>
      <c r="B63" s="123" t="s">
        <v>223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225</v>
      </c>
      <c r="B64" s="123" t="s">
        <v>226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227</v>
      </c>
      <c r="B65" s="123" t="s">
        <v>228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19</v>
      </c>
      <c r="B66" s="123" t="s">
        <v>229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111</v>
      </c>
      <c r="E70" s="124">
        <v>2.4</v>
      </c>
      <c r="F70" s="124" t="s">
        <v>238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112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112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21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5">
      <c r="A93" s="122" t="s">
        <v>72</v>
      </c>
    </row>
    <row r="94" spans="1:14" x14ac:dyDescent="0.35">
      <c r="A94" s="122" t="s">
        <v>73</v>
      </c>
    </row>
    <row r="95" spans="1:14" x14ac:dyDescent="0.35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5" zoomScale="131" zoomScaleNormal="90" workbookViewId="0">
      <selection activeCell="J6" sqref="J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280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6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1671.1776076485294</v>
      </c>
      <c r="G6" s="147">
        <f ca="1">F6*(100%-'Données projet'!$C$24)*(100%-'Données projet'!$C$25)*(100%-'Données projet'!$C$26)*(100%-'Données projet'!$C$27)</f>
        <v>1504.0598468836765</v>
      </c>
      <c r="H6" s="148">
        <f>IF(OR('Données projet'!B9="",'Données projet'!C9="",'Données projet'!C9=0%),0,AVERAGE(Calculateur!$AC$3:$AC$33)*B6)</f>
        <v>73.274383089326975</v>
      </c>
      <c r="I6" s="149">
        <f>H6*(100%-'Données projet'!$C$24)*(100%-'Données projet'!$C$25)*(100%-'Données projet'!$C$26)*(100%-'Données projet'!$C$27)</f>
        <v>65.946944780394276</v>
      </c>
      <c r="J6" s="150">
        <f>IF(OR('Données projet'!B9="",'Données projet'!C9="",'Données projet'!C9=0%),0,SUM(Calculateur!$V$3:$V$33)*VLOOKUP('Données projet'!$B$9,Paramètres!$A$1:$I$89,9,0)*B6)</f>
        <v>458.2476923076922</v>
      </c>
      <c r="K6" s="151">
        <f>J6*(100%-'Données projet'!$C$24)*(100%-'Données projet'!$C$25)*(100%-'Données projet'!$C$26)*(100%-'Données projet'!$C$27)</f>
        <v>412.42292307692298</v>
      </c>
      <c r="L6" s="152">
        <f ca="1">G6+I6+K6</f>
        <v>1982.4297147409939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3.5999999999999996</v>
      </c>
      <c r="C7" s="147">
        <f ca="1">IF(OR('Données projet'!B10="",'Données projet'!C10="",'Données projet'!C10=0%),0,Calculateur!AN3)</f>
        <v>283.73369613548124</v>
      </c>
      <c r="D7" s="147">
        <f>IF(OR('Données projet'!B10="",'Données projet'!C10="",'Données projet'!C10=0%),0,Calculateur!AO3)</f>
        <v>249.77804091581208</v>
      </c>
      <c r="E7" s="147">
        <f t="shared" ref="E7:E15" ca="1" si="0">MIN(C7,D7)</f>
        <v>249.77804091581208</v>
      </c>
      <c r="F7" s="147">
        <f t="shared" ref="F7:F15" ca="1" si="1">E7*B7</f>
        <v>899.20094729692346</v>
      </c>
      <c r="G7" s="147">
        <f ca="1">F7*(100%-'Données projet'!$C$24)*(100%-'Données projet'!$C$25)*(100%-'Données projet'!$C$26)*(100%-'Données projet'!$C$27)</f>
        <v>809.28085256723114</v>
      </c>
      <c r="H7" s="155">
        <f>IF(OR('Données projet'!B10="",'Données projet'!C10="",'Données projet'!C10=0%),0,AVERAGE(Calculateur!$AX$3:$AX$33)*B7)</f>
        <v>29.994463401354921</v>
      </c>
      <c r="I7" s="149">
        <f>H7*(100%-'Données projet'!$C$24)*(100%-'Données projet'!$C$25)*(100%-'Données projet'!$C$26)*(100%-'Données projet'!$C$27)</f>
        <v>26.995017061219428</v>
      </c>
      <c r="J7" s="150">
        <f>IF(OR('Données projet'!B10="",'Données projet'!C10="",'Données projet'!C10=0%),0,SUM(Calculateur!$AQ$3:$AQ$33)*VLOOKUP('Données projet'!$B$10,Paramètres!$A$1:$I$89,9,0)*B7)</f>
        <v>221.09012307692302</v>
      </c>
      <c r="K7" s="151">
        <f>J7*(100%-'Données projet'!$C$24)*(100%-'Données projet'!$C$25)*(100%-'Données projet'!$C$26)*(100%-'Données projet'!$C$27)</f>
        <v>198.98111076923072</v>
      </c>
      <c r="L7" s="152">
        <f t="shared" ref="L7:L15" ca="1" si="2">G7+I7+K7</f>
        <v>1035.2569803976812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Sapin pectiné</v>
      </c>
      <c r="B8" s="154">
        <f>'Données projet'!D11</f>
        <v>2.4000000000000004</v>
      </c>
      <c r="C8" s="147">
        <f ca="1">IF(OR('Données projet'!B11="",'Données projet'!C11="",'Données projet'!C11=0%),0,Calculateur!BI3)</f>
        <v>263.7093252578133</v>
      </c>
      <c r="D8" s="147">
        <f>IF(OR('Données projet'!B11="",'Données projet'!C11="",'Données projet'!C11=0%),0,Calculateur!BJ3)</f>
        <v>123.27856176791568</v>
      </c>
      <c r="E8" s="147">
        <f t="shared" ca="1" si="0"/>
        <v>123.27856176791568</v>
      </c>
      <c r="F8" s="147">
        <f t="shared" ca="1" si="1"/>
        <v>295.86854824299769</v>
      </c>
      <c r="G8" s="147">
        <f ca="1">F8*(100%-'Données projet'!$C$24)*(100%-'Données projet'!$C$25)*(100%-'Données projet'!$C$26)*(100%-'Données projet'!$C$27)</f>
        <v>266.28169341869796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266.28169341869796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2866.2471031884506</v>
      </c>
      <c r="G16" s="166">
        <f t="shared" ca="1" si="3"/>
        <v>2579.6223928696058</v>
      </c>
      <c r="H16" s="167">
        <f t="shared" si="3"/>
        <v>103.2688464906819</v>
      </c>
      <c r="I16" s="167">
        <f t="shared" si="3"/>
        <v>92.941961841613704</v>
      </c>
      <c r="J16" s="168">
        <f t="shared" si="3"/>
        <v>679.33781538461517</v>
      </c>
      <c r="K16" s="168">
        <f t="shared" si="3"/>
        <v>611.40403384615365</v>
      </c>
      <c r="L16" s="169">
        <f t="shared" ca="1" si="3"/>
        <v>3283.9683885573731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3" t="s">
        <v>291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Sapin pectiné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8" zoomScale="68" zoomScaleNormal="90" workbookViewId="0">
      <selection activeCell="I15" sqref="I1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292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293</v>
      </c>
      <c r="I4" s="267"/>
      <c r="K4" s="309" t="s">
        <v>294</v>
      </c>
      <c r="L4" s="31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301" t="s">
        <v>295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6</v>
      </c>
      <c r="V10" s="177">
        <f>U10*T10</f>
        <v>21744.793006344513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3.5999999999999996</v>
      </c>
      <c r="V11" s="177">
        <f t="shared" ref="V11" si="0">U11*T11</f>
        <v>4383.3566880734179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pectiné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962.20518046094094</v>
      </c>
      <c r="U12" s="178">
        <f>'Données projet'!D11</f>
        <v>2.4000000000000004</v>
      </c>
      <c r="V12" s="177">
        <f t="shared" ref="V12:V19" si="1">U12*T12</f>
        <v>2309.2924331062586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2" t="s">
        <v>307</v>
      </c>
      <c r="H15" s="190">
        <v>1</v>
      </c>
      <c r="I15" s="265">
        <v>3516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2"/>
      <c r="H16" s="190"/>
      <c r="I16" s="191"/>
      <c r="J16" s="202"/>
      <c r="K16" s="208"/>
      <c r="L16" s="309" t="s">
        <v>312</v>
      </c>
      <c r="M16" s="310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G17" s="312"/>
      <c r="J17" s="202"/>
      <c r="K17" s="208"/>
      <c r="L17" s="269" t="s">
        <v>313</v>
      </c>
      <c r="M17" s="27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G18" s="312"/>
      <c r="J18" s="202"/>
      <c r="K18" s="208"/>
      <c r="L18" s="269" t="s">
        <v>309</v>
      </c>
      <c r="M18" s="271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312"/>
      <c r="H19" s="212" t="s">
        <v>76</v>
      </c>
      <c r="I19" s="212" t="s">
        <v>314</v>
      </c>
      <c r="J19" s="93"/>
      <c r="K19" s="173"/>
      <c r="L19" s="309" t="s">
        <v>315</v>
      </c>
      <c r="M19" s="310"/>
      <c r="N19" s="179">
        <f>N17*N18</f>
        <v>749.99999999999977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312"/>
      <c r="H20" s="190">
        <v>1</v>
      </c>
      <c r="I20" s="191">
        <v>11040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>
        <v>2</v>
      </c>
      <c r="I21" s="191">
        <v>660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>
        <v>3</v>
      </c>
      <c r="I22" s="191">
        <v>660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>
        <v>4</v>
      </c>
      <c r="I23" s="191">
        <v>780</v>
      </c>
      <c r="K23" s="208"/>
      <c r="L23" s="311" t="s">
        <v>316</v>
      </c>
      <c r="M23" s="311"/>
      <c r="N23" s="311"/>
      <c r="O23" s="23"/>
      <c r="P23" s="23"/>
      <c r="Q23" s="234"/>
      <c r="R23" s="23"/>
      <c r="S23" s="36" t="s">
        <v>317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-95808.558135073807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>
        <v>5</v>
      </c>
      <c r="I24" s="191">
        <v>780</v>
      </c>
      <c r="K24" s="208"/>
      <c r="O24" s="23"/>
      <c r="P24" s="23"/>
      <c r="Q24" s="234"/>
      <c r="R24" s="23"/>
      <c r="S24" s="36" t="s">
        <v>318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2403.0001395630266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>
        <v>6</v>
      </c>
      <c r="I25" s="191">
        <v>900</v>
      </c>
      <c r="K25" s="208"/>
      <c r="L25" s="130" t="s">
        <v>319</v>
      </c>
      <c r="M25" s="130"/>
      <c r="N25" s="130"/>
      <c r="O25" s="130"/>
      <c r="P25" s="192">
        <v>0</v>
      </c>
      <c r="Q25" s="234"/>
      <c r="R25" s="23"/>
      <c r="S25" s="186" t="s">
        <v>320</v>
      </c>
      <c r="T25" s="308">
        <f ca="1">T23-T24</f>
        <v>-98211.558274636831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5" t="s">
        <v>321</v>
      </c>
      <c r="M26" s="296"/>
      <c r="N26" s="296"/>
      <c r="O26" s="296"/>
      <c r="P26" s="297"/>
      <c r="Q26" s="234"/>
      <c r="R26" s="23"/>
      <c r="S26" s="186" t="s">
        <v>322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8"/>
      <c r="M27" s="299"/>
      <c r="N27" s="299"/>
      <c r="O27" s="299"/>
      <c r="P27" s="300"/>
      <c r="Q27" s="234"/>
      <c r="R27" s="23"/>
      <c r="S27" s="304" t="s">
        <v>323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Sapin pectiné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/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45</v>
      </c>
      <c r="B86" s="181">
        <f>'Données projet'!D89</f>
        <v>146.27692307692308</v>
      </c>
      <c r="C86" s="191">
        <v>10</v>
      </c>
      <c r="D86" s="179">
        <f t="shared" ref="D86:D104" si="6">B86*C86</f>
        <v>1462.7692307692309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52</v>
      </c>
      <c r="B87" s="181">
        <f>'Données projet'!D90</f>
        <v>75.523076923076928</v>
      </c>
      <c r="C87" s="191">
        <v>18</v>
      </c>
      <c r="D87" s="179">
        <f t="shared" si="6"/>
        <v>1359.4153846153847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59</v>
      </c>
      <c r="B88" s="181">
        <f>'Données projet'!D91</f>
        <v>93.91538461538461</v>
      </c>
      <c r="C88" s="191">
        <v>25</v>
      </c>
      <c r="D88" s="179">
        <f t="shared" si="6"/>
        <v>2347.8846153846152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67</v>
      </c>
      <c r="B89" s="181">
        <f>'Données projet'!D92</f>
        <v>92.107692307692304</v>
      </c>
      <c r="C89" s="191">
        <v>25</v>
      </c>
      <c r="D89" s="179">
        <f t="shared" si="6"/>
        <v>2302.6923076923076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75</v>
      </c>
      <c r="B90" s="181">
        <f>'Données projet'!D93</f>
        <v>86.946153846153848</v>
      </c>
      <c r="C90" s="191">
        <v>35</v>
      </c>
      <c r="D90" s="179">
        <f t="shared" si="6"/>
        <v>3043.1153846153848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83</v>
      </c>
      <c r="B91" s="181">
        <f>'Données projet'!D94</f>
        <v>91.153846153846146</v>
      </c>
      <c r="C91" s="191">
        <v>35</v>
      </c>
      <c r="D91" s="179">
        <f t="shared" si="6"/>
        <v>3190.3846153846152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91</v>
      </c>
      <c r="B92" s="181">
        <f>'Données projet'!D95</f>
        <v>87.884615384615387</v>
      </c>
      <c r="C92" s="191">
        <v>35</v>
      </c>
      <c r="D92" s="179">
        <f t="shared" si="6"/>
        <v>3075.9615384615386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99</v>
      </c>
      <c r="B93" s="181">
        <f>'Données projet'!D96</f>
        <v>69.692307692307679</v>
      </c>
      <c r="C93" s="191">
        <v>40</v>
      </c>
      <c r="D93" s="179">
        <f t="shared" si="6"/>
        <v>2787.6923076923072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107</v>
      </c>
      <c r="B94" s="181">
        <f>'Données projet'!D97</f>
        <v>76.292307692307702</v>
      </c>
      <c r="C94" s="191">
        <v>40</v>
      </c>
      <c r="D94" s="179">
        <f t="shared" si="6"/>
        <v>3051.6923076923081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116</v>
      </c>
      <c r="B95" s="181">
        <f>'Données projet'!D98</f>
        <v>78.146153846153851</v>
      </c>
      <c r="C95" s="191">
        <v>40</v>
      </c>
      <c r="D95" s="179">
        <f t="shared" si="6"/>
        <v>3125.8461538461543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125</v>
      </c>
      <c r="B96" s="181">
        <f>'Données projet'!D99</f>
        <v>66.315384615384602</v>
      </c>
      <c r="C96" s="191">
        <v>40</v>
      </c>
      <c r="D96" s="179">
        <f t="shared" si="6"/>
        <v>2652.6153846153838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134</v>
      </c>
      <c r="B97" s="181">
        <f>'Données projet'!D100</f>
        <v>506.56153846153842</v>
      </c>
      <c r="C97" s="191">
        <v>40</v>
      </c>
      <c r="D97" s="179">
        <f t="shared" si="6"/>
        <v>20262.461538461535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6A0BD-155B-42B7-A4AE-081ACFB74D6F}"/>
</file>

<file path=customXml/itemProps2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Emeline Sanchez</cp:lastModifiedBy>
  <cp:revision/>
  <dcterms:created xsi:type="dcterms:W3CDTF">2021-02-01T08:22:39Z</dcterms:created>
  <dcterms:modified xsi:type="dcterms:W3CDTF">2025-02-18T15:31:15Z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