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uiseLANDAIS\Downloads\"/>
    </mc:Choice>
  </mc:AlternateContent>
  <xr:revisionPtr revIDLastSave="0" documentId="13_ncr:1_{24D03434-F068-493A-BB36-AAE65C2D2484}" xr6:coauthVersionLast="47" xr6:coauthVersionMax="47" xr10:uidLastSave="{00000000-0000-0000-0000-000000000000}"/>
  <bookViews>
    <workbookView xWindow="-98" yWindow="-98" windowWidth="19396" windowHeight="1147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Q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B7" i="2"/>
  <c r="HI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G20" i="2"/>
  <c r="EC20" i="2"/>
  <c r="HH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EW38" i="2"/>
  <c r="HG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EW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HH130" i="2"/>
  <c r="HG130" i="2"/>
  <c r="EB130" i="2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FS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FS156" i="2"/>
  <c r="EX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D159" i="2"/>
  <c r="EY159" i="2"/>
  <c r="FS160" i="2"/>
  <c r="HH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A161" i="2"/>
  <c r="EB161" i="2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S164" i="2"/>
  <c r="FR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EB168" i="2"/>
  <c r="HI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J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HI175" i="2"/>
  <c r="FS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EW178" i="2"/>
  <c r="FQ178" i="2"/>
  <c r="EA178" i="2"/>
  <c r="ED178" i="2" s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HH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HI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I192" i="2"/>
  <c r="EW192" i="2"/>
  <c r="EC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E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C197" i="2"/>
  <c r="HH197" i="2"/>
  <c r="AA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EA201" i="2" l="1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X202" i="2"/>
  <c r="FR202" i="2"/>
  <c r="FS202" i="2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GT102" i="2" a="1"/>
  <c r="GT102" i="2" s="1"/>
  <c r="GT11" i="2" a="1"/>
  <c r="GT11" i="2" s="1"/>
  <c r="EI198" i="2" a="1"/>
  <c r="EI198" i="2" s="1"/>
  <c r="EI29" i="2" a="1"/>
  <c r="EI29" i="2" s="1"/>
  <c r="EI150" i="2" a="1"/>
  <c r="EI150" i="2" s="1"/>
  <c r="EI162" i="2" a="1"/>
  <c r="EI162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66" i="2" a="1"/>
  <c r="DN66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84" i="2" a="1"/>
  <c r="BC84" i="2" s="1"/>
  <c r="BC185" i="2" a="1"/>
  <c r="BC185" i="2" s="1"/>
  <c r="BC7" i="2" a="1"/>
  <c r="BC7" i="2" s="1"/>
  <c r="BC151" i="2" a="1"/>
  <c r="BC151" i="2" s="1"/>
  <c r="BC83" i="2" a="1"/>
  <c r="BC83" i="2" s="1"/>
  <c r="CS120" i="2" a="1"/>
  <c r="CS120" i="2" s="1"/>
  <c r="GT15" i="2" a="1"/>
  <c r="GT15" i="2" s="1"/>
  <c r="EI38" i="2" a="1"/>
  <c r="EI38" i="2" s="1"/>
  <c r="EI109" i="2" a="1"/>
  <c r="EI109" i="2" s="1"/>
  <c r="EI57" i="2" a="1"/>
  <c r="EI57" i="2" s="1"/>
  <c r="EI71" i="2" a="1"/>
  <c r="EI71" i="2" s="1"/>
  <c r="EI165" i="2" a="1"/>
  <c r="EI165" i="2" s="1"/>
  <c r="EI34" i="2" a="1"/>
  <c r="EI34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65" i="2" a="1"/>
  <c r="DN65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BC114" i="2" l="1" a="1"/>
  <c r="BC114" i="2" s="1"/>
  <c r="BC126" i="2" a="1"/>
  <c r="BC126" i="2" s="1"/>
  <c r="BC58" i="2" a="1"/>
  <c r="BC58" i="2" s="1"/>
  <c r="BC18" i="2" a="1"/>
  <c r="BC18" i="2" s="1"/>
  <c r="BC38" i="2" a="1"/>
  <c r="BC38" i="2" s="1"/>
  <c r="AH62" i="2" a="1"/>
  <c r="AH62" i="2" s="1"/>
  <c r="AH163" i="2" a="1"/>
  <c r="AH163" i="2" s="1"/>
  <c r="DN188" i="2" a="1"/>
  <c r="DN188" i="2" s="1"/>
  <c r="DN55" i="2" a="1"/>
  <c r="DN55" i="2" s="1"/>
  <c r="DN86" i="2" a="1"/>
  <c r="DN86" i="2" s="1"/>
  <c r="GT138" i="2" a="1"/>
  <c r="GT138" i="2" s="1"/>
  <c r="AH166" i="2" a="1"/>
  <c r="AH166" i="2" s="1"/>
  <c r="GT147" i="2" a="1"/>
  <c r="GT147" i="2" s="1"/>
  <c r="DN31" i="2" a="1"/>
  <c r="DN31" i="2" s="1"/>
  <c r="GT107" i="2" a="1"/>
  <c r="GT107" i="2" s="1"/>
  <c r="AH19" i="2" a="1"/>
  <c r="AH19" i="2" s="1"/>
  <c r="GT152" i="2" a="1"/>
  <c r="GT152" i="2" s="1"/>
  <c r="DN45" i="2" a="1"/>
  <c r="DN45" i="2" s="1"/>
  <c r="DN16" i="2" a="1"/>
  <c r="DN16" i="2" s="1"/>
  <c r="GT190" i="2" a="1"/>
  <c r="GT190" i="2" s="1"/>
  <c r="FD107" i="2" a="1"/>
  <c r="FD107" i="2" s="1"/>
  <c r="FY42" i="2" a="1"/>
  <c r="FY42" i="2" s="1"/>
  <c r="DN170" i="2" a="1"/>
  <c r="DN170" i="2" s="1"/>
  <c r="DN155" i="2" a="1"/>
  <c r="DN155" i="2" s="1"/>
  <c r="GT133" i="2" a="1"/>
  <c r="GT133" i="2" s="1"/>
  <c r="FY72" i="2" a="1"/>
  <c r="FY72" i="2" s="1"/>
  <c r="FY173" i="2" a="1"/>
  <c r="FY173" i="2" s="1"/>
  <c r="FY165" i="2" a="1"/>
  <c r="FY165" i="2" s="1"/>
  <c r="DN162" i="2" a="1"/>
  <c r="DN162" i="2" s="1"/>
  <c r="GT191" i="2" a="1"/>
  <c r="GT191" i="2" s="1"/>
  <c r="FD167" i="2" a="1"/>
  <c r="FD167" i="2" s="1"/>
  <c r="FY196" i="2" a="1"/>
  <c r="FY196" i="2" s="1"/>
  <c r="DN114" i="2" a="1"/>
  <c r="DN114" i="2" s="1"/>
  <c r="DN129" i="2" a="1"/>
  <c r="DN129" i="2" s="1"/>
  <c r="GT121" i="2" a="1"/>
  <c r="GT121" i="2" s="1"/>
  <c r="AH92" i="2" a="1"/>
  <c r="AH92" i="2" s="1"/>
  <c r="FY159" i="2" a="1"/>
  <c r="FY159" i="2" s="1"/>
  <c r="FY146" i="2" a="1"/>
  <c r="FY146" i="2" s="1"/>
  <c r="DN49" i="2" a="1"/>
  <c r="DN49" i="2" s="1"/>
  <c r="EI128" i="2" a="1"/>
  <c r="EI128" i="2" s="1"/>
  <c r="GT38" i="2" a="1"/>
  <c r="GT38" i="2" s="1"/>
  <c r="BC143" i="2" a="1"/>
  <c r="BC143" i="2" s="1"/>
  <c r="FD131" i="2" a="1"/>
  <c r="FD131" i="2" s="1"/>
  <c r="FY82" i="2" a="1"/>
  <c r="FY82" i="2" s="1"/>
  <c r="DN103" i="2" a="1"/>
  <c r="DN103" i="2" s="1"/>
  <c r="DN50" i="2" a="1"/>
  <c r="DN50" i="2" s="1"/>
  <c r="EI178" i="2" a="1"/>
  <c r="EI178" i="2" s="1"/>
  <c r="GT122" i="2" a="1"/>
  <c r="GT122" i="2" s="1"/>
  <c r="BC34" i="2" a="1"/>
  <c r="BC34" i="2" s="1"/>
  <c r="FY178" i="2" a="1"/>
  <c r="FY178" i="2" s="1"/>
  <c r="FY143" i="2" a="1"/>
  <c r="FY143" i="2" s="1"/>
  <c r="FY32" i="2" a="1"/>
  <c r="FY32" i="2" s="1"/>
  <c r="DN132" i="2" a="1"/>
  <c r="DN132" i="2" s="1"/>
  <c r="DN164" i="2" a="1"/>
  <c r="DN164" i="2" s="1"/>
  <c r="EI20" i="2" a="1"/>
  <c r="EI20" i="2" s="1"/>
  <c r="GT126" i="2" a="1"/>
  <c r="GT126" i="2" s="1"/>
  <c r="BC31" i="2" a="1"/>
  <c r="BC31" i="2" s="1"/>
  <c r="FD43" i="2" a="1"/>
  <c r="FD43" i="2" s="1"/>
  <c r="FY182" i="2" a="1"/>
  <c r="FY182" i="2" s="1"/>
  <c r="AH151" i="2" a="1"/>
  <c r="AH151" i="2" s="1"/>
  <c r="DN113" i="2" a="1"/>
  <c r="DN113" i="2" s="1"/>
  <c r="EI145" i="2" a="1"/>
  <c r="EI145" i="2" s="1"/>
  <c r="GT51" i="2" a="1"/>
  <c r="GT51" i="2" s="1"/>
  <c r="FD59" i="2" a="1"/>
  <c r="FD59" i="2" s="1"/>
  <c r="FY55" i="2" a="1"/>
  <c r="FY55" i="2" s="1"/>
  <c r="FY191" i="2" a="1"/>
  <c r="FY191" i="2" s="1"/>
  <c r="FY22" i="2" a="1"/>
  <c r="FY22" i="2" s="1"/>
  <c r="DN70" i="2" a="1"/>
  <c r="DN70" i="2" s="1"/>
  <c r="DN63" i="2" a="1"/>
  <c r="DN63" i="2" s="1"/>
  <c r="DN137" i="2" a="1"/>
  <c r="DN137" i="2" s="1"/>
  <c r="DN110" i="2" a="1"/>
  <c r="DN110" i="2" s="1"/>
  <c r="BX107" i="2" a="1"/>
  <c r="BX107" i="2" s="1"/>
  <c r="DN115" i="2" a="1"/>
  <c r="DN115" i="2" s="1"/>
  <c r="GT174" i="2" a="1"/>
  <c r="GT174" i="2" s="1"/>
  <c r="AH90" i="2" a="1"/>
  <c r="AH90" i="2" s="1"/>
  <c r="GT68" i="2" a="1"/>
  <c r="GT68" i="2" s="1"/>
  <c r="FY110" i="2" a="1"/>
  <c r="FY110" i="2" s="1"/>
  <c r="DN46" i="2" a="1"/>
  <c r="DN46" i="2" s="1"/>
  <c r="GT178" i="2" a="1"/>
  <c r="GT178" i="2" s="1"/>
  <c r="FY86" i="2" a="1"/>
  <c r="FY86" i="2" s="1"/>
  <c r="DN187" i="2" a="1"/>
  <c r="DN187" i="2" s="1"/>
  <c r="AH199" i="2" a="1"/>
  <c r="AH199" i="2" s="1"/>
  <c r="DN177" i="2" a="1"/>
  <c r="DN177" i="2" s="1"/>
  <c r="DN124" i="2" a="1"/>
  <c r="DN124" i="2" s="1"/>
  <c r="DN167" i="2" a="1"/>
  <c r="DN167" i="2" s="1"/>
  <c r="DN153" i="2" a="1"/>
  <c r="DN153" i="2" s="1"/>
  <c r="GT33" i="2" a="1"/>
  <c r="GT33" i="2" s="1"/>
  <c r="DN30" i="2" a="1"/>
  <c r="DN30" i="2" s="1"/>
  <c r="DN135" i="2" a="1"/>
  <c r="DN135" i="2" s="1"/>
  <c r="GT74" i="2" a="1"/>
  <c r="GT74" i="2" s="1"/>
  <c r="FD64" i="2" a="1"/>
  <c r="FD64" i="2" s="1"/>
  <c r="FY115" i="2" a="1"/>
  <c r="FY115" i="2" s="1"/>
  <c r="DN25" i="2" a="1"/>
  <c r="DN25" i="2" s="1"/>
  <c r="FD144" i="2" a="1"/>
  <c r="FD144" i="2" s="1"/>
  <c r="FY126" i="2" a="1"/>
  <c r="FY126" i="2" s="1"/>
  <c r="FY90" i="2" a="1"/>
  <c r="FY90" i="2" s="1"/>
  <c r="DN38" i="2" a="1"/>
  <c r="DN38" i="2" s="1"/>
  <c r="FD189" i="2" a="1"/>
  <c r="FD189" i="2" s="1"/>
  <c r="DN123" i="2" a="1"/>
  <c r="DN123" i="2" s="1"/>
  <c r="DN184" i="2" a="1"/>
  <c r="DN184" i="2" s="1"/>
  <c r="GT181" i="2" a="1"/>
  <c r="GT181" i="2" s="1"/>
  <c r="FD21" i="2" a="1"/>
  <c r="FD21" i="2" s="1"/>
  <c r="FY188" i="2" a="1"/>
  <c r="FY188" i="2" s="1"/>
  <c r="FY153" i="2" a="1"/>
  <c r="FY153" i="2" s="1"/>
  <c r="FY57" i="2" a="1"/>
  <c r="FY57" i="2" s="1"/>
  <c r="GT189" i="2" a="1"/>
  <c r="GT189" i="2" s="1"/>
  <c r="FD14" i="2" a="1"/>
  <c r="FD14" i="2" s="1"/>
  <c r="FY58" i="2" a="1"/>
  <c r="FY58" i="2" s="1"/>
  <c r="DN152" i="2" a="1"/>
  <c r="DN152" i="2" s="1"/>
  <c r="GT184" i="2" a="1"/>
  <c r="GT184" i="2" s="1"/>
  <c r="FY172" i="2" a="1"/>
  <c r="FY172" i="2" s="1"/>
  <c r="FY28" i="2" a="1"/>
  <c r="FY28" i="2" s="1"/>
  <c r="FY102" i="2" a="1"/>
  <c r="FY102" i="2" s="1"/>
  <c r="FY54" i="2" a="1"/>
  <c r="FY54" i="2" s="1"/>
  <c r="HH203" i="2"/>
  <c r="DN176" i="2" a="1"/>
  <c r="DN176" i="2" s="1"/>
  <c r="GT198" i="2" a="1"/>
  <c r="GT198" i="2" s="1"/>
  <c r="BC192" i="2" a="1"/>
  <c r="BC192" i="2" s="1"/>
  <c r="FD48" i="2" a="1"/>
  <c r="FD48" i="2" s="1"/>
  <c r="DN29" i="2" a="1"/>
  <c r="DN29" i="2" s="1"/>
  <c r="EI106" i="2" a="1"/>
  <c r="EI106" i="2" s="1"/>
  <c r="GT115" i="2" a="1"/>
  <c r="GT115" i="2" s="1"/>
  <c r="FY104" i="2" a="1"/>
  <c r="FY104" i="2" s="1"/>
  <c r="FY78" i="2" a="1"/>
  <c r="FY78" i="2" s="1"/>
  <c r="FY69" i="2" a="1"/>
  <c r="FY69" i="2" s="1"/>
  <c r="FY50" i="2" a="1"/>
  <c r="FY50" i="2" s="1"/>
  <c r="DN190" i="2" a="1"/>
  <c r="DN190" i="2" s="1"/>
  <c r="DN80" i="2" a="1"/>
  <c r="DN80" i="2" s="1"/>
  <c r="EI36" i="2" a="1"/>
  <c r="EI36" i="2" s="1"/>
  <c r="GT21" i="2" a="1"/>
  <c r="GT21" i="2" s="1"/>
  <c r="BC55" i="2" a="1"/>
  <c r="BC55" i="2" s="1"/>
  <c r="FD44" i="2" a="1"/>
  <c r="FD44" i="2" s="1"/>
  <c r="DN150" i="2" a="1"/>
  <c r="DN150" i="2" s="1"/>
  <c r="DN41" i="2" a="1"/>
  <c r="DN41" i="2" s="1"/>
  <c r="EI153" i="2" a="1"/>
  <c r="EI153" i="2" s="1"/>
  <c r="DN56" i="2" a="1"/>
  <c r="DN56" i="2" s="1"/>
  <c r="FY34" i="2" a="1"/>
  <c r="FY34" i="2" s="1"/>
  <c r="FY174" i="2" a="1"/>
  <c r="FY174" i="2" s="1"/>
  <c r="FY66" i="2" a="1"/>
  <c r="FY66" i="2" s="1"/>
  <c r="FY109" i="2" a="1"/>
  <c r="FY109" i="2" s="1"/>
  <c r="HG203" i="2"/>
  <c r="DN133" i="2" a="1"/>
  <c r="DN133" i="2" s="1"/>
  <c r="EI87" i="2" a="1"/>
  <c r="EI87" i="2" s="1"/>
  <c r="GT12" i="2" a="1"/>
  <c r="GT12" i="2" s="1"/>
  <c r="BC130" i="2" a="1"/>
  <c r="BC130" i="2" s="1"/>
  <c r="FD188" i="2" a="1"/>
  <c r="FD188" i="2" s="1"/>
  <c r="DN192" i="2" a="1"/>
  <c r="DN192" i="2" s="1"/>
  <c r="DN43" i="2" a="1"/>
  <c r="DN43" i="2" s="1"/>
  <c r="EI166" i="2" a="1"/>
  <c r="EI166" i="2" s="1"/>
  <c r="BC117" i="2" a="1"/>
  <c r="BC117" i="2" s="1"/>
  <c r="FY164" i="2" a="1"/>
  <c r="FY164" i="2" s="1"/>
  <c r="FY99" i="2" a="1"/>
  <c r="FY99" i="2" s="1"/>
  <c r="FY120" i="2" a="1"/>
  <c r="FY120" i="2" s="1"/>
  <c r="FY79" i="2" a="1"/>
  <c r="FY79" i="2" s="1"/>
  <c r="BP203" i="2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<sst xmlns="http://schemas.openxmlformats.org/spreadsheetml/2006/main" count="1172" uniqueCount="324">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</sst>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14" borderId="1" xfId="0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1.704104346396196</c:v>
                </c:pt>
                <c:pt idx="2">
                  <c:v>1.997817795745559</c:v>
                </c:pt>
                <c:pt idx="3">
                  <c:v>2.3423437898460904</c:v>
                </c:pt>
                <c:pt idx="4">
                  <c:v>2.7465039154767976</c:v>
                </c:pt>
                <c:pt idx="5">
                  <c:v>3.2206563398501058</c:v>
                </c:pt>
                <c:pt idx="6">
                  <c:v>3.7769642820306903</c:v>
                </c:pt>
                <c:pt idx="7">
                  <c:v>4.4297115252434045</c:v>
                </c:pt>
                <c:pt idx="8">
                  <c:v>5.1956732340483649</c:v>
                </c:pt>
                <c:pt idx="9">
                  <c:v>6.0945517956288251</c:v>
                </c:pt>
                <c:pt idx="10">
                  <c:v>7.1494891165339531</c:v>
                </c:pt>
                <c:pt idx="11">
                  <c:v>8.387668820559627</c:v>
                </c:pt>
                <c:pt idx="12">
                  <c:v>9.8410241634967992</c:v>
                </c:pt>
                <c:pt idx="13">
                  <c:v>11.547070269162338</c:v>
                </c:pt>
                <c:pt idx="14">
                  <c:v>13.549882572539316</c:v>
                </c:pt>
                <c:pt idx="15">
                  <c:v>15.901247217213713</c:v>
                </c:pt>
                <c:pt idx="16">
                  <c:v>18.66201369829005</c:v>
                </c:pt>
                <c:pt idx="17">
                  <c:v>21.903685389498751</c:v>
                </c:pt>
                <c:pt idx="18">
                  <c:v>25.710289886620075</c:v>
                </c:pt>
                <c:pt idx="19">
                  <c:v>30.180578506247247</c:v>
                </c:pt>
                <c:pt idx="20">
                  <c:v>35.430612996644278</c:v>
                </c:pt>
                <c:pt idx="21">
                  <c:v>41.596807778404155</c:v>
                </c:pt>
                <c:pt idx="22">
                  <c:v>48.839508110420148</c:v>
                </c:pt>
                <c:pt idx="23">
                  <c:v>57.347198793584305</c:v>
                </c:pt>
                <c:pt idx="24">
                  <c:v>67.341454760093711</c:v>
                </c:pt>
                <c:pt idx="25">
                  <c:v>79.082764597166076</c:v>
                </c:pt>
                <c:pt idx="26">
                  <c:v>92.877381246640297</c:v>
                </c:pt>
                <c:pt idx="27">
                  <c:v>109.08538142620021</c:v>
                </c:pt>
                <c:pt idx="28">
                  <c:v>128.13014746383186</c:v>
                </c:pt>
                <c:pt idx="29">
                  <c:v>150.50952308441916</c:v>
                </c:pt>
                <c:pt idx="30">
                  <c:v>176.80893924881809</c:v>
                </c:pt>
                <c:pt idx="31">
                  <c:v>207.71685861415708</c:v>
                </c:pt>
                <c:pt idx="32">
                  <c:v>244.04294896453294</c:v>
                </c:pt>
                <c:pt idx="33">
                  <c:v>286.73946870873027</c:v>
                </c:pt>
                <c:pt idx="34">
                  <c:v>336.92643320563343</c:v>
                </c:pt>
                <c:pt idx="35">
                  <c:v>240.78735345126222</c:v>
                </c:pt>
                <c:pt idx="36">
                  <c:v>257.96333045729415</c:v>
                </c:pt>
                <c:pt idx="37">
                  <c:v>275.1134597941047</c:v>
                </c:pt>
                <c:pt idx="38">
                  <c:v>292.23957938710726</c:v>
                </c:pt>
                <c:pt idx="39">
                  <c:v>309.34329411618654</c:v>
                </c:pt>
                <c:pt idx="40">
                  <c:v>326.42601688873862</c:v>
                </c:pt>
                <c:pt idx="41">
                  <c:v>343.48900065871186</c:v>
                </c:pt>
                <c:pt idx="42">
                  <c:v>360.53336374718884</c:v>
                </c:pt>
                <c:pt idx="43">
                  <c:v>377.56011012264042</c:v>
                </c:pt>
                <c:pt idx="44">
                  <c:v>306.70823919022098</c:v>
                </c:pt>
                <c:pt idx="45">
                  <c:v>322.35313713324871</c:v>
                </c:pt>
                <c:pt idx="46">
                  <c:v>337.98124879382232</c:v>
                </c:pt>
                <c:pt idx="47">
                  <c:v>353.59345956749917</c:v>
                </c:pt>
                <c:pt idx="48">
                  <c:v>369.19057028530955</c:v>
                </c:pt>
                <c:pt idx="49">
                  <c:v>384.77330859662766</c:v>
                </c:pt>
                <c:pt idx="50">
                  <c:v>400.34233841146147</c:v>
                </c:pt>
                <c:pt idx="51">
                  <c:v>415.89826779710933</c:v>
                </c:pt>
                <c:pt idx="52">
                  <c:v>431.44165563170139</c:v>
                </c:pt>
                <c:pt idx="53">
                  <c:v>372.80538436041343</c:v>
                </c:pt>
                <c:pt idx="54">
                  <c:v>387.06090729775877</c:v>
                </c:pt>
                <c:pt idx="55">
                  <c:v>401.30503173226475</c:v>
                </c:pt>
                <c:pt idx="56">
                  <c:v>415.53821919739977</c:v>
                </c:pt>
                <c:pt idx="57">
                  <c:v>429.76089703282014</c:v>
                </c:pt>
                <c:pt idx="58">
                  <c:v>443.97346198917921</c:v>
                </c:pt>
                <c:pt idx="59">
                  <c:v>458.17628334730517</c:v>
                </c:pt>
                <c:pt idx="60">
                  <c:v>472.36970563050181</c:v>
                </c:pt>
                <c:pt idx="61">
                  <c:v>486.55405097392025</c:v>
                </c:pt>
                <c:pt idx="62">
                  <c:v>500.7296212032972</c:v>
                </c:pt>
                <c:pt idx="63">
                  <c:v>434.91319488591353</c:v>
                </c:pt>
                <c:pt idx="64">
                  <c:v>447.39421813300993</c:v>
                </c:pt>
                <c:pt idx="65">
                  <c:v>459.86779019414934</c:v>
                </c:pt>
                <c:pt idx="66">
                  <c:v>472.33414164874415</c:v>
                </c:pt>
                <c:pt idx="67">
                  <c:v>484.79348991278385</c:v>
                </c:pt>
                <c:pt idx="68">
                  <c:v>497.24604031644066</c:v>
                </c:pt>
                <c:pt idx="69">
                  <c:v>509.69198706812244</c:v>
                </c:pt>
                <c:pt idx="70">
                  <c:v>522.13151411947536</c:v>
                </c:pt>
                <c:pt idx="71">
                  <c:v>534.56479594367818</c:v>
                </c:pt>
                <c:pt idx="72">
                  <c:v>546.99199823757579</c:v>
                </c:pt>
                <c:pt idx="73">
                  <c:v>481.49454017018076</c:v>
                </c:pt>
                <c:pt idx="74">
                  <c:v>491.99206122262177</c:v>
                </c:pt>
                <c:pt idx="75">
                  <c:v>502.48483400372714</c:v>
                </c:pt>
                <c:pt idx="76">
                  <c:v>512.97297164905785</c:v>
                </c:pt>
                <c:pt idx="77">
                  <c:v>523.45658229038543</c:v>
                </c:pt>
                <c:pt idx="78">
                  <c:v>533.93576937491866</c:v>
                </c:pt>
                <c:pt idx="79">
                  <c:v>544.41063195816992</c:v>
                </c:pt>
                <c:pt idx="80">
                  <c:v>554.88126497310884</c:v>
                </c:pt>
                <c:pt idx="81">
                  <c:v>565.34775947794776</c:v>
                </c:pt>
                <c:pt idx="82">
                  <c:v>575.81020288462628</c:v>
                </c:pt>
                <c:pt idx="83">
                  <c:v>586.26867916982792</c:v>
                </c:pt>
                <c:pt idx="84">
                  <c:v>596.72326907015974</c:v>
                </c:pt>
                <c:pt idx="85">
                  <c:v>522.21156041997722</c:v>
                </c:pt>
                <c:pt idx="86">
                  <c:v>530.65835138372609</c:v>
                </c:pt>
                <c:pt idx="87">
                  <c:v>539.10231337329117</c:v>
                </c:pt>
                <c:pt idx="88">
                  <c:v>547.54349695513713</c:v>
                </c:pt>
                <c:pt idx="89">
                  <c:v>555.98195100920418</c:v>
                </c:pt>
                <c:pt idx="90">
                  <c:v>564.41772281045303</c:v>
                </c:pt>
                <c:pt idx="91">
                  <c:v>572.85085810528494</c:v>
                </c:pt>
                <c:pt idx="92">
                  <c:v>581.28140118322233</c:v>
                </c:pt>
                <c:pt idx="93">
                  <c:v>589.70939494422078</c:v>
                </c:pt>
                <c:pt idx="94">
                  <c:v>598.13488096192737</c:v>
                </c:pt>
                <c:pt idx="95">
                  <c:v>606.55789954319505</c:v>
                </c:pt>
                <c:pt idx="96">
                  <c:v>614.9784897841156</c:v>
                </c:pt>
                <c:pt idx="97">
                  <c:v>533.79388152894137</c:v>
                </c:pt>
                <c:pt idx="98">
                  <c:v>540.42038354683268</c:v>
                </c:pt>
                <c:pt idx="99">
                  <c:v>547.04517897913945</c:v>
                </c:pt>
                <c:pt idx="100">
                  <c:v>553.66829141515575</c:v>
                </c:pt>
                <c:pt idx="101">
                  <c:v>560.28974383359127</c:v>
                </c:pt>
                <c:pt idx="102">
                  <c:v>566.90955862556223</c:v>
                </c:pt>
                <c:pt idx="103">
                  <c:v>573.52775761645341</c:v>
                </c:pt>
                <c:pt idx="104">
                  <c:v>580.14436208671611</c:v>
                </c:pt>
                <c:pt idx="105">
                  <c:v>586.75939279167244</c:v>
                </c:pt>
                <c:pt idx="106">
                  <c:v>593.37286998037405</c:v>
                </c:pt>
                <c:pt idx="107">
                  <c:v>599.98481341358115</c:v>
                </c:pt>
                <c:pt idx="108">
                  <c:v>606.59524238090523</c:v>
                </c:pt>
                <c:pt idx="109">
                  <c:v>534.6885499642093</c:v>
                </c:pt>
                <c:pt idx="110">
                  <c:v>539.83326946006639</c:v>
                </c:pt>
                <c:pt idx="111">
                  <c:v>544.9769589919714</c:v>
                </c:pt>
                <c:pt idx="112">
                  <c:v>550.11962965760983</c:v>
                </c:pt>
                <c:pt idx="113">
                  <c:v>555.26129233014706</c:v>
                </c:pt>
                <c:pt idx="114">
                  <c:v>560.40195766485374</c:v>
                </c:pt>
                <c:pt idx="115">
                  <c:v>565.54163610547505</c:v>
                </c:pt>
                <c:pt idx="116">
                  <c:v>570.68033789035644</c:v>
                </c:pt>
                <c:pt idx="117">
                  <c:v>575.81807305833763</c:v>
                </c:pt>
                <c:pt idx="118">
                  <c:v>580.95485145442512</c:v>
                </c:pt>
                <c:pt idx="119">
                  <c:v>586.09068273525281</c:v>
                </c:pt>
                <c:pt idx="120">
                  <c:v>591.22557637434227</c:v>
                </c:pt>
                <c:pt idx="121">
                  <c:v>2.6741562174905032E-12</c:v>
                </c:pt>
                <c:pt idx="122">
                  <c:v>2.6741562174905032E-12</c:v>
                </c:pt>
                <c:pt idx="123">
                  <c:v>2.6741562174905032E-12</c:v>
                </c:pt>
                <c:pt idx="124">
                  <c:v>2.6741562174905032E-12</c:v>
                </c:pt>
                <c:pt idx="125">
                  <c:v>2.6741562174905032E-12</c:v>
                </c:pt>
                <c:pt idx="126">
                  <c:v>2.6741562174905032E-12</c:v>
                </c:pt>
                <c:pt idx="127">
                  <c:v>2.6741562174905032E-12</c:v>
                </c:pt>
                <c:pt idx="128">
                  <c:v>2.6741562174905032E-12</c:v>
                </c:pt>
                <c:pt idx="129">
                  <c:v>2.6741562174905032E-12</c:v>
                </c:pt>
                <c:pt idx="130">
                  <c:v>2.6741562174905032E-12</c:v>
                </c:pt>
                <c:pt idx="131">
                  <c:v>2.6741562174905032E-12</c:v>
                </c:pt>
                <c:pt idx="132">
                  <c:v>2.6741562174905032E-12</c:v>
                </c:pt>
                <c:pt idx="133">
                  <c:v>2.6741562174905032E-12</c:v>
                </c:pt>
                <c:pt idx="134">
                  <c:v>2.6741562174905032E-12</c:v>
                </c:pt>
                <c:pt idx="135">
                  <c:v>2.6741562174905032E-12</c:v>
                </c:pt>
                <c:pt idx="136">
                  <c:v>2.6741562174905032E-12</c:v>
                </c:pt>
                <c:pt idx="137">
                  <c:v>2.6741562174905032E-12</c:v>
                </c:pt>
                <c:pt idx="138">
                  <c:v>2.6741562174905032E-12</c:v>
                </c:pt>
                <c:pt idx="139">
                  <c:v>2.6741562174905032E-12</c:v>
                </c:pt>
                <c:pt idx="140">
                  <c:v>2.6741562174905032E-12</c:v>
                </c:pt>
                <c:pt idx="141">
                  <c:v>2.6741562174905032E-12</c:v>
                </c:pt>
                <c:pt idx="142">
                  <c:v>2.6741562174905032E-12</c:v>
                </c:pt>
                <c:pt idx="143">
                  <c:v>2.6741562174905032E-12</c:v>
                </c:pt>
                <c:pt idx="144">
                  <c:v>2.6741562174905032E-12</c:v>
                </c:pt>
                <c:pt idx="145">
                  <c:v>2.6741562174905032E-12</c:v>
                </c:pt>
                <c:pt idx="146">
                  <c:v>2.6741562174905032E-12</c:v>
                </c:pt>
                <c:pt idx="147">
                  <c:v>2.6741562174905032E-12</c:v>
                </c:pt>
                <c:pt idx="148">
                  <c:v>2.6741562174905032E-12</c:v>
                </c:pt>
                <c:pt idx="149">
                  <c:v>2.6741562174905032E-12</c:v>
                </c:pt>
                <c:pt idx="150">
                  <c:v>2.6741562174905032E-12</c:v>
                </c:pt>
                <c:pt idx="151">
                  <c:v>2.6741562174905032E-12</c:v>
                </c:pt>
                <c:pt idx="152">
                  <c:v>2.6741562174905032E-12</c:v>
                </c:pt>
                <c:pt idx="153">
                  <c:v>2.6741562174905032E-12</c:v>
                </c:pt>
                <c:pt idx="154">
                  <c:v>2.6741562174905032E-12</c:v>
                </c:pt>
                <c:pt idx="155">
                  <c:v>2.6741562174905032E-12</c:v>
                </c:pt>
                <c:pt idx="156">
                  <c:v>2.6741562174905032E-12</c:v>
                </c:pt>
                <c:pt idx="157">
                  <c:v>2.6741562174905032E-12</c:v>
                </c:pt>
                <c:pt idx="158">
                  <c:v>2.6741562174905032E-12</c:v>
                </c:pt>
                <c:pt idx="159">
                  <c:v>2.6741562174905032E-12</c:v>
                </c:pt>
                <c:pt idx="160">
                  <c:v>2.6741562174905032E-12</c:v>
                </c:pt>
                <c:pt idx="161">
                  <c:v>2.6741562174905032E-12</c:v>
                </c:pt>
                <c:pt idx="162">
                  <c:v>2.6741562174905032E-12</c:v>
                </c:pt>
                <c:pt idx="163">
                  <c:v>2.6741562174905032E-12</c:v>
                </c:pt>
                <c:pt idx="164">
                  <c:v>2.6741562174905032E-12</c:v>
                </c:pt>
                <c:pt idx="165">
                  <c:v>2.6741562174905032E-12</c:v>
                </c:pt>
                <c:pt idx="166">
                  <c:v>2.6741562174905032E-12</c:v>
                </c:pt>
                <c:pt idx="167">
                  <c:v>2.6741562174905032E-12</c:v>
                </c:pt>
                <c:pt idx="168">
                  <c:v>2.6741562174905032E-12</c:v>
                </c:pt>
                <c:pt idx="169">
                  <c:v>2.6741562174905032E-12</c:v>
                </c:pt>
                <c:pt idx="170">
                  <c:v>2.6741562174905032E-12</c:v>
                </c:pt>
                <c:pt idx="171">
                  <c:v>2.6741562174905032E-12</c:v>
                </c:pt>
                <c:pt idx="172">
                  <c:v>2.6741562174905032E-12</c:v>
                </c:pt>
                <c:pt idx="173">
                  <c:v>2.6741562174905032E-12</c:v>
                </c:pt>
                <c:pt idx="174">
                  <c:v>2.6741562174905032E-12</c:v>
                </c:pt>
                <c:pt idx="175">
                  <c:v>2.6741562174905032E-12</c:v>
                </c:pt>
                <c:pt idx="176">
                  <c:v>2.6741562174905032E-12</c:v>
                </c:pt>
                <c:pt idx="177">
                  <c:v>2.6741562174905032E-12</c:v>
                </c:pt>
                <c:pt idx="178">
                  <c:v>2.6741562174905032E-12</c:v>
                </c:pt>
                <c:pt idx="179">
                  <c:v>2.6741562174905032E-12</c:v>
                </c:pt>
                <c:pt idx="180">
                  <c:v>2.6741562174905032E-12</c:v>
                </c:pt>
                <c:pt idx="181">
                  <c:v>2.6741562174905032E-12</c:v>
                </c:pt>
                <c:pt idx="182">
                  <c:v>2.6741562174905032E-12</c:v>
                </c:pt>
                <c:pt idx="183">
                  <c:v>2.6741562174905032E-12</c:v>
                </c:pt>
                <c:pt idx="184">
                  <c:v>2.6741562174905032E-12</c:v>
                </c:pt>
                <c:pt idx="185">
                  <c:v>2.6741562174905032E-12</c:v>
                </c:pt>
                <c:pt idx="186">
                  <c:v>2.6741562174905032E-12</c:v>
                </c:pt>
                <c:pt idx="187">
                  <c:v>2.6741562174905032E-12</c:v>
                </c:pt>
                <c:pt idx="188">
                  <c:v>2.6741562174905032E-12</c:v>
                </c:pt>
                <c:pt idx="189">
                  <c:v>2.6741562174905032E-12</c:v>
                </c:pt>
                <c:pt idx="190">
                  <c:v>2.6741562174905032E-12</c:v>
                </c:pt>
                <c:pt idx="191">
                  <c:v>2.6741562174905032E-12</c:v>
                </c:pt>
                <c:pt idx="192">
                  <c:v>2.6741562174905032E-12</c:v>
                </c:pt>
                <c:pt idx="193">
                  <c:v>2.6741562174905032E-12</c:v>
                </c:pt>
                <c:pt idx="194">
                  <c:v>2.6741562174905032E-12</c:v>
                </c:pt>
                <c:pt idx="195">
                  <c:v>2.6741562174905032E-12</c:v>
                </c:pt>
                <c:pt idx="196">
                  <c:v>2.6741562174905032E-12</c:v>
                </c:pt>
                <c:pt idx="197">
                  <c:v>2.6741562174905032E-12</c:v>
                </c:pt>
                <c:pt idx="198">
                  <c:v>2.6741562174905032E-12</c:v>
                </c:pt>
                <c:pt idx="199">
                  <c:v>2.6741562174905032E-12</c:v>
                </c:pt>
                <c:pt idx="200">
                  <c:v>2.6741562174905032E-12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7.7006700677797779</c:v>
                </c:pt>
                <c:pt idx="2">
                  <c:v>15.058299879722709</c:v>
                </c:pt>
                <c:pt idx="3">
                  <c:v>22.305144908573993</c:v>
                </c:pt>
                <c:pt idx="4">
                  <c:v>29.483699619450036</c:v>
                </c:pt>
                <c:pt idx="5">
                  <c:v>36.613223897002264</c:v>
                </c:pt>
                <c:pt idx="6">
                  <c:v>43.7047043835585</c:v>
                </c:pt>
                <c:pt idx="7">
                  <c:v>50.765223742622773</c:v>
                </c:pt>
                <c:pt idx="8">
                  <c:v>57.799715328949041</c:v>
                </c:pt>
                <c:pt idx="9">
                  <c:v>64.811805221038739</c:v>
                </c:pt>
                <c:pt idx="10">
                  <c:v>71.804266430089015</c:v>
                </c:pt>
                <c:pt idx="11">
                  <c:v>78.779285271708218</c:v>
                </c:pt>
                <c:pt idx="12">
                  <c:v>85.738627749599459</c:v>
                </c:pt>
                <c:pt idx="13">
                  <c:v>92.683748749351437</c:v>
                </c:pt>
                <c:pt idx="14">
                  <c:v>99.615866613098817</c:v>
                </c:pt>
                <c:pt idx="15">
                  <c:v>106.53601577166965</c:v>
                </c:pt>
                <c:pt idx="16">
                  <c:v>113.445084928778</c:v>
                </c:pt>
                <c:pt idx="17">
                  <c:v>120.34384542146158</c:v>
                </c:pt>
                <c:pt idx="18">
                  <c:v>127.23297271494289</c:v>
                </c:pt>
                <c:pt idx="19">
                  <c:v>134.11306298391273</c:v>
                </c:pt>
                <c:pt idx="20">
                  <c:v>140.98464610343231</c:v>
                </c:pt>
                <c:pt idx="21">
                  <c:v>147.84819596781921</c:v>
                </c:pt>
                <c:pt idx="22">
                  <c:v>154.70413878834208</c:v>
                </c:pt>
                <c:pt idx="23">
                  <c:v>161.55285983959649</c:v>
                </c:pt>
                <c:pt idx="24">
                  <c:v>168.39470899949188</c:v>
                </c:pt>
                <c:pt idx="25">
                  <c:v>175.23000533988943</c:v>
                </c:pt>
                <c:pt idx="26">
                  <c:v>182.05904096206257</c:v>
                </c:pt>
                <c:pt idx="27">
                  <c:v>188.88208422548954</c:v>
                </c:pt>
                <c:pt idx="28">
                  <c:v>195.69938248485934</c:v>
                </c:pt>
                <c:pt idx="29">
                  <c:v>202.51116442508928</c:v>
                </c:pt>
                <c:pt idx="30">
                  <c:v>209.31764206522257</c:v>
                </c:pt>
                <c:pt idx="31">
                  <c:v>216.11901248763454</c:v>
                </c:pt>
                <c:pt idx="32">
                  <c:v>222.91545933784653</c:v>
                </c:pt>
                <c:pt idx="33">
                  <c:v>229.70715413159783</c:v>
                </c:pt>
                <c:pt idx="34">
                  <c:v>236.49425739903222</c:v>
                </c:pt>
                <c:pt idx="35">
                  <c:v>243.27691969049195</c:v>
                </c:pt>
                <c:pt idx="36">
                  <c:v>250.05528246413363</c:v>
                </c:pt>
                <c:pt idx="37">
                  <c:v>256.82947887214664</c:v>
                </c:pt>
                <c:pt idx="38">
                  <c:v>263.59963445958476</c:v>
                </c:pt>
                <c:pt idx="39">
                  <c:v>270.36586778756816</c:v>
                </c:pt>
                <c:pt idx="40">
                  <c:v>277.12829099076765</c:v>
                </c:pt>
                <c:pt idx="41">
                  <c:v>283.88701027757173</c:v>
                </c:pt>
                <c:pt idx="42">
                  <c:v>290.64212638008291</c:v>
                </c:pt>
                <c:pt idx="43">
                  <c:v>297.39373496004998</c:v>
                </c:pt>
                <c:pt idx="44">
                  <c:v>304.14192697597491</c:v>
                </c:pt>
                <c:pt idx="45">
                  <c:v>310.88678901590623</c:v>
                </c:pt>
                <c:pt idx="46">
                  <c:v>317.62840359981618</c:v>
                </c:pt>
                <c:pt idx="47">
                  <c:v>324.36684945494238</c:v>
                </c:pt>
                <c:pt idx="48">
                  <c:v>331.10220176703569</c:v>
                </c:pt>
                <c:pt idx="49">
                  <c:v>337.83453241007879</c:v>
                </c:pt>
                <c:pt idx="50">
                  <c:v>344.5639101567233</c:v>
                </c:pt>
                <c:pt idx="51">
                  <c:v>351.29040087141669</c:v>
                </c:pt>
                <c:pt idx="52">
                  <c:v>358.01406768795272</c:v>
                </c:pt>
                <c:pt idx="53">
                  <c:v>364.73497117297933</c:v>
                </c:pt>
                <c:pt idx="54">
                  <c:v>371.45316947681698</c:v>
                </c:pt>
                <c:pt idx="55">
                  <c:v>378.16871847278907</c:v>
                </c:pt>
                <c:pt idx="56">
                  <c:v>384.88167188613278</c:v>
                </c:pt>
                <c:pt idx="57">
                  <c:v>391.59208141344055</c:v>
                </c:pt>
                <c:pt idx="58">
                  <c:v>267.21611942462982</c:v>
                </c:pt>
                <c:pt idx="59">
                  <c:v>284.18599085498096</c:v>
                </c:pt>
                <c:pt idx="60">
                  <c:v>301.13317820216884</c:v>
                </c:pt>
                <c:pt idx="61">
                  <c:v>318.05913757988395</c:v>
                </c:pt>
                <c:pt idx="62">
                  <c:v>334.96515746508095</c:v>
                </c:pt>
                <c:pt idx="63">
                  <c:v>351.8523856614392</c:v>
                </c:pt>
                <c:pt idx="64">
                  <c:v>368.72185081334925</c:v>
                </c:pt>
                <c:pt idx="65">
                  <c:v>385.5744797757331</c:v>
                </c:pt>
                <c:pt idx="66">
                  <c:v>311.13634008615043</c:v>
                </c:pt>
                <c:pt idx="67">
                  <c:v>327.78242580292164</c:v>
                </c:pt>
                <c:pt idx="68">
                  <c:v>344.40985388634658</c:v>
                </c:pt>
                <c:pt idx="69">
                  <c:v>361.0196516998173</c:v>
                </c:pt>
                <c:pt idx="70">
                  <c:v>377.61274436902568</c:v>
                </c:pt>
                <c:pt idx="71">
                  <c:v>394.1899690951268</c:v>
                </c:pt>
                <c:pt idx="72">
                  <c:v>410.75208693414044</c:v>
                </c:pt>
                <c:pt idx="73">
                  <c:v>427.29979257724199</c:v>
                </c:pt>
                <c:pt idx="74">
                  <c:v>356.22454308451393</c:v>
                </c:pt>
                <c:pt idx="75">
                  <c:v>372.26954908683024</c:v>
                </c:pt>
                <c:pt idx="76">
                  <c:v>388.29948370968191</c:v>
                </c:pt>
                <c:pt idx="77">
                  <c:v>404.31505658952034</c:v>
                </c:pt>
                <c:pt idx="78">
                  <c:v>420.3169165678575</c:v>
                </c:pt>
                <c:pt idx="79">
                  <c:v>436.30565906392229</c:v>
                </c:pt>
                <c:pt idx="80">
                  <c:v>452.2818323103179</c:v>
                </c:pt>
                <c:pt idx="81">
                  <c:v>468.24594266179116</c:v>
                </c:pt>
                <c:pt idx="82">
                  <c:v>385.57915624469916</c:v>
                </c:pt>
                <c:pt idx="83">
                  <c:v>400.6240791503987</c:v>
                </c:pt>
                <c:pt idx="84">
                  <c:v>415.65677814663178</c:v>
                </c:pt>
                <c:pt idx="85">
                  <c:v>430.6777574989062</c:v>
                </c:pt>
                <c:pt idx="86">
                  <c:v>445.68748343500334</c:v>
                </c:pt>
                <c:pt idx="87">
                  <c:v>460.68638822531898</c:v>
                </c:pt>
                <c:pt idx="88">
                  <c:v>475.6748737041944</c:v>
                </c:pt>
                <c:pt idx="89">
                  <c:v>490.6533143243725</c:v>
                </c:pt>
                <c:pt idx="90">
                  <c:v>505.62205981913161</c:v>
                </c:pt>
                <c:pt idx="91">
                  <c:v>427.33712128567078</c:v>
                </c:pt>
                <c:pt idx="92">
                  <c:v>441.30136026396008</c:v>
                </c:pt>
                <c:pt idx="93">
                  <c:v>455.25613046045532</c:v>
                </c:pt>
                <c:pt idx="94">
                  <c:v>469.20176295417104</c:v>
                </c:pt>
                <c:pt idx="95">
                  <c:v>483.13856754191391</c:v>
                </c:pt>
                <c:pt idx="96">
                  <c:v>497.06683469362088</c:v>
                </c:pt>
                <c:pt idx="97">
                  <c:v>510.98683727716724</c:v>
                </c:pt>
                <c:pt idx="98">
                  <c:v>524.89883208548849</c:v>
                </c:pt>
                <c:pt idx="99">
                  <c:v>538.80306119341856</c:v>
                </c:pt>
                <c:pt idx="100">
                  <c:v>459.37495887185429</c:v>
                </c:pt>
                <c:pt idx="101">
                  <c:v>472.33321042916208</c:v>
                </c:pt>
                <c:pt idx="102">
                  <c:v>485.28389529264149</c:v>
                </c:pt>
                <c:pt idx="103">
                  <c:v>498.22724381757524</c:v>
                </c:pt>
                <c:pt idx="104">
                  <c:v>511.16347341633673</c:v>
                </c:pt>
                <c:pt idx="105">
                  <c:v>524.09278960163851</c:v>
                </c:pt>
                <c:pt idx="106">
                  <c:v>537.01538692149506</c:v>
                </c:pt>
                <c:pt idx="107">
                  <c:v>549.93144979953229</c:v>
                </c:pt>
                <c:pt idx="108">
                  <c:v>562.84115329226631</c:v>
                </c:pt>
                <c:pt idx="109">
                  <c:v>489.28979133203694</c:v>
                </c:pt>
                <c:pt idx="110">
                  <c:v>501.16103329799427</c:v>
                </c:pt>
                <c:pt idx="111">
                  <c:v>513.02632522758984</c:v>
                </c:pt>
                <c:pt idx="112">
                  <c:v>524.88582411423522</c:v>
                </c:pt>
                <c:pt idx="113">
                  <c:v>536.73967927926935</c:v>
                </c:pt>
                <c:pt idx="114">
                  <c:v>548.58803291161882</c:v>
                </c:pt>
                <c:pt idx="115">
                  <c:v>560.43102055841962</c:v>
                </c:pt>
                <c:pt idx="116">
                  <c:v>572.26877157202034</c:v>
                </c:pt>
                <c:pt idx="117">
                  <c:v>584.10140951808546</c:v>
                </c:pt>
                <c:pt idx="118">
                  <c:v>595.92905254891923</c:v>
                </c:pt>
                <c:pt idx="119">
                  <c:v>521.48737453050035</c:v>
                </c:pt>
                <c:pt idx="120">
                  <c:v>532.46298437895518</c:v>
                </c:pt>
                <c:pt idx="121">
                  <c:v>543.43383592068881</c:v>
                </c:pt>
                <c:pt idx="122">
                  <c:v>554.4000387489981</c:v>
                </c:pt>
                <c:pt idx="123">
                  <c:v>565.36169776847635</c:v>
                </c:pt>
                <c:pt idx="124">
                  <c:v>576.31891348455656</c:v>
                </c:pt>
                <c:pt idx="125">
                  <c:v>587.27178226989201</c:v>
                </c:pt>
                <c:pt idx="126">
                  <c:v>598.22039660983944</c:v>
                </c:pt>
                <c:pt idx="127">
                  <c:v>609.16484532903758</c:v>
                </c:pt>
                <c:pt idx="128">
                  <c:v>620.10521380086186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2" zoomScale="80" zoomScaleNormal="80" workbookViewId="0">
      <selection activeCell="A14" sqref="A14"/>
    </sheetView>
  </sheetViews>
  <sheetFormatPr baseColWidth="10" defaultRowHeight="14.25" x14ac:dyDescent="0.45"/>
  <cols>
    <col min="1" max="1" width="6.6640625" customWidth="1"/>
    <col min="2" max="13" width="15.8632812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" zoomScale="80" zoomScaleNormal="80" workbookViewId="0">
      <selection activeCell="C26" sqref="C26"/>
    </sheetView>
  </sheetViews>
  <sheetFormatPr baseColWidth="10" defaultColWidth="11.3984375" defaultRowHeight="14.25" x14ac:dyDescent="0.45"/>
  <cols>
    <col min="1" max="1" width="13.6640625" style="23" customWidth="1"/>
    <col min="2" max="2" width="36.1328125" style="23" customWidth="1"/>
    <col min="3" max="3" width="14.86328125" style="23" bestFit="1" customWidth="1"/>
    <col min="4" max="4" width="16.3984375" style="23" customWidth="1"/>
    <col min="5" max="5" width="23.33203125" style="23" customWidth="1"/>
    <col min="6" max="6" width="28.86328125" style="23" bestFit="1" customWidth="1"/>
    <col min="7" max="8" width="14.6640625" style="23" customWidth="1"/>
    <col min="9" max="9" width="17" style="23" customWidth="1"/>
    <col min="10" max="10" width="13.86328125" style="23" customWidth="1"/>
    <col min="11" max="16384" width="11.39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10.44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0.8</v>
      </c>
      <c r="D9" s="33">
        <f t="shared" ref="D9:D18" si="0">C9*$C$5</f>
        <v>8.3520000000000003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46</v>
      </c>
      <c r="C10" s="32">
        <v>0.13</v>
      </c>
      <c r="D10" s="33">
        <f t="shared" si="0"/>
        <v>1.3572</v>
      </c>
      <c r="E10" s="34">
        <v>128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27</v>
      </c>
      <c r="C11" s="32">
        <v>7.0000000000000007E-2</v>
      </c>
      <c r="D11" s="33">
        <f t="shared" si="0"/>
        <v>0.73080000000000001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10.440000000000001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257">
        <v>34</v>
      </c>
      <c r="B36" s="60">
        <v>275.44</v>
      </c>
      <c r="C36" s="60">
        <v>1</v>
      </c>
      <c r="D36" s="60">
        <v>94.509999999999991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8.1011764705882356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43</v>
      </c>
      <c r="B37" s="60">
        <v>309.51</v>
      </c>
      <c r="C37" s="60">
        <v>2</v>
      </c>
      <c r="D37" s="60">
        <v>72.429999999999978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14.286666666666665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52</v>
      </c>
      <c r="B38" s="60">
        <v>354.81</v>
      </c>
      <c r="C38" s="60">
        <v>3</v>
      </c>
      <c r="D38" s="60">
        <v>61.259999999999991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13.08111111111111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62</v>
      </c>
      <c r="B39" s="60">
        <v>413.24</v>
      </c>
      <c r="C39" s="60">
        <v>4</v>
      </c>
      <c r="D39" s="60">
        <v>66.019999999999982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11.968999999999999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72</v>
      </c>
      <c r="B40" s="60">
        <v>452.35</v>
      </c>
      <c r="C40" s="60">
        <v>5</v>
      </c>
      <c r="D40" s="60">
        <v>64.210000000000036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10.513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494.47</v>
      </c>
      <c r="C41" s="60">
        <v>6</v>
      </c>
      <c r="D41" s="60">
        <v>70.220000000000027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8.8608333333333373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96</v>
      </c>
      <c r="B42" s="60">
        <v>509.95</v>
      </c>
      <c r="C42" s="60">
        <v>7</v>
      </c>
      <c r="D42" s="60">
        <v>74.37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7.1416666666666657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108</v>
      </c>
      <c r="B43" s="60">
        <v>502.84</v>
      </c>
      <c r="C43" s="60">
        <v>8</v>
      </c>
      <c r="D43" s="60">
        <v>65.25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5.6049999999999995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120</v>
      </c>
      <c r="B44" s="60">
        <v>489.81</v>
      </c>
      <c r="C44" s="60">
        <v>9</v>
      </c>
      <c r="D44" s="60">
        <v>489.81</v>
      </c>
      <c r="E44" s="51">
        <v>0.6</v>
      </c>
      <c r="F44" s="51">
        <v>0.2</v>
      </c>
      <c r="G44" s="51">
        <v>0.2</v>
      </c>
      <c r="H44" s="51">
        <v>0</v>
      </c>
      <c r="I44" s="49">
        <f t="shared" si="1"/>
        <v>4.3516666666666692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Sapin pectiné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57</v>
      </c>
      <c r="B62" s="60">
        <v>363.57</v>
      </c>
      <c r="C62" s="60">
        <v>1</v>
      </c>
      <c r="D62" s="60">
        <v>133.79</v>
      </c>
      <c r="E62" s="51">
        <v>0.05</v>
      </c>
      <c r="F62" s="51">
        <v>0.45</v>
      </c>
      <c r="G62" s="51">
        <v>0.45</v>
      </c>
      <c r="H62" s="51">
        <v>0.05</v>
      </c>
      <c r="I62" s="53">
        <f>IFERROR(B62/A62,"")</f>
        <v>6.3784210526315785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65</v>
      </c>
      <c r="B63" s="60">
        <v>357.85</v>
      </c>
      <c r="C63" s="60">
        <v>2</v>
      </c>
      <c r="D63" s="60">
        <v>86.340000000000032</v>
      </c>
      <c r="E63" s="51">
        <v>0.05</v>
      </c>
      <c r="F63" s="51">
        <v>0.45</v>
      </c>
      <c r="G63" s="51">
        <v>0.45</v>
      </c>
      <c r="H63" s="51">
        <v>0.05</v>
      </c>
      <c r="I63" s="49">
        <f>IF(A63&lt;&gt;0,(B63-(B62-D62))/(A63-A62),"")</f>
        <v>16.008750000000003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73</v>
      </c>
      <c r="B64" s="60">
        <v>397.55</v>
      </c>
      <c r="C64" s="60">
        <v>3</v>
      </c>
      <c r="D64" s="60">
        <v>82.800000000000011</v>
      </c>
      <c r="E64" s="51">
        <v>0.4</v>
      </c>
      <c r="F64" s="51">
        <v>0.1</v>
      </c>
      <c r="G64" s="51">
        <v>0.1</v>
      </c>
      <c r="H64" s="51">
        <v>0.4</v>
      </c>
      <c r="I64" s="49">
        <f>IF(A64&lt;&gt;0,(B64-(B63-D63))/(A64-A63),"")</f>
        <v>15.755000000000003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81</v>
      </c>
      <c r="B65" s="60">
        <v>436.59</v>
      </c>
      <c r="C65" s="60">
        <v>4</v>
      </c>
      <c r="D65" s="60">
        <v>93.039999999999964</v>
      </c>
      <c r="E65" s="51">
        <v>0.4</v>
      </c>
      <c r="F65" s="51">
        <v>0.1</v>
      </c>
      <c r="G65" s="51">
        <v>0.1</v>
      </c>
      <c r="H65" s="51">
        <v>0.4</v>
      </c>
      <c r="I65" s="49">
        <f>IF(A65&lt;&gt;0,(B65-(B64-D64))/(A65-A64),"")</f>
        <v>15.229999999999997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90</v>
      </c>
      <c r="B66" s="60">
        <v>472.29</v>
      </c>
      <c r="C66" s="60">
        <v>5</v>
      </c>
      <c r="D66" s="60">
        <v>88.010000000000048</v>
      </c>
      <c r="E66" s="51">
        <v>0.4</v>
      </c>
      <c r="F66" s="51">
        <v>0.1</v>
      </c>
      <c r="G66" s="51">
        <v>0.1</v>
      </c>
      <c r="H66" s="51">
        <v>0.4</v>
      </c>
      <c r="I66" s="49">
        <f t="shared" ref="I66:I81" si="2">IF(A66&lt;&gt;0,(B66-(B65-D65))/(A66-A65),"")</f>
        <v>14.304444444444446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99</v>
      </c>
      <c r="B67" s="60">
        <v>504.03</v>
      </c>
      <c r="C67" s="60">
        <v>6</v>
      </c>
      <c r="D67" s="60">
        <v>88.269999999999982</v>
      </c>
      <c r="E67" s="51">
        <v>0.4</v>
      </c>
      <c r="F67" s="51">
        <v>0.1</v>
      </c>
      <c r="G67" s="51">
        <v>0.1</v>
      </c>
      <c r="H67" s="51">
        <v>0.4</v>
      </c>
      <c r="I67" s="49">
        <f t="shared" si="2"/>
        <v>13.305555555555555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108</v>
      </c>
      <c r="B68" s="60">
        <v>527.04999999999995</v>
      </c>
      <c r="C68" s="60">
        <v>7</v>
      </c>
      <c r="D68" s="60">
        <v>81.70999999999998</v>
      </c>
      <c r="E68" s="51">
        <v>0.4</v>
      </c>
      <c r="F68" s="51">
        <v>0.1</v>
      </c>
      <c r="G68" s="51">
        <v>0.1</v>
      </c>
      <c r="H68" s="51">
        <v>0.4</v>
      </c>
      <c r="I68" s="49">
        <f t="shared" si="2"/>
        <v>12.365555555555552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118</v>
      </c>
      <c r="B69" s="50">
        <v>558.77</v>
      </c>
      <c r="C69" s="50">
        <v>8</v>
      </c>
      <c r="D69" s="50">
        <v>81.81</v>
      </c>
      <c r="E69" s="51">
        <v>0.4</v>
      </c>
      <c r="F69" s="51">
        <v>0.1</v>
      </c>
      <c r="G69" s="51">
        <v>0.1</v>
      </c>
      <c r="H69" s="51">
        <v>0.4</v>
      </c>
      <c r="I69" s="49">
        <f t="shared" si="2"/>
        <v>11.343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128</v>
      </c>
      <c r="B70" s="50">
        <v>581.97</v>
      </c>
      <c r="C70" s="50">
        <v>9</v>
      </c>
      <c r="D70" s="50">
        <v>581.97</v>
      </c>
      <c r="E70" s="51">
        <v>0.4</v>
      </c>
      <c r="F70" s="51">
        <v>0.1</v>
      </c>
      <c r="G70" s="51">
        <v>0.1</v>
      </c>
      <c r="H70" s="51">
        <v>0.4</v>
      </c>
      <c r="I70" s="49">
        <f t="shared" si="2"/>
        <v>10.501000000000005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18</v>
      </c>
      <c r="B88" s="60">
        <v>112</v>
      </c>
      <c r="C88" s="60">
        <v>1</v>
      </c>
      <c r="D88" s="60">
        <v>20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21</v>
      </c>
      <c r="B89" s="60">
        <v>146</v>
      </c>
      <c r="C89" s="60">
        <v>2</v>
      </c>
      <c r="D89" s="60">
        <v>26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24</v>
      </c>
      <c r="B90" s="60">
        <v>168</v>
      </c>
      <c r="C90" s="60">
        <v>3</v>
      </c>
      <c r="D90" s="60">
        <v>29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224</v>
      </c>
      <c r="C91" s="60">
        <v>4</v>
      </c>
      <c r="D91" s="60">
        <v>53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36</v>
      </c>
      <c r="B92" s="60">
        <v>248</v>
      </c>
      <c r="C92" s="60">
        <v>5</v>
      </c>
      <c r="D92" s="60">
        <v>62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42</v>
      </c>
      <c r="B93" s="60">
        <v>255</v>
      </c>
      <c r="C93" s="60">
        <v>6</v>
      </c>
      <c r="D93" s="60">
        <v>67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48</v>
      </c>
      <c r="B94" s="60">
        <v>252</v>
      </c>
      <c r="C94" s="60">
        <v>7</v>
      </c>
      <c r="D94" s="60">
        <v>65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60</v>
      </c>
      <c r="B95" s="60">
        <v>304</v>
      </c>
      <c r="C95" s="60">
        <v>8</v>
      </c>
      <c r="D95" s="60">
        <v>304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0" zoomScaleNormal="100" workbookViewId="0">
      <selection activeCell="C59" sqref="C59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3984375" style="1"/>
    <col min="11" max="11" width="12.53125" style="1" customWidth="1"/>
    <col min="12" max="16384" width="11.39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4" bestFit="1" customWidth="1"/>
    <col min="2" max="4" width="11.3984375" style="4"/>
    <col min="5" max="5" width="9.53125" style="4" customWidth="1"/>
    <col min="6" max="7" width="11.3984375" style="4"/>
    <col min="8" max="8" width="10.6640625" style="4" customWidth="1"/>
    <col min="9" max="9" width="9.39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6640625" style="4" bestFit="1" customWidth="1"/>
    <col min="25" max="25" width="14.53125" style="4" bestFit="1" customWidth="1"/>
    <col min="26" max="26" width="12.3984375" style="4" bestFit="1" customWidth="1"/>
    <col min="27" max="27" width="9.664062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3125" style="4" bestFit="1" customWidth="1"/>
    <col min="36" max="36" width="9.39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6640625" style="4" bestFit="1" customWidth="1"/>
    <col min="46" max="46" width="8.3984375" style="4" bestFit="1" customWidth="1"/>
    <col min="47" max="47" width="9.3984375" style="4" bestFit="1" customWidth="1"/>
    <col min="48" max="48" width="9.664062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39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6640625" style="4" bestFit="1" customWidth="1"/>
    <col min="67" max="67" width="8.3984375" style="4" bestFit="1" customWidth="1"/>
    <col min="68" max="68" width="9.3984375" style="4" bestFit="1" customWidth="1"/>
    <col min="69" max="69" width="9.664062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3984375" style="4" bestFit="1" customWidth="1"/>
    <col min="79" max="80" width="10.53125" style="4" bestFit="1" customWidth="1"/>
    <col min="81" max="83" width="10.53125" style="4" customWidth="1"/>
    <col min="84" max="84" width="11.3984375" style="4"/>
    <col min="85" max="85" width="10.53125" style="4" bestFit="1" customWidth="1"/>
    <col min="86" max="86" width="9.33203125" style="4" bestFit="1" customWidth="1"/>
    <col min="87" max="87" width="11.6640625" style="4" bestFit="1" customWidth="1"/>
    <col min="88" max="88" width="8.3984375" style="4" bestFit="1" customWidth="1"/>
    <col min="89" max="89" width="9.3984375" style="4" bestFit="1" customWidth="1"/>
    <col min="90" max="90" width="9.664062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3125" style="4" bestFit="1" customWidth="1"/>
    <col min="99" max="99" width="9.39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6640625" style="4" bestFit="1" customWidth="1"/>
    <col min="109" max="109" width="8.3984375" style="4" bestFit="1" customWidth="1"/>
    <col min="110" max="110" width="9.3984375" style="4" bestFit="1" customWidth="1"/>
    <col min="111" max="111" width="9.664062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39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6640625" style="4" bestFit="1" customWidth="1"/>
    <col min="130" max="130" width="8.3984375" style="4" bestFit="1" customWidth="1"/>
    <col min="131" max="131" width="9.3984375" style="4" bestFit="1" customWidth="1"/>
    <col min="132" max="132" width="9.664062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39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6640625" style="4" bestFit="1" customWidth="1"/>
    <col min="151" max="151" width="8.3984375" style="4" bestFit="1" customWidth="1"/>
    <col min="152" max="152" width="9.3984375" style="4" bestFit="1" customWidth="1"/>
    <col min="153" max="153" width="9.664062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3125" style="4" bestFit="1" customWidth="1"/>
    <col min="162" max="162" width="9.39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6640625" style="4" bestFit="1" customWidth="1"/>
    <col min="172" max="172" width="8.1328125" style="4" bestFit="1" customWidth="1"/>
    <col min="173" max="173" width="9.3984375" style="4" bestFit="1" customWidth="1"/>
    <col min="174" max="174" width="9.664062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39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664062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39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6640625" style="4" bestFit="1" customWidth="1"/>
    <col min="214" max="214" width="8.3984375" style="4" bestFit="1" customWidth="1"/>
    <col min="215" max="215" width="9.3984375" style="4" bestFit="1" customWidth="1"/>
    <col min="216" max="216" width="9.664062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Douglas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Sapin pectiné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Mélèze d'Europe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293.82673322742102</v>
      </c>
      <c r="T3" s="59">
        <f>IF('Données projet'!E9&gt;30,$R$33-$H$33,LOOKUP('Données projet'!$E$9,$A$3:$A$203,R3:R203)-LOOKUP('Données projet'!$E$9,$A$3:$A$203,$H$3:$H$203))</f>
        <v>138.78566015867693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265.57710796453807</v>
      </c>
      <c r="AO3" s="59">
        <f>IF('Données projet'!E10&gt;30,$AM$33-$H$33,LOOKUP('Données projet'!$E$10,$A$3:$A$203,AM3:AM203)-LOOKUP('Données projet'!$E$10,$A$3:$A$203,$H$3:$H$203))</f>
        <v>171.29436297508141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175.05987582828078</v>
      </c>
      <c r="BJ3" s="59">
        <f>IF('Données projet'!E11&gt;30,$BH$33-$H$33,LOOKUP('Données projet'!$E$11,$A$3:$A$203,BH3:BH203)-LOOKUP('Données projet'!$E$11,$A$3:$A$203,$H$3:$H$203))</f>
        <v>268.54782308462387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8.1011764705882356</v>
      </c>
      <c r="N4" s="13">
        <f>IF('Données projet'!$A$36&gt;35,N3+M4-V3,IF(A4&lt;'Données projet'!$A$36,$K$205^A4,IF(A4='Données projet'!$A$36,'Données projet'!$B$36,N3+M4-V3)))</f>
        <v>1.1796834870079891</v>
      </c>
      <c r="O4" s="13">
        <f>N4*VLOOKUP('Données projet'!$B$9,Paramètres!$A$1:$I$89,3,0)*VLOOKUP('Données projet'!$B$9,Paramètres!$A$1:$I$89,5,0)</f>
        <v>0.65944306923746587</v>
      </c>
      <c r="P4" s="13">
        <f>EXP(-1.0587+0.8836*LN(O4)+0.284)</f>
        <v>0.31899004831058925</v>
      </c>
      <c r="Q4" s="20">
        <f t="shared" ref="Q4:Q34" si="2">(O4+P4)*0.475*44/12</f>
        <v>1.704104346396196</v>
      </c>
      <c r="R4" s="59">
        <f t="shared" si="0"/>
        <v>295.03743767972952</v>
      </c>
      <c r="S4" s="59">
        <f ca="1">AVERAGE(OFFSET($R$3,0,0,'Données projet'!$E$9+1,1))-AVERAGE(OFFSET($H$3,0,0,'Données projet'!$E$9+1,1))</f>
        <v>293.82673322742102</v>
      </c>
      <c r="T4" s="59">
        <f>$T$3</f>
        <v>138.78566015867693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6.3784210526315785</v>
      </c>
      <c r="AI4" s="13">
        <f>IF('Données projet'!$A$62&gt;35,AI3+AH4-AQ3,IF(A4&lt;'Données projet'!$A$62,$AF$205^A4,IF(A4='Données projet'!$A$62,'Données projet'!$B$62,AI3+AH4-AQ3)))</f>
        <v>6.3784210526315785</v>
      </c>
      <c r="AJ4" s="13">
        <f>AI4*VLOOKUP('Données projet'!$B$10,Paramètres!$A$1:$I$89,3,0)*VLOOKUP('Données projet'!$B$10,Paramètres!$A$1:$I$89,5,0)</f>
        <v>3.1509399999999999</v>
      </c>
      <c r="AK4" s="13">
        <f>EXP(-1.0587+0.8836*LN(AJ4)+0.284)</f>
        <v>1.2704973594907825</v>
      </c>
      <c r="AL4" s="20">
        <f t="shared" ref="AL4:AL67" si="4">(AJ4+AK4)*0.475*44/12</f>
        <v>7.7006700677797779</v>
      </c>
      <c r="AM4" s="59">
        <f t="shared" ref="AM4:AM67" si="5">AL4+(AD4+AE4)*44/12</f>
        <v>301.03400340111307</v>
      </c>
      <c r="AN4" s="59">
        <f ca="1">AVERAGE(OFFSET($AM$3,0,0,'Données projet'!$E$10+1,1))-AVERAGE(OFFSET($H$3,0,0,'Données projet'!$E$10+1,1))</f>
        <v>265.57710796453807</v>
      </c>
      <c r="AO4" s="59">
        <f>$AO$3</f>
        <v>171.29436297508141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295.41287054239268</v>
      </c>
      <c r="BI4" s="59">
        <f ca="1">AVERAGE(OFFSET($BH$3,0,0,'Données projet'!$E$11+1,1))-AVERAGE(OFFSET($H$3,0,0,'Données projet'!$E$11+1,1))</f>
        <v>175.05987582828078</v>
      </c>
      <c r="BJ4" s="59">
        <f>$BJ$3</f>
        <v>268.54782308462387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8.1011764705882356</v>
      </c>
      <c r="N5" s="13">
        <f>IF('Données projet'!$A$36&gt;35,N4+M5-V4,IF(A5&lt;'Données projet'!$A$36,$K$205^A5,IF(A5='Données projet'!$A$36,'Données projet'!$B$36,N4+M5-V4)))</f>
        <v>1.3916531295193284</v>
      </c>
      <c r="O5" s="13">
        <f>N5*VLOOKUP('Données projet'!$B$9,Paramètres!$A$1:$I$89,3,0)*VLOOKUP('Données projet'!$B$9,Paramètres!$A$1:$I$89,5,0)</f>
        <v>0.77793409940130454</v>
      </c>
      <c r="P5" s="13">
        <f t="shared" ref="P5:P68" si="33">EXP(-1.0587+0.8836*LN(O5)+0.284)</f>
        <v>0.36913831920858581</v>
      </c>
      <c r="Q5" s="20">
        <f t="shared" si="2"/>
        <v>1.997817795745559</v>
      </c>
      <c r="R5" s="59">
        <f t="shared" si="0"/>
        <v>295.33115112907888</v>
      </c>
      <c r="S5" s="59">
        <f ca="1">AVERAGE(OFFSET($R$3,0,0,'Données projet'!$E$9+1,1))-AVERAGE(OFFSET($H$3,0,0,'Données projet'!$E$9+1,1))</f>
        <v>293.82673322742102</v>
      </c>
      <c r="T5" s="59">
        <f t="shared" ref="T5:T68" si="34">$T$3</f>
        <v>138.78566015867693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6.3784210526315785</v>
      </c>
      <c r="AI5" s="13">
        <f>IF('Données projet'!$A$62&gt;35,AI4+AH5-AQ4,IF(A5&lt;'Données projet'!$A$62,$AF$205^A5,IF(A5='Données projet'!$A$62,'Données projet'!$B$62,AI4+AH5-AQ4)))</f>
        <v>12.756842105263157</v>
      </c>
      <c r="AJ5" s="13">
        <f>AI5*VLOOKUP('Données projet'!$B$10,Paramètres!$A$1:$I$89,3,0)*VLOOKUP('Données projet'!$B$10,Paramètres!$A$1:$I$89,5,0)</f>
        <v>6.3018799999999997</v>
      </c>
      <c r="AK5" s="13">
        <f t="shared" ref="AK5:AK68" si="35">EXP(-1.0587+0.8836*LN(AJ5)+0.284)</f>
        <v>2.3440338065393553</v>
      </c>
      <c r="AL5" s="20">
        <f t="shared" si="4"/>
        <v>15.058299879722709</v>
      </c>
      <c r="AM5" s="59">
        <f t="shared" si="5"/>
        <v>308.39163321305602</v>
      </c>
      <c r="AN5" s="59">
        <f ca="1">AVERAGE(OFFSET($AM$3,0,0,'Données projet'!$E$10+1,1))-AVERAGE(OFFSET($H$3,0,0,'Données projet'!$E$10+1,1))</f>
        <v>265.57710796453807</v>
      </c>
      <c r="AO5" s="59">
        <f t="shared" ref="AO5:AO68" si="36">$AO$3</f>
        <v>171.29436297508141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296.01006937687282</v>
      </c>
      <c r="BI5" s="59">
        <f ca="1">AVERAGE(OFFSET($BH$3,0,0,'Données projet'!$E$11+1,1))-AVERAGE(OFFSET($H$3,0,0,'Données projet'!$E$11+1,1))</f>
        <v>175.05987582828078</v>
      </c>
      <c r="BJ5" s="59">
        <f t="shared" ref="BJ5:BJ68" si="38">$BJ$3</f>
        <v>268.54782308462387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8.1011764705882356</v>
      </c>
      <c r="N6" s="13">
        <f>IF('Données projet'!$A$36&gt;35,N5+M6-V5,IF(A6&lt;'Données projet'!$A$36,$K$205^A6,IF(A6='Données projet'!$A$36,'Données projet'!$B$36,N5+M6-V5)))</f>
        <v>1.6417102165369419</v>
      </c>
      <c r="O6" s="13">
        <f>N6*VLOOKUP('Données projet'!$B$9,Paramètres!$A$1:$I$89,3,0)*VLOOKUP('Données projet'!$B$9,Paramètres!$A$1:$I$89,5,0)</f>
        <v>0.91771601104415057</v>
      </c>
      <c r="P6" s="13">
        <f t="shared" si="33"/>
        <v>0.42717037547035097</v>
      </c>
      <c r="Q6" s="20">
        <f t="shared" si="2"/>
        <v>2.3423437898460904</v>
      </c>
      <c r="R6" s="59">
        <f t="shared" si="0"/>
        <v>295.67567712317941</v>
      </c>
      <c r="S6" s="59">
        <f ca="1">AVERAGE(OFFSET($R$3,0,0,'Données projet'!$E$9+1,1))-AVERAGE(OFFSET($H$3,0,0,'Données projet'!$E$9+1,1))</f>
        <v>293.82673322742102</v>
      </c>
      <c r="T6" s="59">
        <f t="shared" si="34"/>
        <v>138.78566015867693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6.3784210526315785</v>
      </c>
      <c r="AI6" s="13">
        <f>IF('Données projet'!$A$62&gt;35,AI5+AH6-AQ5,IF(A6&lt;'Données projet'!$A$62,$AF$205^A6,IF(A6='Données projet'!$A$62,'Données projet'!$B$62,AI5+AH6-AQ5)))</f>
        <v>19.135263157894734</v>
      </c>
      <c r="AJ6" s="13">
        <f>AI6*VLOOKUP('Données projet'!$B$10,Paramètres!$A$1:$I$89,3,0)*VLOOKUP('Données projet'!$B$10,Paramètres!$A$1:$I$89,5,0)</f>
        <v>9.4528199999999991</v>
      </c>
      <c r="AK6" s="13">
        <f t="shared" si="35"/>
        <v>3.3539617656884184</v>
      </c>
      <c r="AL6" s="20">
        <f t="shared" si="4"/>
        <v>22.305144908573993</v>
      </c>
      <c r="AM6" s="59">
        <f t="shared" si="5"/>
        <v>315.63847824190731</v>
      </c>
      <c r="AN6" s="59">
        <f ca="1">AVERAGE(OFFSET($AM$3,0,0,'Données projet'!$E$10+1,1))-AVERAGE(OFFSET($H$3,0,0,'Données projet'!$E$10+1,1))</f>
        <v>265.57710796453807</v>
      </c>
      <c r="AO6" s="59">
        <f t="shared" si="36"/>
        <v>171.29436297508141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296.77946221210669</v>
      </c>
      <c r="BI6" s="59">
        <f ca="1">AVERAGE(OFFSET($BH$3,0,0,'Données projet'!$E$11+1,1))-AVERAGE(OFFSET($H$3,0,0,'Données projet'!$E$11+1,1))</f>
        <v>175.05987582828078</v>
      </c>
      <c r="BJ6" s="59">
        <f t="shared" si="38"/>
        <v>268.54782308462387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8.1011764705882356</v>
      </c>
      <c r="N7" s="13">
        <f>IF('Données projet'!$A$36&gt;35,N6+M7-V6,IF(A7&lt;'Données projet'!$A$36,$K$205^A7,IF(A7='Données projet'!$A$36,'Données projet'!$B$36,N6+M7-V6)))</f>
        <v>1.9366984329009407</v>
      </c>
      <c r="O7" s="13">
        <f>N7*VLOOKUP('Données projet'!$B$9,Paramètres!$A$1:$I$89,3,0)*VLOOKUP('Données projet'!$B$9,Paramètres!$A$1:$I$89,5,0)</f>
        <v>1.0826144239916258</v>
      </c>
      <c r="P7" s="13">
        <f t="shared" si="33"/>
        <v>0.49432562317208611</v>
      </c>
      <c r="Q7" s="20">
        <f t="shared" si="2"/>
        <v>2.7465039154767976</v>
      </c>
      <c r="R7" s="59">
        <f t="shared" si="0"/>
        <v>296.07983724881012</v>
      </c>
      <c r="S7" s="59">
        <f ca="1">AVERAGE(OFFSET($R$3,0,0,'Données projet'!$E$9+1,1))-AVERAGE(OFFSET($H$3,0,0,'Données projet'!$E$9+1,1))</f>
        <v>293.82673322742102</v>
      </c>
      <c r="T7" s="59">
        <f t="shared" si="34"/>
        <v>138.78566015867693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6.3784210526315785</v>
      </c>
      <c r="AI7" s="13">
        <f>IF('Données projet'!$A$62&gt;35,AI6+AH7-AQ6,IF(A7&lt;'Données projet'!$A$62,$AF$205^A7,IF(A7='Données projet'!$A$62,'Données projet'!$B$62,AI6+AH7-AQ6)))</f>
        <v>25.513684210526314</v>
      </c>
      <c r="AJ7" s="13">
        <f>AI7*VLOOKUP('Données projet'!$B$10,Paramètres!$A$1:$I$89,3,0)*VLOOKUP('Données projet'!$B$10,Paramètres!$A$1:$I$89,5,0)</f>
        <v>12.603759999999999</v>
      </c>
      <c r="AK7" s="13">
        <f t="shared" si="35"/>
        <v>4.3246799728899736</v>
      </c>
      <c r="AL7" s="20">
        <f t="shared" si="4"/>
        <v>29.483699619450036</v>
      </c>
      <c r="AM7" s="59">
        <f t="shared" si="5"/>
        <v>322.81703295278334</v>
      </c>
      <c r="AN7" s="59">
        <f ca="1">AVERAGE(OFFSET($AM$3,0,0,'Données projet'!$E$10+1,1))-AVERAGE(OFFSET($H$3,0,0,'Données projet'!$E$10+1,1))</f>
        <v>265.57710796453807</v>
      </c>
      <c r="AO7" s="59">
        <f t="shared" si="36"/>
        <v>171.29436297508141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297.77088682029563</v>
      </c>
      <c r="BI7" s="59">
        <f ca="1">AVERAGE(OFFSET($BH$3,0,0,'Données projet'!$E$11+1,1))-AVERAGE(OFFSET($H$3,0,0,'Données projet'!$E$11+1,1))</f>
        <v>175.05987582828078</v>
      </c>
      <c r="BJ7" s="59">
        <f t="shared" si="38"/>
        <v>268.54782308462387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8.1011764705882356</v>
      </c>
      <c r="N8" s="13">
        <f>IF('Données projet'!$A$36&gt;35,N7+M8-V7,IF(A8&lt;'Données projet'!$A$36,$K$205^A8,IF(A8='Données projet'!$A$36,'Données projet'!$B$36,N7+M8-V7)))</f>
        <v>2.2846911606074896</v>
      </c>
      <c r="O8" s="13">
        <f>N8*VLOOKUP('Données projet'!$B$9,Paramètres!$A$1:$I$89,3,0)*VLOOKUP('Données projet'!$B$9,Paramètres!$A$1:$I$89,5,0)</f>
        <v>1.2771423587795867</v>
      </c>
      <c r="P8" s="13">
        <f t="shared" si="33"/>
        <v>0.57203831481856038</v>
      </c>
      <c r="Q8" s="20">
        <f t="shared" si="2"/>
        <v>3.2206563398501058</v>
      </c>
      <c r="R8" s="59">
        <f t="shared" si="0"/>
        <v>296.55398967318342</v>
      </c>
      <c r="S8" s="59">
        <f ca="1">AVERAGE(OFFSET($R$3,0,0,'Données projet'!$E$9+1,1))-AVERAGE(OFFSET($H$3,0,0,'Données projet'!$E$9+1,1))</f>
        <v>293.82673322742102</v>
      </c>
      <c r="T8" s="59">
        <f t="shared" si="34"/>
        <v>138.78566015867693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6.3784210526315785</v>
      </c>
      <c r="AI8" s="13">
        <f>IF('Données projet'!$A$62&gt;35,AI7+AH8-AQ7,IF(A8&lt;'Données projet'!$A$62,$AF$205^A8,IF(A8='Données projet'!$A$62,'Données projet'!$B$62,AI7+AH8-AQ7)))</f>
        <v>31.892105263157895</v>
      </c>
      <c r="AJ8" s="13">
        <f>AI8*VLOOKUP('Données projet'!$B$10,Paramètres!$A$1:$I$89,3,0)*VLOOKUP('Données projet'!$B$10,Paramètres!$A$1:$I$89,5,0)</f>
        <v>15.7547</v>
      </c>
      <c r="AK8" s="13">
        <f t="shared" si="35"/>
        <v>5.2672467351209189</v>
      </c>
      <c r="AL8" s="20">
        <f t="shared" si="4"/>
        <v>36.613223897002264</v>
      </c>
      <c r="AM8" s="59">
        <f t="shared" si="5"/>
        <v>329.9465572303356</v>
      </c>
      <c r="AN8" s="59">
        <f ca="1">AVERAGE(OFFSET($AM$3,0,0,'Données projet'!$E$10+1,1))-AVERAGE(OFFSET($H$3,0,0,'Données projet'!$E$10+1,1))</f>
        <v>265.57710796453807</v>
      </c>
      <c r="AO8" s="59">
        <f t="shared" si="36"/>
        <v>171.29436297508141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299.04865636217778</v>
      </c>
      <c r="BI8" s="59">
        <f ca="1">AVERAGE(OFFSET($BH$3,0,0,'Données projet'!$E$11+1,1))-AVERAGE(OFFSET($H$3,0,0,'Données projet'!$E$11+1,1))</f>
        <v>175.05987582828078</v>
      </c>
      <c r="BJ8" s="59">
        <f t="shared" si="38"/>
        <v>268.54782308462387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8.1011764705882356</v>
      </c>
      <c r="N9" s="13">
        <f>IF('Données projet'!$A$36&gt;35,N8+M9-V8,IF(A9&lt;'Données projet'!$A$36,$K$205^A9,IF(A9='Données projet'!$A$36,'Données projet'!$B$36,N8+M9-V8)))</f>
        <v>2.695212435081773</v>
      </c>
      <c r="O9" s="13">
        <f>N9*VLOOKUP('Données projet'!$B$9,Paramètres!$A$1:$I$89,3,0)*VLOOKUP('Données projet'!$B$9,Paramètres!$A$1:$I$89,5,0)</f>
        <v>1.5066237512107112</v>
      </c>
      <c r="P9" s="13">
        <f t="shared" si="33"/>
        <v>0.66196818105571442</v>
      </c>
      <c r="Q9" s="20">
        <f t="shared" si="2"/>
        <v>3.7769642820306903</v>
      </c>
      <c r="R9" s="59">
        <f t="shared" si="0"/>
        <v>297.110297615364</v>
      </c>
      <c r="S9" s="59">
        <f ca="1">AVERAGE(OFFSET($R$3,0,0,'Données projet'!$E$9+1,1))-AVERAGE(OFFSET($H$3,0,0,'Données projet'!$E$9+1,1))</f>
        <v>293.82673322742102</v>
      </c>
      <c r="T9" s="59">
        <f t="shared" si="34"/>
        <v>138.78566015867693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6.3784210526315785</v>
      </c>
      <c r="AI9" s="13">
        <f>IF('Données projet'!$A$62&gt;35,AI8+AH9-AQ8,IF(A9&lt;'Données projet'!$A$62,$AF$205^A9,IF(A9='Données projet'!$A$62,'Données projet'!$B$62,AI8+AH9-AQ8)))</f>
        <v>38.270526315789475</v>
      </c>
      <c r="AJ9" s="13">
        <f>AI9*VLOOKUP('Données projet'!$B$10,Paramètres!$A$1:$I$89,3,0)*VLOOKUP('Données projet'!$B$10,Paramètres!$A$1:$I$89,5,0)</f>
        <v>18.905640000000002</v>
      </c>
      <c r="AK9" s="13">
        <f t="shared" si="35"/>
        <v>6.1879701723780869</v>
      </c>
      <c r="AL9" s="20">
        <f t="shared" si="4"/>
        <v>43.7047043835585</v>
      </c>
      <c r="AM9" s="59">
        <f t="shared" si="5"/>
        <v>337.03803771689184</v>
      </c>
      <c r="AN9" s="59">
        <f ca="1">AVERAGE(OFFSET($AM$3,0,0,'Données projet'!$E$10+1,1))-AVERAGE(OFFSET($H$3,0,0,'Données projet'!$E$10+1,1))</f>
        <v>265.57710796453807</v>
      </c>
      <c r="AO9" s="59">
        <f t="shared" si="36"/>
        <v>171.29436297508141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300.69577751473082</v>
      </c>
      <c r="BI9" s="59">
        <f ca="1">AVERAGE(OFFSET($BH$3,0,0,'Données projet'!$E$11+1,1))-AVERAGE(OFFSET($H$3,0,0,'Données projet'!$E$11+1,1))</f>
        <v>175.05987582828078</v>
      </c>
      <c r="BJ9" s="59">
        <f t="shared" si="38"/>
        <v>268.54782308462387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8.1011764705882356</v>
      </c>
      <c r="N10" s="13">
        <f>IF('Données projet'!$A$36&gt;35,N9+M10-V9,IF(A10&lt;'Données projet'!$A$36,$K$205^A10,IF(A10='Données projet'!$A$36,'Données projet'!$B$36,N9+M10-V9)))</f>
        <v>3.1794976036445592</v>
      </c>
      <c r="O10" s="13">
        <f>N10*VLOOKUP('Données projet'!$B$9,Paramètres!$A$1:$I$89,3,0)*VLOOKUP('Données projet'!$B$9,Paramètres!$A$1:$I$89,5,0)</f>
        <v>1.7773391604373086</v>
      </c>
      <c r="P10" s="13">
        <f t="shared" si="33"/>
        <v>0.7660358779799572</v>
      </c>
      <c r="Q10" s="20">
        <f t="shared" si="2"/>
        <v>4.4297115252434045</v>
      </c>
      <c r="R10" s="59">
        <f t="shared" si="0"/>
        <v>297.76304485857673</v>
      </c>
      <c r="S10" s="59">
        <f ca="1">AVERAGE(OFFSET($R$3,0,0,'Données projet'!$E$9+1,1))-AVERAGE(OFFSET($H$3,0,0,'Données projet'!$E$9+1,1))</f>
        <v>293.82673322742102</v>
      </c>
      <c r="T10" s="59">
        <f t="shared" si="34"/>
        <v>138.78566015867693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6.3784210526315785</v>
      </c>
      <c r="AI10" s="13">
        <f>IF('Données projet'!$A$62&gt;35,AI9+AH10-AQ9,IF(A10&lt;'Données projet'!$A$62,$AF$205^A10,IF(A10='Données projet'!$A$62,'Données projet'!$B$62,AI9+AH10-AQ9)))</f>
        <v>44.648947368421055</v>
      </c>
      <c r="AJ10" s="13">
        <f>AI10*VLOOKUP('Données projet'!$B$10,Paramètres!$A$1:$I$89,3,0)*VLOOKUP('Données projet'!$B$10,Paramètres!$A$1:$I$89,5,0)</f>
        <v>22.05658</v>
      </c>
      <c r="AK10" s="13">
        <f t="shared" si="35"/>
        <v>7.0909168857164264</v>
      </c>
      <c r="AL10" s="20">
        <f t="shared" si="4"/>
        <v>50.765223742622773</v>
      </c>
      <c r="AM10" s="59">
        <f t="shared" si="5"/>
        <v>344.09855707595608</v>
      </c>
      <c r="AN10" s="59">
        <f ca="1">AVERAGE(OFFSET($AM$3,0,0,'Données projet'!$E$10+1,1))-AVERAGE(OFFSET($H$3,0,0,'Données projet'!$E$10+1,1))</f>
        <v>265.57710796453807</v>
      </c>
      <c r="AO10" s="59">
        <f t="shared" si="36"/>
        <v>171.29436297508141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302.81940145897039</v>
      </c>
      <c r="BI10" s="59">
        <f ca="1">AVERAGE(OFFSET($BH$3,0,0,'Données projet'!$E$11+1,1))-AVERAGE(OFFSET($H$3,0,0,'Données projet'!$E$11+1,1))</f>
        <v>175.05987582828078</v>
      </c>
      <c r="BJ10" s="59">
        <f t="shared" si="38"/>
        <v>268.54782308462387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8.1011764705882356</v>
      </c>
      <c r="N11" s="13">
        <f>IF('Données projet'!$A$36&gt;35,N10+M11-V10,IF(A11&lt;'Données projet'!$A$36,$K$205^A11,IF(A11='Données projet'!$A$36,'Données projet'!$B$36,N10+M11-V10)))</f>
        <v>3.7508008200009595</v>
      </c>
      <c r="O11" s="13">
        <f>N11*VLOOKUP('Données projet'!$B$9,Paramètres!$A$1:$I$89,3,0)*VLOOKUP('Données projet'!$B$9,Paramètres!$A$1:$I$89,5,0)</f>
        <v>2.0966976583805366</v>
      </c>
      <c r="P11" s="13">
        <f t="shared" si="33"/>
        <v>0.88646400710177842</v>
      </c>
      <c r="Q11" s="20">
        <f t="shared" si="2"/>
        <v>5.1956732340483649</v>
      </c>
      <c r="R11" s="59">
        <f t="shared" si="0"/>
        <v>298.52900656738166</v>
      </c>
      <c r="S11" s="59">
        <f ca="1">AVERAGE(OFFSET($R$3,0,0,'Données projet'!$E$9+1,1))-AVERAGE(OFFSET($H$3,0,0,'Données projet'!$E$9+1,1))</f>
        <v>293.82673322742102</v>
      </c>
      <c r="T11" s="59">
        <f t="shared" si="34"/>
        <v>138.78566015867693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6.3784210526315785</v>
      </c>
      <c r="AI11" s="13">
        <f>IF('Données projet'!$A$62&gt;35,AI10+AH11-AQ10,IF(A11&lt;'Données projet'!$A$62,$AF$205^A11,IF(A11='Données projet'!$A$62,'Données projet'!$B$62,AI10+AH11-AQ10)))</f>
        <v>51.027368421052635</v>
      </c>
      <c r="AJ11" s="13">
        <f>AI11*VLOOKUP('Données projet'!$B$10,Paramètres!$A$1:$I$89,3,0)*VLOOKUP('Données projet'!$B$10,Paramètres!$A$1:$I$89,5,0)</f>
        <v>25.207520000000006</v>
      </c>
      <c r="AK11" s="13">
        <f t="shared" si="35"/>
        <v>7.9789194233200211</v>
      </c>
      <c r="AL11" s="20">
        <f t="shared" si="4"/>
        <v>57.799715328949041</v>
      </c>
      <c r="AM11" s="59">
        <f t="shared" si="5"/>
        <v>351.13304866228236</v>
      </c>
      <c r="AN11" s="59">
        <f ca="1">AVERAGE(OFFSET($AM$3,0,0,'Données projet'!$E$10+1,1))-AVERAGE(OFFSET($H$3,0,0,'Données projet'!$E$10+1,1))</f>
        <v>265.57710796453807</v>
      </c>
      <c r="AO11" s="59">
        <f t="shared" si="36"/>
        <v>171.29436297508141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305.55786905533148</v>
      </c>
      <c r="BI11" s="59">
        <f ca="1">AVERAGE(OFFSET($BH$3,0,0,'Données projet'!$E$11+1,1))-AVERAGE(OFFSET($H$3,0,0,'Données projet'!$E$11+1,1))</f>
        <v>175.05987582828078</v>
      </c>
      <c r="BJ11" s="59">
        <f t="shared" si="38"/>
        <v>268.54782308462387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8.1011764705882356</v>
      </c>
      <c r="N12" s="13">
        <f>IF('Données projet'!$A$36&gt;35,N11+M12-V11,IF(A12&lt;'Données projet'!$A$36,$K$205^A12,IF(A12='Données projet'!$A$36,'Données projet'!$B$36,N11+M12-V11)))</f>
        <v>4.4247577904111566</v>
      </c>
      <c r="O12" s="13">
        <f>N12*VLOOKUP('Données projet'!$B$9,Paramètres!$A$1:$I$89,3,0)*VLOOKUP('Données projet'!$B$9,Paramètres!$A$1:$I$89,5,0)</f>
        <v>2.4734396048398364</v>
      </c>
      <c r="P12" s="13">
        <f t="shared" si="33"/>
        <v>1.0258245840379578</v>
      </c>
      <c r="Q12" s="20">
        <f t="shared" si="2"/>
        <v>6.0945517956288251</v>
      </c>
      <c r="R12" s="59">
        <f t="shared" si="0"/>
        <v>299.42788512896215</v>
      </c>
      <c r="S12" s="59">
        <f ca="1">AVERAGE(OFFSET($R$3,0,0,'Données projet'!$E$9+1,1))-AVERAGE(OFFSET($H$3,0,0,'Données projet'!$E$9+1,1))</f>
        <v>293.82673322742102</v>
      </c>
      <c r="T12" s="59">
        <f t="shared" si="34"/>
        <v>138.78566015867693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6.3784210526315785</v>
      </c>
      <c r="AI12" s="13">
        <f>IF('Données projet'!$A$62&gt;35,AI11+AH12-AQ11,IF(A12&lt;'Données projet'!$A$62,$AF$205^A12,IF(A12='Données projet'!$A$62,'Données projet'!$B$62,AI11+AH12-AQ11)))</f>
        <v>57.405789473684216</v>
      </c>
      <c r="AJ12" s="13">
        <f>AI12*VLOOKUP('Données projet'!$B$10,Paramètres!$A$1:$I$89,3,0)*VLOOKUP('Données projet'!$B$10,Paramètres!$A$1:$I$89,5,0)</f>
        <v>28.358460000000004</v>
      </c>
      <c r="AK12" s="13">
        <f t="shared" si="35"/>
        <v>8.8540597441370661</v>
      </c>
      <c r="AL12" s="20">
        <f t="shared" si="4"/>
        <v>64.811805221038739</v>
      </c>
      <c r="AM12" s="59">
        <f t="shared" si="5"/>
        <v>358.14513855437207</v>
      </c>
      <c r="AN12" s="59">
        <f ca="1">AVERAGE(OFFSET($AM$3,0,0,'Données projet'!$E$10+1,1))-AVERAGE(OFFSET($H$3,0,0,'Données projet'!$E$10+1,1))</f>
        <v>265.57710796453807</v>
      </c>
      <c r="AO12" s="59">
        <f t="shared" si="36"/>
        <v>171.29436297508141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309.08981769718088</v>
      </c>
      <c r="BI12" s="59">
        <f ca="1">AVERAGE(OFFSET($BH$3,0,0,'Données projet'!$E$11+1,1))-AVERAGE(OFFSET($H$3,0,0,'Données projet'!$E$11+1,1))</f>
        <v>175.05987582828078</v>
      </c>
      <c r="BJ12" s="59">
        <f t="shared" si="38"/>
        <v>268.54782308462387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8.1011764705882356</v>
      </c>
      <c r="N13" s="13">
        <f>IF('Données projet'!$A$36&gt;35,N12+M13-V12,IF(A13&lt;'Données projet'!$A$36,$K$205^A13,IF(A13='Données projet'!$A$36,'Données projet'!$B$36,N12+M13-V12)))</f>
        <v>5.2198136993579984</v>
      </c>
      <c r="O13" s="13">
        <f>N13*VLOOKUP('Données projet'!$B$9,Paramètres!$A$1:$I$89,3,0)*VLOOKUP('Données projet'!$B$9,Paramètres!$A$1:$I$89,5,0)</f>
        <v>2.9178758579411213</v>
      </c>
      <c r="P13" s="13">
        <f t="shared" si="33"/>
        <v>1.1870939697338765</v>
      </c>
      <c r="Q13" s="20">
        <f t="shared" si="2"/>
        <v>7.1494891165339531</v>
      </c>
      <c r="R13" s="59">
        <f t="shared" si="0"/>
        <v>300.48282244986729</v>
      </c>
      <c r="S13" s="59">
        <f ca="1">AVERAGE(OFFSET($R$3,0,0,'Données projet'!$E$9+1,1))-AVERAGE(OFFSET($H$3,0,0,'Données projet'!$E$9+1,1))</f>
        <v>293.82673322742102</v>
      </c>
      <c r="T13" s="59">
        <f t="shared" si="34"/>
        <v>138.78566015867693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6.3784210526315785</v>
      </c>
      <c r="AI13" s="13">
        <f>IF('Données projet'!$A$62&gt;35,AI12+AH13-AQ12,IF(A13&lt;'Données projet'!$A$62,$AF$205^A13,IF(A13='Données projet'!$A$62,'Données projet'!$B$62,AI12+AH13-AQ12)))</f>
        <v>63.784210526315796</v>
      </c>
      <c r="AJ13" s="13">
        <f>AI13*VLOOKUP('Données projet'!$B$10,Paramètres!$A$1:$I$89,3,0)*VLOOKUP('Données projet'!$B$10,Paramètres!$A$1:$I$89,5,0)</f>
        <v>31.509400000000007</v>
      </c>
      <c r="AK13" s="13">
        <f t="shared" si="35"/>
        <v>9.7179300077066024</v>
      </c>
      <c r="AL13" s="20">
        <f t="shared" si="4"/>
        <v>71.804266430089015</v>
      </c>
      <c r="AM13" s="59">
        <f t="shared" si="5"/>
        <v>365.13759976342232</v>
      </c>
      <c r="AN13" s="59">
        <f ca="1">AVERAGE(OFFSET($AM$3,0,0,'Données projet'!$E$10+1,1))-AVERAGE(OFFSET($H$3,0,0,'Données projet'!$E$10+1,1))</f>
        <v>265.57710796453807</v>
      </c>
      <c r="AO13" s="59">
        <f t="shared" si="36"/>
        <v>171.29436297508141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313.64595475887927</v>
      </c>
      <c r="BI13" s="59">
        <f ca="1">AVERAGE(OFFSET($BH$3,0,0,'Données projet'!$E$11+1,1))-AVERAGE(OFFSET($H$3,0,0,'Données projet'!$E$11+1,1))</f>
        <v>175.05987582828078</v>
      </c>
      <c r="BJ13" s="59">
        <f t="shared" si="38"/>
        <v>268.54782308462387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8.1011764705882356</v>
      </c>
      <c r="N14" s="13">
        <f>IF('Données projet'!$A$36&gt;35,N13+M14-V13,IF(A14&lt;'Données projet'!$A$36,$K$205^A14,IF(A14='Données projet'!$A$36,'Données projet'!$B$36,N13+M14-V13)))</f>
        <v>6.1577280263907141</v>
      </c>
      <c r="O14" s="13">
        <f>N14*VLOOKUP('Données projet'!$B$9,Paramètres!$A$1:$I$89,3,0)*VLOOKUP('Données projet'!$B$9,Paramètres!$A$1:$I$89,5,0)</f>
        <v>3.442169966752409</v>
      </c>
      <c r="P14" s="13">
        <f t="shared" si="33"/>
        <v>1.3737164373966597</v>
      </c>
      <c r="Q14" s="20">
        <f t="shared" si="2"/>
        <v>8.387668820559627</v>
      </c>
      <c r="R14" s="59">
        <f t="shared" si="0"/>
        <v>301.72100215389293</v>
      </c>
      <c r="S14" s="59">
        <f ca="1">AVERAGE(OFFSET($R$3,0,0,'Données projet'!$E$9+1,1))-AVERAGE(OFFSET($H$3,0,0,'Données projet'!$E$9+1,1))</f>
        <v>293.82673322742102</v>
      </c>
      <c r="T14" s="59">
        <f t="shared" si="34"/>
        <v>138.78566015867693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6.3784210526315785</v>
      </c>
      <c r="AI14" s="13">
        <f>IF('Données projet'!$A$62&gt;35,AI13+AH14-AQ13,IF(A14&lt;'Données projet'!$A$62,$AF$205^A14,IF(A14='Données projet'!$A$62,'Données projet'!$B$62,AI13+AH14-AQ13)))</f>
        <v>70.162631578947369</v>
      </c>
      <c r="AJ14" s="13">
        <f>AI14*VLOOKUP('Données projet'!$B$10,Paramètres!$A$1:$I$89,3,0)*VLOOKUP('Données projet'!$B$10,Paramètres!$A$1:$I$89,5,0)</f>
        <v>34.660339999999998</v>
      </c>
      <c r="AK14" s="13">
        <f t="shared" si="35"/>
        <v>10.571785514856403</v>
      </c>
      <c r="AL14" s="20">
        <f t="shared" si="4"/>
        <v>78.779285271708218</v>
      </c>
      <c r="AM14" s="59">
        <f t="shared" si="5"/>
        <v>372.11261860504152</v>
      </c>
      <c r="AN14" s="59">
        <f ca="1">AVERAGE(OFFSET($AM$3,0,0,'Données projet'!$E$10+1,1))-AVERAGE(OFFSET($H$3,0,0,'Données projet'!$E$10+1,1))</f>
        <v>265.57710796453807</v>
      </c>
      <c r="AO14" s="59">
        <f t="shared" si="36"/>
        <v>171.29436297508141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319.52428046851463</v>
      </c>
      <c r="BI14" s="59">
        <f ca="1">AVERAGE(OFFSET($BH$3,0,0,'Données projet'!$E$11+1,1))-AVERAGE(OFFSET($H$3,0,0,'Données projet'!$E$11+1,1))</f>
        <v>175.05987582828078</v>
      </c>
      <c r="BJ14" s="59">
        <f t="shared" si="38"/>
        <v>268.54782308462387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8.1011764705882356</v>
      </c>
      <c r="N15" s="13">
        <f>IF('Données projet'!$A$36&gt;35,N14+M15-V14,IF(A15&lt;'Données projet'!$A$36,$K$205^A15,IF(A15='Données projet'!$A$36,'Données projet'!$B$36,N14+M15-V14)))</f>
        <v>7.2641700702194214</v>
      </c>
      <c r="O15" s="13">
        <f>N15*VLOOKUP('Données projet'!$B$9,Paramètres!$A$1:$I$89,3,0)*VLOOKUP('Données projet'!$B$9,Paramètres!$A$1:$I$89,5,0)</f>
        <v>4.0606710692526571</v>
      </c>
      <c r="P15" s="13">
        <f t="shared" si="33"/>
        <v>1.5896777327550757</v>
      </c>
      <c r="Q15" s="20">
        <f t="shared" si="2"/>
        <v>9.8410241634967992</v>
      </c>
      <c r="R15" s="59">
        <f t="shared" si="0"/>
        <v>303.17435749683011</v>
      </c>
      <c r="S15" s="59">
        <f ca="1">AVERAGE(OFFSET($R$3,0,0,'Données projet'!$E$9+1,1))-AVERAGE(OFFSET($H$3,0,0,'Données projet'!$E$9+1,1))</f>
        <v>293.82673322742102</v>
      </c>
      <c r="T15" s="59">
        <f t="shared" si="34"/>
        <v>138.78566015867693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6.3784210526315785</v>
      </c>
      <c r="AI15" s="13">
        <f>IF('Données projet'!$A$62&gt;35,AI14+AH15-AQ14,IF(A15&lt;'Données projet'!$A$62,$AF$205^A15,IF(A15='Données projet'!$A$62,'Données projet'!$B$62,AI14+AH15-AQ14)))</f>
        <v>76.54105263157895</v>
      </c>
      <c r="AJ15" s="13">
        <f>AI15*VLOOKUP('Données projet'!$B$10,Paramètres!$A$1:$I$89,3,0)*VLOOKUP('Données projet'!$B$10,Paramètres!$A$1:$I$89,5,0)</f>
        <v>37.811280000000004</v>
      </c>
      <c r="AK15" s="13">
        <f t="shared" si="35"/>
        <v>11.416640239004471</v>
      </c>
      <c r="AL15" s="20">
        <f t="shared" si="4"/>
        <v>85.738627749599459</v>
      </c>
      <c r="AM15" s="59">
        <f t="shared" si="5"/>
        <v>379.07196108293277</v>
      </c>
      <c r="AN15" s="59">
        <f ca="1">AVERAGE(OFFSET($AM$3,0,0,'Données projet'!$E$10+1,1))-AVERAGE(OFFSET($H$3,0,0,'Données projet'!$E$10+1,1))</f>
        <v>265.57710796453807</v>
      </c>
      <c r="AO15" s="59">
        <f t="shared" si="36"/>
        <v>171.29436297508141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327.10977338908407</v>
      </c>
      <c r="BI15" s="59">
        <f ca="1">AVERAGE(OFFSET($BH$3,0,0,'Données projet'!$E$11+1,1))-AVERAGE(OFFSET($H$3,0,0,'Données projet'!$E$11+1,1))</f>
        <v>175.05987582828078</v>
      </c>
      <c r="BJ15" s="59">
        <f t="shared" si="38"/>
        <v>268.54782308462387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8.1011764705882356</v>
      </c>
      <c r="N16" s="13">
        <f>IF('Données projet'!$A$36&gt;35,N15+M16-V15,IF(A16&lt;'Données projet'!$A$36,$K$205^A16,IF(A16='Données projet'!$A$36,'Données projet'!$B$36,N15+M16-V15)))</f>
        <v>8.5694214786555154</v>
      </c>
      <c r="O16" s="13">
        <f>N16*VLOOKUP('Données projet'!$B$9,Paramètres!$A$1:$I$89,3,0)*VLOOKUP('Données projet'!$B$9,Paramètres!$A$1:$I$89,5,0)</f>
        <v>4.790306606568433</v>
      </c>
      <c r="P16" s="13">
        <f t="shared" si="33"/>
        <v>1.8395901986922396</v>
      </c>
      <c r="Q16" s="20">
        <f t="shared" si="2"/>
        <v>11.547070269162338</v>
      </c>
      <c r="R16" s="59">
        <f t="shared" si="0"/>
        <v>304.88040360249568</v>
      </c>
      <c r="S16" s="59">
        <f ca="1">AVERAGE(OFFSET($R$3,0,0,'Données projet'!$E$9+1,1))-AVERAGE(OFFSET($H$3,0,0,'Données projet'!$E$9+1,1))</f>
        <v>293.82673322742102</v>
      </c>
      <c r="T16" s="59">
        <f t="shared" si="34"/>
        <v>138.78566015867693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6.3784210526315785</v>
      </c>
      <c r="AI16" s="13">
        <f>IF('Données projet'!$A$62&gt;35,AI15+AH16-AQ15,IF(A16&lt;'Données projet'!$A$62,$AF$205^A16,IF(A16='Données projet'!$A$62,'Données projet'!$B$62,AI15+AH16-AQ15)))</f>
        <v>82.91947368421053</v>
      </c>
      <c r="AJ16" s="13">
        <f>AI16*VLOOKUP('Données projet'!$B$10,Paramètres!$A$1:$I$89,3,0)*VLOOKUP('Données projet'!$B$10,Paramètres!$A$1:$I$89,5,0)</f>
        <v>40.962220000000002</v>
      </c>
      <c r="AK16" s="13">
        <f t="shared" si="35"/>
        <v>12.253329521158719</v>
      </c>
      <c r="AL16" s="20">
        <f t="shared" si="4"/>
        <v>92.683748749351437</v>
      </c>
      <c r="AM16" s="59">
        <f t="shared" si="5"/>
        <v>386.01708208268474</v>
      </c>
      <c r="AN16" s="59">
        <f ca="1">AVERAGE(OFFSET($AM$3,0,0,'Données projet'!$E$10+1,1))-AVERAGE(OFFSET($H$3,0,0,'Données projet'!$E$10+1,1))</f>
        <v>265.57710796453807</v>
      </c>
      <c r="AO16" s="59">
        <f t="shared" si="36"/>
        <v>171.29436297508141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336.8998499722349</v>
      </c>
      <c r="BI16" s="59">
        <f ca="1">AVERAGE(OFFSET($BH$3,0,0,'Données projet'!$E$11+1,1))-AVERAGE(OFFSET($H$3,0,0,'Données projet'!$E$11+1,1))</f>
        <v>175.05987582828078</v>
      </c>
      <c r="BJ16" s="59">
        <f t="shared" si="38"/>
        <v>268.54782308462387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8.1011764705882356</v>
      </c>
      <c r="N17" s="13">
        <f>IF('Données projet'!$A$36&gt;35,N16+M17-V16,IF(A17&lt;'Données projet'!$A$36,$K$205^A17,IF(A17='Données projet'!$A$36,'Données projet'!$B$36,N16+M17-V16)))</f>
        <v>10.109205011581498</v>
      </c>
      <c r="O17" s="13">
        <f>N17*VLOOKUP('Données projet'!$B$9,Paramètres!$A$1:$I$89,3,0)*VLOOKUP('Données projet'!$B$9,Paramètres!$A$1:$I$89,5,0)</f>
        <v>5.6510456014740571</v>
      </c>
      <c r="P17" s="13">
        <f t="shared" si="33"/>
        <v>2.128791282280575</v>
      </c>
      <c r="Q17" s="20">
        <f t="shared" si="2"/>
        <v>13.549882572539316</v>
      </c>
      <c r="R17" s="59">
        <f t="shared" si="0"/>
        <v>306.88321590587265</v>
      </c>
      <c r="S17" s="59">
        <f ca="1">AVERAGE(OFFSET($R$3,0,0,'Données projet'!$E$9+1,1))-AVERAGE(OFFSET($H$3,0,0,'Données projet'!$E$9+1,1))</f>
        <v>293.82673322742102</v>
      </c>
      <c r="T17" s="59">
        <f t="shared" si="34"/>
        <v>138.78566015867693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6.3784210526315785</v>
      </c>
      <c r="AI17" s="13">
        <f>IF('Données projet'!$A$62&gt;35,AI16+AH17-AQ16,IF(A17&lt;'Données projet'!$A$62,$AF$205^A17,IF(A17='Données projet'!$A$62,'Données projet'!$B$62,AI16+AH17-AQ16)))</f>
        <v>89.29789473684211</v>
      </c>
      <c r="AJ17" s="13">
        <f>AI17*VLOOKUP('Données projet'!$B$10,Paramètres!$A$1:$I$89,3,0)*VLOOKUP('Données projet'!$B$10,Paramètres!$A$1:$I$89,5,0)</f>
        <v>44.113160000000001</v>
      </c>
      <c r="AK17" s="13">
        <f t="shared" si="35"/>
        <v>13.082552887903622</v>
      </c>
      <c r="AL17" s="20">
        <f t="shared" si="4"/>
        <v>99.615866613098817</v>
      </c>
      <c r="AM17" s="59">
        <f t="shared" si="5"/>
        <v>392.94919994643215</v>
      </c>
      <c r="AN17" s="59">
        <f ca="1">AVERAGE(OFFSET($AM$3,0,0,'Données projet'!$E$10+1,1))-AVERAGE(OFFSET($H$3,0,0,'Données projet'!$E$10+1,1))</f>
        <v>265.57710796453807</v>
      </c>
      <c r="AO17" s="59">
        <f t="shared" si="36"/>
        <v>171.29436297508141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349.53729592395661</v>
      </c>
      <c r="BI17" s="59">
        <f ca="1">AVERAGE(OFFSET($BH$3,0,0,'Données projet'!$E$11+1,1))-AVERAGE(OFFSET($H$3,0,0,'Données projet'!$E$11+1,1))</f>
        <v>175.05987582828078</v>
      </c>
      <c r="BJ17" s="59">
        <f t="shared" si="38"/>
        <v>268.54782308462387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8.1011764705882356</v>
      </c>
      <c r="N18" s="13">
        <f>IF('Données projet'!$A$36&gt;35,N17+M18-V17,IF(A18&lt;'Données projet'!$A$36,$K$205^A18,IF(A18='Données projet'!$A$36,'Données projet'!$B$36,N17+M18-V17)))</f>
        <v>11.925662218941099</v>
      </c>
      <c r="O18" s="13">
        <f>N18*VLOOKUP('Données projet'!$B$9,Paramètres!$A$1:$I$89,3,0)*VLOOKUP('Données projet'!$B$9,Paramètres!$A$1:$I$89,5,0)</f>
        <v>6.6664451803880747</v>
      </c>
      <c r="P18" s="13">
        <f t="shared" si="33"/>
        <v>2.4634575280599917</v>
      </c>
      <c r="Q18" s="20">
        <f t="shared" si="2"/>
        <v>15.901247217213713</v>
      </c>
      <c r="R18" s="59">
        <f t="shared" si="0"/>
        <v>309.23458055054704</v>
      </c>
      <c r="S18" s="59">
        <f ca="1">AVERAGE(OFFSET($R$3,0,0,'Données projet'!$E$9+1,1))-AVERAGE(OFFSET($H$3,0,0,'Données projet'!$E$9+1,1))</f>
        <v>293.82673322742102</v>
      </c>
      <c r="T18" s="59">
        <f t="shared" si="34"/>
        <v>138.78566015867693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6.3784210526315785</v>
      </c>
      <c r="AI18" s="13">
        <f>IF('Données projet'!$A$62&gt;35,AI17+AH18-AQ17,IF(A18&lt;'Données projet'!$A$62,$AF$205^A18,IF(A18='Données projet'!$A$62,'Données projet'!$B$62,AI17+AH18-AQ17)))</f>
        <v>95.676315789473691</v>
      </c>
      <c r="AJ18" s="13">
        <f>AI18*VLOOKUP('Données projet'!$B$10,Paramètres!$A$1:$I$89,3,0)*VLOOKUP('Données projet'!$B$10,Paramètres!$A$1:$I$89,5,0)</f>
        <v>47.264099999999999</v>
      </c>
      <c r="AK18" s="13">
        <f t="shared" si="35"/>
        <v>13.904904270815118</v>
      </c>
      <c r="AL18" s="20">
        <f t="shared" si="4"/>
        <v>106.53601577166965</v>
      </c>
      <c r="AM18" s="59">
        <f t="shared" si="5"/>
        <v>399.86934910500298</v>
      </c>
      <c r="AN18" s="59">
        <f ca="1">AVERAGE(OFFSET($AM$3,0,0,'Données projet'!$E$10+1,1))-AVERAGE(OFFSET($H$3,0,0,'Données projet'!$E$10+1,1))</f>
        <v>265.57710796453807</v>
      </c>
      <c r="AO18" s="59">
        <f t="shared" si="36"/>
        <v>171.29436297508141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365.85286739919712</v>
      </c>
      <c r="BI18" s="59">
        <f ca="1">AVERAGE(OFFSET($BH$3,0,0,'Données projet'!$E$11+1,1))-AVERAGE(OFFSET($H$3,0,0,'Données projet'!$E$11+1,1))</f>
        <v>175.05987582828078</v>
      </c>
      <c r="BJ18" s="59">
        <f t="shared" si="38"/>
        <v>268.54782308462387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8.1011764705882356</v>
      </c>
      <c r="N19" s="13">
        <f>IF('Données projet'!$A$36&gt;35,N18+M19-V18,IF(A19&lt;'Données projet'!$A$36,$K$205^A19,IF(A19='Données projet'!$A$36,'Données projet'!$B$36,N18+M19-V18)))</f>
        <v>14.068506791319869</v>
      </c>
      <c r="O19" s="13">
        <f>N19*VLOOKUP('Données projet'!$B$9,Paramètres!$A$1:$I$89,3,0)*VLOOKUP('Données projet'!$B$9,Paramètres!$A$1:$I$89,5,0)</f>
        <v>7.864295296347807</v>
      </c>
      <c r="P19" s="13">
        <f t="shared" si="33"/>
        <v>2.8507364921440894</v>
      </c>
      <c r="Q19" s="20">
        <f t="shared" si="2"/>
        <v>18.66201369829005</v>
      </c>
      <c r="R19" s="59">
        <f t="shared" si="0"/>
        <v>311.99534703162334</v>
      </c>
      <c r="S19" s="59">
        <f ca="1">AVERAGE(OFFSET($R$3,0,0,'Données projet'!$E$9+1,1))-AVERAGE(OFFSET($H$3,0,0,'Données projet'!$E$9+1,1))</f>
        <v>293.82673322742102</v>
      </c>
      <c r="T19" s="59">
        <f t="shared" si="34"/>
        <v>138.78566015867693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6.3784210526315785</v>
      </c>
      <c r="AI19" s="13">
        <f>IF('Données projet'!$A$62&gt;35,AI18+AH19-AQ18,IF(A19&lt;'Données projet'!$A$62,$AF$205^A19,IF(A19='Données projet'!$A$62,'Données projet'!$B$62,AI18+AH19-AQ18)))</f>
        <v>102.05473684210527</v>
      </c>
      <c r="AJ19" s="13">
        <f>AI19*VLOOKUP('Données projet'!$B$10,Paramètres!$A$1:$I$89,3,0)*VLOOKUP('Données projet'!$B$10,Paramètres!$A$1:$I$89,5,0)</f>
        <v>50.415040000000012</v>
      </c>
      <c r="AK19" s="13">
        <f t="shared" si="35"/>
        <v>14.720893930398852</v>
      </c>
      <c r="AL19" s="20">
        <f t="shared" si="4"/>
        <v>113.445084928778</v>
      </c>
      <c r="AM19" s="59">
        <f t="shared" si="5"/>
        <v>406.7784182621113</v>
      </c>
      <c r="AN19" s="59">
        <f ca="1">AVERAGE(OFFSET($AM$3,0,0,'Données projet'!$E$10+1,1))-AVERAGE(OFFSET($H$3,0,0,'Données projet'!$E$10+1,1))</f>
        <v>265.57710796453807</v>
      </c>
      <c r="AO19" s="59">
        <f t="shared" si="36"/>
        <v>171.29436297508141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386.92040802893126</v>
      </c>
      <c r="BI19" s="59">
        <f ca="1">AVERAGE(OFFSET($BH$3,0,0,'Données projet'!$E$11+1,1))-AVERAGE(OFFSET($H$3,0,0,'Données projet'!$E$11+1,1))</f>
        <v>175.05987582828078</v>
      </c>
      <c r="BJ19" s="59">
        <f t="shared" si="38"/>
        <v>268.54782308462387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8.1011764705882356</v>
      </c>
      <c r="N20" s="13">
        <f>IF('Données projet'!$A$36&gt;35,N19+M20-V19,IF(A20&lt;'Données projet'!$A$36,$K$205^A20,IF(A20='Données projet'!$A$36,'Données projet'!$B$36,N19+M20-V19)))</f>
        <v>16.596385148579799</v>
      </c>
      <c r="O20" s="13">
        <f>N20*VLOOKUP('Données projet'!$B$9,Paramètres!$A$1:$I$89,3,0)*VLOOKUP('Données projet'!$B$9,Paramètres!$A$1:$I$89,5,0)</f>
        <v>9.2773792980561076</v>
      </c>
      <c r="P20" s="13">
        <f t="shared" si="33"/>
        <v>3.2988993944790606</v>
      </c>
      <c r="Q20" s="20">
        <f t="shared" si="2"/>
        <v>21.903685389498751</v>
      </c>
      <c r="R20" s="59">
        <f t="shared" si="0"/>
        <v>315.23701872283209</v>
      </c>
      <c r="S20" s="59">
        <f ca="1">AVERAGE(OFFSET($R$3,0,0,'Données projet'!$E$9+1,1))-AVERAGE(OFFSET($H$3,0,0,'Données projet'!$E$9+1,1))</f>
        <v>293.82673322742102</v>
      </c>
      <c r="T20" s="59">
        <f t="shared" si="34"/>
        <v>138.78566015867693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6.3784210526315785</v>
      </c>
      <c r="AI20" s="13">
        <f>IF('Données projet'!$A$62&gt;35,AI19+AH20-AQ19,IF(A20&lt;'Données projet'!$A$62,$AF$205^A20,IF(A20='Données projet'!$A$62,'Données projet'!$B$62,AI19+AH20-AQ19)))</f>
        <v>108.43315789473685</v>
      </c>
      <c r="AJ20" s="13">
        <f>AI20*VLOOKUP('Données projet'!$B$10,Paramètres!$A$1:$I$89,3,0)*VLOOKUP('Données projet'!$B$10,Paramètres!$A$1:$I$89,5,0)</f>
        <v>53.56598000000001</v>
      </c>
      <c r="AK20" s="13">
        <f t="shared" si="35"/>
        <v>15.530964739595145</v>
      </c>
      <c r="AL20" s="20">
        <f t="shared" si="4"/>
        <v>120.34384542146158</v>
      </c>
      <c r="AM20" s="59">
        <f t="shared" si="5"/>
        <v>413.67717875479491</v>
      </c>
      <c r="AN20" s="59">
        <f ca="1">AVERAGE(OFFSET($AM$3,0,0,'Données projet'!$E$10+1,1))-AVERAGE(OFFSET($H$3,0,0,'Données projet'!$E$10+1,1))</f>
        <v>265.57710796453807</v>
      </c>
      <c r="AO20" s="59">
        <f t="shared" si="36"/>
        <v>171.29436297508141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414.12816716752388</v>
      </c>
      <c r="BI20" s="59">
        <f ca="1">AVERAGE(OFFSET($BH$3,0,0,'Données projet'!$E$11+1,1))-AVERAGE(OFFSET($H$3,0,0,'Données projet'!$E$11+1,1))</f>
        <v>175.05987582828078</v>
      </c>
      <c r="BJ20" s="59">
        <f t="shared" si="38"/>
        <v>268.54782308462387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8.1011764705882356</v>
      </c>
      <c r="N21" s="13">
        <f>IF('Données projet'!$A$36&gt;35,N20+M21-V20,IF(A21&lt;'Données projet'!$A$36,$K$205^A21,IF(A21='Données projet'!$A$36,'Données projet'!$B$36,N20+M21-V20)))</f>
        <v>19.57848150380422</v>
      </c>
      <c r="O21" s="13">
        <f>N21*VLOOKUP('Données projet'!$B$9,Paramètres!$A$1:$I$89,3,0)*VLOOKUP('Données projet'!$B$9,Paramètres!$A$1:$I$89,5,0)</f>
        <v>10.944371160626559</v>
      </c>
      <c r="P21" s="13">
        <f t="shared" si="33"/>
        <v>3.8175177694902325</v>
      </c>
      <c r="Q21" s="20">
        <f t="shared" si="2"/>
        <v>25.710289886620075</v>
      </c>
      <c r="R21" s="59">
        <f t="shared" si="0"/>
        <v>319.04362321995336</v>
      </c>
      <c r="S21" s="59">
        <f ca="1">AVERAGE(OFFSET($R$3,0,0,'Données projet'!$E$9+1,1))-AVERAGE(OFFSET($H$3,0,0,'Données projet'!$E$9+1,1))</f>
        <v>293.82673322742102</v>
      </c>
      <c r="T21" s="59">
        <f t="shared" si="34"/>
        <v>138.78566015867693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6.3784210526315785</v>
      </c>
      <c r="AI21" s="13">
        <f>IF('Données projet'!$A$62&gt;35,AI20+AH21-AQ20,IF(A21&lt;'Données projet'!$A$62,$AF$205^A21,IF(A21='Données projet'!$A$62,'Données projet'!$B$62,AI20+AH21-AQ20)))</f>
        <v>114.81157894736843</v>
      </c>
      <c r="AJ21" s="13">
        <f>AI21*VLOOKUP('Données projet'!$B$10,Paramètres!$A$1:$I$89,3,0)*VLOOKUP('Données projet'!$B$10,Paramètres!$A$1:$I$89,5,0)</f>
        <v>56.716920000000009</v>
      </c>
      <c r="AK21" s="13">
        <f t="shared" si="35"/>
        <v>16.335504525326055</v>
      </c>
      <c r="AL21" s="20">
        <f t="shared" si="4"/>
        <v>127.23297271494289</v>
      </c>
      <c r="AM21" s="59">
        <f t="shared" si="5"/>
        <v>420.5663060482762</v>
      </c>
      <c r="AN21" s="59">
        <f ca="1">AVERAGE(OFFSET($AM$3,0,0,'Données projet'!$E$10+1,1))-AVERAGE(OFFSET($H$3,0,0,'Données projet'!$E$10+1,1))</f>
        <v>265.57710796453807</v>
      </c>
      <c r="AO21" s="59">
        <f t="shared" si="36"/>
        <v>171.29436297508141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449.27109216153792</v>
      </c>
      <c r="BI21" s="59">
        <f ca="1">AVERAGE(OFFSET($BH$3,0,0,'Données projet'!$E$11+1,1))-AVERAGE(OFFSET($H$3,0,0,'Données projet'!$E$11+1,1))</f>
        <v>175.05987582828078</v>
      </c>
      <c r="BJ21" s="59">
        <f t="shared" si="38"/>
        <v>268.54782308462387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0.15</v>
      </c>
      <c r="BN21" s="16">
        <f>IF(ISNA(VLOOKUP(A21,'Données projet'!$A$87:$I$107,6,0)),0%,VLOOKUP(A21,'Données projet'!$A$87:$I$107,6,0)*VLOOKUP('Données projet'!$B$11,Paramètres!$A$1:$I$89,7,0))</f>
        <v>0.222</v>
      </c>
      <c r="BO21" s="16">
        <f>IF(ISNA(VLOOKUP(A21,'Données projet'!$A$87:$I$107,7,0)),0%,VLOOKUP(A21,'Données projet'!$A$87:$I$107,7,0))</f>
        <v>0.38</v>
      </c>
      <c r="BP21" s="21">
        <f>EXP(-LN(2)/35)*BP20+(1-EXP(-LN(2)/35))/(LN(2)/35)*BL21*BM21*VLOOKUP('Données projet'!$B$11,Paramètres!$A$1:$I$89,3,0)*0.475*44/12</f>
        <v>2.4833286605828189</v>
      </c>
      <c r="BQ21" s="21">
        <f>EXP(-LN(2)/25)*BQ20+(1-EXP(-LN(2)/25))/(LN(2)/25)*Calculateur!BL21*Calculateur!BN21*VLOOKUP('Données projet'!$B$11,Paramètres!$A$1:$I$89,3,0)*0.475*44/12</f>
        <v>3.6608552571470789</v>
      </c>
      <c r="BR21" s="21">
        <f>EXP(-LN(2)/2)*BR20+(1-EXP(-LN(2)/2))/(LN(2)/2)*BL21*BO21*VLOOKUP('Données projet'!$B$11,Paramètres!$A$1:$I$89,3,0)*0.475*44/12</f>
        <v>5.3694984477895114</v>
      </c>
      <c r="BS21" s="22">
        <f t="shared" si="9"/>
        <v>11.513682365519408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8.1011764705882356</v>
      </c>
      <c r="N22" s="13">
        <f>IF('Données projet'!$A$36&gt;35,N21+M22-V21,IF(A22&lt;'Données projet'!$A$36,$K$205^A22,IF(A22='Données projet'!$A$36,'Données projet'!$B$36,N21+M22-V21)))</f>
        <v>23.096411330729183</v>
      </c>
      <c r="O22" s="13">
        <f>N22*VLOOKUP('Données projet'!$B$9,Paramètres!$A$1:$I$89,3,0)*VLOOKUP('Données projet'!$B$9,Paramètres!$A$1:$I$89,5,0)</f>
        <v>12.910893933877613</v>
      </c>
      <c r="P22" s="13">
        <f t="shared" si="33"/>
        <v>4.4176678878911408</v>
      </c>
      <c r="Q22" s="20">
        <f t="shared" si="2"/>
        <v>30.180578506247247</v>
      </c>
      <c r="R22" s="59">
        <f t="shared" si="0"/>
        <v>323.51391183958054</v>
      </c>
      <c r="S22" s="59">
        <f ca="1">AVERAGE(OFFSET($R$3,0,0,'Données projet'!$E$9+1,1))-AVERAGE(OFFSET($H$3,0,0,'Données projet'!$E$9+1,1))</f>
        <v>293.82673322742102</v>
      </c>
      <c r="T22" s="59">
        <f t="shared" si="34"/>
        <v>138.78566015867693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6.3784210526315785</v>
      </c>
      <c r="AI22" s="13">
        <f>IF('Données projet'!$A$62&gt;35,AI21+AH22-AQ21,IF(A22&lt;'Données projet'!$A$62,$AF$205^A22,IF(A22='Données projet'!$A$62,'Données projet'!$B$62,AI21+AH22-AQ21)))</f>
        <v>121.19000000000001</v>
      </c>
      <c r="AJ22" s="13">
        <f>AI22*VLOOKUP('Données projet'!$B$10,Paramètres!$A$1:$I$89,3,0)*VLOOKUP('Données projet'!$B$10,Paramètres!$A$1:$I$89,5,0)</f>
        <v>59.867860000000007</v>
      </c>
      <c r="AK22" s="13">
        <f t="shared" si="35"/>
        <v>17.134855588849408</v>
      </c>
      <c r="AL22" s="20">
        <f t="shared" si="4"/>
        <v>134.11306298391273</v>
      </c>
      <c r="AM22" s="59">
        <f t="shared" si="5"/>
        <v>427.44639631724601</v>
      </c>
      <c r="AN22" s="59">
        <f ca="1">AVERAGE(OFFSET($AM$3,0,0,'Données projet'!$E$10+1,1))-AVERAGE(OFFSET($H$3,0,0,'Données projet'!$E$10+1,1))</f>
        <v>265.57710796453807</v>
      </c>
      <c r="AO22" s="59">
        <f t="shared" si="36"/>
        <v>171.29436297508141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446.55704519948165</v>
      </c>
      <c r="BI22" s="59">
        <f ca="1">AVERAGE(OFFSET($BH$3,0,0,'Données projet'!$E$11+1,1))-AVERAGE(OFFSET($H$3,0,0,'Données projet'!$E$11+1,1))</f>
        <v>175.05987582828078</v>
      </c>
      <c r="BJ22" s="59">
        <f t="shared" si="38"/>
        <v>268.54782308462387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2.4346321002297104</v>
      </c>
      <c r="BQ22" s="21">
        <f>EXP(-LN(2)/25)*BQ21+(1-EXP(-LN(2)/25))/(LN(2)/25)*Calculateur!BL22*Calculateur!BN22*VLOOKUP('Données projet'!$B$11,Paramètres!$A$1:$I$89,3,0)*0.475*44/12</f>
        <v>3.5607489776243813</v>
      </c>
      <c r="BR22" s="21">
        <f>EXP(-LN(2)/2)*BR21+(1-EXP(-LN(2)/2))/(LN(2)/2)*BL22*BO22*VLOOKUP('Données projet'!$B$11,Paramètres!$A$1:$I$89,3,0)*0.475*44/12</f>
        <v>3.7968087640026047</v>
      </c>
      <c r="BS22" s="22">
        <f t="shared" si="9"/>
        <v>9.7921898418566968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8.1011764705882356</v>
      </c>
      <c r="N23" s="13">
        <f>IF('Données projet'!$A$36&gt;35,N22+M23-V22,IF(A23&lt;'Données projet'!$A$36,$K$205^A23,IF(A23='Données projet'!$A$36,'Données projet'!$B$36,N22+M23-V22)))</f>
        <v>27.246455056005431</v>
      </c>
      <c r="O23" s="13">
        <f>N23*VLOOKUP('Données projet'!$B$9,Paramètres!$A$1:$I$89,3,0)*VLOOKUP('Données projet'!$B$9,Paramètres!$A$1:$I$89,5,0)</f>
        <v>15.230768376307037</v>
      </c>
      <c r="P23" s="13">
        <f t="shared" si="33"/>
        <v>5.1121673155461425</v>
      </c>
      <c r="Q23" s="20">
        <f t="shared" si="2"/>
        <v>35.430612996644278</v>
      </c>
      <c r="R23" s="59">
        <f t="shared" si="0"/>
        <v>328.76394632997761</v>
      </c>
      <c r="S23" s="59">
        <f ca="1">AVERAGE(OFFSET($R$3,0,0,'Données projet'!$E$9+1,1))-AVERAGE(OFFSET($H$3,0,0,'Données projet'!$E$9+1,1))</f>
        <v>293.82673322742102</v>
      </c>
      <c r="T23" s="59">
        <f t="shared" si="34"/>
        <v>138.78566015867693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6.3784210526315785</v>
      </c>
      <c r="AI23" s="13">
        <f>IF('Données projet'!$A$62&gt;35,AI22+AH23-AQ22,IF(A23&lt;'Données projet'!$A$62,$AF$205^A23,IF(A23='Données projet'!$A$62,'Données projet'!$B$62,AI22+AH23-AQ22)))</f>
        <v>127.56842105263159</v>
      </c>
      <c r="AJ23" s="13">
        <f>AI23*VLOOKUP('Données projet'!$B$10,Paramètres!$A$1:$I$89,3,0)*VLOOKUP('Données projet'!$B$10,Paramètres!$A$1:$I$89,5,0)</f>
        <v>63.018800000000013</v>
      </c>
      <c r="AK23" s="13">
        <f t="shared" si="35"/>
        <v>17.92932216465011</v>
      </c>
      <c r="AL23" s="20">
        <f t="shared" si="4"/>
        <v>140.98464610343231</v>
      </c>
      <c r="AM23" s="59">
        <f t="shared" si="5"/>
        <v>434.31797943676565</v>
      </c>
      <c r="AN23" s="59">
        <f ca="1">AVERAGE(OFFSET($AM$3,0,0,'Données projet'!$E$10+1,1))-AVERAGE(OFFSET($H$3,0,0,'Données projet'!$E$10+1,1))</f>
        <v>265.57710796453807</v>
      </c>
      <c r="AO23" s="59">
        <f t="shared" si="36"/>
        <v>171.29436297508141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470.94481558627825</v>
      </c>
      <c r="BI23" s="59">
        <f ca="1">AVERAGE(OFFSET($BH$3,0,0,'Données projet'!$E$11+1,1))-AVERAGE(OFFSET($H$3,0,0,'Données projet'!$E$11+1,1))</f>
        <v>175.05987582828078</v>
      </c>
      <c r="BJ23" s="59">
        <f t="shared" si="38"/>
        <v>268.54782308462387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2.3868904497231576</v>
      </c>
      <c r="BQ23" s="21">
        <f>EXP(-LN(2)/25)*BQ22+(1-EXP(-LN(2)/25))/(LN(2)/25)*Calculateur!BL23*Calculateur!BN23*VLOOKUP('Données projet'!$B$11,Paramètres!$A$1:$I$89,3,0)*0.475*44/12</f>
        <v>3.463380109579592</v>
      </c>
      <c r="BR23" s="21">
        <f>EXP(-LN(2)/2)*BR22+(1-EXP(-LN(2)/2))/(LN(2)/2)*BL23*BO23*VLOOKUP('Données projet'!$B$11,Paramètres!$A$1:$I$89,3,0)*0.475*44/12</f>
        <v>2.6847492238947561</v>
      </c>
      <c r="BS23" s="22">
        <f t="shared" si="9"/>
        <v>8.5350197831975052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8.1011764705882356</v>
      </c>
      <c r="N24" s="13">
        <f>IF('Données projet'!$A$36&gt;35,N23+M24-V23,IF(A24&lt;'Données projet'!$A$36,$K$205^A24,IF(A24='Données projet'!$A$36,'Données projet'!$B$36,N23+M24-V23)))</f>
        <v>32.142193109074938</v>
      </c>
      <c r="O24" s="13">
        <f>N24*VLOOKUP('Données projet'!$B$9,Paramètres!$A$1:$I$89,3,0)*VLOOKUP('Données projet'!$B$9,Paramètres!$A$1:$I$89,5,0)</f>
        <v>17.967485947972889</v>
      </c>
      <c r="P24" s="13">
        <f t="shared" si="33"/>
        <v>5.9158486616371526</v>
      </c>
      <c r="Q24" s="20">
        <f t="shared" si="2"/>
        <v>41.596807778404155</v>
      </c>
      <c r="R24" s="59">
        <f t="shared" si="0"/>
        <v>334.9301411117375</v>
      </c>
      <c r="S24" s="59">
        <f ca="1">AVERAGE(OFFSET($R$3,0,0,'Données projet'!$E$9+1,1))-AVERAGE(OFFSET($H$3,0,0,'Données projet'!$E$9+1,1))</f>
        <v>293.82673322742102</v>
      </c>
      <c r="T24" s="59">
        <f t="shared" si="34"/>
        <v>138.78566015867693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6.3784210526315785</v>
      </c>
      <c r="AI24" s="13">
        <f>IF('Données projet'!$A$62&gt;35,AI23+AH24-AQ23,IF(A24&lt;'Données projet'!$A$62,$AF$205^A24,IF(A24='Données projet'!$A$62,'Données projet'!$B$62,AI23+AH24-AQ23)))</f>
        <v>133.94684210526316</v>
      </c>
      <c r="AJ24" s="13">
        <f>AI24*VLOOKUP('Données projet'!$B$10,Paramètres!$A$1:$I$89,3,0)*VLOOKUP('Données projet'!$B$10,Paramètres!$A$1:$I$89,5,0)</f>
        <v>66.169740000000004</v>
      </c>
      <c r="AK24" s="13">
        <f t="shared" si="35"/>
        <v>18.719176345159358</v>
      </c>
      <c r="AL24" s="20">
        <f t="shared" si="4"/>
        <v>147.84819596781921</v>
      </c>
      <c r="AM24" s="59">
        <f t="shared" si="5"/>
        <v>441.18152930115252</v>
      </c>
      <c r="AN24" s="59">
        <f ca="1">AVERAGE(OFFSET($AM$3,0,0,'Données projet'!$E$10+1,1))-AVERAGE(OFFSET($H$3,0,0,'Données projet'!$E$10+1,1))</f>
        <v>265.57710796453807</v>
      </c>
      <c r="AO24" s="59">
        <f t="shared" si="36"/>
        <v>171.29436297508141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495.25397035669954</v>
      </c>
      <c r="BI24" s="59">
        <f ca="1">AVERAGE(OFFSET($BH$3,0,0,'Données projet'!$E$11+1,1))-AVERAGE(OFFSET($H$3,0,0,'Données projet'!$E$11+1,1))</f>
        <v>175.05987582828078</v>
      </c>
      <c r="BJ24" s="59">
        <f t="shared" si="38"/>
        <v>268.54782308462387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0.15</v>
      </c>
      <c r="BN24" s="16">
        <f>IF(ISNA(VLOOKUP(A24,'Données projet'!$A$87:$I$107,6,0)),0%,VLOOKUP(A24,'Données projet'!$A$87:$I$107,6,0)*VLOOKUP('Données projet'!$B$11,Paramètres!$A$1:$I$89,7,0))</f>
        <v>0.222</v>
      </c>
      <c r="BO24" s="16">
        <f>IF(ISNA(VLOOKUP(A24,'Données projet'!$A$87:$I$107,7,0)),0%,VLOOKUP(A24,'Données projet'!$A$87:$I$107,7,0))</f>
        <v>0.38</v>
      </c>
      <c r="BP24" s="21">
        <f>EXP(-LN(2)/35)*BP23+(1-EXP(-LN(2)/35))/(LN(2)/35)*BL24*BM24*VLOOKUP('Données projet'!$B$11,Paramètres!$A$1:$I$89,3,0)*0.475*44/12</f>
        <v>5.5684122426211715</v>
      </c>
      <c r="BQ24" s="21">
        <f>EXP(-LN(2)/25)*BQ23+(1-EXP(-LN(2)/25))/(LN(2)/25)*Calculateur!BL24*Calculateur!BN24*VLOOKUP('Données projet'!$B$11,Paramètres!$A$1:$I$89,3,0)*0.475*44/12</f>
        <v>8.1277856326430964</v>
      </c>
      <c r="BR24" s="21">
        <f>EXP(-LN(2)/2)*BR23+(1-EXP(-LN(2)/2))/(LN(2)/2)*BL24*BO24*VLOOKUP('Données projet'!$B$11,Paramètres!$A$1:$I$89,3,0)*0.475*44/12</f>
        <v>8.8787523641276671</v>
      </c>
      <c r="BS24" s="22">
        <f t="shared" si="9"/>
        <v>22.574950239391935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8.1011764705882356</v>
      </c>
      <c r="N25" s="13">
        <f>IF('Données projet'!$A$36&gt;35,N24+M25-V24,IF(A25&lt;'Données projet'!$A$36,$K$205^A25,IF(A25='Données projet'!$A$36,'Données projet'!$B$36,N24+M25-V24)))</f>
        <v>37.917614446997689</v>
      </c>
      <c r="O25" s="13">
        <f>N25*VLOOKUP('Données projet'!$B$9,Paramètres!$A$1:$I$89,3,0)*VLOOKUP('Données projet'!$B$9,Paramètres!$A$1:$I$89,5,0)</f>
        <v>21.195946475871708</v>
      </c>
      <c r="P25" s="13">
        <f t="shared" si="33"/>
        <v>6.8458763626470418</v>
      </c>
      <c r="Q25" s="20">
        <f t="shared" si="2"/>
        <v>48.839508110420148</v>
      </c>
      <c r="R25" s="59">
        <f t="shared" si="0"/>
        <v>342.17284144375344</v>
      </c>
      <c r="S25" s="59">
        <f ca="1">AVERAGE(OFFSET($R$3,0,0,'Données projet'!$E$9+1,1))-AVERAGE(OFFSET($H$3,0,0,'Données projet'!$E$9+1,1))</f>
        <v>293.82673322742102</v>
      </c>
      <c r="T25" s="59">
        <f t="shared" si="34"/>
        <v>138.78566015867693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6.3784210526315785</v>
      </c>
      <c r="AI25" s="13">
        <f>IF('Données projet'!$A$62&gt;35,AI24+AH25-AQ24,IF(A25&lt;'Données projet'!$A$62,$AF$205^A25,IF(A25='Données projet'!$A$62,'Données projet'!$B$62,AI24+AH25-AQ24)))</f>
        <v>140.32526315789474</v>
      </c>
      <c r="AJ25" s="13">
        <f>AI25*VLOOKUP('Données projet'!$B$10,Paramètres!$A$1:$I$89,3,0)*VLOOKUP('Données projet'!$B$10,Paramètres!$A$1:$I$89,5,0)</f>
        <v>69.320679999999996</v>
      </c>
      <c r="AK25" s="13">
        <f t="shared" si="35"/>
        <v>19.504662844981112</v>
      </c>
      <c r="AL25" s="20">
        <f t="shared" si="4"/>
        <v>154.70413878834208</v>
      </c>
      <c r="AM25" s="59">
        <f t="shared" si="5"/>
        <v>448.03747212167536</v>
      </c>
      <c r="AN25" s="59">
        <f ca="1">AVERAGE(OFFSET($AM$3,0,0,'Données projet'!$E$10+1,1))-AVERAGE(OFFSET($H$3,0,0,'Données projet'!$E$10+1,1))</f>
        <v>265.57710796453807</v>
      </c>
      <c r="AO25" s="59">
        <f t="shared" si="36"/>
        <v>171.29436297508141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481.75787787696777</v>
      </c>
      <c r="BI25" s="59">
        <f ca="1">AVERAGE(OFFSET($BH$3,0,0,'Données projet'!$E$11+1,1))-AVERAGE(OFFSET($H$3,0,0,'Données projet'!$E$11+1,1))</f>
        <v>175.05987582828078</v>
      </c>
      <c r="BJ25" s="59">
        <f t="shared" si="38"/>
        <v>268.54782308462387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5.4592190749394724</v>
      </c>
      <c r="BQ25" s="21">
        <f>EXP(-LN(2)/25)*BQ24+(1-EXP(-LN(2)/25))/(LN(2)/25)*Calculateur!BL25*Calculateur!BN25*VLOOKUP('Données projet'!$B$11,Paramètres!$A$1:$I$89,3,0)*0.475*44/12</f>
        <v>7.905530907096801</v>
      </c>
      <c r="BR25" s="21">
        <f>EXP(-LN(2)/2)*BR24+(1-EXP(-LN(2)/2))/(LN(2)/2)*BL25*BO25*VLOOKUP('Données projet'!$B$11,Paramètres!$A$1:$I$89,3,0)*0.475*44/12</f>
        <v>6.2782260051507643</v>
      </c>
      <c r="BS25" s="22">
        <f t="shared" si="9"/>
        <v>19.642975987187036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8.1011764705882356</v>
      </c>
      <c r="N26" s="13">
        <f>IF('Données projet'!$A$36&gt;35,N25+M26-V25,IF(A26&lt;'Données projet'!$A$36,$K$205^A26,IF(A26='Données projet'!$A$36,'Données projet'!$B$36,N25+M26-V25)))</f>
        <v>44.730783629858735</v>
      </c>
      <c r="O26" s="13">
        <f>N26*VLOOKUP('Données projet'!$B$9,Paramètres!$A$1:$I$89,3,0)*VLOOKUP('Données projet'!$B$9,Paramètres!$A$1:$I$89,5,0)</f>
        <v>25.004508049091033</v>
      </c>
      <c r="P26" s="13">
        <f t="shared" si="33"/>
        <v>7.9221132677994763</v>
      </c>
      <c r="Q26" s="20">
        <f t="shared" si="2"/>
        <v>57.347198793584305</v>
      </c>
      <c r="R26" s="59">
        <f t="shared" si="0"/>
        <v>350.68053212691763</v>
      </c>
      <c r="S26" s="59">
        <f ca="1">AVERAGE(OFFSET($R$3,0,0,'Données projet'!$E$9+1,1))-AVERAGE(OFFSET($H$3,0,0,'Données projet'!$E$9+1,1))</f>
        <v>293.82673322742102</v>
      </c>
      <c r="T26" s="59">
        <f t="shared" si="34"/>
        <v>138.78566015867693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6.3784210526315785</v>
      </c>
      <c r="AI26" s="13">
        <f>IF('Données projet'!$A$62&gt;35,AI25+AH26-AQ25,IF(A26&lt;'Données projet'!$A$62,$AF$205^A26,IF(A26='Données projet'!$A$62,'Données projet'!$B$62,AI25+AH26-AQ25)))</f>
        <v>146.70368421052632</v>
      </c>
      <c r="AJ26" s="13">
        <f>AI26*VLOOKUP('Données projet'!$B$10,Paramètres!$A$1:$I$89,3,0)*VLOOKUP('Données projet'!$B$10,Paramètres!$A$1:$I$89,5,0)</f>
        <v>72.471620000000001</v>
      </c>
      <c r="AK26" s="13">
        <f t="shared" si="35"/>
        <v>20.28600287440948</v>
      </c>
      <c r="AL26" s="20">
        <f t="shared" si="4"/>
        <v>161.55285983959649</v>
      </c>
      <c r="AM26" s="59">
        <f t="shared" si="5"/>
        <v>454.88619317292978</v>
      </c>
      <c r="AN26" s="59">
        <f ca="1">AVERAGE(OFFSET($AM$3,0,0,'Données projet'!$E$10+1,1))-AVERAGE(OFFSET($H$3,0,0,'Données projet'!$E$10+1,1))</f>
        <v>265.57710796453807</v>
      </c>
      <c r="AO26" s="59">
        <f t="shared" si="36"/>
        <v>171.29436297508141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503.34150013462738</v>
      </c>
      <c r="BI26" s="59">
        <f ca="1">AVERAGE(OFFSET($BH$3,0,0,'Données projet'!$E$11+1,1))-AVERAGE(OFFSET($H$3,0,0,'Données projet'!$E$11+1,1))</f>
        <v>175.05987582828078</v>
      </c>
      <c r="BJ26" s="59">
        <f t="shared" si="38"/>
        <v>268.54782308462387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5.352167118674755</v>
      </c>
      <c r="BQ26" s="21">
        <f>EXP(-LN(2)/25)*BQ25+(1-EXP(-LN(2)/25))/(LN(2)/25)*Calculateur!BL26*Calculateur!BN26*VLOOKUP('Données projet'!$B$11,Paramètres!$A$1:$I$89,3,0)*0.475*44/12</f>
        <v>7.6893537487084371</v>
      </c>
      <c r="BR26" s="21">
        <f>EXP(-LN(2)/2)*BR25+(1-EXP(-LN(2)/2))/(LN(2)/2)*BL26*BO26*VLOOKUP('Données projet'!$B$11,Paramètres!$A$1:$I$89,3,0)*0.475*44/12</f>
        <v>4.4393761820638344</v>
      </c>
      <c r="BS26" s="22">
        <f t="shared" si="9"/>
        <v>17.480897049447027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8.1011764705882356</v>
      </c>
      <c r="N27" s="13">
        <f>IF('Données projet'!$A$36&gt;35,N26+M27-V26,IF(A27&lt;'Données projet'!$A$36,$K$205^A27,IF(A27='Données projet'!$A$36,'Données projet'!$B$36,N26+M27-V26)))</f>
        <v>52.76816680907163</v>
      </c>
      <c r="O27" s="13">
        <f>N27*VLOOKUP('Données projet'!$B$9,Paramètres!$A$1:$I$89,3,0)*VLOOKUP('Données projet'!$B$9,Paramètres!$A$1:$I$89,5,0)</f>
        <v>29.497405246271043</v>
      </c>
      <c r="P27" s="13">
        <f t="shared" si="33"/>
        <v>9.167544855218166</v>
      </c>
      <c r="Q27" s="20">
        <f t="shared" si="2"/>
        <v>67.341454760093711</v>
      </c>
      <c r="R27" s="59">
        <f t="shared" si="0"/>
        <v>360.67478809342703</v>
      </c>
      <c r="S27" s="59">
        <f ca="1">AVERAGE(OFFSET($R$3,0,0,'Données projet'!$E$9+1,1))-AVERAGE(OFFSET($H$3,0,0,'Données projet'!$E$9+1,1))</f>
        <v>293.82673322742102</v>
      </c>
      <c r="T27" s="59">
        <f t="shared" si="34"/>
        <v>138.78566015867693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6.3784210526315785</v>
      </c>
      <c r="AI27" s="13">
        <f>IF('Données projet'!$A$62&gt;35,AI26+AH27-AQ26,IF(A27&lt;'Données projet'!$A$62,$AF$205^A27,IF(A27='Données projet'!$A$62,'Données projet'!$B$62,AI26+AH27-AQ26)))</f>
        <v>153.0821052631579</v>
      </c>
      <c r="AJ27" s="13">
        <f>AI27*VLOOKUP('Données projet'!$B$10,Paramètres!$A$1:$I$89,3,0)*VLOOKUP('Données projet'!$B$10,Paramètres!$A$1:$I$89,5,0)</f>
        <v>75.622560000000007</v>
      </c>
      <c r="AK27" s="13">
        <f t="shared" si="35"/>
        <v>21.063397320282419</v>
      </c>
      <c r="AL27" s="20">
        <f t="shared" si="4"/>
        <v>168.39470899949188</v>
      </c>
      <c r="AM27" s="59">
        <f t="shared" si="5"/>
        <v>461.72804233282523</v>
      </c>
      <c r="AN27" s="59">
        <f ca="1">AVERAGE(OFFSET($AM$3,0,0,'Données projet'!$E$10+1,1))-AVERAGE(OFFSET($H$3,0,0,'Données projet'!$E$10+1,1))</f>
        <v>265.57710796453807</v>
      </c>
      <c r="AO27" s="59">
        <f t="shared" si="36"/>
        <v>171.29436297508141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524.87393869639823</v>
      </c>
      <c r="BI27" s="59">
        <f ca="1">AVERAGE(OFFSET($BH$3,0,0,'Données projet'!$E$11+1,1))-AVERAGE(OFFSET($H$3,0,0,'Données projet'!$E$11+1,1))</f>
        <v>175.05987582828078</v>
      </c>
      <c r="BJ27" s="59">
        <f t="shared" si="38"/>
        <v>268.54782308462387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0.15</v>
      </c>
      <c r="BN27" s="16">
        <f>IF(ISNA(VLOOKUP(A27,'Données projet'!$A$87:$I$107,6,0)),0%,VLOOKUP(A27,'Données projet'!$A$87:$I$107,6,0)*VLOOKUP('Données projet'!$B$11,Paramètres!$A$1:$I$89,7,0))</f>
        <v>0.222</v>
      </c>
      <c r="BO27" s="16">
        <f>IF(ISNA(VLOOKUP(A27,'Données projet'!$A$87:$I$107,7,0)),0%,VLOOKUP(A27,'Données projet'!$A$87:$I$107,7,0))</f>
        <v>0.38</v>
      </c>
      <c r="BP27" s="21">
        <f>EXP(-LN(2)/35)*BP26+(1-EXP(-LN(2)/35))/(LN(2)/35)*BL27*BM27*VLOOKUP('Données projet'!$B$11,Paramètres!$A$1:$I$89,3,0)*0.475*44/12</f>
        <v>8.8480409438222303</v>
      </c>
      <c r="BQ27" s="21">
        <f>EXP(-LN(2)/25)*BQ26+(1-EXP(-LN(2)/25))/(LN(2)/25)*Calculateur!BL27*Calculateur!BN27*VLOOKUP('Données projet'!$B$11,Paramètres!$A$1:$I$89,3,0)*0.475*44/12</f>
        <v>12.787328088947731</v>
      </c>
      <c r="BR27" s="21">
        <f>EXP(-LN(2)/2)*BR26+(1-EXP(-LN(2)/2))/(LN(2)/2)*BL27*BO27*VLOOKUP('Données projet'!$B$11,Paramètres!$A$1:$I$89,3,0)*0.475*44/12</f>
        <v>10.924885751870173</v>
      </c>
      <c r="BS27" s="22">
        <f t="shared" si="9"/>
        <v>32.560254784640136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8.1011764705882356</v>
      </c>
      <c r="N28" s="13">
        <f>IF('Données projet'!$A$36&gt;35,N27+M28-V27,IF(A28&lt;'Données projet'!$A$36,$K$205^A28,IF(A28='Données projet'!$A$36,'Données projet'!$B$36,N27+M28-V27)))</f>
        <v>62.249735024344858</v>
      </c>
      <c r="O28" s="13">
        <f>N28*VLOOKUP('Données projet'!$B$9,Paramètres!$A$1:$I$89,3,0)*VLOOKUP('Données projet'!$B$9,Paramètres!$A$1:$I$89,5,0)</f>
        <v>34.797601878608781</v>
      </c>
      <c r="P28" s="13">
        <f t="shared" si="33"/>
        <v>10.608770138902839</v>
      </c>
      <c r="Q28" s="20">
        <f t="shared" si="2"/>
        <v>79.082764597166076</v>
      </c>
      <c r="R28" s="59">
        <f t="shared" si="0"/>
        <v>372.4160979304994</v>
      </c>
      <c r="S28" s="59">
        <f ca="1">AVERAGE(OFFSET($R$3,0,0,'Données projet'!$E$9+1,1))-AVERAGE(OFFSET($H$3,0,0,'Données projet'!$E$9+1,1))</f>
        <v>293.82673322742102</v>
      </c>
      <c r="T28" s="59">
        <f t="shared" si="34"/>
        <v>138.78566015867693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6.3784210526315785</v>
      </c>
      <c r="AI28" s="13">
        <f>IF('Données projet'!$A$62&gt;35,AI27+AH28-AQ27,IF(A28&lt;'Données projet'!$A$62,$AF$205^A28,IF(A28='Données projet'!$A$62,'Données projet'!$B$62,AI27+AH28-AQ27)))</f>
        <v>159.46052631578948</v>
      </c>
      <c r="AJ28" s="13">
        <f>AI28*VLOOKUP('Données projet'!$B$10,Paramètres!$A$1:$I$89,3,0)*VLOOKUP('Données projet'!$B$10,Paramètres!$A$1:$I$89,5,0)</f>
        <v>78.773500000000013</v>
      </c>
      <c r="AK28" s="13">
        <f t="shared" si="35"/>
        <v>21.837029381754686</v>
      </c>
      <c r="AL28" s="20">
        <f t="shared" si="4"/>
        <v>175.23000533988943</v>
      </c>
      <c r="AM28" s="59">
        <f t="shared" si="5"/>
        <v>468.56333867322275</v>
      </c>
      <c r="AN28" s="59">
        <f ca="1">AVERAGE(OFFSET($AM$3,0,0,'Données projet'!$E$10+1,1))-AVERAGE(OFFSET($H$3,0,0,'Données projet'!$E$10+1,1))</f>
        <v>265.57710796453807</v>
      </c>
      <c r="AO28" s="59">
        <f t="shared" si="36"/>
        <v>171.29436297508141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95.575999999999993</v>
      </c>
      <c r="BF28" s="13">
        <f t="shared" si="37"/>
        <v>25.905281107545633</v>
      </c>
      <c r="BG28" s="20">
        <f t="shared" si="7"/>
        <v>211.57989792897527</v>
      </c>
      <c r="BH28" s="59">
        <f t="shared" si="8"/>
        <v>504.91323126230861</v>
      </c>
      <c r="BI28" s="59">
        <f ca="1">AVERAGE(OFFSET($BH$3,0,0,'Données projet'!$E$11+1,1))-AVERAGE(OFFSET($H$3,0,0,'Données projet'!$E$11+1,1))</f>
        <v>175.05987582828078</v>
      </c>
      <c r="BJ28" s="59">
        <f t="shared" si="38"/>
        <v>268.54782308462387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8.6745362576859648</v>
      </c>
      <c r="BQ28" s="21">
        <f>EXP(-LN(2)/25)*BQ27+(1-EXP(-LN(2)/25))/(LN(2)/25)*Calculateur!BL28*Calculateur!BN28*VLOOKUP('Données projet'!$B$11,Paramètres!$A$1:$I$89,3,0)*0.475*44/12</f>
        <v>12.437657929899098</v>
      </c>
      <c r="BR28" s="21">
        <f>EXP(-LN(2)/2)*BR27+(1-EXP(-LN(2)/2))/(LN(2)/2)*BL28*BO28*VLOOKUP('Données projet'!$B$11,Paramètres!$A$1:$I$89,3,0)*0.475*44/12</f>
        <v>7.7250607988356936</v>
      </c>
      <c r="BS28" s="22">
        <f t="shared" si="9"/>
        <v>28.837254986420753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8.1011764705882356</v>
      </c>
      <c r="N29" s="13">
        <f>IF('Données projet'!$A$36&gt;35,N28+M29-V28,IF(A29&lt;'Données projet'!$A$36,$K$205^A29,IF(A29='Données projet'!$A$36,'Données projet'!$B$36,N28+M29-V28)))</f>
        <v>73.434984478842495</v>
      </c>
      <c r="O29" s="13">
        <f>N29*VLOOKUP('Données projet'!$B$9,Paramètres!$A$1:$I$89,3,0)*VLOOKUP('Données projet'!$B$9,Paramètres!$A$1:$I$89,5,0)</f>
        <v>41.050156323672958</v>
      </c>
      <c r="P29" s="13">
        <f t="shared" si="33"/>
        <v>12.276569750953044</v>
      </c>
      <c r="Q29" s="20">
        <f t="shared" si="2"/>
        <v>92.877381246640297</v>
      </c>
      <c r="R29" s="59">
        <f t="shared" si="0"/>
        <v>386.21071457997363</v>
      </c>
      <c r="S29" s="59">
        <f ca="1">AVERAGE(OFFSET($R$3,0,0,'Données projet'!$E$9+1,1))-AVERAGE(OFFSET($H$3,0,0,'Données projet'!$E$9+1,1))</f>
        <v>293.82673322742102</v>
      </c>
      <c r="T29" s="59">
        <f t="shared" si="34"/>
        <v>138.78566015867693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6.3784210526315785</v>
      </c>
      <c r="AI29" s="13">
        <f>IF('Données projet'!$A$62&gt;35,AI28+AH29-AQ28,IF(A29&lt;'Données projet'!$A$62,$AF$205^A29,IF(A29='Données projet'!$A$62,'Données projet'!$B$62,AI28+AH29-AQ28)))</f>
        <v>165.83894736842106</v>
      </c>
      <c r="AJ29" s="13">
        <f>AI29*VLOOKUP('Données projet'!$B$10,Paramètres!$A$1:$I$89,3,0)*VLOOKUP('Données projet'!$B$10,Paramètres!$A$1:$I$89,5,0)</f>
        <v>81.924440000000004</v>
      </c>
      <c r="AK29" s="13">
        <f t="shared" si="35"/>
        <v>22.607066772476131</v>
      </c>
      <c r="AL29" s="20">
        <f t="shared" si="4"/>
        <v>182.05904096206257</v>
      </c>
      <c r="AM29" s="59">
        <f t="shared" si="5"/>
        <v>475.39237429539588</v>
      </c>
      <c r="AN29" s="59">
        <f ca="1">AVERAGE(OFFSET($AM$3,0,0,'Données projet'!$E$10+1,1))-AVERAGE(OFFSET($H$3,0,0,'Données projet'!$E$10+1,1))</f>
        <v>265.57710796453807</v>
      </c>
      <c r="AO29" s="59">
        <f t="shared" si="36"/>
        <v>171.29436297508141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104.416</v>
      </c>
      <c r="BF29" s="13">
        <f t="shared" si="37"/>
        <v>28.01138818767625</v>
      </c>
      <c r="BG29" s="20">
        <f t="shared" si="7"/>
        <v>230.64436776020281</v>
      </c>
      <c r="BH29" s="59">
        <f t="shared" si="8"/>
        <v>523.9777010935361</v>
      </c>
      <c r="BI29" s="59">
        <f ca="1">AVERAGE(OFFSET($BH$3,0,0,'Données projet'!$E$11+1,1))-AVERAGE(OFFSET($H$3,0,0,'Données projet'!$E$11+1,1))</f>
        <v>175.05987582828078</v>
      </c>
      <c r="BJ29" s="59">
        <f t="shared" si="38"/>
        <v>268.54782308462387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8.5044338926174223</v>
      </c>
      <c r="BQ29" s="21">
        <f>EXP(-LN(2)/25)*BQ28+(1-EXP(-LN(2)/25))/(LN(2)/25)*Calculateur!BL29*Calculateur!BN29*VLOOKUP('Données projet'!$B$11,Paramètres!$A$1:$I$89,3,0)*0.475*44/12</f>
        <v>12.097549519738003</v>
      </c>
      <c r="BR29" s="21">
        <f>EXP(-LN(2)/2)*BR28+(1-EXP(-LN(2)/2))/(LN(2)/2)*BL29*BO29*VLOOKUP('Données projet'!$B$11,Paramètres!$A$1:$I$89,3,0)*0.475*44/12</f>
        <v>5.4624428759350874</v>
      </c>
      <c r="BS29" s="22">
        <f t="shared" si="9"/>
        <v>26.064426288290512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8.1011764705882356</v>
      </c>
      <c r="N30" s="13">
        <f>IF('Données projet'!$A$36&gt;35,N29+M30-V29,IF(A30&lt;'Données projet'!$A$36,$K$205^A30,IF(A30='Données projet'!$A$36,'Données projet'!$B$36,N29+M30-V29)))</f>
        <v>86.630038558378459</v>
      </c>
      <c r="O30" s="13">
        <f>N30*VLOOKUP('Données projet'!$B$9,Paramètres!$A$1:$I$89,3,0)*VLOOKUP('Données projet'!$B$9,Paramètres!$A$1:$I$89,5,0)</f>
        <v>48.42619155413356</v>
      </c>
      <c r="P30" s="13">
        <f t="shared" si="33"/>
        <v>14.206563331723023</v>
      </c>
      <c r="Q30" s="20">
        <f t="shared" si="2"/>
        <v>109.08538142620021</v>
      </c>
      <c r="R30" s="59">
        <f t="shared" si="0"/>
        <v>402.41871475953354</v>
      </c>
      <c r="S30" s="59">
        <f ca="1">AVERAGE(OFFSET($R$3,0,0,'Données projet'!$E$9+1,1))-AVERAGE(OFFSET($H$3,0,0,'Données projet'!$E$9+1,1))</f>
        <v>293.82673322742102</v>
      </c>
      <c r="T30" s="59">
        <f t="shared" si="34"/>
        <v>138.78566015867693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6.3784210526315785</v>
      </c>
      <c r="AI30" s="13">
        <f>IF('Données projet'!$A$62&gt;35,AI29+AH30-AQ29,IF(A30&lt;'Données projet'!$A$62,$AF$205^A30,IF(A30='Données projet'!$A$62,'Données projet'!$B$62,AI29+AH30-AQ29)))</f>
        <v>172.21736842105264</v>
      </c>
      <c r="AJ30" s="13">
        <f>AI30*VLOOKUP('Données projet'!$B$10,Paramètres!$A$1:$I$89,3,0)*VLOOKUP('Données projet'!$B$10,Paramètres!$A$1:$I$89,5,0)</f>
        <v>85.075379999999996</v>
      </c>
      <c r="AK30" s="13">
        <f t="shared" si="35"/>
        <v>23.373663574443768</v>
      </c>
      <c r="AL30" s="20">
        <f t="shared" si="4"/>
        <v>188.88208422548954</v>
      </c>
      <c r="AM30" s="59">
        <f t="shared" si="5"/>
        <v>482.21541755882288</v>
      </c>
      <c r="AN30" s="59">
        <f ca="1">AVERAGE(OFFSET($AM$3,0,0,'Données projet'!$E$10+1,1))-AVERAGE(OFFSET($H$3,0,0,'Données projet'!$E$10+1,1))</f>
        <v>265.57710796453807</v>
      </c>
      <c r="AO30" s="59">
        <f t="shared" si="36"/>
        <v>171.29436297508141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113.25599999999997</v>
      </c>
      <c r="BF30" s="13">
        <f t="shared" si="37"/>
        <v>30.096816336106439</v>
      </c>
      <c r="BG30" s="20">
        <f t="shared" si="7"/>
        <v>249.67282178538531</v>
      </c>
      <c r="BH30" s="59">
        <f t="shared" si="8"/>
        <v>543.00615511871865</v>
      </c>
      <c r="BI30" s="59">
        <f ca="1">AVERAGE(OFFSET($BH$3,0,0,'Données projet'!$E$11+1,1))-AVERAGE(OFFSET($H$3,0,0,'Données projet'!$E$11+1,1))</f>
        <v>175.05987582828078</v>
      </c>
      <c r="BJ30" s="59">
        <f t="shared" si="38"/>
        <v>268.54782308462387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8.3376671311756763</v>
      </c>
      <c r="BQ30" s="21">
        <f>EXP(-LN(2)/25)*BQ29+(1-EXP(-LN(2)/25))/(LN(2)/25)*Calculateur!BL30*Calculateur!BN30*VLOOKUP('Données projet'!$B$11,Paramètres!$A$1:$I$89,3,0)*0.475*44/12</f>
        <v>11.766741391938288</v>
      </c>
      <c r="BR30" s="21">
        <f>EXP(-LN(2)/2)*BR29+(1-EXP(-LN(2)/2))/(LN(2)/2)*BL30*BO30*VLOOKUP('Données projet'!$B$11,Paramètres!$A$1:$I$89,3,0)*0.475*44/12</f>
        <v>3.8625303994178473</v>
      </c>
      <c r="BS30" s="22">
        <f t="shared" si="9"/>
        <v>23.96693892253181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8.1011764705882356</v>
      </c>
      <c r="N31" s="13">
        <f>IF('Données projet'!$A$36&gt;35,N30+M31-V30,IF(A31&lt;'Données projet'!$A$36,$K$205^A31,IF(A31='Données projet'!$A$36,'Données projet'!$B$36,N30+M31-V30)))</f>
        <v>102.19602596618446</v>
      </c>
      <c r="O31" s="13">
        <f>N31*VLOOKUP('Données projet'!$B$9,Paramètres!$A$1:$I$89,3,0)*VLOOKUP('Données projet'!$B$9,Paramètres!$A$1:$I$89,5,0)</f>
        <v>57.127578515097113</v>
      </c>
      <c r="P31" s="13">
        <f t="shared" si="33"/>
        <v>16.439970267964245</v>
      </c>
      <c r="Q31" s="20">
        <f t="shared" si="2"/>
        <v>128.13014746383186</v>
      </c>
      <c r="R31" s="59">
        <f t="shared" si="0"/>
        <v>421.46348079716518</v>
      </c>
      <c r="S31" s="59">
        <f ca="1">AVERAGE(OFFSET($R$3,0,0,'Données projet'!$E$9+1,1))-AVERAGE(OFFSET($H$3,0,0,'Données projet'!$E$9+1,1))</f>
        <v>293.82673322742102</v>
      </c>
      <c r="T31" s="59">
        <f t="shared" si="34"/>
        <v>138.78566015867693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6.3784210526315785</v>
      </c>
      <c r="AI31" s="13">
        <f>IF('Données projet'!$A$62&gt;35,AI30+AH31-AQ30,IF(A31&lt;'Données projet'!$A$62,$AF$205^A31,IF(A31='Données projet'!$A$62,'Données projet'!$B$62,AI30+AH31-AQ30)))</f>
        <v>178.59578947368422</v>
      </c>
      <c r="AJ31" s="13">
        <f>AI31*VLOOKUP('Données projet'!$B$10,Paramètres!$A$1:$I$89,3,0)*VLOOKUP('Données projet'!$B$10,Paramètres!$A$1:$I$89,5,0)</f>
        <v>88.226320000000001</v>
      </c>
      <c r="AK31" s="13">
        <f t="shared" si="35"/>
        <v>24.136961809488632</v>
      </c>
      <c r="AL31" s="20">
        <f t="shared" si="4"/>
        <v>195.69938248485934</v>
      </c>
      <c r="AM31" s="59">
        <f t="shared" si="5"/>
        <v>489.03271581819263</v>
      </c>
      <c r="AN31" s="59">
        <f ca="1">AVERAGE(OFFSET($AM$3,0,0,'Données projet'!$E$10+1,1))-AVERAGE(OFFSET($H$3,0,0,'Données projet'!$E$10+1,1))</f>
        <v>265.57710796453807</v>
      </c>
      <c r="AO31" s="59">
        <f t="shared" si="36"/>
        <v>171.29436297508141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122.09599999999998</v>
      </c>
      <c r="BF31" s="13">
        <f t="shared" si="37"/>
        <v>32.163363121463028</v>
      </c>
      <c r="BG31" s="20">
        <f t="shared" si="7"/>
        <v>268.6683907698814</v>
      </c>
      <c r="BH31" s="59">
        <f t="shared" si="8"/>
        <v>562.00172410321466</v>
      </c>
      <c r="BI31" s="59">
        <f ca="1">AVERAGE(OFFSET($BH$3,0,0,'Données projet'!$E$11+1,1))-AVERAGE(OFFSET($H$3,0,0,'Données projet'!$E$11+1,1))</f>
        <v>175.05987582828078</v>
      </c>
      <c r="BJ31" s="59">
        <f t="shared" si="38"/>
        <v>268.54782308462387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8.1741705642081222</v>
      </c>
      <c r="BQ31" s="21">
        <f>EXP(-LN(2)/25)*BQ30+(1-EXP(-LN(2)/25))/(LN(2)/25)*Calculateur!BL31*Calculateur!BN31*VLOOKUP('Données projet'!$B$11,Paramètres!$A$1:$I$89,3,0)*0.475*44/12</f>
        <v>11.444979229789698</v>
      </c>
      <c r="BR31" s="21">
        <f>EXP(-LN(2)/2)*BR30+(1-EXP(-LN(2)/2))/(LN(2)/2)*BL31*BO31*VLOOKUP('Données projet'!$B$11,Paramètres!$A$1:$I$89,3,0)*0.475*44/12</f>
        <v>2.7312214379675441</v>
      </c>
      <c r="BS31" s="22">
        <f t="shared" si="9"/>
        <v>22.350371231965365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8.1011764705882356</v>
      </c>
      <c r="N32" s="13">
        <f>IF('Données projet'!$A$36&gt;35,N31+M32-V31,IF(A32&lt;'Données projet'!$A$36,$K$205^A32,IF(A32='Données projet'!$A$36,'Données projet'!$B$36,N31+M32-V31)))</f>
        <v>120.55896427014747</v>
      </c>
      <c r="O32" s="13">
        <f>N32*VLOOKUP('Données projet'!$B$9,Paramètres!$A$1:$I$89,3,0)*VLOOKUP('Données projet'!$B$9,Paramètres!$A$1:$I$89,5,0)</f>
        <v>67.39246102701243</v>
      </c>
      <c r="P32" s="13">
        <f t="shared" si="33"/>
        <v>19.024490026242582</v>
      </c>
      <c r="Q32" s="20">
        <f t="shared" si="2"/>
        <v>150.50952308441916</v>
      </c>
      <c r="R32" s="59">
        <f t="shared" si="0"/>
        <v>443.8428564177525</v>
      </c>
      <c r="S32" s="59">
        <f ca="1">AVERAGE(OFFSET($R$3,0,0,'Données projet'!$E$9+1,1))-AVERAGE(OFFSET($H$3,0,0,'Données projet'!$E$9+1,1))</f>
        <v>293.82673322742102</v>
      </c>
      <c r="T32" s="59">
        <f t="shared" si="34"/>
        <v>138.78566015867693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6.3784210526315785</v>
      </c>
      <c r="AI32" s="13">
        <f>IF('Données projet'!$A$62&gt;35,AI31+AH32-AQ31,IF(A32&lt;'Données projet'!$A$62,$AF$205^A32,IF(A32='Données projet'!$A$62,'Données projet'!$B$62,AI31+AH32-AQ31)))</f>
        <v>184.9742105263158</v>
      </c>
      <c r="AJ32" s="13">
        <f>AI32*VLOOKUP('Données projet'!$B$10,Paramètres!$A$1:$I$89,3,0)*VLOOKUP('Données projet'!$B$10,Paramètres!$A$1:$I$89,5,0)</f>
        <v>91.377260000000007</v>
      </c>
      <c r="AK32" s="13">
        <f t="shared" si="35"/>
        <v>24.897092779955553</v>
      </c>
      <c r="AL32" s="20">
        <f t="shared" si="4"/>
        <v>202.51116442508928</v>
      </c>
      <c r="AM32" s="59">
        <f t="shared" si="5"/>
        <v>495.84449775842256</v>
      </c>
      <c r="AN32" s="59">
        <f ca="1">AVERAGE(OFFSET($AM$3,0,0,'Données projet'!$E$10+1,1))-AVERAGE(OFFSET($H$3,0,0,'Données projet'!$E$10+1,1))</f>
        <v>265.57710796453807</v>
      </c>
      <c r="AO32" s="59">
        <f t="shared" si="36"/>
        <v>171.29436297508141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130.93599999999998</v>
      </c>
      <c r="BF32" s="13">
        <f t="shared" si="37"/>
        <v>34.21255106176632</v>
      </c>
      <c r="BG32" s="20">
        <f t="shared" si="7"/>
        <v>287.63372643257628</v>
      </c>
      <c r="BH32" s="59">
        <f t="shared" si="8"/>
        <v>580.96705976590965</v>
      </c>
      <c r="BI32" s="59">
        <f ca="1">AVERAGE(OFFSET($BH$3,0,0,'Données projet'!$E$11+1,1))-AVERAGE(OFFSET($H$3,0,0,'Données projet'!$E$11+1,1))</f>
        <v>175.05987582828078</v>
      </c>
      <c r="BJ32" s="59">
        <f t="shared" si="38"/>
        <v>268.54782308462387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8.0138800651957425</v>
      </c>
      <c r="BQ32" s="21">
        <f>EXP(-LN(2)/25)*BQ31+(1-EXP(-LN(2)/25))/(LN(2)/25)*Calculateur!BL32*Calculateur!BN32*VLOOKUP('Données projet'!$B$11,Paramètres!$A$1:$I$89,3,0)*0.475*44/12</f>
        <v>11.132015670885799</v>
      </c>
      <c r="BR32" s="21">
        <f>EXP(-LN(2)/2)*BR31+(1-EXP(-LN(2)/2))/(LN(2)/2)*BL32*BO32*VLOOKUP('Données projet'!$B$11,Paramètres!$A$1:$I$89,3,0)*0.475*44/12</f>
        <v>1.9312651997089241</v>
      </c>
      <c r="BS32" s="22">
        <f t="shared" si="9"/>
        <v>21.077160935790467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8.1011764705882356</v>
      </c>
      <c r="N33" s="13">
        <f>IF('Données projet'!$A$36&gt;35,N32+M33-V32,IF(A33&lt;'Données projet'!$A$36,$K$205^A33,IF(A33='Données projet'!$A$36,'Données projet'!$B$36,N32+M33-V32)))</f>
        <v>142.22141936027916</v>
      </c>
      <c r="O33" s="13">
        <f>N33*VLOOKUP('Données projet'!$B$9,Paramètres!$A$1:$I$89,3,0)*VLOOKUP('Données projet'!$B$9,Paramètres!$A$1:$I$89,5,0)</f>
        <v>79.501773422396042</v>
      </c>
      <c r="P33" s="13">
        <f t="shared" si="33"/>
        <v>22.015320883145442</v>
      </c>
      <c r="Q33" s="20">
        <f t="shared" si="2"/>
        <v>176.80893924881809</v>
      </c>
      <c r="R33" s="59">
        <f t="shared" si="0"/>
        <v>470.14227258215141</v>
      </c>
      <c r="S33" s="59">
        <f ca="1">AVERAGE(OFFSET($R$3,0,0,'Données projet'!$E$9+1,1))-AVERAGE(OFFSET($H$3,0,0,'Données projet'!$E$9+1,1))</f>
        <v>293.82673322742102</v>
      </c>
      <c r="T33" s="59">
        <f t="shared" si="34"/>
        <v>138.78566015867693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6.3784210526315785</v>
      </c>
      <c r="AI33" s="13">
        <f>IF('Données projet'!$A$62&gt;35,AI32+AH33-AQ32,IF(A33&lt;'Données projet'!$A$62,$AF$205^A33,IF(A33='Données projet'!$A$62,'Données projet'!$B$62,AI32+AH33-AQ32)))</f>
        <v>191.35263157894738</v>
      </c>
      <c r="AJ33" s="13">
        <f>AI33*VLOOKUP('Données projet'!$B$10,Paramètres!$A$1:$I$89,3,0)*VLOOKUP('Données projet'!$B$10,Paramètres!$A$1:$I$89,5,0)</f>
        <v>94.528199999999998</v>
      </c>
      <c r="AK33" s="13">
        <f t="shared" si="35"/>
        <v>25.654178219266555</v>
      </c>
      <c r="AL33" s="20">
        <f t="shared" si="4"/>
        <v>209.31764206522257</v>
      </c>
      <c r="AM33" s="59">
        <f t="shared" si="5"/>
        <v>502.65097539855589</v>
      </c>
      <c r="AN33" s="59">
        <f ca="1">AVERAGE(OFFSET($AM$3,0,0,'Données projet'!$E$10+1,1))-AVERAGE(OFFSET($H$3,0,0,'Données projet'!$E$10+1,1))</f>
        <v>265.57710796453807</v>
      </c>
      <c r="AO33" s="59">
        <f t="shared" si="36"/>
        <v>171.29436297508141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139.77599999999995</v>
      </c>
      <c r="BF33" s="13">
        <f t="shared" si="37"/>
        <v>36.245685459195258</v>
      </c>
      <c r="BG33" s="20">
        <f t="shared" si="7"/>
        <v>306.57110217476503</v>
      </c>
      <c r="BH33" s="59">
        <f t="shared" si="8"/>
        <v>599.90443550809835</v>
      </c>
      <c r="BI33" s="59">
        <f ca="1">AVERAGE(OFFSET($BH$3,0,0,'Données projet'!$E$11+1,1))-AVERAGE(OFFSET($H$3,0,0,'Données projet'!$E$11+1,1))</f>
        <v>175.05987582828078</v>
      </c>
      <c r="BJ33" s="59">
        <f t="shared" si="38"/>
        <v>268.54782308462387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0.36</v>
      </c>
      <c r="BN33" s="16">
        <f>IF(ISNA(VLOOKUP(A33,'Données projet'!$A$87:$I$107,6,0)),0%,VLOOKUP(A33,'Données projet'!$A$87:$I$107,6,0)*VLOOKUP('Données projet'!$B$11,Paramètres!$A$1:$I$89,7,0))</f>
        <v>0.12</v>
      </c>
      <c r="BO33" s="16">
        <f>IF(ISNA(VLOOKUP(A33,'Données projet'!$A$87:$I$107,7,0)),0%,VLOOKUP(A33,'Données projet'!$A$87:$I$107,7,0))</f>
        <v>0.2</v>
      </c>
      <c r="BP33" s="21">
        <f>EXP(-LN(2)/35)*BP32+(1-EXP(-LN(2)/35))/(LN(2)/35)*BL33*BM33*VLOOKUP('Données projet'!$B$11,Paramètres!$A$1:$I$89,3,0)*0.475*44/12</f>
        <v>23.650703046408172</v>
      </c>
      <c r="BQ33" s="21">
        <f>EXP(-LN(2)/25)*BQ32+(1-EXP(-LN(2)/25))/(LN(2)/25)*Calculateur!BL33*Calculateur!BN33*VLOOKUP('Données projet'!$B$11,Paramètres!$A$1:$I$89,3,0)*0.475*44/12</f>
        <v>16.071537917736414</v>
      </c>
      <c r="BR33" s="21">
        <f>EXP(-LN(2)/2)*BR32+(1-EXP(-LN(2)/2))/(LN(2)/2)*BL33*BO33*VLOOKUP('Données projet'!$B$11,Paramètres!$A$1:$I$89,3,0)*0.475*44/12</f>
        <v>8.8546480277428277</v>
      </c>
      <c r="BS33" s="22">
        <f t="shared" si="9"/>
        <v>48.576888991887415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8.1011764705882356</v>
      </c>
      <c r="N34" s="13">
        <f>IF('Données projet'!$A$36&gt;35,N33+M34-V33,IF(A34&lt;'Données projet'!$A$36,$K$205^A34,IF(A34='Données projet'!$A$36,'Données projet'!$B$36,N33+M34-V33)))</f>
        <v>167.77625991815964</v>
      </c>
      <c r="O34" s="13">
        <f>N34*VLOOKUP('Données projet'!$B$9,Paramètres!$A$1:$I$89,3,0)*VLOOKUP('Données projet'!$B$9,Paramètres!$A$1:$I$89,5,0)</f>
        <v>93.786929294251237</v>
      </c>
      <c r="P34" s="13">
        <f t="shared" si="33"/>
        <v>25.47633880957099</v>
      </c>
      <c r="Q34" s="20">
        <f t="shared" si="2"/>
        <v>207.71685861415708</v>
      </c>
      <c r="R34" s="59">
        <f t="shared" si="0"/>
        <v>501.05019194749036</v>
      </c>
      <c r="S34" s="59">
        <f ca="1">AVERAGE(OFFSET($R$3,0,0,'Données projet'!$E$9+1,1))-AVERAGE(OFFSET($H$3,0,0,'Données projet'!$E$9+1,1))</f>
        <v>293.82673322742102</v>
      </c>
      <c r="T34" s="59">
        <f t="shared" si="34"/>
        <v>138.78566015867693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6.3784210526315785</v>
      </c>
      <c r="AI34" s="13">
        <f>IF('Données projet'!$A$62&gt;35,AI33+AH34-AQ33,IF(A34&lt;'Données projet'!$A$62,$AF$205^A34,IF(A34='Données projet'!$A$62,'Données projet'!$B$62,AI33+AH34-AQ33)))</f>
        <v>197.73105263157896</v>
      </c>
      <c r="AJ34" s="13">
        <f>AI34*VLOOKUP('Données projet'!$B$10,Paramètres!$A$1:$I$89,3,0)*VLOOKUP('Données projet'!$B$10,Paramètres!$A$1:$I$89,5,0)</f>
        <v>97.679140000000018</v>
      </c>
      <c r="AK34" s="13">
        <f t="shared" si="35"/>
        <v>26.408331284766206</v>
      </c>
      <c r="AL34" s="20">
        <f t="shared" si="4"/>
        <v>216.11901248763454</v>
      </c>
      <c r="AM34" s="59">
        <f t="shared" si="5"/>
        <v>509.45234582096782</v>
      </c>
      <c r="AN34" s="59">
        <f ca="1">AVERAGE(OFFSET($AM$3,0,0,'Données projet'!$E$10+1,1))-AVERAGE(OFFSET($H$3,0,0,'Données projet'!$E$10+1,1))</f>
        <v>265.57710796453807</v>
      </c>
      <c r="AO34" s="59">
        <f t="shared" si="36"/>
        <v>171.29436297508141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114.71199999999997</v>
      </c>
      <c r="BF34" s="13">
        <f t="shared" si="37"/>
        <v>30.438443898016164</v>
      </c>
      <c r="BG34" s="20">
        <f t="shared" si="7"/>
        <v>252.80368978904474</v>
      </c>
      <c r="BH34" s="59">
        <f t="shared" si="8"/>
        <v>546.13702312237808</v>
      </c>
      <c r="BI34" s="59">
        <f ca="1">AVERAGE(OFFSET($BH$3,0,0,'Données projet'!$E$11+1,1))-AVERAGE(OFFSET($H$3,0,0,'Données projet'!$E$11+1,1))</f>
        <v>175.05987582828078</v>
      </c>
      <c r="BJ34" s="59">
        <f t="shared" si="38"/>
        <v>268.54782308462387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23.186927185172564</v>
      </c>
      <c r="BQ34" s="21">
        <f>EXP(-LN(2)/25)*BQ33+(1-EXP(-LN(2)/25))/(LN(2)/25)*Calculateur!BL34*Calculateur!BN34*VLOOKUP('Données projet'!$B$11,Paramètres!$A$1:$I$89,3,0)*0.475*44/12</f>
        <v>15.632060868210464</v>
      </c>
      <c r="BR34" s="21">
        <f>EXP(-LN(2)/2)*BR33+(1-EXP(-LN(2)/2))/(LN(2)/2)*BL34*BO34*VLOOKUP('Données projet'!$B$11,Paramètres!$A$1:$I$89,3,0)*0.475*44/12</f>
        <v>6.2611816654370429</v>
      </c>
      <c r="BS34" s="22">
        <f t="shared" si="9"/>
        <v>45.080169718820073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8.1011764705882356</v>
      </c>
      <c r="N35" s="13">
        <f>IF('Données projet'!$A$36&gt;35,N34+M35-V34,IF(A35&lt;'Données projet'!$A$36,$K$205^A35,IF(A35='Données projet'!$A$36,'Données projet'!$B$36,N34+M35-V34)))</f>
        <v>197.92288333741328</v>
      </c>
      <c r="O35" s="13">
        <f>N35*VLOOKUP('Données projet'!$B$9,Paramètres!$A$1:$I$89,3,0)*VLOOKUP('Données projet'!$B$9,Paramètres!$A$1:$I$89,5,0)</f>
        <v>110.63889178561404</v>
      </c>
      <c r="P35" s="13">
        <f t="shared" si="33"/>
        <v>29.481461686845066</v>
      </c>
      <c r="Q35" s="20">
        <f t="shared" ref="Q35:Q66" si="53">(O35+P35)*0.475*44/12</f>
        <v>244.04294896453294</v>
      </c>
      <c r="R35" s="59">
        <f t="shared" si="0"/>
        <v>537.37628229786628</v>
      </c>
      <c r="S35" s="59">
        <f ca="1">AVERAGE(OFFSET($R$3,0,0,'Données projet'!$E$9+1,1))-AVERAGE(OFFSET($H$3,0,0,'Données projet'!$E$9+1,1))</f>
        <v>293.82673322742102</v>
      </c>
      <c r="T35" s="59">
        <f t="shared" si="34"/>
        <v>138.78566015867693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6.3784210526315785</v>
      </c>
      <c r="AI35" s="13">
        <f>IF('Données projet'!$A$62&gt;35,AI34+AH35-AQ34,IF(A35&lt;'Données projet'!$A$62,$AF$205^A35,IF(A35='Données projet'!$A$62,'Données projet'!$B$62,AI34+AH35-AQ34)))</f>
        <v>204.10947368421054</v>
      </c>
      <c r="AJ35" s="13">
        <f>AI35*VLOOKUP('Données projet'!$B$10,Paramètres!$A$1:$I$89,3,0)*VLOOKUP('Données projet'!$B$10,Paramètres!$A$1:$I$89,5,0)</f>
        <v>100.83008000000002</v>
      </c>
      <c r="AK35" s="13">
        <f t="shared" si="35"/>
        <v>27.159657418859222</v>
      </c>
      <c r="AL35" s="20">
        <f t="shared" si="4"/>
        <v>222.91545933784653</v>
      </c>
      <c r="AM35" s="59">
        <f t="shared" si="5"/>
        <v>516.2487926711799</v>
      </c>
      <c r="AN35" s="59">
        <f ca="1">AVERAGE(OFFSET($AM$3,0,0,'Données projet'!$E$10+1,1))-AVERAGE(OFFSET($H$3,0,0,'Données projet'!$E$10+1,1))</f>
        <v>265.57710796453807</v>
      </c>
      <c r="AO35" s="59">
        <f t="shared" si="36"/>
        <v>171.29436297508141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122.71999999999997</v>
      </c>
      <c r="BF35" s="13">
        <f t="shared" si="37"/>
        <v>32.308564708068729</v>
      </c>
      <c r="BG35" s="20">
        <f t="shared" si="7"/>
        <v>270.00808353321963</v>
      </c>
      <c r="BH35" s="59">
        <f t="shared" si="8"/>
        <v>563.34141686655289</v>
      </c>
      <c r="BI35" s="59">
        <f ca="1">AVERAGE(OFFSET($BH$3,0,0,'Données projet'!$E$11+1,1))-AVERAGE(OFFSET($H$3,0,0,'Données projet'!$E$11+1,1))</f>
        <v>175.05987582828078</v>
      </c>
      <c r="BJ35" s="59">
        <f t="shared" si="38"/>
        <v>268.54782308462387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22.732245685700445</v>
      </c>
      <c r="BQ35" s="21">
        <f>EXP(-LN(2)/25)*BQ34+(1-EXP(-LN(2)/25))/(LN(2)/25)*Calculateur!BL35*Calculateur!BN35*VLOOKUP('Données projet'!$B$11,Paramètres!$A$1:$I$89,3,0)*0.475*44/12</f>
        <v>15.204601341714897</v>
      </c>
      <c r="BR35" s="21">
        <f>EXP(-LN(2)/2)*BR34+(1-EXP(-LN(2)/2))/(LN(2)/2)*BL35*BO35*VLOOKUP('Données projet'!$B$11,Paramètres!$A$1:$I$89,3,0)*0.475*44/12</f>
        <v>4.4273240138714147</v>
      </c>
      <c r="BS35" s="22">
        <f t="shared" si="9"/>
        <v>42.364171041286752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8.1011764705882356</v>
      </c>
      <c r="N36" s="13">
        <f>IF('Données projet'!$A$36&gt;35,N35+M36-V35,IF(A36&lt;'Données projet'!$A$36,$K$205^A36,IF(A36='Données projet'!$A$36,'Données projet'!$B$36,N35+M36-V35)))</f>
        <v>233.48635717415513</v>
      </c>
      <c r="O36" s="13">
        <f>N36*VLOOKUP('Données projet'!$B$9,Paramètres!$A$1:$I$89,3,0)*VLOOKUP('Données projet'!$B$9,Paramètres!$A$1:$I$89,5,0)</f>
        <v>130.51887366035271</v>
      </c>
      <c r="P36" s="13">
        <f t="shared" si="33"/>
        <v>34.116227990592911</v>
      </c>
      <c r="Q36" s="20">
        <f t="shared" si="53"/>
        <v>286.73946870873027</v>
      </c>
      <c r="R36" s="59">
        <f t="shared" si="0"/>
        <v>580.07280204206359</v>
      </c>
      <c r="S36" s="59">
        <f ca="1">AVERAGE(OFFSET($R$3,0,0,'Données projet'!$E$9+1,1))-AVERAGE(OFFSET($H$3,0,0,'Données projet'!$E$9+1,1))</f>
        <v>293.82673322742102</v>
      </c>
      <c r="T36" s="59">
        <f t="shared" si="34"/>
        <v>138.78566015867693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6.3784210526315785</v>
      </c>
      <c r="AI36" s="13">
        <f>IF('Données projet'!$A$62&gt;35,AI35+AH36-AQ35,IF(A36&lt;'Données projet'!$A$62,$AF$205^A36,IF(A36='Données projet'!$A$62,'Données projet'!$B$62,AI35+AH36-AQ35)))</f>
        <v>210.48789473684212</v>
      </c>
      <c r="AJ36" s="13">
        <f>AI36*VLOOKUP('Données projet'!$B$10,Paramètres!$A$1:$I$89,3,0)*VLOOKUP('Données projet'!$B$10,Paramètres!$A$1:$I$89,5,0)</f>
        <v>103.98102000000002</v>
      </c>
      <c r="AK36" s="13">
        <f t="shared" si="35"/>
        <v>27.908255099481988</v>
      </c>
      <c r="AL36" s="20">
        <f t="shared" si="4"/>
        <v>229.70715413159783</v>
      </c>
      <c r="AM36" s="59">
        <f t="shared" si="5"/>
        <v>523.04048746493118</v>
      </c>
      <c r="AN36" s="59">
        <f ca="1">AVERAGE(OFFSET($AM$3,0,0,'Données projet'!$E$10+1,1))-AVERAGE(OFFSET($H$3,0,0,'Données projet'!$E$10+1,1))</f>
        <v>265.57710796453807</v>
      </c>
      <c r="AO36" s="59">
        <f t="shared" si="36"/>
        <v>171.29436297508141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130.72799999999998</v>
      </c>
      <c r="BF36" s="13">
        <f t="shared" si="37"/>
        <v>34.164524045585857</v>
      </c>
      <c r="BG36" s="20">
        <f t="shared" si="7"/>
        <v>287.18781271272866</v>
      </c>
      <c r="BH36" s="59">
        <f t="shared" si="8"/>
        <v>580.52114604606197</v>
      </c>
      <c r="BI36" s="59">
        <f ca="1">AVERAGE(OFFSET($BH$3,0,0,'Données projet'!$E$11+1,1))-AVERAGE(OFFSET($H$3,0,0,'Données projet'!$E$11+1,1))</f>
        <v>175.05987582828078</v>
      </c>
      <c r="BJ36" s="59">
        <f t="shared" si="38"/>
        <v>268.54782308462387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22.286480213104642</v>
      </c>
      <c r="BQ36" s="21">
        <f>EXP(-LN(2)/25)*BQ35+(1-EXP(-LN(2)/25))/(LN(2)/25)*Calculateur!BL36*Calculateur!BN36*VLOOKUP('Données projet'!$B$11,Paramètres!$A$1:$I$89,3,0)*0.475*44/12</f>
        <v>14.788830718450468</v>
      </c>
      <c r="BR36" s="21">
        <f>EXP(-LN(2)/2)*BR35+(1-EXP(-LN(2)/2))/(LN(2)/2)*BL36*BO36*VLOOKUP('Données projet'!$B$11,Paramètres!$A$1:$I$89,3,0)*0.475*44/12</f>
        <v>3.1305908327185219</v>
      </c>
      <c r="BS36" s="22">
        <f t="shared" si="9"/>
        <v>40.205901764273634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275.44</v>
      </c>
      <c r="L37" s="12">
        <f>VLOOKUP(A37,'Données projet'!$A$35:$I$55,9,0)</f>
        <v>8.1011764705882356</v>
      </c>
      <c r="M37" s="12">
        <f t="array" ref="M37">INDEX(L:L,MIN(IF(ISNUMBER(L37:L233),ROW(L37:L233),"")))</f>
        <v>8.1011764705882356</v>
      </c>
      <c r="N37" s="13">
        <f>IF('Données projet'!$A$36&gt;35,N36+M37-V36,IF(A37&lt;'Données projet'!$A$36,$K$205^A37,IF(A37='Données projet'!$A$36,'Données projet'!$B$36,N36+M37-V36)))</f>
        <v>275.44</v>
      </c>
      <c r="O37" s="13">
        <f>N37*VLOOKUP('Données projet'!$B$9,Paramètres!$A$1:$I$89,3,0)*VLOOKUP('Données projet'!$B$9,Paramètres!$A$1:$I$89,5,0)</f>
        <v>153.97095999999999</v>
      </c>
      <c r="P37" s="13">
        <f t="shared" si="33"/>
        <v>39.479623658736905</v>
      </c>
      <c r="Q37" s="20">
        <f t="shared" si="53"/>
        <v>336.92643320563343</v>
      </c>
      <c r="R37" s="59">
        <f t="shared" si="0"/>
        <v>630.25976653896669</v>
      </c>
      <c r="S37" s="59">
        <f ca="1">AVERAGE(OFFSET($R$3,0,0,'Données projet'!$E$9+1,1))-AVERAGE(OFFSET($H$3,0,0,'Données projet'!$E$9+1,1))</f>
        <v>293.82673322742102</v>
      </c>
      <c r="T37" s="59">
        <f t="shared" si="34"/>
        <v>138.78566015867693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94.509999999999991</v>
      </c>
      <c r="W37" s="16">
        <f>IF(ISNA(VLOOKUP(A37,'Données projet'!$A$35:$I$55,5,0)),0%,VLOOKUP(A37,'Données projet'!$A$35:$I$55,5,0)*VLOOKUP('Données projet'!$B$9,Paramètres!$A$1:$I$89,7,0))</f>
        <v>0.13750000000000001</v>
      </c>
      <c r="X37" s="16">
        <f>IF(ISNA(VLOOKUP(A37,'Données projet'!$A$35:$I$55,6,0)),0%,VLOOKUP(A37,'Données projet'!$A$35:$I$55,6,0)*VLOOKUP('Données projet'!$B$9,Paramètres!$A$1:$I$89,7,0))</f>
        <v>0.20350000000000001</v>
      </c>
      <c r="Y37" s="16">
        <f>IF(ISNA(VLOOKUP(A37,'Données projet'!$A$35:$I$55,7,0)),0%,VLOOKUP(A37,'Données projet'!$A$35:$I$55,7,0))</f>
        <v>0.38</v>
      </c>
      <c r="Z37" s="21">
        <f>EXP(-LN(2)/35)*Z36+(1-EXP(-LN(2)/35))/(LN(2)/35)*V37*W37*VLOOKUP('Données projet'!$B$9,Paramètres!$A$1:$I$89,3,0)*0.475*44/12</f>
        <v>9.6365288437175085</v>
      </c>
      <c r="AA37" s="21">
        <f>EXP(-LN(2)/25)*AA36+(1-EXP(-LN(2)/25))/(LN(2)/25)*Calculateur!V37*Calculateur!X37*VLOOKUP('Données projet'!$B$9,Paramètres!$A$1:$I$89,3,0)*0.475*44/12</f>
        <v>14.205907513624572</v>
      </c>
      <c r="AB37" s="21">
        <f>EXP(-LN(2)/2)*AB36+(1-EXP(-LN(2)/2))/(LN(2)/2)*V37*Y37*VLOOKUP('Données projet'!$B$9,Paramètres!$A$1:$I$89,3,0)*0.475*44/12</f>
        <v>22.730485236380446</v>
      </c>
      <c r="AC37" s="22">
        <f t="shared" si="3"/>
        <v>46.572921593722526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6.3784210526315785</v>
      </c>
      <c r="AI37" s="13">
        <f>IF('Données projet'!$A$62&gt;35,AI36+AH37-AQ36,IF(A37&lt;'Données projet'!$A$62,$AF$205^A37,IF(A37='Données projet'!$A$62,'Données projet'!$B$62,AI36+AH37-AQ36)))</f>
        <v>216.8663157894737</v>
      </c>
      <c r="AJ37" s="13">
        <f>AI37*VLOOKUP('Données projet'!$B$10,Paramètres!$A$1:$I$89,3,0)*VLOOKUP('Données projet'!$B$10,Paramètres!$A$1:$I$89,5,0)</f>
        <v>107.13196000000002</v>
      </c>
      <c r="AK37" s="13">
        <f t="shared" si="35"/>
        <v>28.654216497051962</v>
      </c>
      <c r="AL37" s="20">
        <f t="shared" si="4"/>
        <v>236.49425739903222</v>
      </c>
      <c r="AM37" s="59">
        <f t="shared" si="5"/>
        <v>529.82759073236548</v>
      </c>
      <c r="AN37" s="59">
        <f ca="1">AVERAGE(OFFSET($AM$3,0,0,'Données projet'!$E$10+1,1))-AVERAGE(OFFSET($H$3,0,0,'Données projet'!$E$10+1,1))</f>
        <v>265.57710796453807</v>
      </c>
      <c r="AO37" s="59">
        <f t="shared" si="36"/>
        <v>171.29436297508141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138.73599999999999</v>
      </c>
      <c r="BF37" s="13">
        <f t="shared" si="37"/>
        <v>36.007288175538044</v>
      </c>
      <c r="BG37" s="20">
        <f t="shared" si="7"/>
        <v>304.34456023906205</v>
      </c>
      <c r="BH37" s="59">
        <f t="shared" si="8"/>
        <v>597.67789357239531</v>
      </c>
      <c r="BI37" s="59">
        <f ca="1">AVERAGE(OFFSET($BH$3,0,0,'Données projet'!$E$11+1,1))-AVERAGE(OFFSET($H$3,0,0,'Données projet'!$E$11+1,1))</f>
        <v>175.05987582828078</v>
      </c>
      <c r="BJ37" s="59">
        <f t="shared" si="38"/>
        <v>268.54782308462387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21.849455929536351</v>
      </c>
      <c r="BQ37" s="21">
        <f>EXP(-LN(2)/25)*BQ36+(1-EXP(-LN(2)/25))/(LN(2)/25)*Calculateur!BL37*Calculateur!BN37*VLOOKUP('Données projet'!$B$11,Paramètres!$A$1:$I$89,3,0)*0.475*44/12</f>
        <v>14.384429364743633</v>
      </c>
      <c r="BR37" s="21">
        <f>EXP(-LN(2)/2)*BR36+(1-EXP(-LN(2)/2))/(LN(2)/2)*BL37*BO37*VLOOKUP('Données projet'!$B$11,Paramètres!$A$1:$I$89,3,0)*0.475*44/12</f>
        <v>2.2136620069357078</v>
      </c>
      <c r="BS37" s="22">
        <f t="shared" si="9"/>
        <v>38.447547301215693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14.286666666666665</v>
      </c>
      <c r="N38" s="13">
        <f>IF('Données projet'!$A$36&gt;35,N37+M38-V37,IF(A38&lt;'Données projet'!$A$36,$K$205^A38,IF(A38='Données projet'!$A$36,'Données projet'!$B$36,N37+M38-V37)))</f>
        <v>195.2166666666667</v>
      </c>
      <c r="O38" s="13">
        <f>N38*VLOOKUP('Données projet'!$B$9,Paramètres!$A$1:$I$89,3,0)*VLOOKUP('Données projet'!$B$9,Paramètres!$A$1:$I$89,5,0)</f>
        <v>109.12611666666669</v>
      </c>
      <c r="P38" s="13">
        <f t="shared" si="33"/>
        <v>29.12499536276615</v>
      </c>
      <c r="Q38" s="20">
        <f t="shared" si="53"/>
        <v>240.78735345126222</v>
      </c>
      <c r="R38" s="59">
        <f t="shared" si="0"/>
        <v>534.12068678459559</v>
      </c>
      <c r="S38" s="59">
        <f ca="1">AVERAGE(OFFSET($R$3,0,0,'Données projet'!$E$9+1,1))-AVERAGE(OFFSET($H$3,0,0,'Données projet'!$E$9+1,1))</f>
        <v>293.82673322742102</v>
      </c>
      <c r="T38" s="59">
        <f t="shared" si="34"/>
        <v>138.78566015867693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9.4475623907944275</v>
      </c>
      <c r="AA38" s="21">
        <f>EXP(-LN(2)/25)*AA37+(1-EXP(-LN(2)/25))/(LN(2)/25)*Calculateur!V38*Calculateur!X38*VLOOKUP('Données projet'!$B$9,Paramètres!$A$1:$I$89,3,0)*0.475*44/12</f>
        <v>13.8174462256083</v>
      </c>
      <c r="AB38" s="21">
        <f>EXP(-LN(2)/2)*AB37+(1-EXP(-LN(2)/2))/(LN(2)/2)*V38*Y38*VLOOKUP('Données projet'!$B$9,Paramètres!$A$1:$I$89,3,0)*0.475*44/12</f>
        <v>16.072880250305317</v>
      </c>
      <c r="AC38" s="22">
        <f t="shared" si="3"/>
        <v>39.337888866708042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6.3784210526315785</v>
      </c>
      <c r="AI38" s="13">
        <f>IF('Données projet'!$A$62&gt;35,AI37+AH38-AQ37,IF(A38&lt;'Données projet'!$A$62,$AF$205^A38,IF(A38='Données projet'!$A$62,'Données projet'!$B$62,AI37+AH38-AQ37)))</f>
        <v>223.24473684210528</v>
      </c>
      <c r="AJ38" s="13">
        <f>AI38*VLOOKUP('Données projet'!$B$10,Paramètres!$A$1:$I$89,3,0)*VLOOKUP('Données projet'!$B$10,Paramètres!$A$1:$I$89,5,0)</f>
        <v>110.28290000000003</v>
      </c>
      <c r="AK38" s="13">
        <f t="shared" si="35"/>
        <v>29.397628051957085</v>
      </c>
      <c r="AL38" s="20">
        <f t="shared" si="4"/>
        <v>243.27691969049195</v>
      </c>
      <c r="AM38" s="59">
        <f t="shared" si="5"/>
        <v>536.61025302382529</v>
      </c>
      <c r="AN38" s="59">
        <f ca="1">AVERAGE(OFFSET($AM$3,0,0,'Données projet'!$E$10+1,1))-AVERAGE(OFFSET($H$3,0,0,'Données projet'!$E$10+1,1))</f>
        <v>265.57710796453807</v>
      </c>
      <c r="AO38" s="59">
        <f t="shared" si="36"/>
        <v>171.29436297508141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146.744</v>
      </c>
      <c r="BF38" s="13">
        <f t="shared" si="37"/>
        <v>37.837705514258651</v>
      </c>
      <c r="BG38" s="20">
        <f t="shared" si="7"/>
        <v>321.47980377066716</v>
      </c>
      <c r="BH38" s="59">
        <f t="shared" si="8"/>
        <v>614.81313710400048</v>
      </c>
      <c r="BI38" s="59">
        <f ca="1">AVERAGE(OFFSET($BH$3,0,0,'Données projet'!$E$11+1,1))-AVERAGE(OFFSET($H$3,0,0,'Données projet'!$E$11+1,1))</f>
        <v>175.05987582828078</v>
      </c>
      <c r="BJ38" s="59">
        <f t="shared" si="38"/>
        <v>268.54782308462387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21.421001425610342</v>
      </c>
      <c r="BQ38" s="21">
        <f>EXP(-LN(2)/25)*BQ37+(1-EXP(-LN(2)/25))/(LN(2)/25)*Calculateur!BL38*Calculateur!BN38*VLOOKUP('Données projet'!$B$11,Paramètres!$A$1:$I$89,3,0)*0.475*44/12</f>
        <v>13.991086387320454</v>
      </c>
      <c r="BR38" s="21">
        <f>EXP(-LN(2)/2)*BR37+(1-EXP(-LN(2)/2))/(LN(2)/2)*BL38*BO38*VLOOKUP('Données projet'!$B$11,Paramètres!$A$1:$I$89,3,0)*0.475*44/12</f>
        <v>1.5652954163592614</v>
      </c>
      <c r="BS38" s="22">
        <f t="shared" si="9"/>
        <v>36.977383229290055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14.286666666666665</v>
      </c>
      <c r="N39" s="13">
        <f>IF('Données projet'!$A$36&gt;35,N38+M39-V38,IF(A39&lt;'Données projet'!$A$36,$K$205^A39,IF(A39='Données projet'!$A$36,'Données projet'!$B$36,N38+M39-V38)))</f>
        <v>209.50333333333336</v>
      </c>
      <c r="O39" s="13">
        <f>N39*VLOOKUP('Données projet'!$B$9,Paramètres!$A$1:$I$89,3,0)*VLOOKUP('Données projet'!$B$9,Paramètres!$A$1:$I$89,5,0)</f>
        <v>117.11236333333335</v>
      </c>
      <c r="P39" s="13">
        <f t="shared" si="33"/>
        <v>31.000553675639388</v>
      </c>
      <c r="Q39" s="20">
        <f t="shared" si="53"/>
        <v>257.96333045729415</v>
      </c>
      <c r="R39" s="59">
        <f t="shared" si="0"/>
        <v>551.29666379062746</v>
      </c>
      <c r="S39" s="59">
        <f ca="1">AVERAGE(OFFSET($R$3,0,0,'Données projet'!$E$9+1,1))-AVERAGE(OFFSET($H$3,0,0,'Données projet'!$E$9+1,1))</f>
        <v>293.82673322742102</v>
      </c>
      <c r="T39" s="59">
        <f t="shared" si="34"/>
        <v>138.78566015867693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9.2623014547550131</v>
      </c>
      <c r="AA39" s="21">
        <f>EXP(-LN(2)/25)*AA38+(1-EXP(-LN(2)/25))/(LN(2)/25)*Calculateur!V39*Calculateur!X39*VLOOKUP('Données projet'!$B$9,Paramètres!$A$1:$I$89,3,0)*0.475*44/12</f>
        <v>13.439607431941125</v>
      </c>
      <c r="AB39" s="21">
        <f>EXP(-LN(2)/2)*AB38+(1-EXP(-LN(2)/2))/(LN(2)/2)*V39*Y39*VLOOKUP('Données projet'!$B$9,Paramètres!$A$1:$I$89,3,0)*0.475*44/12</f>
        <v>11.365242618190225</v>
      </c>
      <c r="AC39" s="22">
        <f t="shared" si="3"/>
        <v>34.067151504886361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6.3784210526315785</v>
      </c>
      <c r="AI39" s="13">
        <f>IF('Données projet'!$A$62&gt;35,AI38+AH39-AQ38,IF(A39&lt;'Données projet'!$A$62,$AF$205^A39,IF(A39='Données projet'!$A$62,'Données projet'!$B$62,AI38+AH39-AQ38)))</f>
        <v>229.62315789473686</v>
      </c>
      <c r="AJ39" s="13">
        <f>AI39*VLOOKUP('Données projet'!$B$10,Paramètres!$A$1:$I$89,3,0)*VLOOKUP('Données projet'!$B$10,Paramètres!$A$1:$I$89,5,0)</f>
        <v>113.43384000000002</v>
      </c>
      <c r="AK39" s="13">
        <f t="shared" si="35"/>
        <v>30.138570984191567</v>
      </c>
      <c r="AL39" s="20">
        <f t="shared" si="4"/>
        <v>250.05528246413363</v>
      </c>
      <c r="AM39" s="59">
        <f t="shared" si="5"/>
        <v>543.38861579746697</v>
      </c>
      <c r="AN39" s="59">
        <f ca="1">AVERAGE(OFFSET($AM$3,0,0,'Données projet'!$E$10+1,1))-AVERAGE(OFFSET($H$3,0,0,'Données projet'!$E$10+1,1))</f>
        <v>265.57710796453807</v>
      </c>
      <c r="AO39" s="59">
        <f t="shared" si="36"/>
        <v>171.29436297508141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631.92818391554965</v>
      </c>
      <c r="BI39" s="59">
        <f ca="1">AVERAGE(OFFSET($BH$3,0,0,'Données projet'!$E$11+1,1))-AVERAGE(OFFSET($H$3,0,0,'Données projet'!$E$11+1,1))</f>
        <v>175.05987582828078</v>
      </c>
      <c r="BJ39" s="59">
        <f t="shared" si="38"/>
        <v>268.54782308462387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0.36</v>
      </c>
      <c r="BN39" s="16">
        <f>IF(ISNA(VLOOKUP(A39,'Données projet'!$A$87:$I$107,6,0)),0%,VLOOKUP(A39,'Données projet'!$A$87:$I$107,6,0)*VLOOKUP('Données projet'!$B$11,Paramètres!$A$1:$I$89,7,0))</f>
        <v>0.12</v>
      </c>
      <c r="BO39" s="16">
        <f>IF(ISNA(VLOOKUP(A39,'Données projet'!$A$87:$I$107,7,0)),0%,VLOOKUP(A39,'Données projet'!$A$87:$I$107,7,0))</f>
        <v>0.2</v>
      </c>
      <c r="BP39" s="21">
        <f>EXP(-LN(2)/35)*BP38+(1-EXP(-LN(2)/35))/(LN(2)/35)*BL39*BM39*VLOOKUP('Données projet'!$B$11,Paramètres!$A$1:$I$89,3,0)*0.475*44/12</f>
        <v>39.476913887911053</v>
      </c>
      <c r="BQ39" s="21">
        <f>EXP(-LN(2)/25)*BQ38+(1-EXP(-LN(2)/25))/(LN(2)/25)*Calculateur!BL39*Calculateur!BN39*VLOOKUP('Données projet'!$B$11,Paramètres!$A$1:$I$89,3,0)*0.475*44/12</f>
        <v>19.742905500870702</v>
      </c>
      <c r="BR39" s="21">
        <f>EXP(-LN(2)/2)*BR38+(1-EXP(-LN(2)/2))/(LN(2)/2)*BL39*BO39*VLOOKUP('Données projet'!$B$11,Paramètres!$A$1:$I$89,3,0)*0.475*44/12</f>
        <v>9.8675916288086363</v>
      </c>
      <c r="BS39" s="22">
        <f t="shared" si="9"/>
        <v>69.087411017590398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14.286666666666665</v>
      </c>
      <c r="N40" s="13">
        <f>IF('Données projet'!$A$36&gt;35,N39+M40-V39,IF(A40&lt;'Données projet'!$A$36,$K$205^A40,IF(A40='Données projet'!$A$36,'Données projet'!$B$36,N39+M40-V39)))</f>
        <v>223.79000000000002</v>
      </c>
      <c r="O40" s="13">
        <f>N40*VLOOKUP('Données projet'!$B$9,Paramètres!$A$1:$I$89,3,0)*VLOOKUP('Données projet'!$B$9,Paramètres!$A$1:$I$89,5,0)</f>
        <v>125.09861000000002</v>
      </c>
      <c r="P40" s="13">
        <f t="shared" si="33"/>
        <v>32.861271221495493</v>
      </c>
      <c r="Q40" s="20">
        <f t="shared" si="53"/>
        <v>275.1134597941047</v>
      </c>
      <c r="R40" s="59">
        <f t="shared" si="0"/>
        <v>568.44679312743801</v>
      </c>
      <c r="S40" s="59">
        <f ca="1">AVERAGE(OFFSET($R$3,0,0,'Données projet'!$E$9+1,1))-AVERAGE(OFFSET($H$3,0,0,'Données projet'!$E$9+1,1))</f>
        <v>293.82673322742102</v>
      </c>
      <c r="T40" s="59">
        <f t="shared" si="34"/>
        <v>138.78566015867693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9.0806733726733189</v>
      </c>
      <c r="AA40" s="21">
        <f>EXP(-LN(2)/25)*AA39+(1-EXP(-LN(2)/25))/(LN(2)/25)*Calculateur!V40*Calculateur!X40*VLOOKUP('Données projet'!$B$9,Paramètres!$A$1:$I$89,3,0)*0.475*44/12</f>
        <v>13.072100659956456</v>
      </c>
      <c r="AB40" s="21">
        <f>EXP(-LN(2)/2)*AB39+(1-EXP(-LN(2)/2))/(LN(2)/2)*V40*Y40*VLOOKUP('Données projet'!$B$9,Paramètres!$A$1:$I$89,3,0)*0.475*44/12</f>
        <v>8.0364401251526605</v>
      </c>
      <c r="AC40" s="22">
        <f t="shared" si="3"/>
        <v>30.189214157782438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6.3784210526315785</v>
      </c>
      <c r="AI40" s="13">
        <f>IF('Données projet'!$A$62&gt;35,AI39+AH40-AQ39,IF(A40&lt;'Données projet'!$A$62,$AF$205^A40,IF(A40='Données projet'!$A$62,'Données projet'!$B$62,AI39+AH40-AQ39)))</f>
        <v>236.00157894736844</v>
      </c>
      <c r="AJ40" s="13">
        <f>AI40*VLOOKUP('Données projet'!$B$10,Paramètres!$A$1:$I$89,3,0)*VLOOKUP('Données projet'!$B$10,Paramètres!$A$1:$I$89,5,0)</f>
        <v>116.58478000000002</v>
      </c>
      <c r="AK40" s="13">
        <f t="shared" si="35"/>
        <v>30.877121744773149</v>
      </c>
      <c r="AL40" s="20">
        <f t="shared" si="4"/>
        <v>256.82947887214664</v>
      </c>
      <c r="AM40" s="59">
        <f t="shared" si="5"/>
        <v>550.1628122054799</v>
      </c>
      <c r="AN40" s="59">
        <f ca="1">AVERAGE(OFFSET($AM$3,0,0,'Données projet'!$E$10+1,1))-AVERAGE(OFFSET($H$3,0,0,'Données projet'!$E$10+1,1))</f>
        <v>265.57710796453807</v>
      </c>
      <c r="AO40" s="59">
        <f t="shared" si="36"/>
        <v>171.29436297508141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564.45771316247601</v>
      </c>
      <c r="BI40" s="59">
        <f ca="1">AVERAGE(OFFSET($BH$3,0,0,'Données projet'!$E$11+1,1))-AVERAGE(OFFSET($H$3,0,0,'Données projet'!$E$11+1,1))</f>
        <v>175.05987582828078</v>
      </c>
      <c r="BJ40" s="59">
        <f t="shared" si="38"/>
        <v>268.54782308462387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38.702795685109031</v>
      </c>
      <c r="BQ40" s="21">
        <f>EXP(-LN(2)/25)*BQ39+(1-EXP(-LN(2)/25))/(LN(2)/25)*Calculateur!BL40*Calculateur!BN40*VLOOKUP('Données projet'!$B$11,Paramètres!$A$1:$I$89,3,0)*0.475*44/12</f>
        <v>19.203034711715116</v>
      </c>
      <c r="BR40" s="21">
        <f>EXP(-LN(2)/2)*BR39+(1-EXP(-LN(2)/2))/(LN(2)/2)*BL40*BO40*VLOOKUP('Données projet'!$B$11,Paramètres!$A$1:$I$89,3,0)*0.475*44/12</f>
        <v>6.9774409547101968</v>
      </c>
      <c r="BS40" s="22">
        <f t="shared" si="9"/>
        <v>64.883271351534347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14.286666666666665</v>
      </c>
      <c r="N41" s="13">
        <f>IF('Données projet'!$A$36&gt;35,N40+M41-V40,IF(A41&lt;'Données projet'!$A$36,$K$205^A41,IF(A41='Données projet'!$A$36,'Données projet'!$B$36,N40+M41-V40)))</f>
        <v>238.07666666666668</v>
      </c>
      <c r="O41" s="13">
        <f>N41*VLOOKUP('Données projet'!$B$9,Paramètres!$A$1:$I$89,3,0)*VLOOKUP('Données projet'!$B$9,Paramètres!$A$1:$I$89,5,0)</f>
        <v>133.08485666666667</v>
      </c>
      <c r="P41" s="13">
        <f t="shared" si="33"/>
        <v>34.708203268514559</v>
      </c>
      <c r="Q41" s="20">
        <f t="shared" si="53"/>
        <v>292.23957938710726</v>
      </c>
      <c r="R41" s="59">
        <f t="shared" si="0"/>
        <v>585.57291272044063</v>
      </c>
      <c r="S41" s="59">
        <f ca="1">AVERAGE(OFFSET($R$3,0,0,'Données projet'!$E$9+1,1))-AVERAGE(OFFSET($H$3,0,0,'Données projet'!$E$9+1,1))</f>
        <v>293.82673322742102</v>
      </c>
      <c r="T41" s="59">
        <f t="shared" si="34"/>
        <v>138.78566015867693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8.9026069064990541</v>
      </c>
      <c r="AA41" s="21">
        <f>EXP(-LN(2)/25)*AA40+(1-EXP(-LN(2)/25))/(LN(2)/25)*Calculateur!V41*Calculateur!X41*VLOOKUP('Données projet'!$B$9,Paramètres!$A$1:$I$89,3,0)*0.475*44/12</f>
        <v>12.71464337997805</v>
      </c>
      <c r="AB41" s="21">
        <f>EXP(-LN(2)/2)*AB40+(1-EXP(-LN(2)/2))/(LN(2)/2)*V41*Y41*VLOOKUP('Données projet'!$B$9,Paramètres!$A$1:$I$89,3,0)*0.475*44/12</f>
        <v>5.6826213090951132</v>
      </c>
      <c r="AC41" s="22">
        <f t="shared" si="3"/>
        <v>27.299871595572213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6.3784210526315785</v>
      </c>
      <c r="AI41" s="13">
        <f>IF('Données projet'!$A$62&gt;35,AI40+AH41-AQ40,IF(A41&lt;'Données projet'!$A$62,$AF$205^A41,IF(A41='Données projet'!$A$62,'Données projet'!$B$62,AI40+AH41-AQ40)))</f>
        <v>242.38000000000002</v>
      </c>
      <c r="AJ41" s="13">
        <f>AI41*VLOOKUP('Données projet'!$B$10,Paramètres!$A$1:$I$89,3,0)*VLOOKUP('Données projet'!$B$10,Paramètres!$A$1:$I$89,5,0)</f>
        <v>119.73572000000001</v>
      </c>
      <c r="AK41" s="13">
        <f t="shared" si="35"/>
        <v>31.613352416986444</v>
      </c>
      <c r="AL41" s="20">
        <f t="shared" si="4"/>
        <v>263.59963445958476</v>
      </c>
      <c r="AM41" s="59">
        <f t="shared" si="5"/>
        <v>556.93296779291813</v>
      </c>
      <c r="AN41" s="59">
        <f ca="1">AVERAGE(OFFSET($AM$3,0,0,'Données projet'!$E$10+1,1))-AVERAGE(OFFSET($H$3,0,0,'Données projet'!$E$10+1,1))</f>
        <v>265.57710796453807</v>
      </c>
      <c r="AO41" s="59">
        <f t="shared" si="36"/>
        <v>171.29436297508141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579.85224640808838</v>
      </c>
      <c r="BI41" s="59">
        <f ca="1">AVERAGE(OFFSET($BH$3,0,0,'Données projet'!$E$11+1,1))-AVERAGE(OFFSET($H$3,0,0,'Données projet'!$E$11+1,1))</f>
        <v>175.05987582828078</v>
      </c>
      <c r="BJ41" s="59">
        <f t="shared" si="38"/>
        <v>268.54782308462387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37.943857468098471</v>
      </c>
      <c r="BQ41" s="21">
        <f>EXP(-LN(2)/25)*BQ40+(1-EXP(-LN(2)/25))/(LN(2)/25)*Calculateur!BL41*Calculateur!BN41*VLOOKUP('Données projet'!$B$11,Paramètres!$A$1:$I$89,3,0)*0.475*44/12</f>
        <v>18.677926717679561</v>
      </c>
      <c r="BR41" s="21">
        <f>EXP(-LN(2)/2)*BR40+(1-EXP(-LN(2)/2))/(LN(2)/2)*BL41*BO41*VLOOKUP('Données projet'!$B$11,Paramètres!$A$1:$I$89,3,0)*0.475*44/12</f>
        <v>4.933795814404319</v>
      </c>
      <c r="BS41" s="22">
        <f t="shared" si="9"/>
        <v>61.555580000182353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14.286666666666665</v>
      </c>
      <c r="N42" s="13">
        <f>IF('Données projet'!$A$36&gt;35,N41+M42-V41,IF(A42&lt;'Données projet'!$A$36,$K$205^A42,IF(A42='Données projet'!$A$36,'Données projet'!$B$36,N41+M42-V41)))</f>
        <v>252.36333333333334</v>
      </c>
      <c r="O42" s="13">
        <f>N42*VLOOKUP('Données projet'!$B$9,Paramètres!$A$1:$I$89,3,0)*VLOOKUP('Données projet'!$B$9,Paramètres!$A$1:$I$89,5,0)</f>
        <v>141.07110333333333</v>
      </c>
      <c r="P42" s="13">
        <f t="shared" si="33"/>
        <v>36.542271278831187</v>
      </c>
      <c r="Q42" s="20">
        <f t="shared" si="53"/>
        <v>309.34329411618654</v>
      </c>
      <c r="R42" s="59">
        <f t="shared" si="0"/>
        <v>602.67662744951986</v>
      </c>
      <c r="S42" s="59">
        <f ca="1">AVERAGE(OFFSET($R$3,0,0,'Données projet'!$E$9+1,1))-AVERAGE(OFFSET($H$3,0,0,'Données projet'!$E$9+1,1))</f>
        <v>293.82673322742102</v>
      </c>
      <c r="T42" s="59">
        <f t="shared" si="34"/>
        <v>138.78566015867693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8.728032215116647</v>
      </c>
      <c r="AA42" s="21">
        <f>EXP(-LN(2)/25)*AA41+(1-EXP(-LN(2)/25))/(LN(2)/25)*Calculateur!V42*Calculateur!X42*VLOOKUP('Données projet'!$B$9,Paramètres!$A$1:$I$89,3,0)*0.475*44/12</f>
        <v>12.366960788118515</v>
      </c>
      <c r="AB42" s="21">
        <f>EXP(-LN(2)/2)*AB41+(1-EXP(-LN(2)/2))/(LN(2)/2)*V42*Y42*VLOOKUP('Données projet'!$B$9,Paramètres!$A$1:$I$89,3,0)*0.475*44/12</f>
        <v>4.0182200625763311</v>
      </c>
      <c r="AC42" s="22">
        <f t="shared" si="3"/>
        <v>25.113213065811493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6.3784210526315785</v>
      </c>
      <c r="AI42" s="13">
        <f>IF('Données projet'!$A$62&gt;35,AI41+AH42-AQ41,IF(A42&lt;'Données projet'!$A$62,$AF$205^A42,IF(A42='Données projet'!$A$62,'Données projet'!$B$62,AI41+AH42-AQ41)))</f>
        <v>248.7584210526316</v>
      </c>
      <c r="AJ42" s="13">
        <f>AI42*VLOOKUP('Données projet'!$B$10,Paramètres!$A$1:$I$89,3,0)*VLOOKUP('Données projet'!$B$10,Paramètres!$A$1:$I$89,5,0)</f>
        <v>122.88666000000002</v>
      </c>
      <c r="AK42" s="13">
        <f t="shared" si="35"/>
        <v>32.347331074201797</v>
      </c>
      <c r="AL42" s="20">
        <f t="shared" si="4"/>
        <v>270.36586778756816</v>
      </c>
      <c r="AM42" s="59">
        <f t="shared" si="5"/>
        <v>563.69920112090153</v>
      </c>
      <c r="AN42" s="59">
        <f ca="1">AVERAGE(OFFSET($AM$3,0,0,'Données projet'!$E$10+1,1))-AVERAGE(OFFSET($H$3,0,0,'Données projet'!$E$10+1,1))</f>
        <v>265.57710796453807</v>
      </c>
      <c r="AO42" s="59">
        <f t="shared" si="36"/>
        <v>171.29436297508141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595.22827868722254</v>
      </c>
      <c r="BI42" s="59">
        <f ca="1">AVERAGE(OFFSET($BH$3,0,0,'Données projet'!$E$11+1,1))-AVERAGE(OFFSET($H$3,0,0,'Données projet'!$E$11+1,1))</f>
        <v>175.05987582828078</v>
      </c>
      <c r="BJ42" s="59">
        <f t="shared" si="38"/>
        <v>268.54782308462387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37.199801566616891</v>
      </c>
      <c r="BQ42" s="21">
        <f>EXP(-LN(2)/25)*BQ41+(1-EXP(-LN(2)/25))/(LN(2)/25)*Calculateur!BL42*Calculateur!BN42*VLOOKUP('Données projet'!$B$11,Paramètres!$A$1:$I$89,3,0)*0.475*44/12</f>
        <v>18.167177829355136</v>
      </c>
      <c r="BR42" s="21">
        <f>EXP(-LN(2)/2)*BR41+(1-EXP(-LN(2)/2))/(LN(2)/2)*BL42*BO42*VLOOKUP('Données projet'!$B$11,Paramètres!$A$1:$I$89,3,0)*0.475*44/12</f>
        <v>3.4887204773550993</v>
      </c>
      <c r="BS42" s="22">
        <f t="shared" si="9"/>
        <v>58.855699873327126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14.286666666666665</v>
      </c>
      <c r="N43" s="13">
        <f>IF('Données projet'!$A$36&gt;35,N42+M43-V42,IF(A43&lt;'Données projet'!$A$36,$K$205^A43,IF(A43='Données projet'!$A$36,'Données projet'!$B$36,N42+M43-V42)))</f>
        <v>266.65000000000003</v>
      </c>
      <c r="O43" s="13">
        <f>N43*VLOOKUP('Données projet'!$B$9,Paramètres!$A$1:$I$89,3,0)*VLOOKUP('Données projet'!$B$9,Paramètres!$A$1:$I$89,5,0)</f>
        <v>149.05735000000001</v>
      </c>
      <c r="P43" s="13">
        <f t="shared" si="33"/>
        <v>38.364286491141797</v>
      </c>
      <c r="Q43" s="20">
        <f t="shared" si="53"/>
        <v>326.42601688873862</v>
      </c>
      <c r="R43" s="59">
        <f t="shared" si="0"/>
        <v>619.75935022207193</v>
      </c>
      <c r="S43" s="59">
        <f ca="1">AVERAGE(OFFSET($R$3,0,0,'Données projet'!$E$9+1,1))-AVERAGE(OFFSET($H$3,0,0,'Données projet'!$E$9+1,1))</f>
        <v>293.82673322742102</v>
      </c>
      <c r="T43" s="59">
        <f t="shared" si="34"/>
        <v>138.78566015867693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8.5568808269522023</v>
      </c>
      <c r="AA43" s="21">
        <f>EXP(-LN(2)/25)*AA42+(1-EXP(-LN(2)/25))/(LN(2)/25)*Calculateur!V43*Calculateur!X43*VLOOKUP('Données projet'!$B$9,Paramètres!$A$1:$I$89,3,0)*0.475*44/12</f>
        <v>12.028785595017212</v>
      </c>
      <c r="AB43" s="21">
        <f>EXP(-LN(2)/2)*AB42+(1-EXP(-LN(2)/2))/(LN(2)/2)*V43*Y43*VLOOKUP('Données projet'!$B$9,Paramètres!$A$1:$I$89,3,0)*0.475*44/12</f>
        <v>2.8413106545475575</v>
      </c>
      <c r="AC43" s="22">
        <f t="shared" si="3"/>
        <v>23.42697707651697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6.3784210526315785</v>
      </c>
      <c r="AI43" s="13">
        <f>IF('Données projet'!$A$62&gt;35,AI42+AH43-AQ42,IF(A43&lt;'Données projet'!$A$62,$AF$205^A43,IF(A43='Données projet'!$A$62,'Données projet'!$B$62,AI42+AH43-AQ42)))</f>
        <v>255.13684210526318</v>
      </c>
      <c r="AJ43" s="13">
        <f>AI43*VLOOKUP('Données projet'!$B$10,Paramètres!$A$1:$I$89,3,0)*VLOOKUP('Données projet'!$B$10,Paramètres!$A$1:$I$89,5,0)</f>
        <v>126.03760000000003</v>
      </c>
      <c r="AK43" s="13">
        <f t="shared" si="35"/>
        <v>33.079122099962255</v>
      </c>
      <c r="AL43" s="20">
        <f t="shared" si="4"/>
        <v>277.12829099076765</v>
      </c>
      <c r="AM43" s="59">
        <f t="shared" si="5"/>
        <v>570.46162432410097</v>
      </c>
      <c r="AN43" s="59">
        <f ca="1">AVERAGE(OFFSET($AM$3,0,0,'Données projet'!$E$10+1,1))-AVERAGE(OFFSET($H$3,0,0,'Données projet'!$E$10+1,1))</f>
        <v>265.57710796453807</v>
      </c>
      <c r="AO43" s="59">
        <f t="shared" si="36"/>
        <v>171.29436297508141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610.58688495369108</v>
      </c>
      <c r="BI43" s="59">
        <f ca="1">AVERAGE(OFFSET($BH$3,0,0,'Données projet'!$E$11+1,1))-AVERAGE(OFFSET($H$3,0,0,'Données projet'!$E$11+1,1))</f>
        <v>175.05987582828078</v>
      </c>
      <c r="BJ43" s="59">
        <f t="shared" si="38"/>
        <v>268.54782308462387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36.470336147534077</v>
      </c>
      <c r="BQ43" s="21">
        <f>EXP(-LN(2)/25)*BQ42+(1-EXP(-LN(2)/25))/(LN(2)/25)*Calculateur!BL43*Calculateur!BN43*VLOOKUP('Données projet'!$B$11,Paramètres!$A$1:$I$89,3,0)*0.475*44/12</f>
        <v>17.670395396241059</v>
      </c>
      <c r="BR43" s="21">
        <f>EXP(-LN(2)/2)*BR42+(1-EXP(-LN(2)/2))/(LN(2)/2)*BL43*BO43*VLOOKUP('Données projet'!$B$11,Paramètres!$A$1:$I$89,3,0)*0.475*44/12</f>
        <v>2.46689790720216</v>
      </c>
      <c r="BS43" s="22">
        <f t="shared" si="9"/>
        <v>56.607629450977292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14.286666666666665</v>
      </c>
      <c r="N44" s="13">
        <f>IF('Données projet'!$A$36&gt;35,N43+M44-V43,IF(A44&lt;'Données projet'!$A$36,$K$205^A44,IF(A44='Données projet'!$A$36,'Données projet'!$B$36,N43+M44-V43)))</f>
        <v>280.93666666666672</v>
      </c>
      <c r="O44" s="13">
        <f>N44*VLOOKUP('Données projet'!$B$9,Paramètres!$A$1:$I$89,3,0)*VLOOKUP('Données projet'!$B$9,Paramètres!$A$1:$I$89,5,0)</f>
        <v>157.0435966666667</v>
      </c>
      <c r="P44" s="13">
        <f t="shared" si="33"/>
        <v>40.174968304842523</v>
      </c>
      <c r="Q44" s="20">
        <f t="shared" si="53"/>
        <v>343.48900065871186</v>
      </c>
      <c r="R44" s="59">
        <f t="shared" si="0"/>
        <v>636.82233399204517</v>
      </c>
      <c r="S44" s="59">
        <f ca="1">AVERAGE(OFFSET($R$3,0,0,'Données projet'!$E$9+1,1))-AVERAGE(OFFSET($H$3,0,0,'Données projet'!$E$9+1,1))</f>
        <v>293.82673322742102</v>
      </c>
      <c r="T44" s="59">
        <f t="shared" si="34"/>
        <v>138.78566015867693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8.3890856131176221</v>
      </c>
      <c r="AA44" s="21">
        <f>EXP(-LN(2)/25)*AA43+(1-EXP(-LN(2)/25))/(LN(2)/25)*Calculateur!V44*Calculateur!X44*VLOOKUP('Données projet'!$B$9,Paramètres!$A$1:$I$89,3,0)*0.475*44/12</f>
        <v>11.699857820355124</v>
      </c>
      <c r="AB44" s="21">
        <f>EXP(-LN(2)/2)*AB43+(1-EXP(-LN(2)/2))/(LN(2)/2)*V44*Y44*VLOOKUP('Données projet'!$B$9,Paramètres!$A$1:$I$89,3,0)*0.475*44/12</f>
        <v>2.009110031288166</v>
      </c>
      <c r="AC44" s="22">
        <f t="shared" si="3"/>
        <v>22.098053464760913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6.3784210526315785</v>
      </c>
      <c r="AI44" s="13">
        <f>IF('Données projet'!$A$62&gt;35,AI43+AH44-AQ43,IF(A44&lt;'Données projet'!$A$62,$AF$205^A44,IF(A44='Données projet'!$A$62,'Données projet'!$B$62,AI43+AH44-AQ43)))</f>
        <v>261.51526315789476</v>
      </c>
      <c r="AJ44" s="13">
        <f>AI44*VLOOKUP('Données projet'!$B$10,Paramètres!$A$1:$I$89,3,0)*VLOOKUP('Données projet'!$B$10,Paramètres!$A$1:$I$89,5,0)</f>
        <v>129.18854000000002</v>
      </c>
      <c r="AK44" s="13">
        <f t="shared" si="35"/>
        <v>33.808786475160773</v>
      </c>
      <c r="AL44" s="20">
        <f t="shared" si="4"/>
        <v>283.88701027757173</v>
      </c>
      <c r="AM44" s="59">
        <f t="shared" si="5"/>
        <v>577.22034361090505</v>
      </c>
      <c r="AN44" s="59">
        <f ca="1">AVERAGE(OFFSET($AM$3,0,0,'Données projet'!$E$10+1,1))-AVERAGE(OFFSET($H$3,0,0,'Données projet'!$E$10+1,1))</f>
        <v>265.57710796453807</v>
      </c>
      <c r="AO44" s="59">
        <f t="shared" si="36"/>
        <v>171.29436297508141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625.92902757234094</v>
      </c>
      <c r="BI44" s="59">
        <f ca="1">AVERAGE(OFFSET($BH$3,0,0,'Données projet'!$E$11+1,1))-AVERAGE(OFFSET($H$3,0,0,'Données projet'!$E$11+1,1))</f>
        <v>175.05987582828078</v>
      </c>
      <c r="BJ44" s="59">
        <f t="shared" si="38"/>
        <v>268.54782308462387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35.755175100389501</v>
      </c>
      <c r="BQ44" s="21">
        <f>EXP(-LN(2)/25)*BQ43+(1-EXP(-LN(2)/25))/(LN(2)/25)*Calculateur!BL44*Calculateur!BN44*VLOOKUP('Données projet'!$B$11,Paramètres!$A$1:$I$89,3,0)*0.475*44/12</f>
        <v>17.187197504885138</v>
      </c>
      <c r="BR44" s="21">
        <f>EXP(-LN(2)/2)*BR43+(1-EXP(-LN(2)/2))/(LN(2)/2)*BL44*BO44*VLOOKUP('Données projet'!$B$11,Paramètres!$A$1:$I$89,3,0)*0.475*44/12</f>
        <v>1.7443602386775499</v>
      </c>
      <c r="BS44" s="22">
        <f t="shared" si="9"/>
        <v>54.686732843952193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14.286666666666665</v>
      </c>
      <c r="N45" s="13">
        <f>IF('Données projet'!$A$36&gt;35,N44+M45-V44,IF(A45&lt;'Données projet'!$A$36,$K$205^A45,IF(A45='Données projet'!$A$36,'Données projet'!$B$36,N44+M45-V44)))</f>
        <v>295.22333333333341</v>
      </c>
      <c r="O45" s="13">
        <f>N45*VLOOKUP('Données projet'!$B$9,Paramètres!$A$1:$I$89,3,0)*VLOOKUP('Données projet'!$B$9,Paramètres!$A$1:$I$89,5,0)</f>
        <v>165.02984333333336</v>
      </c>
      <c r="P45" s="13">
        <f t="shared" si="33"/>
        <v>41.974958818162669</v>
      </c>
      <c r="Q45" s="20">
        <f t="shared" si="53"/>
        <v>360.53336374718884</v>
      </c>
      <c r="R45" s="59">
        <f t="shared" si="0"/>
        <v>653.86669708052216</v>
      </c>
      <c r="S45" s="59">
        <f ca="1">AVERAGE(OFFSET($R$3,0,0,'Données projet'!$E$9+1,1))-AVERAGE(OFFSET($H$3,0,0,'Données projet'!$E$9+1,1))</f>
        <v>293.82673322742102</v>
      </c>
      <c r="T45" s="59">
        <f t="shared" si="34"/>
        <v>138.78566015867693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8.2245807610813646</v>
      </c>
      <c r="AA45" s="21">
        <f>EXP(-LN(2)/25)*AA44+(1-EXP(-LN(2)/25))/(LN(2)/25)*Calculateur!V45*Calculateur!X45*VLOOKUP('Données projet'!$B$9,Paramètres!$A$1:$I$89,3,0)*0.475*44/12</f>
        <v>11.379924592988731</v>
      </c>
      <c r="AB45" s="21">
        <f>EXP(-LN(2)/2)*AB44+(1-EXP(-LN(2)/2))/(LN(2)/2)*V45*Y45*VLOOKUP('Données projet'!$B$9,Paramètres!$A$1:$I$89,3,0)*0.475*44/12</f>
        <v>1.420655327273779</v>
      </c>
      <c r="AC45" s="22">
        <f t="shared" si="3"/>
        <v>21.025160681343873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6.3784210526315785</v>
      </c>
      <c r="AI45" s="13">
        <f>IF('Données projet'!$A$62&gt;35,AI44+AH45-AQ44,IF(A45&lt;'Données projet'!$A$62,$AF$205^A45,IF(A45='Données projet'!$A$62,'Données projet'!$B$62,AI44+AH45-AQ44)))</f>
        <v>267.89368421052632</v>
      </c>
      <c r="AJ45" s="13">
        <f>AI45*VLOOKUP('Données projet'!$B$10,Paramètres!$A$1:$I$89,3,0)*VLOOKUP('Données projet'!$B$10,Paramètres!$A$1:$I$89,5,0)</f>
        <v>132.33948000000001</v>
      </c>
      <c r="AK45" s="13">
        <f t="shared" si="35"/>
        <v>34.53638203641124</v>
      </c>
      <c r="AL45" s="20">
        <f t="shared" si="4"/>
        <v>290.64212638008291</v>
      </c>
      <c r="AM45" s="59">
        <f t="shared" si="5"/>
        <v>583.97545971341629</v>
      </c>
      <c r="AN45" s="59">
        <f ca="1">AVERAGE(OFFSET($AM$3,0,0,'Données projet'!$E$10+1,1))-AVERAGE(OFFSET($H$3,0,0,'Données projet'!$E$10+1,1))</f>
        <v>265.57710796453807</v>
      </c>
      <c r="AO45" s="59">
        <f t="shared" si="36"/>
        <v>171.29436297508141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641.25557287030847</v>
      </c>
      <c r="BI45" s="59">
        <f ca="1">AVERAGE(OFFSET($BH$3,0,0,'Données projet'!$E$11+1,1))-AVERAGE(OFFSET($H$3,0,0,'Données projet'!$E$11+1,1))</f>
        <v>175.05987582828078</v>
      </c>
      <c r="BJ45" s="59">
        <f t="shared" si="38"/>
        <v>268.54782308462387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0.36</v>
      </c>
      <c r="BN45" s="16">
        <f>IF(ISNA(VLOOKUP(A45,'Données projet'!$A$87:$I$107,6,0)),0%,VLOOKUP(A45,'Données projet'!$A$87:$I$107,6,0)*VLOOKUP('Données projet'!$B$11,Paramètres!$A$1:$I$89,7,0))</f>
        <v>0.12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55.020000356260127</v>
      </c>
      <c r="BQ45" s="21">
        <f>EXP(-LN(2)/25)*BQ44+(1-EXP(-LN(2)/25))/(LN(2)/25)*Calculateur!BL45*Calculateur!BN45*VLOOKUP('Données projet'!$B$11,Paramètres!$A$1:$I$89,3,0)*0.475*44/12</f>
        <v>23.346328961734141</v>
      </c>
      <c r="BR45" s="21">
        <f>EXP(-LN(2)/2)*BR44+(1-EXP(-LN(2)/2))/(LN(2)/2)*BL45*BO45*VLOOKUP('Données projet'!$B$11,Paramètres!$A$1:$I$89,3,0)*0.475*44/12</f>
        <v>10.700722532598377</v>
      </c>
      <c r="BS45" s="22">
        <f t="shared" si="9"/>
        <v>89.067051850592648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>
        <f>VLOOKUP(A46,'Données projet'!$A$35:$I$55,2,0)</f>
        <v>309.51</v>
      </c>
      <c r="L46" s="12">
        <f>VLOOKUP(A46,'Données projet'!$A$35:$I$55,9,0)</f>
        <v>14.286666666666665</v>
      </c>
      <c r="M46" s="12">
        <f t="array" ref="M46">INDEX(L:L,MIN(IF(ISNUMBER(L46:L242),ROW(L46:L242),"")))</f>
        <v>14.286666666666665</v>
      </c>
      <c r="N46" s="13">
        <f>IF('Données projet'!$A$36&gt;35,N45+M46-V45,IF(A46&lt;'Données projet'!$A$36,$K$205^A46,IF(A46='Données projet'!$A$36,'Données projet'!$B$36,N45+M46-V45)))</f>
        <v>309.5100000000001</v>
      </c>
      <c r="O46" s="13">
        <f>N46*VLOOKUP('Données projet'!$B$9,Paramètres!$A$1:$I$89,3,0)*VLOOKUP('Données projet'!$B$9,Paramètres!$A$1:$I$89,5,0)</f>
        <v>173.01609000000005</v>
      </c>
      <c r="P46" s="13">
        <f t="shared" si="33"/>
        <v>43.764834472329383</v>
      </c>
      <c r="Q46" s="20">
        <f t="shared" si="53"/>
        <v>377.56011012264042</v>
      </c>
      <c r="R46" s="59">
        <f t="shared" si="0"/>
        <v>670.89344345597374</v>
      </c>
      <c r="S46" s="59">
        <f ca="1">AVERAGE(OFFSET($R$3,0,0,'Données projet'!$E$9+1,1))-AVERAGE(OFFSET($H$3,0,0,'Données projet'!$E$9+1,1))</f>
        <v>293.82673322742102</v>
      </c>
      <c r="T46" s="59">
        <f t="shared" si="34"/>
        <v>138.78566015867693</v>
      </c>
      <c r="U46" s="15">
        <f>IF(ISNA(VLOOKUP(A46,'Données projet'!$A$35:$I$55,3,0)),0,VLOOKUP(A46,'Données projet'!$A$35:$I$55,3,0))</f>
        <v>2</v>
      </c>
      <c r="V46" s="15">
        <f>IF(ISNA(VLOOKUP(A46,'Données projet'!$A$35:$I$55,4,0)),0,VLOOKUP(A46,'Données projet'!$A$35:$I$55,4,0))</f>
        <v>72.429999999999978</v>
      </c>
      <c r="W46" s="16">
        <f>IF(ISNA(VLOOKUP(A46,'Données projet'!$A$35:$I$55,5,0)),0%,VLOOKUP(A46,'Données projet'!$A$35:$I$55,5,0)*VLOOKUP('Données projet'!$B$9,Paramètres!$A$1:$I$89,7,0))</f>
        <v>0.13750000000000001</v>
      </c>
      <c r="X46" s="16">
        <f>IF(ISNA(VLOOKUP(A46,'Données projet'!$A$35:$I$55,6,0)),0%,VLOOKUP(A46,'Données projet'!$A$35:$I$55,6,0)*VLOOKUP('Données projet'!$B$9,Paramètres!$A$1:$I$89,7,0))</f>
        <v>0.20350000000000001</v>
      </c>
      <c r="Y46" s="16">
        <f>IF(ISNA(VLOOKUP(A46,'Données projet'!$A$35:$I$55,7,0)),0%,VLOOKUP(A46,'Données projet'!$A$35:$I$55,7,0))</f>
        <v>0.38</v>
      </c>
      <c r="Z46" s="21">
        <f>EXP(-LN(2)/35)*Z45+(1-EXP(-LN(2)/35))/(LN(2)/35)*V46*W46*VLOOKUP('Données projet'!$B$9,Paramètres!$A$1:$I$89,3,0)*0.475*44/12</f>
        <v>15.448486217699617</v>
      </c>
      <c r="AA46" s="21">
        <f>EXP(-LN(2)/25)*AA45+(1-EXP(-LN(2)/25))/(LN(2)/25)*Calculateur!V46*Calculateur!X46*VLOOKUP('Données projet'!$B$9,Paramètres!$A$1:$I$89,3,0)*0.475*44/12</f>
        <v>21.955777108298538</v>
      </c>
      <c r="AB46" s="21">
        <f>EXP(-LN(2)/2)*AB45+(1-EXP(-LN(2)/2))/(LN(2)/2)*V46*Y46*VLOOKUP('Données projet'!$B$9,Paramètres!$A$1:$I$89,3,0)*0.475*44/12</f>
        <v>18.424606287160699</v>
      </c>
      <c r="AC46" s="22">
        <f t="shared" si="3"/>
        <v>55.828869613158858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6.3784210526315785</v>
      </c>
      <c r="AI46" s="13">
        <f>IF('Données projet'!$A$62&gt;35,AI45+AH46-AQ45,IF(A46&lt;'Données projet'!$A$62,$AF$205^A46,IF(A46='Données projet'!$A$62,'Données projet'!$B$62,AI45+AH46-AQ45)))</f>
        <v>274.27210526315787</v>
      </c>
      <c r="AJ46" s="13">
        <f>AI46*VLOOKUP('Données projet'!$B$10,Paramètres!$A$1:$I$89,3,0)*VLOOKUP('Données projet'!$B$10,Paramètres!$A$1:$I$89,5,0)</f>
        <v>135.49042</v>
      </c>
      <c r="AK46" s="13">
        <f t="shared" si="35"/>
        <v>35.261963709119598</v>
      </c>
      <c r="AL46" s="20">
        <f t="shared" si="4"/>
        <v>297.39373496004998</v>
      </c>
      <c r="AM46" s="59">
        <f t="shared" si="5"/>
        <v>590.72706829338335</v>
      </c>
      <c r="AN46" s="59">
        <f ca="1">AVERAGE(OFFSET($AM$3,0,0,'Données projet'!$E$10+1,1))-AVERAGE(OFFSET($H$3,0,0,'Données projet'!$E$10+1,1))</f>
        <v>265.57710796453807</v>
      </c>
      <c r="AO46" s="59">
        <f t="shared" si="36"/>
        <v>171.29436297508141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566.02035433424339</v>
      </c>
      <c r="BI46" s="59">
        <f ca="1">AVERAGE(OFFSET($BH$3,0,0,'Données projet'!$E$11+1,1))-AVERAGE(OFFSET($H$3,0,0,'Données projet'!$E$11+1,1))</f>
        <v>175.05987582828078</v>
      </c>
      <c r="BJ46" s="59">
        <f t="shared" si="38"/>
        <v>268.54782308462387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53.941091708160421</v>
      </c>
      <c r="BQ46" s="21">
        <f>EXP(-LN(2)/25)*BQ45+(1-EXP(-LN(2)/25))/(LN(2)/25)*Calculateur!BL46*Calculateur!BN46*VLOOKUP('Données projet'!$B$11,Paramètres!$A$1:$I$89,3,0)*0.475*44/12</f>
        <v>22.707922368545439</v>
      </c>
      <c r="BR46" s="21">
        <f>EXP(-LN(2)/2)*BR45+(1-EXP(-LN(2)/2))/(LN(2)/2)*BL46*BO46*VLOOKUP('Données projet'!$B$11,Paramètres!$A$1:$I$89,3,0)*0.475*44/12</f>
        <v>7.5665534663959999</v>
      </c>
      <c r="BS46" s="22">
        <f t="shared" si="9"/>
        <v>84.215567543101869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13.08111111111111</v>
      </c>
      <c r="N47" s="13">
        <f>IF('Données projet'!$A$36&gt;35,N46+M47-V46,IF(A47&lt;'Données projet'!$A$36,$K$205^A47,IF(A47='Données projet'!$A$36,'Données projet'!$B$36,N46+M47-V46)))</f>
        <v>250.16111111111124</v>
      </c>
      <c r="O47" s="13">
        <f>N47*VLOOKUP('Données projet'!$B$9,Paramètres!$A$1:$I$89,3,0)*VLOOKUP('Données projet'!$B$9,Paramètres!$A$1:$I$89,5,0)</f>
        <v>139.84006111111117</v>
      </c>
      <c r="P47" s="13">
        <f t="shared" si="33"/>
        <v>36.260363304326724</v>
      </c>
      <c r="Q47" s="20">
        <f t="shared" si="53"/>
        <v>306.70823919022098</v>
      </c>
      <c r="R47" s="59">
        <f t="shared" si="0"/>
        <v>600.04157252355435</v>
      </c>
      <c r="S47" s="59">
        <f ca="1">AVERAGE(OFFSET($R$3,0,0,'Données projet'!$E$9+1,1))-AVERAGE(OFFSET($H$3,0,0,'Données projet'!$E$9+1,1))</f>
        <v>293.82673322742102</v>
      </c>
      <c r="T47" s="59">
        <f t="shared" si="34"/>
        <v>138.78566015867693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15.145550825616711</v>
      </c>
      <c r="AA47" s="21">
        <f>EXP(-LN(2)/25)*AA46+(1-EXP(-LN(2)/25))/(LN(2)/25)*Calculateur!V47*Calculateur!X47*VLOOKUP('Données projet'!$B$9,Paramètres!$A$1:$I$89,3,0)*0.475*44/12</f>
        <v>21.355395228667977</v>
      </c>
      <c r="AB47" s="21">
        <f>EXP(-LN(2)/2)*AB46+(1-EXP(-LN(2)/2))/(LN(2)/2)*V47*Y47*VLOOKUP('Données projet'!$B$9,Paramètres!$A$1:$I$89,3,0)*0.475*44/12</f>
        <v>13.02816404634363</v>
      </c>
      <c r="AC47" s="22">
        <f t="shared" si="3"/>
        <v>49.529110100628316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6.3784210526315785</v>
      </c>
      <c r="AI47" s="13">
        <f>IF('Données projet'!$A$62&gt;35,AI46+AH47-AQ46,IF(A47&lt;'Données projet'!$A$62,$AF$205^A47,IF(A47='Données projet'!$A$62,'Données projet'!$B$62,AI46+AH47-AQ46)))</f>
        <v>280.65052631578942</v>
      </c>
      <c r="AJ47" s="13">
        <f>AI47*VLOOKUP('Données projet'!$B$10,Paramètres!$A$1:$I$89,3,0)*VLOOKUP('Données projet'!$B$10,Paramètres!$A$1:$I$89,5,0)</f>
        <v>138.64135999999999</v>
      </c>
      <c r="AK47" s="13">
        <f t="shared" si="35"/>
        <v>35.985583718263122</v>
      </c>
      <c r="AL47" s="20">
        <f t="shared" si="4"/>
        <v>304.14192697597491</v>
      </c>
      <c r="AM47" s="59">
        <f t="shared" si="5"/>
        <v>597.47526030930817</v>
      </c>
      <c r="AN47" s="59">
        <f ca="1">AVERAGE(OFFSET($AM$3,0,0,'Données projet'!$E$10+1,1))-AVERAGE(OFFSET($H$3,0,0,'Données projet'!$E$10+1,1))</f>
        <v>265.57710796453807</v>
      </c>
      <c r="AO47" s="59">
        <f t="shared" si="36"/>
        <v>171.29436297508141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580.29818337794075</v>
      </c>
      <c r="BI47" s="59">
        <f ca="1">AVERAGE(OFFSET($BH$3,0,0,'Données projet'!$E$11+1,1))-AVERAGE(OFFSET($H$3,0,0,'Données projet'!$E$11+1,1))</f>
        <v>175.05987582828078</v>
      </c>
      <c r="BJ47" s="59">
        <f t="shared" si="38"/>
        <v>268.54782308462387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52.88333980058065</v>
      </c>
      <c r="BQ47" s="21">
        <f>EXP(-LN(2)/25)*BQ46+(1-EXP(-LN(2)/25))/(LN(2)/25)*Calculateur!BL47*Calculateur!BN47*VLOOKUP('Données projet'!$B$11,Paramètres!$A$1:$I$89,3,0)*0.475*44/12</f>
        <v>22.086973037219828</v>
      </c>
      <c r="BR47" s="21">
        <f>EXP(-LN(2)/2)*BR46+(1-EXP(-LN(2)/2))/(LN(2)/2)*BL47*BO47*VLOOKUP('Données projet'!$B$11,Paramètres!$A$1:$I$89,3,0)*0.475*44/12</f>
        <v>5.3503612662991893</v>
      </c>
      <c r="BS47" s="22">
        <f t="shared" si="9"/>
        <v>80.320674104099666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13.08111111111111</v>
      </c>
      <c r="N48" s="13">
        <f>IF('Données projet'!$A$36&gt;35,N47+M48-V47,IF(A48&lt;'Données projet'!$A$36,$K$205^A48,IF(A48='Données projet'!$A$36,'Données projet'!$B$36,N47+M48-V47)))</f>
        <v>263.24222222222232</v>
      </c>
      <c r="O48" s="13">
        <f>N48*VLOOKUP('Données projet'!$B$9,Paramètres!$A$1:$I$89,3,0)*VLOOKUP('Données projet'!$B$9,Paramètres!$A$1:$I$89,5,0)</f>
        <v>147.15240222222229</v>
      </c>
      <c r="P48" s="13">
        <f t="shared" si="33"/>
        <v>37.930738715528179</v>
      </c>
      <c r="Q48" s="20">
        <f t="shared" si="53"/>
        <v>322.35313713324871</v>
      </c>
      <c r="R48" s="59">
        <f t="shared" si="0"/>
        <v>615.68647046658202</v>
      </c>
      <c r="S48" s="59">
        <f ca="1">AVERAGE(OFFSET($R$3,0,0,'Données projet'!$E$9+1,1))-AVERAGE(OFFSET($H$3,0,0,'Données projet'!$E$9+1,1))</f>
        <v>293.82673322742102</v>
      </c>
      <c r="T48" s="59">
        <f t="shared" si="34"/>
        <v>138.78566015867693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14.848555811800207</v>
      </c>
      <c r="AA48" s="21">
        <f>EXP(-LN(2)/25)*AA47+(1-EXP(-LN(2)/25))/(LN(2)/25)*Calculateur!V48*Calculateur!X48*VLOOKUP('Données projet'!$B$9,Paramètres!$A$1:$I$89,3,0)*0.475*44/12</f>
        <v>20.771430823108624</v>
      </c>
      <c r="AB48" s="21">
        <f>EXP(-LN(2)/2)*AB47+(1-EXP(-LN(2)/2))/(LN(2)/2)*V48*Y48*VLOOKUP('Données projet'!$B$9,Paramètres!$A$1:$I$89,3,0)*0.475*44/12</f>
        <v>9.2123031435803515</v>
      </c>
      <c r="AC48" s="22">
        <f t="shared" si="3"/>
        <v>44.832289778489177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6.3784210526315785</v>
      </c>
      <c r="AI48" s="13">
        <f>IF('Données projet'!$A$62&gt;35,AI47+AH48-AQ47,IF(A48&lt;'Données projet'!$A$62,$AF$205^A48,IF(A48='Données projet'!$A$62,'Données projet'!$B$62,AI47+AH48-AQ47)))</f>
        <v>287.02894736842097</v>
      </c>
      <c r="AJ48" s="13">
        <f>AI48*VLOOKUP('Données projet'!$B$10,Paramètres!$A$1:$I$89,3,0)*VLOOKUP('Données projet'!$B$10,Paramètres!$A$1:$I$89,5,0)</f>
        <v>141.79229999999995</v>
      </c>
      <c r="AK48" s="13">
        <f t="shared" si="35"/>
        <v>36.707291779467752</v>
      </c>
      <c r="AL48" s="20">
        <f t="shared" si="4"/>
        <v>310.88678901590623</v>
      </c>
      <c r="AM48" s="59">
        <f t="shared" si="5"/>
        <v>604.22012234923955</v>
      </c>
      <c r="AN48" s="59">
        <f ca="1">AVERAGE(OFFSET($AM$3,0,0,'Données projet'!$E$10+1,1))-AVERAGE(OFFSET($H$3,0,0,'Données projet'!$E$10+1,1))</f>
        <v>265.57710796453807</v>
      </c>
      <c r="AO48" s="59">
        <f t="shared" si="36"/>
        <v>171.29436297508141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594.5601252502629</v>
      </c>
      <c r="BI48" s="59">
        <f ca="1">AVERAGE(OFFSET($BH$3,0,0,'Données projet'!$E$11+1,1))-AVERAGE(OFFSET($H$3,0,0,'Données projet'!$E$11+1,1))</f>
        <v>175.05987582828078</v>
      </c>
      <c r="BJ48" s="59">
        <f t="shared" si="38"/>
        <v>268.54782308462387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51.846329762743558</v>
      </c>
      <c r="BQ48" s="21">
        <f>EXP(-LN(2)/25)*BQ47+(1-EXP(-LN(2)/25))/(LN(2)/25)*Calculateur!BL48*Calculateur!BN48*VLOOKUP('Données projet'!$B$11,Paramètres!$A$1:$I$89,3,0)*0.475*44/12</f>
        <v>21.483003598013621</v>
      </c>
      <c r="BR48" s="21">
        <f>EXP(-LN(2)/2)*BR47+(1-EXP(-LN(2)/2))/(LN(2)/2)*BL48*BO48*VLOOKUP('Données projet'!$B$11,Paramètres!$A$1:$I$89,3,0)*0.475*44/12</f>
        <v>3.7832767331980004</v>
      </c>
      <c r="BS48" s="22">
        <f t="shared" si="9"/>
        <v>77.112610093955169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13.08111111111111</v>
      </c>
      <c r="N49" s="13">
        <f>IF('Données projet'!$A$36&gt;35,N48+M49-V48,IF(A49&lt;'Données projet'!$A$36,$K$205^A49,IF(A49='Données projet'!$A$36,'Données projet'!$B$36,N48+M49-V48)))</f>
        <v>276.32333333333344</v>
      </c>
      <c r="O49" s="13">
        <f>N49*VLOOKUP('Données projet'!$B$9,Paramètres!$A$1:$I$89,3,0)*VLOOKUP('Données projet'!$B$9,Paramètres!$A$1:$I$89,5,0)</f>
        <v>154.46474333333339</v>
      </c>
      <c r="P49" s="13">
        <f t="shared" si="33"/>
        <v>39.591476069818206</v>
      </c>
      <c r="Q49" s="20">
        <f t="shared" si="53"/>
        <v>337.98124879382232</v>
      </c>
      <c r="R49" s="59">
        <f t="shared" si="0"/>
        <v>631.31458212715563</v>
      </c>
      <c r="S49" s="59">
        <f ca="1">AVERAGE(OFFSET($R$3,0,0,'Données projet'!$E$9+1,1))-AVERAGE(OFFSET($H$3,0,0,'Données projet'!$E$9+1,1))</f>
        <v>293.82673322742102</v>
      </c>
      <c r="T49" s="59">
        <f t="shared" si="34"/>
        <v>138.78566015867693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14.557384689055572</v>
      </c>
      <c r="AA49" s="21">
        <f>EXP(-LN(2)/25)*AA48+(1-EXP(-LN(2)/25))/(LN(2)/25)*Calculateur!V49*Calculateur!X49*VLOOKUP('Données projet'!$B$9,Paramètres!$A$1:$I$89,3,0)*0.475*44/12</f>
        <v>20.203434954928646</v>
      </c>
      <c r="AB49" s="21">
        <f>EXP(-LN(2)/2)*AB48+(1-EXP(-LN(2)/2))/(LN(2)/2)*V49*Y49*VLOOKUP('Données projet'!$B$9,Paramètres!$A$1:$I$89,3,0)*0.475*44/12</f>
        <v>6.5140820231718157</v>
      </c>
      <c r="AC49" s="22">
        <f t="shared" si="3"/>
        <v>41.274901667156037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6.3784210526315785</v>
      </c>
      <c r="AI49" s="13">
        <f>IF('Données projet'!$A$62&gt;35,AI48+AH49-AQ48,IF(A49&lt;'Données projet'!$A$62,$AF$205^A49,IF(A49='Données projet'!$A$62,'Données projet'!$B$62,AI48+AH49-AQ48)))</f>
        <v>293.40736842105252</v>
      </c>
      <c r="AJ49" s="13">
        <f>AI49*VLOOKUP('Données projet'!$B$10,Paramètres!$A$1:$I$89,3,0)*VLOOKUP('Données projet'!$B$10,Paramètres!$A$1:$I$89,5,0)</f>
        <v>144.94323999999995</v>
      </c>
      <c r="AK49" s="13">
        <f t="shared" si="35"/>
        <v>37.427135272621797</v>
      </c>
      <c r="AL49" s="20">
        <f t="shared" si="4"/>
        <v>317.62840359981618</v>
      </c>
      <c r="AM49" s="59">
        <f t="shared" si="5"/>
        <v>610.9617369331495</v>
      </c>
      <c r="AN49" s="59">
        <f ca="1">AVERAGE(OFFSET($AM$3,0,0,'Données projet'!$E$10+1,1))-AVERAGE(OFFSET($H$3,0,0,'Données projet'!$E$10+1,1))</f>
        <v>265.57710796453807</v>
      </c>
      <c r="AO49" s="59">
        <f t="shared" si="36"/>
        <v>171.29436297508141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608.80703816582536</v>
      </c>
      <c r="BI49" s="59">
        <f ca="1">AVERAGE(OFFSET($BH$3,0,0,'Données projet'!$E$11+1,1))-AVERAGE(OFFSET($H$3,0,0,'Données projet'!$E$11+1,1))</f>
        <v>175.05987582828078</v>
      </c>
      <c r="BJ49" s="59">
        <f t="shared" si="38"/>
        <v>268.54782308462387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50.829654859234786</v>
      </c>
      <c r="BQ49" s="21">
        <f>EXP(-LN(2)/25)*BQ48+(1-EXP(-LN(2)/25))/(LN(2)/25)*Calculateur!BL49*Calculateur!BN49*VLOOKUP('Données projet'!$B$11,Paramètres!$A$1:$I$89,3,0)*0.475*44/12</f>
        <v>20.895549734883879</v>
      </c>
      <c r="BR49" s="21">
        <f>EXP(-LN(2)/2)*BR48+(1-EXP(-LN(2)/2))/(LN(2)/2)*BL49*BO49*VLOOKUP('Données projet'!$B$11,Paramètres!$A$1:$I$89,3,0)*0.475*44/12</f>
        <v>2.6751806331495951</v>
      </c>
      <c r="BS49" s="22">
        <f t="shared" si="9"/>
        <v>74.400385227268259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13.08111111111111</v>
      </c>
      <c r="N50" s="13">
        <f>IF('Données projet'!$A$36&gt;35,N49+M50-V49,IF(A50&lt;'Données projet'!$A$36,$K$205^A50,IF(A50='Données projet'!$A$36,'Données projet'!$B$36,N49+M50-V49)))</f>
        <v>289.40444444444455</v>
      </c>
      <c r="O50" s="13">
        <f>N50*VLOOKUP('Données projet'!$B$9,Paramètres!$A$1:$I$89,3,0)*VLOOKUP('Données projet'!$B$9,Paramètres!$A$1:$I$89,5,0)</f>
        <v>161.77708444444451</v>
      </c>
      <c r="P50" s="13">
        <f t="shared" si="33"/>
        <v>41.243083728282301</v>
      </c>
      <c r="Q50" s="20">
        <f t="shared" si="53"/>
        <v>353.59345956749917</v>
      </c>
      <c r="R50" s="59">
        <f t="shared" si="0"/>
        <v>646.92679290083242</v>
      </c>
      <c r="S50" s="59">
        <f ca="1">AVERAGE(OFFSET($R$3,0,0,'Données projet'!$E$9+1,1))-AVERAGE(OFFSET($H$3,0,0,'Données projet'!$E$9+1,1))</f>
        <v>293.82673322742102</v>
      </c>
      <c r="T50" s="59">
        <f t="shared" si="34"/>
        <v>138.78566015867693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14.271923254431112</v>
      </c>
      <c r="AA50" s="21">
        <f>EXP(-LN(2)/25)*AA49+(1-EXP(-LN(2)/25))/(LN(2)/25)*Calculateur!V50*Calculateur!X50*VLOOKUP('Données projet'!$B$9,Paramètres!$A$1:$I$89,3,0)*0.475*44/12</f>
        <v>19.650970963633654</v>
      </c>
      <c r="AB50" s="21">
        <f>EXP(-LN(2)/2)*AB49+(1-EXP(-LN(2)/2))/(LN(2)/2)*V50*Y50*VLOOKUP('Données projet'!$B$9,Paramètres!$A$1:$I$89,3,0)*0.475*44/12</f>
        <v>4.6061515717901766</v>
      </c>
      <c r="AC50" s="22">
        <f t="shared" si="3"/>
        <v>38.529045789854948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6.3784210526315785</v>
      </c>
      <c r="AI50" s="13">
        <f>IF('Données projet'!$A$62&gt;35,AI49+AH50-AQ49,IF(A50&lt;'Données projet'!$A$62,$AF$205^A50,IF(A50='Données projet'!$A$62,'Données projet'!$B$62,AI49+AH50-AQ49)))</f>
        <v>299.78578947368408</v>
      </c>
      <c r="AJ50" s="13">
        <f>AI50*VLOOKUP('Données projet'!$B$10,Paramètres!$A$1:$I$89,3,0)*VLOOKUP('Données projet'!$B$10,Paramètres!$A$1:$I$89,5,0)</f>
        <v>148.09417999999994</v>
      </c>
      <c r="AK50" s="13">
        <f t="shared" si="35"/>
        <v>38.145159399967014</v>
      </c>
      <c r="AL50" s="20">
        <f t="shared" si="4"/>
        <v>324.36684945494238</v>
      </c>
      <c r="AM50" s="59">
        <f t="shared" si="5"/>
        <v>617.7001827882757</v>
      </c>
      <c r="AN50" s="59">
        <f ca="1">AVERAGE(OFFSET($AM$3,0,0,'Données projet'!$E$10+1,1))-AVERAGE(OFFSET($H$3,0,0,'Données projet'!$E$10+1,1))</f>
        <v>265.57710796453807</v>
      </c>
      <c r="AO50" s="59">
        <f t="shared" si="36"/>
        <v>171.29436297508141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623.03969648081397</v>
      </c>
      <c r="BI50" s="59">
        <f ca="1">AVERAGE(OFFSET($BH$3,0,0,'Données projet'!$E$11+1,1))-AVERAGE(OFFSET($H$3,0,0,'Données projet'!$E$11+1,1))</f>
        <v>175.05987582828078</v>
      </c>
      <c r="BJ50" s="59">
        <f t="shared" si="38"/>
        <v>268.54782308462387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49.83291633047336</v>
      </c>
      <c r="BQ50" s="21">
        <f>EXP(-LN(2)/25)*BQ49+(1-EXP(-LN(2)/25))/(LN(2)/25)*Calculateur!BL50*Calculateur!BN50*VLOOKUP('Données projet'!$B$11,Paramètres!$A$1:$I$89,3,0)*0.475*44/12</f>
        <v>20.324159828534277</v>
      </c>
      <c r="BR50" s="21">
        <f>EXP(-LN(2)/2)*BR49+(1-EXP(-LN(2)/2))/(LN(2)/2)*BL50*BO50*VLOOKUP('Données projet'!$B$11,Paramètres!$A$1:$I$89,3,0)*0.475*44/12</f>
        <v>1.8916383665990004</v>
      </c>
      <c r="BS50" s="22">
        <f t="shared" si="9"/>
        <v>72.048714525606627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13.08111111111111</v>
      </c>
      <c r="N51" s="13">
        <f>IF('Données projet'!$A$36&gt;35,N50+M51-V50,IF(A51&lt;'Données projet'!$A$36,$K$205^A51,IF(A51='Données projet'!$A$36,'Données projet'!$B$36,N50+M51-V50)))</f>
        <v>302.48555555555566</v>
      </c>
      <c r="O51" s="13">
        <f>N51*VLOOKUP('Données projet'!$B$9,Paramètres!$A$1:$I$89,3,0)*VLOOKUP('Données projet'!$B$9,Paramètres!$A$1:$I$89,5,0)</f>
        <v>169.08942555555564</v>
      </c>
      <c r="P51" s="13">
        <f t="shared" si="33"/>
        <v>42.88602149821061</v>
      </c>
      <c r="Q51" s="20">
        <f t="shared" si="53"/>
        <v>369.19057028530955</v>
      </c>
      <c r="R51" s="59">
        <f t="shared" si="0"/>
        <v>662.52390361864286</v>
      </c>
      <c r="S51" s="59">
        <f ca="1">AVERAGE(OFFSET($R$3,0,0,'Données projet'!$E$9+1,1))-AVERAGE(OFFSET($H$3,0,0,'Données projet'!$E$9+1,1))</f>
        <v>293.82673322742102</v>
      </c>
      <c r="T51" s="59">
        <f t="shared" si="34"/>
        <v>138.78566015867693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13.992059544425354</v>
      </c>
      <c r="AA51" s="21">
        <f>EXP(-LN(2)/25)*AA50+(1-EXP(-LN(2)/25))/(LN(2)/25)*Calculateur!V51*Calculateur!X51*VLOOKUP('Données projet'!$B$9,Paramètres!$A$1:$I$89,3,0)*0.475*44/12</f>
        <v>19.11361412923344</v>
      </c>
      <c r="AB51" s="21">
        <f>EXP(-LN(2)/2)*AB50+(1-EXP(-LN(2)/2))/(LN(2)/2)*V51*Y51*VLOOKUP('Données projet'!$B$9,Paramètres!$A$1:$I$89,3,0)*0.475*44/12</f>
        <v>3.2570410115859088</v>
      </c>
      <c r="AC51" s="22">
        <f t="shared" si="3"/>
        <v>36.362714685244704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6.3784210526315785</v>
      </c>
      <c r="AI51" s="13">
        <f>IF('Données projet'!$A$62&gt;35,AI50+AH51-AQ50,IF(A51&lt;'Données projet'!$A$62,$AF$205^A51,IF(A51='Données projet'!$A$62,'Données projet'!$B$62,AI50+AH51-AQ50)))</f>
        <v>306.16421052631563</v>
      </c>
      <c r="AJ51" s="13">
        <f>AI51*VLOOKUP('Données projet'!$B$10,Paramètres!$A$1:$I$89,3,0)*VLOOKUP('Données projet'!$B$10,Paramètres!$A$1:$I$89,5,0)</f>
        <v>151.24511999999993</v>
      </c>
      <c r="AK51" s="13">
        <f t="shared" si="35"/>
        <v>38.86140733035549</v>
      </c>
      <c r="AL51" s="20">
        <f t="shared" si="4"/>
        <v>331.10220176703569</v>
      </c>
      <c r="AM51" s="59">
        <f t="shared" si="5"/>
        <v>624.43553510036895</v>
      </c>
      <c r="AN51" s="59">
        <f ca="1">AVERAGE(OFFSET($AM$3,0,0,'Données projet'!$E$10+1,1))-AVERAGE(OFFSET($H$3,0,0,'Données projet'!$E$10+1,1))</f>
        <v>265.57710796453807</v>
      </c>
      <c r="AO51" s="59">
        <f t="shared" si="36"/>
        <v>171.29436297508141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637.25880222974047</v>
      </c>
      <c r="BI51" s="59">
        <f ca="1">AVERAGE(OFFSET($BH$3,0,0,'Données projet'!$E$11+1,1))-AVERAGE(OFFSET($H$3,0,0,'Données projet'!$E$11+1,1))</f>
        <v>175.05987582828078</v>
      </c>
      <c r="BJ51" s="59">
        <f t="shared" si="38"/>
        <v>268.54782308462387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0.36</v>
      </c>
      <c r="BN51" s="16">
        <f>IF(ISNA(VLOOKUP(A51,'Données projet'!$A$87:$I$107,6,0)),0%,VLOOKUP(A51,'Données projet'!$A$87:$I$107,6,0)*VLOOKUP('Données projet'!$B$11,Paramètres!$A$1:$I$89,7,0))</f>
        <v>0.12</v>
      </c>
      <c r="BO51" s="16">
        <f>IF(ISNA(VLOOKUP(A51,'Données projet'!$A$87:$I$107,7,0)),0%,VLOOKUP(A51,'Données projet'!$A$87:$I$107,7,0))</f>
        <v>0.2</v>
      </c>
      <c r="BP51" s="21">
        <f>EXP(-LN(2)/35)*BP50+(1-EXP(-LN(2)/35))/(LN(2)/35)*BL51*BM51*VLOOKUP('Données projet'!$B$11,Paramètres!$A$1:$I$89,3,0)*0.475*44/12</f>
        <v>68.225686788856464</v>
      </c>
      <c r="BQ51" s="21">
        <f>EXP(-LN(2)/25)*BQ50+(1-EXP(-LN(2)/25))/(LN(2)/25)*Calculateur!BL51*Calculateur!BN51*VLOOKUP('Données projet'!$B$11,Paramètres!$A$1:$I$89,3,0)*0.475*44/12</f>
        <v>26.199626817723519</v>
      </c>
      <c r="BR51" s="21">
        <f>EXP(-LN(2)/2)*BR50+(1-EXP(-LN(2)/2))/(LN(2)/2)*BL51*BO51*VLOOKUP('Données projet'!$B$11,Paramètres!$A$1:$I$89,3,0)*0.475*44/12</f>
        <v>10.522258714109489</v>
      </c>
      <c r="BS51" s="22">
        <f t="shared" si="9"/>
        <v>104.94757232068946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13.08111111111111</v>
      </c>
      <c r="N52" s="13">
        <f>IF('Données projet'!$A$36&gt;35,N51+M52-V51,IF(A52&lt;'Données projet'!$A$36,$K$205^A52,IF(A52='Données projet'!$A$36,'Données projet'!$B$36,N51+M52-V51)))</f>
        <v>315.56666666666678</v>
      </c>
      <c r="O52" s="13">
        <f>N52*VLOOKUP('Données projet'!$B$9,Paramètres!$A$1:$I$89,3,0)*VLOOKUP('Données projet'!$B$9,Paramètres!$A$1:$I$89,5,0)</f>
        <v>176.40176666666673</v>
      </c>
      <c r="P52" s="13">
        <f t="shared" si="33"/>
        <v>44.520707168717585</v>
      </c>
      <c r="Q52" s="20">
        <f t="shared" si="53"/>
        <v>384.77330859662766</v>
      </c>
      <c r="R52" s="59">
        <f t="shared" si="0"/>
        <v>678.10664192996092</v>
      </c>
      <c r="S52" s="59">
        <f ca="1">AVERAGE(OFFSET($R$3,0,0,'Données projet'!$E$9+1,1))-AVERAGE(OFFSET($H$3,0,0,'Données projet'!$E$9+1,1))</f>
        <v>293.82673322742102</v>
      </c>
      <c r="T52" s="59">
        <f t="shared" si="34"/>
        <v>138.78566015867693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13.717683791072801</v>
      </c>
      <c r="AA52" s="21">
        <f>EXP(-LN(2)/25)*AA51+(1-EXP(-LN(2)/25))/(LN(2)/25)*Calculateur!V52*Calculateur!X52*VLOOKUP('Données projet'!$B$9,Paramètres!$A$1:$I$89,3,0)*0.475*44/12</f>
        <v>18.590951345728268</v>
      </c>
      <c r="AB52" s="21">
        <f>EXP(-LN(2)/2)*AB51+(1-EXP(-LN(2)/2))/(LN(2)/2)*V52*Y52*VLOOKUP('Données projet'!$B$9,Paramètres!$A$1:$I$89,3,0)*0.475*44/12</f>
        <v>2.3030757858950888</v>
      </c>
      <c r="AC52" s="22">
        <f t="shared" si="3"/>
        <v>34.611710922696162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6.3784210526315785</v>
      </c>
      <c r="AI52" s="13">
        <f>IF('Données projet'!$A$62&gt;35,AI51+AH52-AQ51,IF(A52&lt;'Données projet'!$A$62,$AF$205^A52,IF(A52='Données projet'!$A$62,'Données projet'!$B$62,AI51+AH52-AQ51)))</f>
        <v>312.54263157894718</v>
      </c>
      <c r="AJ52" s="13">
        <f>AI52*VLOOKUP('Données projet'!$B$10,Paramètres!$A$1:$I$89,3,0)*VLOOKUP('Données projet'!$B$10,Paramètres!$A$1:$I$89,5,0)</f>
        <v>154.39605999999992</v>
      </c>
      <c r="AK52" s="13">
        <f t="shared" si="35"/>
        <v>39.575920331145795</v>
      </c>
      <c r="AL52" s="20">
        <f t="shared" si="4"/>
        <v>337.83453241007879</v>
      </c>
      <c r="AM52" s="59">
        <f t="shared" si="5"/>
        <v>631.16786574341211</v>
      </c>
      <c r="AN52" s="59">
        <f ca="1">AVERAGE(OFFSET($AM$3,0,0,'Données projet'!$E$10+1,1))-AVERAGE(OFFSET($H$3,0,0,'Données projet'!$E$10+1,1))</f>
        <v>265.57710796453807</v>
      </c>
      <c r="AO52" s="59">
        <f t="shared" si="36"/>
        <v>171.29436297508141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563.453051164111</v>
      </c>
      <c r="BI52" s="59">
        <f ca="1">AVERAGE(OFFSET($BH$3,0,0,'Données projet'!$E$11+1,1))-AVERAGE(OFFSET($H$3,0,0,'Données projet'!$E$11+1,1))</f>
        <v>175.05987582828078</v>
      </c>
      <c r="BJ52" s="59">
        <f t="shared" si="38"/>
        <v>268.54782308462387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66.887822684486935</v>
      </c>
      <c r="BQ52" s="21">
        <f>EXP(-LN(2)/25)*BQ51+(1-EXP(-LN(2)/25))/(LN(2)/25)*Calculateur!BL52*Calculateur!BN52*VLOOKUP('Données projet'!$B$11,Paramètres!$A$1:$I$89,3,0)*0.475*44/12</f>
        <v>25.483196644614374</v>
      </c>
      <c r="BR52" s="21">
        <f>EXP(-LN(2)/2)*BR51+(1-EXP(-LN(2)/2))/(LN(2)/2)*BL52*BO52*VLOOKUP('Données projet'!$B$11,Paramètres!$A$1:$I$89,3,0)*0.475*44/12</f>
        <v>7.4403604901460616</v>
      </c>
      <c r="BS52" s="22">
        <f t="shared" si="9"/>
        <v>99.811379819247364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13.08111111111111</v>
      </c>
      <c r="N53" s="13">
        <f>IF('Données projet'!$A$36&gt;35,N52+M53-V52,IF(A53&lt;'Données projet'!$A$36,$K$205^A53,IF(A53='Données projet'!$A$36,'Données projet'!$B$36,N52+M53-V52)))</f>
        <v>328.64777777777789</v>
      </c>
      <c r="O53" s="13">
        <f>N53*VLOOKUP('Données projet'!$B$9,Paramètres!$A$1:$I$89,3,0)*VLOOKUP('Données projet'!$B$9,Paramètres!$A$1:$I$89,5,0)</f>
        <v>183.71410777777783</v>
      </c>
      <c r="P53" s="13">
        <f t="shared" si="33"/>
        <v>46.147521932152173</v>
      </c>
      <c r="Q53" s="20">
        <f t="shared" si="53"/>
        <v>400.34233841146147</v>
      </c>
      <c r="R53" s="59">
        <f t="shared" si="0"/>
        <v>693.67567174479473</v>
      </c>
      <c r="S53" s="59">
        <f ca="1">AVERAGE(OFFSET($R$3,0,0,'Données projet'!$E$9+1,1))-AVERAGE(OFFSET($H$3,0,0,'Données projet'!$E$9+1,1))</f>
        <v>293.82673322742102</v>
      </c>
      <c r="T53" s="59">
        <f t="shared" si="34"/>
        <v>138.78566015867693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13.448688378890807</v>
      </c>
      <c r="AA53" s="21">
        <f>EXP(-LN(2)/25)*AA52+(1-EXP(-LN(2)/25))/(LN(2)/25)*Calculateur!V53*Calculateur!X53*VLOOKUP('Données projet'!$B$9,Paramètres!$A$1:$I$89,3,0)*0.475*44/12</f>
        <v>18.082580803523687</v>
      </c>
      <c r="AB53" s="21">
        <f>EXP(-LN(2)/2)*AB52+(1-EXP(-LN(2)/2))/(LN(2)/2)*V53*Y53*VLOOKUP('Données projet'!$B$9,Paramètres!$A$1:$I$89,3,0)*0.475*44/12</f>
        <v>1.6285205057929546</v>
      </c>
      <c r="AC53" s="22">
        <f t="shared" si="3"/>
        <v>33.159789688207447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6.3784210526315785</v>
      </c>
      <c r="AI53" s="13">
        <f>IF('Données projet'!$A$62&gt;35,AI52+AH53-AQ52,IF(A53&lt;'Données projet'!$A$62,$AF$205^A53,IF(A53='Données projet'!$A$62,'Données projet'!$B$62,AI52+AH53-AQ52)))</f>
        <v>318.92105263157873</v>
      </c>
      <c r="AJ53" s="13">
        <f>AI53*VLOOKUP('Données projet'!$B$10,Paramètres!$A$1:$I$89,3,0)*VLOOKUP('Données projet'!$B$10,Paramètres!$A$1:$I$89,5,0)</f>
        <v>157.54699999999988</v>
      </c>
      <c r="AK53" s="13">
        <f t="shared" si="35"/>
        <v>40.288737889027857</v>
      </c>
      <c r="AL53" s="20">
        <f t="shared" si="4"/>
        <v>344.5639101567233</v>
      </c>
      <c r="AM53" s="59">
        <f t="shared" si="5"/>
        <v>637.89724349005655</v>
      </c>
      <c r="AN53" s="59">
        <f ca="1">AVERAGE(OFFSET($AM$3,0,0,'Données projet'!$E$10+1,1))-AVERAGE(OFFSET($H$3,0,0,'Données projet'!$E$10+1,1))</f>
        <v>265.57710796453807</v>
      </c>
      <c r="AO53" s="59">
        <f t="shared" si="36"/>
        <v>171.29436297508141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576.50722204955696</v>
      </c>
      <c r="BI53" s="59">
        <f ca="1">AVERAGE(OFFSET($BH$3,0,0,'Données projet'!$E$11+1,1))-AVERAGE(OFFSET($H$3,0,0,'Données projet'!$E$11+1,1))</f>
        <v>175.05987582828078</v>
      </c>
      <c r="BJ53" s="59">
        <f t="shared" si="38"/>
        <v>268.54782308462387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65.576193279187564</v>
      </c>
      <c r="BQ53" s="21">
        <f>EXP(-LN(2)/25)*BQ52+(1-EXP(-LN(2)/25))/(LN(2)/25)*Calculateur!BL53*Calculateur!BN53*VLOOKUP('Données projet'!$B$11,Paramètres!$A$1:$I$89,3,0)*0.475*44/12</f>
        <v>24.786357292264324</v>
      </c>
      <c r="BR53" s="21">
        <f>EXP(-LN(2)/2)*BR52+(1-EXP(-LN(2)/2))/(LN(2)/2)*BL53*BO53*VLOOKUP('Données projet'!$B$11,Paramètres!$A$1:$I$89,3,0)*0.475*44/12</f>
        <v>5.2611293570547453</v>
      </c>
      <c r="BS53" s="22">
        <f t="shared" si="9"/>
        <v>95.623679928506633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13.08111111111111</v>
      </c>
      <c r="N54" s="13">
        <f>IF('Données projet'!$A$36&gt;35,N53+M54-V53,IF(A54&lt;'Données projet'!$A$36,$K$205^A54,IF(A54='Données projet'!$A$36,'Données projet'!$B$36,N53+M54-V53)))</f>
        <v>341.728888888889</v>
      </c>
      <c r="O54" s="13">
        <f>N54*VLOOKUP('Données projet'!$B$9,Paramètres!$A$1:$I$89,3,0)*VLOOKUP('Données projet'!$B$9,Paramètres!$A$1:$I$89,5,0)</f>
        <v>191.02644888888895</v>
      </c>
      <c r="P54" s="13">
        <f t="shared" si="33"/>
        <v>47.766814918063808</v>
      </c>
      <c r="Q54" s="20">
        <f t="shared" si="53"/>
        <v>415.89826779710933</v>
      </c>
      <c r="R54" s="59">
        <f t="shared" si="0"/>
        <v>709.23160113044264</v>
      </c>
      <c r="S54" s="59">
        <f ca="1">AVERAGE(OFFSET($R$3,0,0,'Données projet'!$E$9+1,1))-AVERAGE(OFFSET($H$3,0,0,'Données projet'!$E$9+1,1))</f>
        <v>293.82673322742102</v>
      </c>
      <c r="T54" s="59">
        <f t="shared" si="34"/>
        <v>138.78566015867693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13.184967802670702</v>
      </c>
      <c r="AA54" s="21">
        <f>EXP(-LN(2)/25)*AA53+(1-EXP(-LN(2)/25))/(LN(2)/25)*Calculateur!V54*Calculateur!X54*VLOOKUP('Données projet'!$B$9,Paramètres!$A$1:$I$89,3,0)*0.475*44/12</f>
        <v>17.588111680529735</v>
      </c>
      <c r="AB54" s="21">
        <f>EXP(-LN(2)/2)*AB53+(1-EXP(-LN(2)/2))/(LN(2)/2)*V54*Y54*VLOOKUP('Données projet'!$B$9,Paramètres!$A$1:$I$89,3,0)*0.475*44/12</f>
        <v>1.1515378929475446</v>
      </c>
      <c r="AC54" s="22">
        <f t="shared" si="3"/>
        <v>31.924617376147982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6.3784210526315785</v>
      </c>
      <c r="AI54" s="13">
        <f>IF('Données projet'!$A$62&gt;35,AI53+AH54-AQ53,IF(A54&lt;'Données projet'!$A$62,$AF$205^A54,IF(A54='Données projet'!$A$62,'Données projet'!$B$62,AI53+AH54-AQ53)))</f>
        <v>325.29947368421028</v>
      </c>
      <c r="AJ54" s="13">
        <f>AI54*VLOOKUP('Données projet'!$B$10,Paramètres!$A$1:$I$89,3,0)*VLOOKUP('Données projet'!$B$10,Paramètres!$A$1:$I$89,5,0)</f>
        <v>160.6979399999999</v>
      </c>
      <c r="AK54" s="13">
        <f t="shared" si="35"/>
        <v>40.999897820909226</v>
      </c>
      <c r="AL54" s="20">
        <f t="shared" si="4"/>
        <v>351.29040087141669</v>
      </c>
      <c r="AM54" s="59">
        <f t="shared" si="5"/>
        <v>644.62373420475001</v>
      </c>
      <c r="AN54" s="59">
        <f ca="1">AVERAGE(OFFSET($AM$3,0,0,'Données projet'!$E$10+1,1))-AVERAGE(OFFSET($H$3,0,0,'Données projet'!$E$10+1,1))</f>
        <v>265.57710796453807</v>
      </c>
      <c r="AO54" s="59">
        <f t="shared" si="36"/>
        <v>171.29436297508141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589.54791652714766</v>
      </c>
      <c r="BI54" s="59">
        <f ca="1">AVERAGE(OFFSET($BH$3,0,0,'Données projet'!$E$11+1,1))-AVERAGE(OFFSET($H$3,0,0,'Données projet'!$E$11+1,1))</f>
        <v>175.05987582828078</v>
      </c>
      <c r="BJ54" s="59">
        <f t="shared" si="38"/>
        <v>268.54782308462387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64.290284126511168</v>
      </c>
      <c r="BQ54" s="21">
        <f>EXP(-LN(2)/25)*BQ53+(1-EXP(-LN(2)/25))/(LN(2)/25)*Calculateur!BL54*Calculateur!BN54*VLOOKUP('Données projet'!$B$11,Paramètres!$A$1:$I$89,3,0)*0.475*44/12</f>
        <v>24.108573048649475</v>
      </c>
      <c r="BR54" s="21">
        <f>EXP(-LN(2)/2)*BR53+(1-EXP(-LN(2)/2))/(LN(2)/2)*BL54*BO54*VLOOKUP('Données projet'!$B$11,Paramètres!$A$1:$I$89,3,0)*0.475*44/12</f>
        <v>3.7201802450730317</v>
      </c>
      <c r="BS54" s="22">
        <f t="shared" si="9"/>
        <v>92.119037420233681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354.81</v>
      </c>
      <c r="L55" s="12">
        <f>VLOOKUP(A55,'Données projet'!$A$35:$I$55,9,0)</f>
        <v>13.08111111111111</v>
      </c>
      <c r="M55" s="12">
        <f t="array" ref="M55">INDEX(L:L,MIN(IF(ISNUMBER(L55:L251),ROW(L55:L251),"")))</f>
        <v>13.08111111111111</v>
      </c>
      <c r="N55" s="13">
        <f>IF('Données projet'!$A$36&gt;35,N54+M55-V54,IF(A55&lt;'Données projet'!$A$36,$K$205^A55,IF(A55='Données projet'!$A$36,'Données projet'!$B$36,N54+M55-V54)))</f>
        <v>354.81000000000012</v>
      </c>
      <c r="O55" s="13">
        <f>N55*VLOOKUP('Données projet'!$B$9,Paramètres!$A$1:$I$89,3,0)*VLOOKUP('Données projet'!$B$9,Paramètres!$A$1:$I$89,5,0)</f>
        <v>198.33879000000007</v>
      </c>
      <c r="P55" s="13">
        <f t="shared" si="33"/>
        <v>49.378907013416971</v>
      </c>
      <c r="Q55" s="20">
        <f t="shared" si="53"/>
        <v>431.44165563170139</v>
      </c>
      <c r="R55" s="59">
        <f t="shared" si="0"/>
        <v>724.77498896503471</v>
      </c>
      <c r="S55" s="59">
        <f ca="1">AVERAGE(OFFSET($R$3,0,0,'Données projet'!$E$9+1,1))-AVERAGE(OFFSET($H$3,0,0,'Données projet'!$E$9+1,1))</f>
        <v>293.82673322742102</v>
      </c>
      <c r="T55" s="59">
        <f t="shared" si="34"/>
        <v>138.78566015867693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61.259999999999991</v>
      </c>
      <c r="W55" s="16">
        <f>IF(ISNA(VLOOKUP(A55,'Données projet'!$A$35:$I$55,5,0)),0%,VLOOKUP(A55,'Données projet'!$A$35:$I$55,5,0)*VLOOKUP('Données projet'!$B$9,Paramètres!$A$1:$I$89,7,0))</f>
        <v>0.33</v>
      </c>
      <c r="X55" s="16">
        <f>IF(ISNA(VLOOKUP(A55,'Données projet'!$A$35:$I$55,6,0)),0%,VLOOKUP(A55,'Données projet'!$A$35:$I$55,6,0)*VLOOKUP('Données projet'!$B$9,Paramètres!$A$1:$I$89,7,0))</f>
        <v>0.11000000000000001</v>
      </c>
      <c r="Y55" s="16">
        <f>IF(ISNA(VLOOKUP(A55,'Données projet'!$A$35:$I$55,7,0)),0%,VLOOKUP(A55,'Données projet'!$A$35:$I$55,7,0))</f>
        <v>0.2</v>
      </c>
      <c r="Z55" s="21">
        <f>EXP(-LN(2)/35)*Z54+(1-EXP(-LN(2)/35))/(LN(2)/35)*V55*W55*VLOOKUP('Données projet'!$B$9,Paramètres!$A$1:$I$89,3,0)*0.475*44/12</f>
        <v>27.917435626612139</v>
      </c>
      <c r="AA55" s="21">
        <f>EXP(-LN(2)/25)*AA54+(1-EXP(-LN(2)/25))/(LN(2)/25)*Calculateur!V55*Calculateur!X55*VLOOKUP('Données projet'!$B$9,Paramètres!$A$1:$I$89,3,0)*0.475*44/12</f>
        <v>22.084494393226791</v>
      </c>
      <c r="AB55" s="21">
        <f>EXP(-LN(2)/2)*AB54+(1-EXP(-LN(2)/2))/(LN(2)/2)*V55*Y55*VLOOKUP('Données projet'!$B$9,Paramètres!$A$1:$I$89,3,0)*0.475*44/12</f>
        <v>8.5687698039919677</v>
      </c>
      <c r="AC55" s="22">
        <f t="shared" si="3"/>
        <v>58.5706998238309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6.3784210526315785</v>
      </c>
      <c r="AI55" s="13">
        <f>IF('Données projet'!$A$62&gt;35,AI54+AH55-AQ54,IF(A55&lt;'Données projet'!$A$62,$AF$205^A55,IF(A55='Données projet'!$A$62,'Données projet'!$B$62,AI54+AH55-AQ54)))</f>
        <v>331.67789473684184</v>
      </c>
      <c r="AJ55" s="13">
        <f>AI55*VLOOKUP('Données projet'!$B$10,Paramètres!$A$1:$I$89,3,0)*VLOOKUP('Données projet'!$B$10,Paramètres!$A$1:$I$89,5,0)</f>
        <v>163.84887999999987</v>
      </c>
      <c r="AK55" s="13">
        <f t="shared" si="35"/>
        <v>41.709436375858154</v>
      </c>
      <c r="AL55" s="20">
        <f t="shared" si="4"/>
        <v>358.01406768795272</v>
      </c>
      <c r="AM55" s="59">
        <f t="shared" si="5"/>
        <v>651.34740102128603</v>
      </c>
      <c r="AN55" s="59">
        <f ca="1">AVERAGE(OFFSET($AM$3,0,0,'Données projet'!$E$10+1,1))-AVERAGE(OFFSET($H$3,0,0,'Données projet'!$E$10+1,1))</f>
        <v>265.57710796453807</v>
      </c>
      <c r="AO55" s="59">
        <f t="shared" si="36"/>
        <v>171.29436297508141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602.57581162091196</v>
      </c>
      <c r="BI55" s="59">
        <f ca="1">AVERAGE(OFFSET($BH$3,0,0,'Données projet'!$E$11+1,1))-AVERAGE(OFFSET($H$3,0,0,'Données projet'!$E$11+1,1))</f>
        <v>175.05987582828078</v>
      </c>
      <c r="BJ55" s="59">
        <f t="shared" si="38"/>
        <v>268.54782308462387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63.029590867991615</v>
      </c>
      <c r="BQ55" s="21">
        <f>EXP(-LN(2)/25)*BQ54+(1-EXP(-LN(2)/25))/(LN(2)/25)*Calculateur!BL55*Calculateur!BN55*VLOOKUP('Données projet'!$B$11,Paramètres!$A$1:$I$89,3,0)*0.475*44/12</f>
        <v>23.449322850819399</v>
      </c>
      <c r="BR55" s="21">
        <f>EXP(-LN(2)/2)*BR54+(1-EXP(-LN(2)/2))/(LN(2)/2)*BL55*BO55*VLOOKUP('Données projet'!$B$11,Paramètres!$A$1:$I$89,3,0)*0.475*44/12</f>
        <v>2.6305646785273731</v>
      </c>
      <c r="BS55" s="22">
        <f t="shared" si="9"/>
        <v>89.109478397338393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11.968999999999999</v>
      </c>
      <c r="N56" s="13">
        <f>IF('Données projet'!$A$36&gt;35,N55+M56-V55,IF(A56&lt;'Données projet'!$A$36,$K$205^A56,IF(A56='Données projet'!$A$36,'Données projet'!$B$36,N55+M56-V55)))</f>
        <v>305.51900000000012</v>
      </c>
      <c r="O56" s="13">
        <f>N56*VLOOKUP('Données projet'!$B$9,Paramètres!$A$1:$I$89,3,0)*VLOOKUP('Données projet'!$B$9,Paramètres!$A$1:$I$89,5,0)</f>
        <v>170.78512100000006</v>
      </c>
      <c r="P56" s="13">
        <f t="shared" si="33"/>
        <v>43.26581738875408</v>
      </c>
      <c r="Q56" s="20">
        <f t="shared" si="53"/>
        <v>372.80538436041343</v>
      </c>
      <c r="R56" s="59">
        <f t="shared" si="0"/>
        <v>666.13871769374668</v>
      </c>
      <c r="S56" s="59">
        <f ca="1">AVERAGE(OFFSET($R$3,0,0,'Données projet'!$E$9+1,1))-AVERAGE(OFFSET($H$3,0,0,'Données projet'!$E$9+1,1))</f>
        <v>293.82673322742102</v>
      </c>
      <c r="T56" s="59">
        <f t="shared" si="34"/>
        <v>138.78566015867693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27.369991741928636</v>
      </c>
      <c r="AA56" s="21">
        <f>EXP(-LN(2)/25)*AA55+(1-EXP(-LN(2)/25))/(LN(2)/25)*Calculateur!V56*Calculateur!X56*VLOOKUP('Données projet'!$B$9,Paramètres!$A$1:$I$89,3,0)*0.475*44/12</f>
        <v>21.480592732670917</v>
      </c>
      <c r="AB56" s="21">
        <f>EXP(-LN(2)/2)*AB55+(1-EXP(-LN(2)/2))/(LN(2)/2)*V56*Y56*VLOOKUP('Données projet'!$B$9,Paramètres!$A$1:$I$89,3,0)*0.475*44/12</f>
        <v>6.0590352348292447</v>
      </c>
      <c r="AC56" s="22">
        <f t="shared" si="3"/>
        <v>54.909619709428803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6.3784210526315785</v>
      </c>
      <c r="AI56" s="13">
        <f>IF('Données projet'!$A$62&gt;35,AI55+AH56-AQ55,IF(A56&lt;'Données projet'!$A$62,$AF$205^A56,IF(A56='Données projet'!$A$62,'Données projet'!$B$62,AI55+AH56-AQ55)))</f>
        <v>338.05631578947339</v>
      </c>
      <c r="AJ56" s="13">
        <f>AI56*VLOOKUP('Données projet'!$B$10,Paramètres!$A$1:$I$89,3,0)*VLOOKUP('Données projet'!$B$10,Paramètres!$A$1:$I$89,5,0)</f>
        <v>166.99981999999986</v>
      </c>
      <c r="AK56" s="13">
        <f t="shared" si="35"/>
        <v>42.417388328983478</v>
      </c>
      <c r="AL56" s="20">
        <f t="shared" si="4"/>
        <v>364.73497117297933</v>
      </c>
      <c r="AM56" s="59">
        <f t="shared" si="5"/>
        <v>658.06830450631264</v>
      </c>
      <c r="AN56" s="59">
        <f ca="1">AVERAGE(OFFSET($AM$3,0,0,'Données projet'!$E$10+1,1))-AVERAGE(OFFSET($H$3,0,0,'Données projet'!$E$10+1,1))</f>
        <v>265.57710796453807</v>
      </c>
      <c r="AO56" s="59">
        <f t="shared" si="36"/>
        <v>171.29436297508141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615.59152263540977</v>
      </c>
      <c r="BI56" s="59">
        <f ca="1">AVERAGE(OFFSET($BH$3,0,0,'Données projet'!$E$11+1,1))-AVERAGE(OFFSET($H$3,0,0,'Données projet'!$E$11+1,1))</f>
        <v>175.05987582828078</v>
      </c>
      <c r="BJ56" s="59">
        <f t="shared" si="38"/>
        <v>268.54782308462387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61.793619035324674</v>
      </c>
      <c r="BQ56" s="21">
        <f>EXP(-LN(2)/25)*BQ55+(1-EXP(-LN(2)/25))/(LN(2)/25)*Calculateur!BL56*Calculateur!BN56*VLOOKUP('Données projet'!$B$11,Paramètres!$A$1:$I$89,3,0)*0.475*44/12</f>
        <v>22.80809988431745</v>
      </c>
      <c r="BR56" s="21">
        <f>EXP(-LN(2)/2)*BR55+(1-EXP(-LN(2)/2))/(LN(2)/2)*BL56*BO56*VLOOKUP('Données projet'!$B$11,Paramètres!$A$1:$I$89,3,0)*0.475*44/12</f>
        <v>1.8600901225365161</v>
      </c>
      <c r="BS56" s="22">
        <f t="shared" si="9"/>
        <v>86.461809042178643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11.968999999999999</v>
      </c>
      <c r="N57" s="13">
        <f>IF('Données projet'!$A$36&gt;35,N56+M57-V56,IF(A57&lt;'Données projet'!$A$36,$K$205^A57,IF(A57='Données projet'!$A$36,'Données projet'!$B$36,N56+M57-V56)))</f>
        <v>317.48800000000011</v>
      </c>
      <c r="O57" s="13">
        <f>N57*VLOOKUP('Données projet'!$B$9,Paramètres!$A$1:$I$89,3,0)*VLOOKUP('Données projet'!$B$9,Paramètres!$A$1:$I$89,5,0)</f>
        <v>177.47579200000007</v>
      </c>
      <c r="P57" s="13">
        <f t="shared" si="33"/>
        <v>44.760135635076743</v>
      </c>
      <c r="Q57" s="20">
        <f t="shared" si="53"/>
        <v>387.06090729775877</v>
      </c>
      <c r="R57" s="59">
        <f t="shared" si="0"/>
        <v>680.39424063109209</v>
      </c>
      <c r="S57" s="59">
        <f ca="1">AVERAGE(OFFSET($R$3,0,0,'Données projet'!$E$9+1,1))-AVERAGE(OFFSET($H$3,0,0,'Données projet'!$E$9+1,1))</f>
        <v>293.82673322742102</v>
      </c>
      <c r="T57" s="59">
        <f t="shared" si="34"/>
        <v>138.78566015867693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26.833282897915979</v>
      </c>
      <c r="AA57" s="21">
        <f>EXP(-LN(2)/25)*AA56+(1-EXP(-LN(2)/25))/(LN(2)/25)*Calculateur!V57*Calculateur!X57*VLOOKUP('Données projet'!$B$9,Paramètres!$A$1:$I$89,3,0)*0.475*44/12</f>
        <v>20.893204794780754</v>
      </c>
      <c r="AB57" s="21">
        <f>EXP(-LN(2)/2)*AB56+(1-EXP(-LN(2)/2))/(LN(2)/2)*V57*Y57*VLOOKUP('Données projet'!$B$9,Paramètres!$A$1:$I$89,3,0)*0.475*44/12</f>
        <v>4.2843849019959848</v>
      </c>
      <c r="AC57" s="22">
        <f t="shared" si="3"/>
        <v>52.010872594692721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6.3784210526315785</v>
      </c>
      <c r="AI57" s="13">
        <f>IF('Données projet'!$A$62&gt;35,AI56+AH57-AQ56,IF(A57&lt;'Données projet'!$A$62,$AF$205^A57,IF(A57='Données projet'!$A$62,'Données projet'!$B$62,AI56+AH57-AQ56)))</f>
        <v>344.43473684210494</v>
      </c>
      <c r="AJ57" s="13">
        <f>AI57*VLOOKUP('Données projet'!$B$10,Paramètres!$A$1:$I$89,3,0)*VLOOKUP('Données projet'!$B$10,Paramètres!$A$1:$I$89,5,0)</f>
        <v>170.15075999999985</v>
      </c>
      <c r="AK57" s="13">
        <f t="shared" si="35"/>
        <v>43.123787068029046</v>
      </c>
      <c r="AL57" s="20">
        <f t="shared" si="4"/>
        <v>371.45316947681698</v>
      </c>
      <c r="AM57" s="59">
        <f t="shared" si="5"/>
        <v>664.7865028101503</v>
      </c>
      <c r="AN57" s="59">
        <f ca="1">AVERAGE(OFFSET($AM$3,0,0,'Données projet'!$E$10+1,1))-AVERAGE(OFFSET($H$3,0,0,'Données projet'!$E$10+1,1))</f>
        <v>265.57710796453807</v>
      </c>
      <c r="AO57" s="59">
        <f t="shared" si="36"/>
        <v>171.29436297508141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628.59561110078062</v>
      </c>
      <c r="BI57" s="59">
        <f ca="1">AVERAGE(OFFSET($BH$3,0,0,'Données projet'!$E$11+1,1))-AVERAGE(OFFSET($H$3,0,0,'Données projet'!$E$11+1,1))</f>
        <v>175.05987582828078</v>
      </c>
      <c r="BJ57" s="59">
        <f t="shared" si="38"/>
        <v>268.54782308462387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60.58188385642795</v>
      </c>
      <c r="BQ57" s="21">
        <f>EXP(-LN(2)/25)*BQ56+(1-EXP(-LN(2)/25))/(LN(2)/25)*Calculateur!BL57*Calculateur!BN57*VLOOKUP('Données projet'!$B$11,Paramètres!$A$1:$I$89,3,0)*0.475*44/12</f>
        <v>22.184411193554944</v>
      </c>
      <c r="BR57" s="21">
        <f>EXP(-LN(2)/2)*BR56+(1-EXP(-LN(2)/2))/(LN(2)/2)*BL57*BO57*VLOOKUP('Données projet'!$B$11,Paramètres!$A$1:$I$89,3,0)*0.475*44/12</f>
        <v>1.3152823392636868</v>
      </c>
      <c r="BS57" s="22">
        <f t="shared" si="9"/>
        <v>84.081577389246576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11.968999999999999</v>
      </c>
      <c r="N58" s="13">
        <f>IF('Données projet'!$A$36&gt;35,N57+M58-V57,IF(A58&lt;'Données projet'!$A$36,$K$205^A58,IF(A58='Données projet'!$A$36,'Données projet'!$B$36,N57+M58-V57)))</f>
        <v>329.45700000000011</v>
      </c>
      <c r="O58" s="13">
        <f>N58*VLOOKUP('Données projet'!$B$9,Paramètres!$A$1:$I$89,3,0)*VLOOKUP('Données projet'!$B$9,Paramètres!$A$1:$I$89,5,0)</f>
        <v>184.16646300000008</v>
      </c>
      <c r="P58" s="13">
        <f t="shared" si="33"/>
        <v>46.247909286467753</v>
      </c>
      <c r="Q58" s="20">
        <f t="shared" si="53"/>
        <v>401.30503173226475</v>
      </c>
      <c r="R58" s="59">
        <f t="shared" si="0"/>
        <v>694.63836506559801</v>
      </c>
      <c r="S58" s="59">
        <f ca="1">AVERAGE(OFFSET($R$3,0,0,'Données projet'!$E$9+1,1))-AVERAGE(OFFSET($H$3,0,0,'Données projet'!$E$9+1,1))</f>
        <v>293.82673322742102</v>
      </c>
      <c r="T58" s="59">
        <f t="shared" si="34"/>
        <v>138.78566015867693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26.307098586974337</v>
      </c>
      <c r="AA58" s="21">
        <f>EXP(-LN(2)/25)*AA57+(1-EXP(-LN(2)/25))/(LN(2)/25)*Calculateur!V58*Calculateur!X58*VLOOKUP('Données projet'!$B$9,Paramètres!$A$1:$I$89,3,0)*0.475*44/12</f>
        <v>20.321879010941586</v>
      </c>
      <c r="AB58" s="21">
        <f>EXP(-LN(2)/2)*AB57+(1-EXP(-LN(2)/2))/(LN(2)/2)*V58*Y58*VLOOKUP('Données projet'!$B$9,Paramètres!$A$1:$I$89,3,0)*0.475*44/12</f>
        <v>3.0295176174146228</v>
      </c>
      <c r="AC58" s="22">
        <f t="shared" si="3"/>
        <v>49.658495215330547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6.3784210526315785</v>
      </c>
      <c r="AI58" s="13">
        <f>IF('Données projet'!$A$62&gt;35,AI57+AH58-AQ57,IF(A58&lt;'Données projet'!$A$62,$AF$205^A58,IF(A58='Données projet'!$A$62,'Données projet'!$B$62,AI57+AH58-AQ57)))</f>
        <v>350.81315789473649</v>
      </c>
      <c r="AJ58" s="13">
        <f>AI58*VLOOKUP('Données projet'!$B$10,Paramètres!$A$1:$I$89,3,0)*VLOOKUP('Données projet'!$B$10,Paramètres!$A$1:$I$89,5,0)</f>
        <v>173.30169999999981</v>
      </c>
      <c r="AK58" s="13">
        <f t="shared" si="35"/>
        <v>43.828664673371904</v>
      </c>
      <c r="AL58" s="20">
        <f t="shared" si="4"/>
        <v>378.16871847278907</v>
      </c>
      <c r="AM58" s="59">
        <f t="shared" si="5"/>
        <v>671.50205180612238</v>
      </c>
      <c r="AN58" s="59">
        <f ca="1">AVERAGE(OFFSET($AM$3,0,0,'Données projet'!$E$10+1,1))-AVERAGE(OFFSET($H$3,0,0,'Données projet'!$E$10+1,1))</f>
        <v>265.57710796453807</v>
      </c>
      <c r="AO58" s="59">
        <f t="shared" si="36"/>
        <v>171.29436297508141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641.58859142012534</v>
      </c>
      <c r="BI58" s="59">
        <f ca="1">AVERAGE(OFFSET($BH$3,0,0,'Données projet'!$E$11+1,1))-AVERAGE(OFFSET($H$3,0,0,'Données projet'!$E$11+1,1))</f>
        <v>175.05987582828078</v>
      </c>
      <c r="BJ58" s="59">
        <f t="shared" si="38"/>
        <v>268.54782308462387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59.393910065303913</v>
      </c>
      <c r="BQ58" s="21">
        <f>EXP(-LN(2)/25)*BQ57+(1-EXP(-LN(2)/25))/(LN(2)/25)*Calculateur!BL58*Calculateur!BN58*VLOOKUP('Données projet'!$B$11,Paramètres!$A$1:$I$89,3,0)*0.475*44/12</f>
        <v>21.577777302839703</v>
      </c>
      <c r="BR58" s="21">
        <f>EXP(-LN(2)/2)*BR57+(1-EXP(-LN(2)/2))/(LN(2)/2)*BL58*BO58*VLOOKUP('Données projet'!$B$11,Paramètres!$A$1:$I$89,3,0)*0.475*44/12</f>
        <v>0.93004506126825814</v>
      </c>
      <c r="BS58" s="22">
        <f t="shared" si="9"/>
        <v>81.901732429411879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11.968999999999999</v>
      </c>
      <c r="N59" s="13">
        <f>IF('Données projet'!$A$36&gt;35,N58+M59-V58,IF(A59&lt;'Données projet'!$A$36,$K$205^A59,IF(A59='Données projet'!$A$36,'Données projet'!$B$36,N58+M59-V58)))</f>
        <v>341.4260000000001</v>
      </c>
      <c r="O59" s="13">
        <f>N59*VLOOKUP('Données projet'!$B$9,Paramètres!$A$1:$I$89,3,0)*VLOOKUP('Données projet'!$B$9,Paramètres!$A$1:$I$89,5,0)</f>
        <v>190.85713400000006</v>
      </c>
      <c r="P59" s="13">
        <f t="shared" si="33"/>
        <v>47.72940333821991</v>
      </c>
      <c r="Q59" s="20">
        <f t="shared" si="53"/>
        <v>415.53821919739977</v>
      </c>
      <c r="R59" s="59">
        <f t="shared" si="0"/>
        <v>708.87155253073308</v>
      </c>
      <c r="S59" s="59">
        <f ca="1">AVERAGE(OFFSET($R$3,0,0,'Données projet'!$E$9+1,1))-AVERAGE(OFFSET($H$3,0,0,'Données projet'!$E$9+1,1))</f>
        <v>293.82673322742102</v>
      </c>
      <c r="T59" s="59">
        <f t="shared" si="34"/>
        <v>138.78566015867693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25.791232429429524</v>
      </c>
      <c r="AA59" s="21">
        <f>EXP(-LN(2)/25)*AA58+(1-EXP(-LN(2)/25))/(LN(2)/25)*Calculateur!V59*Calculateur!X59*VLOOKUP('Données projet'!$B$9,Paramètres!$A$1:$I$89,3,0)*0.475*44/12</f>
        <v>19.766176160706216</v>
      </c>
      <c r="AB59" s="21">
        <f>EXP(-LN(2)/2)*AB58+(1-EXP(-LN(2)/2))/(LN(2)/2)*V59*Y59*VLOOKUP('Données projet'!$B$9,Paramètres!$A$1:$I$89,3,0)*0.475*44/12</f>
        <v>2.1421924509979928</v>
      </c>
      <c r="AC59" s="22">
        <f t="shared" si="3"/>
        <v>47.699601041133732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6.3784210526315785</v>
      </c>
      <c r="AI59" s="13">
        <f>IF('Données projet'!$A$62&gt;35,AI58+AH59-AQ58,IF(A59&lt;'Données projet'!$A$62,$AF$205^A59,IF(A59='Données projet'!$A$62,'Données projet'!$B$62,AI58+AH59-AQ58)))</f>
        <v>357.19157894736804</v>
      </c>
      <c r="AJ59" s="13">
        <f>AI59*VLOOKUP('Données projet'!$B$10,Paramètres!$A$1:$I$89,3,0)*VLOOKUP('Données projet'!$B$10,Paramètres!$A$1:$I$89,5,0)</f>
        <v>176.45263999999983</v>
      </c>
      <c r="AK59" s="13">
        <f t="shared" si="35"/>
        <v>44.532051992038092</v>
      </c>
      <c r="AL59" s="20">
        <f t="shared" si="4"/>
        <v>384.88167188613278</v>
      </c>
      <c r="AM59" s="59">
        <f t="shared" si="5"/>
        <v>678.21500521946609</v>
      </c>
      <c r="AN59" s="59">
        <f ca="1">AVERAGE(OFFSET($AM$3,0,0,'Données projet'!$E$10+1,1))-AVERAGE(OFFSET($H$3,0,0,'Données projet'!$E$10+1,1))</f>
        <v>265.57710796453807</v>
      </c>
      <c r="AO59" s="59">
        <f t="shared" si="36"/>
        <v>171.29436297508141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654.57093647265822</v>
      </c>
      <c r="BI59" s="59">
        <f ca="1">AVERAGE(OFFSET($BH$3,0,0,'Données projet'!$E$11+1,1))-AVERAGE(OFFSET($H$3,0,0,'Données projet'!$E$11+1,1))</f>
        <v>175.05987582828078</v>
      </c>
      <c r="BJ59" s="59">
        <f t="shared" si="38"/>
        <v>268.54782308462387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58.22923171563135</v>
      </c>
      <c r="BQ59" s="21">
        <f>EXP(-LN(2)/25)*BQ58+(1-EXP(-LN(2)/25))/(LN(2)/25)*Calculateur!BL59*Calculateur!BN59*VLOOKUP('Données projet'!$B$11,Paramètres!$A$1:$I$89,3,0)*0.475*44/12</f>
        <v>20.987731847767559</v>
      </c>
      <c r="BR59" s="21">
        <f>EXP(-LN(2)/2)*BR58+(1-EXP(-LN(2)/2))/(LN(2)/2)*BL59*BO59*VLOOKUP('Données projet'!$B$11,Paramètres!$A$1:$I$89,3,0)*0.475*44/12</f>
        <v>0.65764116963184349</v>
      </c>
      <c r="BS59" s="22">
        <f t="shared" si="9"/>
        <v>79.87460473303075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11.968999999999999</v>
      </c>
      <c r="N60" s="13">
        <f>IF('Données projet'!$A$36&gt;35,N59+M60-V59,IF(A60&lt;'Données projet'!$A$36,$K$205^A60,IF(A60='Données projet'!$A$36,'Données projet'!$B$36,N59+M60-V59)))</f>
        <v>353.3950000000001</v>
      </c>
      <c r="O60" s="13">
        <f>N60*VLOOKUP('Données projet'!$B$9,Paramètres!$A$1:$I$89,3,0)*VLOOKUP('Données projet'!$B$9,Paramètres!$A$1:$I$89,5,0)</f>
        <v>197.54780500000007</v>
      </c>
      <c r="P60" s="13">
        <f t="shared" si="33"/>
        <v>49.204863152815349</v>
      </c>
      <c r="Q60" s="20">
        <f t="shared" si="53"/>
        <v>429.76089703282014</v>
      </c>
      <c r="R60" s="59">
        <f t="shared" si="0"/>
        <v>723.0942303661534</v>
      </c>
      <c r="S60" s="59">
        <f ca="1">AVERAGE(OFFSET($R$3,0,0,'Données projet'!$E$9+1,1))-AVERAGE(OFFSET($H$3,0,0,'Données projet'!$E$9+1,1))</f>
        <v>293.82673322742102</v>
      </c>
      <c r="T60" s="59">
        <f t="shared" si="34"/>
        <v>138.78566015867693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25.285482092586875</v>
      </c>
      <c r="AA60" s="21">
        <f>EXP(-LN(2)/25)*AA59+(1-EXP(-LN(2)/25))/(LN(2)/25)*Calculateur!V60*Calculateur!X60*VLOOKUP('Données projet'!$B$9,Paramètres!$A$1:$I$89,3,0)*0.475*44/12</f>
        <v>19.225669034133677</v>
      </c>
      <c r="AB60" s="21">
        <f>EXP(-LN(2)/2)*AB59+(1-EXP(-LN(2)/2))/(LN(2)/2)*V60*Y60*VLOOKUP('Données projet'!$B$9,Paramètres!$A$1:$I$89,3,0)*0.475*44/12</f>
        <v>1.5147588087073118</v>
      </c>
      <c r="AC60" s="22">
        <f t="shared" si="3"/>
        <v>46.025909935427862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>
        <f>VLOOKUP(A60,'Données projet'!$A$61:$I$81,2,0)</f>
        <v>363.57</v>
      </c>
      <c r="AG60" s="12">
        <f>VLOOKUP(A60,'Données projet'!$A$61:$I$81,9,0)</f>
        <v>6.3784210526315785</v>
      </c>
      <c r="AH60" s="12">
        <f t="array" ref="AH60">INDEX(AG:AG,MIN(IF(ISNUMBER(AG60:AG256),ROW(AG60:AG256),"")))</f>
        <v>6.3784210526315785</v>
      </c>
      <c r="AI60" s="13">
        <f>IF('Données projet'!$A$62&gt;35,AI59+AH60-AQ59,IF(A60&lt;'Données projet'!$A$62,$AF$205^A60,IF(A60='Données projet'!$A$62,'Données projet'!$B$62,AI59+AH60-AQ59)))</f>
        <v>363.5699999999996</v>
      </c>
      <c r="AJ60" s="13">
        <f>AI60*VLOOKUP('Données projet'!$B$10,Paramètres!$A$1:$I$89,3,0)*VLOOKUP('Données projet'!$B$10,Paramètres!$A$1:$I$89,5,0)</f>
        <v>179.60357999999982</v>
      </c>
      <c r="AK60" s="13">
        <f t="shared" si="35"/>
        <v>45.233978706281832</v>
      </c>
      <c r="AL60" s="20">
        <f t="shared" si="4"/>
        <v>391.59208141344055</v>
      </c>
      <c r="AM60" s="59">
        <f t="shared" si="5"/>
        <v>684.92541474677387</v>
      </c>
      <c r="AN60" s="59">
        <f ca="1">AVERAGE(OFFSET($AM$3,0,0,'Données projet'!$E$10+1,1))-AVERAGE(OFFSET($H$3,0,0,'Données projet'!$E$10+1,1))</f>
        <v>265.57710796453807</v>
      </c>
      <c r="AO60" s="59">
        <f t="shared" si="36"/>
        <v>171.29436297508141</v>
      </c>
      <c r="AP60" s="15">
        <f>IF(ISNA(VLOOKUP(A60,'Données projet'!$A$61:$I$81,3,0)),0,VLOOKUP(A60,'Données projet'!$A$61:$I$81,3,0))</f>
        <v>1</v>
      </c>
      <c r="AQ60" s="15">
        <f>IF(ISNA(VLOOKUP(A60,'Données projet'!$A$61:$I$81,4,0)),0,VLOOKUP(A60,'Données projet'!$A$61:$I$81,4,0))</f>
        <v>133.79</v>
      </c>
      <c r="AR60" s="16">
        <f>IF(ISNA(VLOOKUP(A60,'Données projet'!$A$61:$I$81,5,0)),0%,VLOOKUP(A60,'Données projet'!$A$61:$I$81,5,0)*VLOOKUP('Données projet'!$B$10,Paramètres!$A$1:$I$89,7,0))</f>
        <v>2.7500000000000004E-2</v>
      </c>
      <c r="AS60" s="16">
        <f>IF(ISNA(VLOOKUP(A60,'Données projet'!$A$61:$I$81,6,0)),0%,VLOOKUP(A60,'Données projet'!$A$61:$I$81,6,0)*VLOOKUP('Données projet'!$B$10,Paramètres!$A$1:$I$89,7,0))</f>
        <v>0.24750000000000003</v>
      </c>
      <c r="AT60" s="16">
        <f>IF(ISNA(VLOOKUP(A60,'Données projet'!$A$61:$I$81,7,0)),0%,VLOOKUP(A60,'Données projet'!$A$61:$I$81,7,0))</f>
        <v>0.45</v>
      </c>
      <c r="AU60" s="21">
        <f>EXP(-LN(2)/35)*AU59+(1-EXP(-LN(2)/35))/(LN(2)/35)*AQ60*AR60*VLOOKUP('Données projet'!$B$10,Paramètres!$A$1:$I$89,3,0)*0.475*44/12</f>
        <v>2.4110801796308841</v>
      </c>
      <c r="AV60" s="21">
        <f>EXP(-LN(2)/25)*AV59+(1-EXP(-LN(2)/25))/(LN(2)/25)*Calculateur!AQ60*Calculateur!AS60*VLOOKUP('Données projet'!$B$10,Paramètres!$A$1:$I$89,3,0)*0.475*44/12</f>
        <v>21.614281544430941</v>
      </c>
      <c r="AW60" s="21">
        <f>EXP(-LN(2)/2)*AW59+(1-EXP(-LN(2)/2))/(LN(2)/2)*AQ60*AT60*VLOOKUP('Données projet'!$B$10,Paramètres!$A$1:$I$89,3,0)*0.475*44/12</f>
        <v>33.674306124832448</v>
      </c>
      <c r="AX60" s="21">
        <f t="shared" si="6"/>
        <v>57.699667848894272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667.54308236906741</v>
      </c>
      <c r="BI60" s="59">
        <f ca="1">AVERAGE(OFFSET($BH$3,0,0,'Données projet'!$E$11+1,1))-AVERAGE(OFFSET($H$3,0,0,'Données projet'!$E$11+1,1))</f>
        <v>175.05987582828078</v>
      </c>
      <c r="BJ60" s="59">
        <f t="shared" si="38"/>
        <v>268.54782308462387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57.087391998012222</v>
      </c>
      <c r="BQ60" s="21">
        <f>EXP(-LN(2)/25)*BQ59+(1-EXP(-LN(2)/25))/(LN(2)/25)*Calculateur!BL60*Calculateur!BN60*VLOOKUP('Données projet'!$B$11,Paramètres!$A$1:$I$89,3,0)*0.475*44/12</f>
        <v>20.413821216693506</v>
      </c>
      <c r="BR60" s="21">
        <f>EXP(-LN(2)/2)*BR59+(1-EXP(-LN(2)/2))/(LN(2)/2)*BL60*BO60*VLOOKUP('Données projet'!$B$11,Paramètres!$A$1:$I$89,3,0)*0.475*44/12</f>
        <v>0.46502253063412918</v>
      </c>
      <c r="BS60" s="22">
        <f t="shared" si="9"/>
        <v>77.966235745339858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11.968999999999999</v>
      </c>
      <c r="N61" s="13">
        <f>IF('Données projet'!$A$36&gt;35,N60+M61-V60,IF(A61&lt;'Données projet'!$A$36,$K$205^A61,IF(A61='Données projet'!$A$36,'Données projet'!$B$36,N60+M61-V60)))</f>
        <v>365.36400000000009</v>
      </c>
      <c r="O61" s="13">
        <f>N61*VLOOKUP('Données projet'!$B$9,Paramètres!$A$1:$I$89,3,0)*VLOOKUP('Données projet'!$B$9,Paramètres!$A$1:$I$89,5,0)</f>
        <v>204.23847600000008</v>
      </c>
      <c r="P61" s="13">
        <f t="shared" si="33"/>
        <v>50.674516529672211</v>
      </c>
      <c r="Q61" s="20">
        <f t="shared" si="53"/>
        <v>443.97346198917921</v>
      </c>
      <c r="R61" s="59">
        <f t="shared" si="0"/>
        <v>737.30679532251247</v>
      </c>
      <c r="S61" s="59">
        <f ca="1">AVERAGE(OFFSET($R$3,0,0,'Données projet'!$E$9+1,1))-AVERAGE(OFFSET($H$3,0,0,'Données projet'!$E$9+1,1))</f>
        <v>293.82673322742102</v>
      </c>
      <c r="T61" s="59">
        <f t="shared" si="34"/>
        <v>138.78566015867693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24.789649211372467</v>
      </c>
      <c r="AA61" s="21">
        <f>EXP(-LN(2)/25)*AA60+(1-EXP(-LN(2)/25))/(LN(2)/25)*Calculateur!V61*Calculateur!X61*VLOOKUP('Données projet'!$B$9,Paramètres!$A$1:$I$89,3,0)*0.475*44/12</f>
        <v>18.699942103361298</v>
      </c>
      <c r="AB61" s="21">
        <f>EXP(-LN(2)/2)*AB60+(1-EXP(-LN(2)/2))/(LN(2)/2)*V61*Y61*VLOOKUP('Données projet'!$B$9,Paramètres!$A$1:$I$89,3,0)*0.475*44/12</f>
        <v>1.0710962254989966</v>
      </c>
      <c r="AC61" s="22">
        <f t="shared" si="3"/>
        <v>44.560687540232763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16.008750000000003</v>
      </c>
      <c r="AI61" s="13">
        <f>IF('Données projet'!$A$62&gt;35,AI60+AH61-AQ60,IF(A61&lt;'Données projet'!$A$62,$AF$205^A61,IF(A61='Données projet'!$A$62,'Données projet'!$B$62,AI60+AH61-AQ60)))</f>
        <v>245.78874999999962</v>
      </c>
      <c r="AJ61" s="13">
        <f>AI61*VLOOKUP('Données projet'!$B$10,Paramètres!$A$1:$I$89,3,0)*VLOOKUP('Données projet'!$B$10,Paramètres!$A$1:$I$89,5,0)</f>
        <v>121.41964249999982</v>
      </c>
      <c r="AK61" s="13">
        <f t="shared" si="35"/>
        <v>32.005880614620168</v>
      </c>
      <c r="AL61" s="20">
        <f t="shared" si="4"/>
        <v>267.21611942462982</v>
      </c>
      <c r="AM61" s="59">
        <f t="shared" si="5"/>
        <v>560.54945275796308</v>
      </c>
      <c r="AN61" s="59">
        <f ca="1">AVERAGE(OFFSET($AM$3,0,0,'Données projet'!$E$10+1,1))-AVERAGE(OFFSET($H$3,0,0,'Données projet'!$E$10+1,1))</f>
        <v>265.57710796453807</v>
      </c>
      <c r="AO61" s="59">
        <f t="shared" si="36"/>
        <v>171.29436297508141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2.3638003679220208</v>
      </c>
      <c r="AV61" s="21">
        <f>EXP(-LN(2)/25)*AV60+(1-EXP(-LN(2)/25))/(LN(2)/25)*Calculateur!AQ61*Calculateur!AS61*VLOOKUP('Données projet'!$B$10,Paramètres!$A$1:$I$89,3,0)*0.475*44/12</f>
        <v>21.023237878952809</v>
      </c>
      <c r="AW61" s="21">
        <f>EXP(-LN(2)/2)*AW60+(1-EXP(-LN(2)/2))/(LN(2)/2)*AQ61*AT61*VLOOKUP('Données projet'!$B$10,Paramètres!$A$1:$I$89,3,0)*0.475*44/12</f>
        <v>23.811330212620717</v>
      </c>
      <c r="AX61" s="21">
        <f t="shared" si="6"/>
        <v>47.198368459495548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680.50543251289582</v>
      </c>
      <c r="BI61" s="59">
        <f ca="1">AVERAGE(OFFSET($BH$3,0,0,'Données projet'!$E$11+1,1))-AVERAGE(OFFSET($H$3,0,0,'Données projet'!$E$11+1,1))</f>
        <v>175.05987582828078</v>
      </c>
      <c r="BJ61" s="59">
        <f t="shared" si="38"/>
        <v>268.54782308462387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55.967943060802142</v>
      </c>
      <c r="BQ61" s="21">
        <f>EXP(-LN(2)/25)*BQ60+(1-EXP(-LN(2)/25))/(LN(2)/25)*Calculateur!BL61*Calculateur!BN61*VLOOKUP('Données projet'!$B$11,Paramètres!$A$1:$I$89,3,0)*0.475*44/12</f>
        <v>19.85560420200682</v>
      </c>
      <c r="BR61" s="21">
        <f>EXP(-LN(2)/2)*BR60+(1-EXP(-LN(2)/2))/(LN(2)/2)*BL61*BO61*VLOOKUP('Données projet'!$B$11,Paramètres!$A$1:$I$89,3,0)*0.475*44/12</f>
        <v>0.3288205848159218</v>
      </c>
      <c r="BS61" s="22">
        <f t="shared" si="9"/>
        <v>76.152367847624873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11.968999999999999</v>
      </c>
      <c r="N62" s="13">
        <f>IF('Données projet'!$A$36&gt;35,N61+M62-V61,IF(A62&lt;'Données projet'!$A$36,$K$205^A62,IF(A62='Données projet'!$A$36,'Données projet'!$B$36,N61+M62-V61)))</f>
        <v>377.33300000000008</v>
      </c>
      <c r="O62" s="13">
        <f>N62*VLOOKUP('Données projet'!$B$9,Paramètres!$A$1:$I$89,3,0)*VLOOKUP('Données projet'!$B$9,Paramètres!$A$1:$I$89,5,0)</f>
        <v>210.92914700000006</v>
      </c>
      <c r="P62" s="13">
        <f t="shared" si="33"/>
        <v>52.138575496060348</v>
      </c>
      <c r="Q62" s="20">
        <f t="shared" si="53"/>
        <v>458.17628334730517</v>
      </c>
      <c r="R62" s="59">
        <f t="shared" si="0"/>
        <v>751.50961668063849</v>
      </c>
      <c r="S62" s="59">
        <f ca="1">AVERAGE(OFFSET($R$3,0,0,'Données projet'!$E$9+1,1))-AVERAGE(OFFSET($H$3,0,0,'Données projet'!$E$9+1,1))</f>
        <v>293.82673322742102</v>
      </c>
      <c r="T62" s="59">
        <f t="shared" si="34"/>
        <v>138.78566015867693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24.303539310530478</v>
      </c>
      <c r="AA62" s="21">
        <f>EXP(-LN(2)/25)*AA61+(1-EXP(-LN(2)/25))/(LN(2)/25)*Calculateur!V62*Calculateur!X62*VLOOKUP('Données projet'!$B$9,Paramètres!$A$1:$I$89,3,0)*0.475*44/12</f>
        <v>18.188591203157667</v>
      </c>
      <c r="AB62" s="21">
        <f>EXP(-LN(2)/2)*AB61+(1-EXP(-LN(2)/2))/(LN(2)/2)*V62*Y62*VLOOKUP('Données projet'!$B$9,Paramètres!$A$1:$I$89,3,0)*0.475*44/12</f>
        <v>0.75737940435365603</v>
      </c>
      <c r="AC62" s="22">
        <f t="shared" si="3"/>
        <v>43.249509918041802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16.008750000000003</v>
      </c>
      <c r="AI62" s="13">
        <f>IF('Données projet'!$A$62&gt;35,AI61+AH62-AQ61,IF(A62&lt;'Données projet'!$A$62,$AF$205^A62,IF(A62='Données projet'!$A$62,'Données projet'!$B$62,AI61+AH62-AQ61)))</f>
        <v>261.79749999999962</v>
      </c>
      <c r="AJ62" s="13">
        <f>AI62*VLOOKUP('Données projet'!$B$10,Paramètres!$A$1:$I$89,3,0)*VLOOKUP('Données projet'!$B$10,Paramètres!$A$1:$I$89,5,0)</f>
        <v>129.32796499999981</v>
      </c>
      <c r="AK62" s="13">
        <f t="shared" si="35"/>
        <v>33.84102496458258</v>
      </c>
      <c r="AL62" s="20">
        <f t="shared" si="4"/>
        <v>284.18599085498096</v>
      </c>
      <c r="AM62" s="59">
        <f t="shared" si="5"/>
        <v>577.51932418831427</v>
      </c>
      <c r="AN62" s="59">
        <f ca="1">AVERAGE(OFFSET($AM$3,0,0,'Données projet'!$E$10+1,1))-AVERAGE(OFFSET($H$3,0,0,'Données projet'!$E$10+1,1))</f>
        <v>265.57710796453807</v>
      </c>
      <c r="AO62" s="59">
        <f t="shared" si="36"/>
        <v>171.29436297508141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2.3174476844829308</v>
      </c>
      <c r="AV62" s="21">
        <f>EXP(-LN(2)/25)*AV61+(1-EXP(-LN(2)/25))/(LN(2)/25)*Calculateur!AQ62*Calculateur!AS62*VLOOKUP('Données projet'!$B$10,Paramètres!$A$1:$I$89,3,0)*0.475*44/12</f>
        <v>20.448356333588812</v>
      </c>
      <c r="AW62" s="21">
        <f>EXP(-LN(2)/2)*AW61+(1-EXP(-LN(2)/2))/(LN(2)/2)*AQ62*AT62*VLOOKUP('Données projet'!$B$10,Paramètres!$A$1:$I$89,3,0)*0.475*44/12</f>
        <v>16.837153062416228</v>
      </c>
      <c r="AX62" s="21">
        <f t="shared" si="6"/>
        <v>39.602957080487968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693.45836108953677</v>
      </c>
      <c r="BI62" s="59">
        <f ca="1">AVERAGE(OFFSET($BH$3,0,0,'Données projet'!$E$11+1,1))-AVERAGE(OFFSET($H$3,0,0,'Données projet'!$E$11+1,1))</f>
        <v>175.05987582828078</v>
      </c>
      <c r="BJ62" s="59">
        <f t="shared" si="38"/>
        <v>268.54782308462387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54.870445834454323</v>
      </c>
      <c r="BQ62" s="21">
        <f>EXP(-LN(2)/25)*BQ61+(1-EXP(-LN(2)/25))/(LN(2)/25)*Calculateur!BL62*Calculateur!BN62*VLOOKUP('Données projet'!$B$11,Paramètres!$A$1:$I$89,3,0)*0.475*44/12</f>
        <v>19.312651660942098</v>
      </c>
      <c r="BR62" s="21">
        <f>EXP(-LN(2)/2)*BR61+(1-EXP(-LN(2)/2))/(LN(2)/2)*BL62*BO62*VLOOKUP('Données projet'!$B$11,Paramètres!$A$1:$I$89,3,0)*0.475*44/12</f>
        <v>0.23251126531706462</v>
      </c>
      <c r="BS62" s="22">
        <f t="shared" si="9"/>
        <v>74.415608760713482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11.968999999999999</v>
      </c>
      <c r="N63" s="13">
        <f>IF('Données projet'!$A$36&gt;35,N62+M63-V62,IF(A63&lt;'Données projet'!$A$36,$K$205^A63,IF(A63='Données projet'!$A$36,'Données projet'!$B$36,N62+M63-V62)))</f>
        <v>389.30200000000008</v>
      </c>
      <c r="O63" s="13">
        <f>N63*VLOOKUP('Données projet'!$B$9,Paramètres!$A$1:$I$89,3,0)*VLOOKUP('Données projet'!$B$9,Paramètres!$A$1:$I$89,5,0)</f>
        <v>217.61981800000004</v>
      </c>
      <c r="P63" s="13">
        <f t="shared" si="33"/>
        <v>53.597237864402892</v>
      </c>
      <c r="Q63" s="20">
        <f t="shared" si="53"/>
        <v>472.36970563050181</v>
      </c>
      <c r="R63" s="59">
        <f t="shared" si="0"/>
        <v>765.70303896383507</v>
      </c>
      <c r="S63" s="59">
        <f ca="1">AVERAGE(OFFSET($R$3,0,0,'Données projet'!$E$9+1,1))-AVERAGE(OFFSET($H$3,0,0,'Données projet'!$E$9+1,1))</f>
        <v>293.82673322742102</v>
      </c>
      <c r="T63" s="59">
        <f t="shared" si="34"/>
        <v>138.78566015867693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23.826961728346237</v>
      </c>
      <c r="AA63" s="21">
        <f>EXP(-LN(2)/25)*AA62+(1-EXP(-LN(2)/25))/(LN(2)/25)*Calculateur!V63*Calculateur!X63*VLOOKUP('Données projet'!$B$9,Paramètres!$A$1:$I$89,3,0)*0.475*44/12</f>
        <v>17.69122322021088</v>
      </c>
      <c r="AB63" s="21">
        <f>EXP(-LN(2)/2)*AB62+(1-EXP(-LN(2)/2))/(LN(2)/2)*V63*Y63*VLOOKUP('Données projet'!$B$9,Paramètres!$A$1:$I$89,3,0)*0.475*44/12</f>
        <v>0.53554811274949843</v>
      </c>
      <c r="AC63" s="22">
        <f t="shared" si="3"/>
        <v>42.053733061306616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16.008750000000003</v>
      </c>
      <c r="AI63" s="13">
        <f>IF('Données projet'!$A$62&gt;35,AI62+AH63-AQ62,IF(A63&lt;'Données projet'!$A$62,$AF$205^A63,IF(A63='Données projet'!$A$62,'Données projet'!$B$62,AI62+AH63-AQ62)))</f>
        <v>277.80624999999964</v>
      </c>
      <c r="AJ63" s="13">
        <f>AI63*VLOOKUP('Données projet'!$B$10,Paramètres!$A$1:$I$89,3,0)*VLOOKUP('Données projet'!$B$10,Paramètres!$A$1:$I$89,5,0)</f>
        <v>137.23628749999983</v>
      </c>
      <c r="AK63" s="13">
        <f t="shared" si="35"/>
        <v>35.663144960575536</v>
      </c>
      <c r="AL63" s="20">
        <f t="shared" si="4"/>
        <v>301.13317820216884</v>
      </c>
      <c r="AM63" s="59">
        <f t="shared" si="5"/>
        <v>594.46651153550215</v>
      </c>
      <c r="AN63" s="59">
        <f ca="1">AVERAGE(OFFSET($AM$3,0,0,'Données projet'!$E$10+1,1))-AVERAGE(OFFSET($H$3,0,0,'Données projet'!$E$10+1,1))</f>
        <v>265.57710796453807</v>
      </c>
      <c r="AO63" s="59">
        <f t="shared" si="36"/>
        <v>171.29436297508141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2.2720039488937362</v>
      </c>
      <c r="AV63" s="21">
        <f>EXP(-LN(2)/25)*AV62+(1-EXP(-LN(2)/25))/(LN(2)/25)*Calculateur!AQ63*Calculateur!AS63*VLOOKUP('Données projet'!$B$10,Paramètres!$A$1:$I$89,3,0)*0.475*44/12</f>
        <v>19.889194954314501</v>
      </c>
      <c r="AW63" s="21">
        <f>EXP(-LN(2)/2)*AW62+(1-EXP(-LN(2)/2))/(LN(2)/2)*AQ63*AT63*VLOOKUP('Données projet'!$B$10,Paramètres!$A$1:$I$89,3,0)*0.475*44/12</f>
        <v>11.90566510631036</v>
      </c>
      <c r="AX63" s="21">
        <f t="shared" si="6"/>
        <v>34.066864009518596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706.4022160798072</v>
      </c>
      <c r="BI63" s="59">
        <f ca="1">AVERAGE(OFFSET($BH$3,0,0,'Données projet'!$E$11+1,1))-AVERAGE(OFFSET($H$3,0,0,'Données projet'!$E$11+1,1))</f>
        <v>175.05987582828078</v>
      </c>
      <c r="BJ63" s="59">
        <f t="shared" si="38"/>
        <v>268.54782308462387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0.36</v>
      </c>
      <c r="BN63" s="16">
        <f>IF(ISNA(VLOOKUP(A63,'Données projet'!$A$87:$I$107,6,0)),0%,VLOOKUP(A63,'Données projet'!$A$87:$I$107,6,0)*VLOOKUP('Données projet'!$B$11,Paramètres!$A$1:$I$89,7,0))</f>
        <v>0.12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144.38629939736921</v>
      </c>
      <c r="BQ63" s="21">
        <f>EXP(-LN(2)/25)*BQ62+(1-EXP(-LN(2)/25))/(LN(2)/25)*Calculateur!BL63*Calculateur!BN63*VLOOKUP('Données projet'!$B$11,Paramètres!$A$1:$I$89,3,0)*0.475*44/12</f>
        <v>48.862924514657642</v>
      </c>
      <c r="BR63" s="21">
        <f>EXP(-LN(2)/2)*BR62+(1-EXP(-LN(2)/2))/(LN(2)/2)*BL63*BO63*VLOOKUP('Données projet'!$B$11,Paramètres!$A$1:$I$89,3,0)*0.475*44/12</f>
        <v>43.120397874724048</v>
      </c>
      <c r="BS63" s="22">
        <f t="shared" si="9"/>
        <v>236.36962178675088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11.968999999999999</v>
      </c>
      <c r="N64" s="13">
        <f>IF('Données projet'!$A$36&gt;35,N63+M64-V63,IF(A64&lt;'Données projet'!$A$36,$K$205^A64,IF(A64='Données projet'!$A$36,'Données projet'!$B$36,N63+M64-V63)))</f>
        <v>401.27100000000007</v>
      </c>
      <c r="O64" s="13">
        <f>N64*VLOOKUP('Données projet'!$B$9,Paramètres!$A$1:$I$89,3,0)*VLOOKUP('Données projet'!$B$9,Paramètres!$A$1:$I$89,5,0)</f>
        <v>224.31048900000002</v>
      </c>
      <c r="P64" s="13">
        <f t="shared" si="33"/>
        <v>55.050688592681482</v>
      </c>
      <c r="Q64" s="20">
        <f t="shared" si="53"/>
        <v>486.55405097392025</v>
      </c>
      <c r="R64" s="59">
        <f t="shared" si="0"/>
        <v>779.88738430725357</v>
      </c>
      <c r="S64" s="59">
        <f ca="1">AVERAGE(OFFSET($R$3,0,0,'Données projet'!$E$9+1,1))-AVERAGE(OFFSET($H$3,0,0,'Données projet'!$E$9+1,1))</f>
        <v>293.82673322742102</v>
      </c>
      <c r="T64" s="59">
        <f t="shared" si="34"/>
        <v>138.78566015867693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23.359729541865008</v>
      </c>
      <c r="AA64" s="21">
        <f>EXP(-LN(2)/25)*AA63+(1-EXP(-LN(2)/25))/(LN(2)/25)*Calculateur!V64*Calculateur!X64*VLOOKUP('Données projet'!$B$9,Paramètres!$A$1:$I$89,3,0)*0.475*44/12</f>
        <v>17.207455790913219</v>
      </c>
      <c r="AB64" s="21">
        <f>EXP(-LN(2)/2)*AB63+(1-EXP(-LN(2)/2))/(LN(2)/2)*V64*Y64*VLOOKUP('Données projet'!$B$9,Paramètres!$A$1:$I$89,3,0)*0.475*44/12</f>
        <v>0.37868970217682807</v>
      </c>
      <c r="AC64" s="22">
        <f t="shared" si="3"/>
        <v>40.945875034955051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16.008750000000003</v>
      </c>
      <c r="AI64" s="13">
        <f>IF('Données projet'!$A$62&gt;35,AI63+AH64-AQ63,IF(A64&lt;'Données projet'!$A$62,$AF$205^A64,IF(A64='Données projet'!$A$62,'Données projet'!$B$62,AI63+AH64-AQ63)))</f>
        <v>293.81499999999966</v>
      </c>
      <c r="AJ64" s="13">
        <f>AI64*VLOOKUP('Données projet'!$B$10,Paramètres!$A$1:$I$89,3,0)*VLOOKUP('Données projet'!$B$10,Paramètres!$A$1:$I$89,5,0)</f>
        <v>145.14460999999983</v>
      </c>
      <c r="AK64" s="13">
        <f t="shared" si="35"/>
        <v>37.47307664873739</v>
      </c>
      <c r="AL64" s="20">
        <f t="shared" si="4"/>
        <v>318.05913757988395</v>
      </c>
      <c r="AM64" s="59">
        <f t="shared" si="5"/>
        <v>611.39247091321727</v>
      </c>
      <c r="AN64" s="59">
        <f ca="1">AVERAGE(OFFSET($AM$3,0,0,'Données projet'!$E$10+1,1))-AVERAGE(OFFSET($H$3,0,0,'Données projet'!$E$10+1,1))</f>
        <v>265.57710796453807</v>
      </c>
      <c r="AO64" s="59">
        <f t="shared" si="36"/>
        <v>171.29436297508141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2.2274513372415039</v>
      </c>
      <c r="AV64" s="21">
        <f>EXP(-LN(2)/25)*AV63+(1-EXP(-LN(2)/25))/(LN(2)/25)*Calculateur!AQ64*Calculateur!AS64*VLOOKUP('Données projet'!$B$10,Paramètres!$A$1:$I$89,3,0)*0.475*44/12</f>
        <v>19.345323872361465</v>
      </c>
      <c r="AW64" s="21">
        <f>EXP(-LN(2)/2)*AW63+(1-EXP(-LN(2)/2))/(LN(2)/2)*AQ64*AT64*VLOOKUP('Données projet'!$B$10,Paramètres!$A$1:$I$89,3,0)*0.475*44/12</f>
        <v>8.4185765312081156</v>
      </c>
      <c r="AX64" s="21">
        <f t="shared" si="6"/>
        <v>29.991351740811083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175.05987582828078</v>
      </c>
      <c r="BJ64" s="59">
        <f t="shared" si="38"/>
        <v>268.54782308462387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141.55497213313356</v>
      </c>
      <c r="BQ64" s="21">
        <f>EXP(-LN(2)/25)*BQ63+(1-EXP(-LN(2)/25))/(LN(2)/25)*Calculateur!BL64*Calculateur!BN64*VLOOKUP('Données projet'!$B$11,Paramètres!$A$1:$I$89,3,0)*0.475*44/12</f>
        <v>47.52676527421481</v>
      </c>
      <c r="BR64" s="21">
        <f>EXP(-LN(2)/2)*BR63+(1-EXP(-LN(2)/2))/(LN(2)/2)*BL64*BO64*VLOOKUP('Données projet'!$B$11,Paramètres!$A$1:$I$89,3,0)*0.475*44/12</f>
        <v>30.49072574467937</v>
      </c>
      <c r="BS64" s="22">
        <f t="shared" si="9"/>
        <v>219.57246315202775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413.24</v>
      </c>
      <c r="L65" s="12">
        <f>VLOOKUP(A65,'Données projet'!$A$35:$I$55,9,0)</f>
        <v>11.968999999999999</v>
      </c>
      <c r="M65" s="12">
        <f t="array" ref="M65">INDEX(L:L,MIN(IF(ISNUMBER(L65:L261),ROW(L65:L261),"")))</f>
        <v>11.968999999999999</v>
      </c>
      <c r="N65" s="13">
        <f>IF('Données projet'!$A$36&gt;35,N64+M65-V64,IF(A65&lt;'Données projet'!$A$36,$K$205^A65,IF(A65='Données projet'!$A$36,'Données projet'!$B$36,N64+M65-V64)))</f>
        <v>413.24000000000007</v>
      </c>
      <c r="O65" s="13">
        <f>N65*VLOOKUP('Données projet'!$B$9,Paramètres!$A$1:$I$89,3,0)*VLOOKUP('Données projet'!$B$9,Paramètres!$A$1:$I$89,5,0)</f>
        <v>231.00116000000003</v>
      </c>
      <c r="P65" s="13">
        <f t="shared" si="33"/>
        <v>56.499100977969647</v>
      </c>
      <c r="Q65" s="20">
        <f t="shared" si="53"/>
        <v>500.7296212032972</v>
      </c>
      <c r="R65" s="59">
        <f t="shared" si="0"/>
        <v>794.06295453663051</v>
      </c>
      <c r="S65" s="59">
        <f ca="1">AVERAGE(OFFSET($R$3,0,0,'Données projet'!$E$9+1,1))-AVERAGE(OFFSET($H$3,0,0,'Données projet'!$E$9+1,1))</f>
        <v>293.82673322742102</v>
      </c>
      <c r="T65" s="59">
        <f t="shared" si="34"/>
        <v>138.78566015867693</v>
      </c>
      <c r="U65" s="15">
        <f>IF(ISNA(VLOOKUP(A65,'Données projet'!$A$35:$I$55,3,0)),0,VLOOKUP(A65,'Données projet'!$A$35:$I$55,3,0))</f>
        <v>4</v>
      </c>
      <c r="V65" s="15">
        <f>IF(ISNA(VLOOKUP(A65,'Données projet'!$A$35:$I$55,4,0)),0,VLOOKUP(A65,'Données projet'!$A$35:$I$55,4,0))</f>
        <v>66.019999999999982</v>
      </c>
      <c r="W65" s="16">
        <f>IF(ISNA(VLOOKUP(A65,'Données projet'!$A$35:$I$55,5,0)),0%,VLOOKUP(A65,'Données projet'!$A$35:$I$55,5,0)*VLOOKUP('Données projet'!$B$9,Paramètres!$A$1:$I$89,7,0))</f>
        <v>0.33</v>
      </c>
      <c r="X65" s="16">
        <f>IF(ISNA(VLOOKUP(A65,'Données projet'!$A$35:$I$55,6,0)),0%,VLOOKUP(A65,'Données projet'!$A$35:$I$55,6,0)*VLOOKUP('Données projet'!$B$9,Paramètres!$A$1:$I$89,7,0))</f>
        <v>0.11000000000000001</v>
      </c>
      <c r="Y65" s="16">
        <f>IF(ISNA(VLOOKUP(A65,'Données projet'!$A$35:$I$55,7,0)),0%,VLOOKUP(A65,'Données projet'!$A$35:$I$55,7,0))</f>
        <v>0.2</v>
      </c>
      <c r="Z65" s="21">
        <f>EXP(-LN(2)/35)*Z64+(1-EXP(-LN(2)/35))/(LN(2)/35)*V65*W65*VLOOKUP('Données projet'!$B$9,Paramètres!$A$1:$I$89,3,0)*0.475*44/12</f>
        <v>39.057502496744583</v>
      </c>
      <c r="AA65" s="21">
        <f>EXP(-LN(2)/25)*AA64+(1-EXP(-LN(2)/25))/(LN(2)/25)*Calculateur!V65*Calculateur!X65*VLOOKUP('Données projet'!$B$9,Paramètres!$A$1:$I$89,3,0)*0.475*44/12</f>
        <v>22.100994105211637</v>
      </c>
      <c r="AB65" s="21">
        <f>EXP(-LN(2)/2)*AB64+(1-EXP(-LN(2)/2))/(LN(2)/2)*V65*Y65*VLOOKUP('Données projet'!$B$9,Paramètres!$A$1:$I$89,3,0)*0.475*44/12</f>
        <v>8.6248214047803025</v>
      </c>
      <c r="AC65" s="22">
        <f t="shared" si="3"/>
        <v>69.783318006736522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16.008750000000003</v>
      </c>
      <c r="AI65" s="13">
        <f>IF('Données projet'!$A$62&gt;35,AI64+AH65-AQ64,IF(A65&lt;'Données projet'!$A$62,$AF$205^A65,IF(A65='Données projet'!$A$62,'Données projet'!$B$62,AI64+AH65-AQ64)))</f>
        <v>309.82374999999968</v>
      </c>
      <c r="AJ65" s="13">
        <f>AI65*VLOOKUP('Données projet'!$B$10,Paramètres!$A$1:$I$89,3,0)*VLOOKUP('Données projet'!$B$10,Paramètres!$A$1:$I$89,5,0)</f>
        <v>153.05293249999986</v>
      </c>
      <c r="AK65" s="13">
        <f t="shared" si="35"/>
        <v>39.271559824448552</v>
      </c>
      <c r="AL65" s="20">
        <f t="shared" si="4"/>
        <v>334.96515746508095</v>
      </c>
      <c r="AM65" s="59">
        <f t="shared" si="5"/>
        <v>628.29849079841426</v>
      </c>
      <c r="AN65" s="59">
        <f ca="1">AVERAGE(OFFSET($AM$3,0,0,'Données projet'!$E$10+1,1))-AVERAGE(OFFSET($H$3,0,0,'Données projet'!$E$10+1,1))</f>
        <v>265.57710796453807</v>
      </c>
      <c r="AO65" s="59">
        <f t="shared" si="36"/>
        <v>171.29436297508141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2.1837723751293621</v>
      </c>
      <c r="AV65" s="21">
        <f>EXP(-LN(2)/25)*AV64+(1-EXP(-LN(2)/25))/(LN(2)/25)*Calculateur!AQ65*Calculateur!AS65*VLOOKUP('Données projet'!$B$10,Paramètres!$A$1:$I$89,3,0)*0.475*44/12</f>
        <v>18.816324973745374</v>
      </c>
      <c r="AW65" s="21">
        <f>EXP(-LN(2)/2)*AW64+(1-EXP(-LN(2)/2))/(LN(2)/2)*AQ65*AT65*VLOOKUP('Données projet'!$B$10,Paramètres!$A$1:$I$89,3,0)*0.475*44/12</f>
        <v>5.952832553155182</v>
      </c>
      <c r="AX65" s="21">
        <f t="shared" si="6"/>
        <v>26.952929902029918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175.05987582828078</v>
      </c>
      <c r="BJ65" s="59">
        <f t="shared" si="38"/>
        <v>268.54782308462387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138.77916546961043</v>
      </c>
      <c r="BQ65" s="21">
        <f>EXP(-LN(2)/25)*BQ64+(1-EXP(-LN(2)/25))/(LN(2)/25)*Calculateur!BL65*Calculateur!BN65*VLOOKUP('Données projet'!$B$11,Paramètres!$A$1:$I$89,3,0)*0.475*44/12</f>
        <v>46.227143378467446</v>
      </c>
      <c r="BR65" s="21">
        <f>EXP(-LN(2)/2)*BR64+(1-EXP(-LN(2)/2))/(LN(2)/2)*BL65*BO65*VLOOKUP('Données projet'!$B$11,Paramètres!$A$1:$I$89,3,0)*0.475*44/12</f>
        <v>21.560198937362028</v>
      </c>
      <c r="BS65" s="22">
        <f t="shared" si="9"/>
        <v>206.56650778543991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10.513</v>
      </c>
      <c r="N66" s="13">
        <f>IF('Données projet'!$A$36&gt;35,N65+M66-V65,IF(A66&lt;'Données projet'!$A$36,$K$205^A66,IF(A66='Données projet'!$A$36,'Données projet'!$B$36,N65+M66-V65)))</f>
        <v>357.73300000000006</v>
      </c>
      <c r="O66" s="13">
        <f>N66*VLOOKUP('Données projet'!$B$9,Paramètres!$A$1:$I$89,3,0)*VLOOKUP('Données projet'!$B$9,Paramètres!$A$1:$I$89,5,0)</f>
        <v>199.97274700000003</v>
      </c>
      <c r="P66" s="13">
        <f t="shared" si="33"/>
        <v>49.738178293347474</v>
      </c>
      <c r="Q66" s="20">
        <f t="shared" si="53"/>
        <v>434.91319488591353</v>
      </c>
      <c r="R66" s="59">
        <f t="shared" si="0"/>
        <v>728.24652821924678</v>
      </c>
      <c r="S66" s="59">
        <f ca="1">AVERAGE(OFFSET($R$3,0,0,'Données projet'!$E$9+1,1))-AVERAGE(OFFSET($H$3,0,0,'Données projet'!$E$9+1,1))</f>
        <v>293.82673322742102</v>
      </c>
      <c r="T66" s="59">
        <f t="shared" si="34"/>
        <v>138.78566015867693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38.291608695507648</v>
      </c>
      <c r="AA66" s="21">
        <f>EXP(-LN(2)/25)*AA65+(1-EXP(-LN(2)/25))/(LN(2)/25)*Calculateur!V66*Calculateur!X66*VLOOKUP('Données projet'!$B$9,Paramètres!$A$1:$I$89,3,0)*0.475*44/12</f>
        <v>21.496641259163859</v>
      </c>
      <c r="AB66" s="21">
        <f>EXP(-LN(2)/2)*AB65+(1-EXP(-LN(2)/2))/(LN(2)/2)*V66*Y66*VLOOKUP('Données projet'!$B$9,Paramètres!$A$1:$I$89,3,0)*0.475*44/12</f>
        <v>6.0986697018430371</v>
      </c>
      <c r="AC66" s="22">
        <f t="shared" si="3"/>
        <v>65.88691965651455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16.008750000000003</v>
      </c>
      <c r="AI66" s="13">
        <f>IF('Données projet'!$A$62&gt;35,AI65+AH66-AQ65,IF(A66&lt;'Données projet'!$A$62,$AF$205^A66,IF(A66='Données projet'!$A$62,'Données projet'!$B$62,AI65+AH66-AQ65)))</f>
        <v>325.8324999999997</v>
      </c>
      <c r="AJ66" s="13">
        <f>AI66*VLOOKUP('Données projet'!$B$10,Paramètres!$A$1:$I$89,3,0)*VLOOKUP('Données projet'!$B$10,Paramètres!$A$1:$I$89,5,0)</f>
        <v>160.96125499999985</v>
      </c>
      <c r="AK66" s="13">
        <f t="shared" si="35"/>
        <v>41.059253513745119</v>
      </c>
      <c r="AL66" s="20">
        <f t="shared" si="4"/>
        <v>351.8523856614392</v>
      </c>
      <c r="AM66" s="59">
        <f t="shared" si="5"/>
        <v>645.18571899477251</v>
      </c>
      <c r="AN66" s="59">
        <f ca="1">AVERAGE(OFFSET($AM$3,0,0,'Données projet'!$E$10+1,1))-AVERAGE(OFFSET($H$3,0,0,'Données projet'!$E$10+1,1))</f>
        <v>265.57710796453807</v>
      </c>
      <c r="AO66" s="59">
        <f t="shared" si="36"/>
        <v>171.29436297508141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2.1409499308227029</v>
      </c>
      <c r="AV66" s="21">
        <f>EXP(-LN(2)/25)*AV65+(1-EXP(-LN(2)/25))/(LN(2)/25)*Calculateur!AQ66*Calculateur!AS66*VLOOKUP('Données projet'!$B$10,Paramètres!$A$1:$I$89,3,0)*0.475*44/12</f>
        <v>18.30179157783078</v>
      </c>
      <c r="AW66" s="21">
        <f>EXP(-LN(2)/2)*AW65+(1-EXP(-LN(2)/2))/(LN(2)/2)*AQ66*AT66*VLOOKUP('Données projet'!$B$10,Paramètres!$A$1:$I$89,3,0)*0.475*44/12</f>
        <v>4.2092882656040587</v>
      </c>
      <c r="AX66" s="21">
        <f t="shared" si="6"/>
        <v>24.652029774257542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175.05987582828078</v>
      </c>
      <c r="BJ66" s="59">
        <f t="shared" si="38"/>
        <v>268.54782308462387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136.05779068168411</v>
      </c>
      <c r="BQ66" s="21">
        <f>EXP(-LN(2)/25)*BQ65+(1-EXP(-LN(2)/25))/(LN(2)/25)*Calculateur!BL66*Calculateur!BN66*VLOOKUP('Données projet'!$B$11,Paramètres!$A$1:$I$89,3,0)*0.475*44/12</f>
        <v>44.963059711803439</v>
      </c>
      <c r="BR66" s="21">
        <f>EXP(-LN(2)/2)*BR65+(1-EXP(-LN(2)/2))/(LN(2)/2)*BL66*BO66*VLOOKUP('Données projet'!$B$11,Paramètres!$A$1:$I$89,3,0)*0.475*44/12</f>
        <v>15.245362872339687</v>
      </c>
      <c r="BS66" s="22">
        <f t="shared" si="9"/>
        <v>196.26621326582722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10.513</v>
      </c>
      <c r="N67" s="13">
        <f>IF('Données projet'!$A$36&gt;35,N66+M67-V66,IF(A67&lt;'Données projet'!$A$36,$K$205^A67,IF(A67='Données projet'!$A$36,'Données projet'!$B$36,N66+M67-V66)))</f>
        <v>368.24600000000004</v>
      </c>
      <c r="O67" s="13">
        <f>N67*VLOOKUP('Données projet'!$B$9,Paramètres!$A$1:$I$89,3,0)*VLOOKUP('Données projet'!$B$9,Paramètres!$A$1:$I$89,5,0)</f>
        <v>205.84951400000003</v>
      </c>
      <c r="P67" s="13">
        <f t="shared" si="33"/>
        <v>51.027549042876508</v>
      </c>
      <c r="Q67" s="20">
        <f t="shared" ref="Q67:Q98" si="54">(O67+P67)*0.475*44/12</f>
        <v>447.39421813300993</v>
      </c>
      <c r="R67" s="59">
        <f t="shared" ref="R67:R130" si="55">Q67+(I67+J67)*44/12</f>
        <v>740.72755146634324</v>
      </c>
      <c r="S67" s="59">
        <f ca="1">AVERAGE(OFFSET($R$3,0,0,'Données projet'!$E$9+1,1))-AVERAGE(OFFSET($H$3,0,0,'Données projet'!$E$9+1,1))</f>
        <v>293.82673322742102</v>
      </c>
      <c r="T67" s="59">
        <f t="shared" si="34"/>
        <v>138.78566015867693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37.540733604563876</v>
      </c>
      <c r="AA67" s="21">
        <f>EXP(-LN(2)/25)*AA66+(1-EXP(-LN(2)/25))/(LN(2)/25)*Calculateur!V67*Calculateur!X67*VLOOKUP('Données projet'!$B$9,Paramètres!$A$1:$I$89,3,0)*0.475*44/12</f>
        <v>20.908814473472791</v>
      </c>
      <c r="AB67" s="21">
        <f>EXP(-LN(2)/2)*AB66+(1-EXP(-LN(2)/2))/(LN(2)/2)*V67*Y67*VLOOKUP('Données projet'!$B$9,Paramètres!$A$1:$I$89,3,0)*0.475*44/12</f>
        <v>4.3124107023901521</v>
      </c>
      <c r="AC67" s="22">
        <f t="shared" si="3"/>
        <v>62.761958780426824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16.008750000000003</v>
      </c>
      <c r="AI67" s="13">
        <f>IF('Données projet'!$A$62&gt;35,AI66+AH67-AQ66,IF(A67&lt;'Données projet'!$A$62,$AF$205^A67,IF(A67='Données projet'!$A$62,'Données projet'!$B$62,AI66+AH67-AQ66)))</f>
        <v>341.84124999999972</v>
      </c>
      <c r="AJ67" s="13">
        <f>AI67*VLOOKUP('Données projet'!$B$10,Paramètres!$A$1:$I$89,3,0)*VLOOKUP('Données projet'!$B$10,Paramètres!$A$1:$I$89,5,0)</f>
        <v>168.86957749999985</v>
      </c>
      <c r="AK67" s="13">
        <f t="shared" si="35"/>
        <v>42.836748325846649</v>
      </c>
      <c r="AL67" s="20">
        <f t="shared" si="4"/>
        <v>368.72185081334925</v>
      </c>
      <c r="AM67" s="59">
        <f t="shared" si="5"/>
        <v>662.05518414668256</v>
      </c>
      <c r="AN67" s="59">
        <f ca="1">AVERAGE(OFFSET($AM$3,0,0,'Données projet'!$E$10+1,1))-AVERAGE(OFFSET($H$3,0,0,'Données projet'!$E$10+1,1))</f>
        <v>265.57710796453807</v>
      </c>
      <c r="AO67" s="59">
        <f t="shared" si="36"/>
        <v>171.29436297508141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2.0989672085297855</v>
      </c>
      <c r="AV67" s="21">
        <f>EXP(-LN(2)/25)*AV66+(1-EXP(-LN(2)/25))/(LN(2)/25)*Calculateur!AQ67*Calculateur!AS67*VLOOKUP('Données projet'!$B$10,Paramètres!$A$1:$I$89,3,0)*0.475*44/12</f>
        <v>17.801328124685607</v>
      </c>
      <c r="AW67" s="21">
        <f>EXP(-LN(2)/2)*AW66+(1-EXP(-LN(2)/2))/(LN(2)/2)*AQ67*AT67*VLOOKUP('Données projet'!$B$10,Paramètres!$A$1:$I$89,3,0)*0.475*44/12</f>
        <v>2.9764162765775914</v>
      </c>
      <c r="AX67" s="21">
        <f t="shared" si="6"/>
        <v>22.876711609792984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175.05987582828078</v>
      </c>
      <c r="BJ67" s="59">
        <f t="shared" si="38"/>
        <v>268.54782308462387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133.3897803934743</v>
      </c>
      <c r="BQ67" s="21">
        <f>EXP(-LN(2)/25)*BQ66+(1-EXP(-LN(2)/25))/(LN(2)/25)*Calculateur!BL67*Calculateur!BN67*VLOOKUP('Données projet'!$B$11,Paramètres!$A$1:$I$89,3,0)*0.475*44/12</f>
        <v>43.733542479479631</v>
      </c>
      <c r="BR67" s="21">
        <f>EXP(-LN(2)/2)*BR66+(1-EXP(-LN(2)/2))/(LN(2)/2)*BL67*BO67*VLOOKUP('Données projet'!$B$11,Paramètres!$A$1:$I$89,3,0)*0.475*44/12</f>
        <v>10.780099468681016</v>
      </c>
      <c r="BS67" s="22">
        <f t="shared" si="9"/>
        <v>187.90342234163495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10.513</v>
      </c>
      <c r="N68" s="13">
        <f>IF('Données projet'!$A$36&gt;35,N67+M68-V67,IF(A68&lt;'Données projet'!$A$36,$K$205^A68,IF(A68='Données projet'!$A$36,'Données projet'!$B$36,N67+M68-V67)))</f>
        <v>378.75900000000001</v>
      </c>
      <c r="O68" s="13">
        <f>N68*VLOOKUP('Données projet'!$B$9,Paramètres!$A$1:$I$89,3,0)*VLOOKUP('Données projet'!$B$9,Paramètres!$A$1:$I$89,5,0)</f>
        <v>211.72628100000003</v>
      </c>
      <c r="P68" s="13">
        <f t="shared" si="33"/>
        <v>52.312641599511544</v>
      </c>
      <c r="Q68" s="20">
        <f t="shared" si="54"/>
        <v>459.86779019414934</v>
      </c>
      <c r="R68" s="59">
        <f t="shared" si="55"/>
        <v>753.20112352748265</v>
      </c>
      <c r="S68" s="59">
        <f ca="1">AVERAGE(OFFSET($R$3,0,0,'Données projet'!$E$9+1,1))-AVERAGE(OFFSET($H$3,0,0,'Données projet'!$E$9+1,1))</f>
        <v>293.82673322742102</v>
      </c>
      <c r="T68" s="59">
        <f t="shared" si="34"/>
        <v>138.78566015867693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36.80458271616493</v>
      </c>
      <c r="AA68" s="21">
        <f>EXP(-LN(2)/25)*AA67+(1-EXP(-LN(2)/25))/(LN(2)/25)*Calculateur!V68*Calculateur!X68*VLOOKUP('Données projet'!$B$9,Paramètres!$A$1:$I$89,3,0)*0.475*44/12</f>
        <v>20.337061842148913</v>
      </c>
      <c r="AB68" s="21">
        <f>EXP(-LN(2)/2)*AB67+(1-EXP(-LN(2)/2))/(LN(2)/2)*V68*Y68*VLOOKUP('Données projet'!$B$9,Paramètres!$A$1:$I$89,3,0)*0.475*44/12</f>
        <v>3.049334850921519</v>
      </c>
      <c r="AC68" s="22">
        <f t="shared" ref="AC68:AC131" si="57">SUM(Z68:AB68)</f>
        <v>60.190979409235361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357.85</v>
      </c>
      <c r="AG68" s="12">
        <f>VLOOKUP(A68,'Données projet'!$A$61:$I$81,9,0)</f>
        <v>16.008750000000003</v>
      </c>
      <c r="AH68" s="12">
        <f t="array" ref="AH68">INDEX(AG:AG,MIN(IF(ISNUMBER(AG68:AG264),ROW(AG68:AG264),"")))</f>
        <v>16.008750000000003</v>
      </c>
      <c r="AI68" s="13">
        <f>IF('Données projet'!$A$62&gt;35,AI67+AH68-AQ67,IF(A68&lt;'Données projet'!$A$62,$AF$205^A68,IF(A68='Données projet'!$A$62,'Données projet'!$B$62,AI67+AH68-AQ67)))</f>
        <v>357.84999999999974</v>
      </c>
      <c r="AJ68" s="13">
        <f>AI68*VLOOKUP('Données projet'!$B$10,Paramètres!$A$1:$I$89,3,0)*VLOOKUP('Données projet'!$B$10,Paramètres!$A$1:$I$89,5,0)</f>
        <v>176.77789999999987</v>
      </c>
      <c r="AK68" s="13">
        <f t="shared" si="35"/>
        <v>44.604576426258369</v>
      </c>
      <c r="AL68" s="20">
        <f t="shared" ref="AL68:AL131" si="58">(AJ68+AK68)*0.475*44/12</f>
        <v>385.5744797757331</v>
      </c>
      <c r="AM68" s="59">
        <f t="shared" ref="AM68:AM131" si="59">AL68+(AD68+AE68)*44/12</f>
        <v>678.90781310906641</v>
      </c>
      <c r="AN68" s="59">
        <f ca="1">AVERAGE(OFFSET($AM$3,0,0,'Données projet'!$E$10+1,1))-AVERAGE(OFFSET($H$3,0,0,'Données projet'!$E$10+1,1))</f>
        <v>265.57710796453807</v>
      </c>
      <c r="AO68" s="59">
        <f t="shared" si="36"/>
        <v>171.29436297508141</v>
      </c>
      <c r="AP68" s="15">
        <f>IF(ISNA(VLOOKUP(A68,'Données projet'!$A$61:$I$81,3,0)),0,VLOOKUP(A68,'Données projet'!$A$61:$I$81,3,0))</f>
        <v>2</v>
      </c>
      <c r="AQ68" s="15">
        <f>IF(ISNA(VLOOKUP(A68,'Données projet'!$A$61:$I$81,4,0)),0,VLOOKUP(A68,'Données projet'!$A$61:$I$81,4,0))</f>
        <v>86.340000000000032</v>
      </c>
      <c r="AR68" s="16">
        <f>IF(ISNA(VLOOKUP(A68,'Données projet'!$A$61:$I$81,5,0)),0%,VLOOKUP(A68,'Données projet'!$A$61:$I$81,5,0)*VLOOKUP('Données projet'!$B$10,Paramètres!$A$1:$I$89,7,0))</f>
        <v>2.7500000000000004E-2</v>
      </c>
      <c r="AS68" s="16">
        <f>IF(ISNA(VLOOKUP(A68,'Données projet'!$A$61:$I$81,6,0)),0%,VLOOKUP(A68,'Données projet'!$A$61:$I$81,6,0)*VLOOKUP('Données projet'!$B$10,Paramètres!$A$1:$I$89,7,0))</f>
        <v>0.24750000000000003</v>
      </c>
      <c r="AT68" s="16">
        <f>IF(ISNA(VLOOKUP(A68,'Données projet'!$A$61:$I$81,7,0)),0%,VLOOKUP(A68,'Données projet'!$A$61:$I$81,7,0))</f>
        <v>0.45</v>
      </c>
      <c r="AU68" s="21">
        <f>EXP(-LN(2)/35)*AU67+(1-EXP(-LN(2)/35))/(LN(2)/35)*AQ68*AR68*VLOOKUP('Données projet'!$B$10,Paramètres!$A$1:$I$89,3,0)*0.475*44/12</f>
        <v>3.6137735293118993</v>
      </c>
      <c r="AV68" s="21">
        <f>EXP(-LN(2)/25)*AV67+(1-EXP(-LN(2)/25))/(LN(2)/25)*Calculateur!AQ68*Calculateur!AS68*VLOOKUP('Données projet'!$B$10,Paramètres!$A$1:$I$89,3,0)*0.475*44/12</f>
        <v>31.263104086891701</v>
      </c>
      <c r="AW68" s="21">
        <f>EXP(-LN(2)/2)*AW67+(1-EXP(-LN(2)/2))/(LN(2)/2)*AQ68*AT68*VLOOKUP('Données projet'!$B$10,Paramètres!$A$1:$I$89,3,0)*0.475*44/12</f>
        <v>23.836011131965154</v>
      </c>
      <c r="AX68" s="21">
        <f t="shared" ref="AX68:AX131" si="60">SUM(AU68:AW68)</f>
        <v>58.712888748168751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175.05987582828078</v>
      </c>
      <c r="BJ68" s="59">
        <f t="shared" si="38"/>
        <v>268.54782308462387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130.77408815969071</v>
      </c>
      <c r="BQ68" s="21">
        <f>EXP(-LN(2)/25)*BQ67+(1-EXP(-LN(2)/25))/(LN(2)/25)*Calculateur!BL68*Calculateur!BN68*VLOOKUP('Données projet'!$B$11,Paramètres!$A$1:$I$89,3,0)*0.475*44/12</f>
        <v>42.537646460531214</v>
      </c>
      <c r="BR68" s="21">
        <f>EXP(-LN(2)/2)*BR67+(1-EXP(-LN(2)/2))/(LN(2)/2)*BL68*BO68*VLOOKUP('Données projet'!$B$11,Paramètres!$A$1:$I$89,3,0)*0.475*44/12</f>
        <v>7.6226814361698443</v>
      </c>
      <c r="BS68" s="22">
        <f t="shared" ref="BS68:BS131" si="63">SUM(BP68:BR68)</f>
        <v>180.93441605639177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10.513</v>
      </c>
      <c r="N69" s="13">
        <f>IF('Données projet'!$A$36&gt;35,N68+M69-V68,IF(A69&lt;'Données projet'!$A$36,$K$205^A69,IF(A69='Données projet'!$A$36,'Données projet'!$B$36,N68+M69-V68)))</f>
        <v>389.27199999999999</v>
      </c>
      <c r="O69" s="13">
        <f>N69*VLOOKUP('Données projet'!$B$9,Paramètres!$A$1:$I$89,3,0)*VLOOKUP('Données projet'!$B$9,Paramètres!$A$1:$I$89,5,0)</f>
        <v>217.603048</v>
      </c>
      <c r="P69" s="13">
        <f t="shared" ref="P69:P132" si="87">EXP(-1.0587+0.8836*LN(O69)+0.284)</f>
        <v>53.593588353345908</v>
      </c>
      <c r="Q69" s="20">
        <f t="shared" si="54"/>
        <v>472.33414164874415</v>
      </c>
      <c r="R69" s="59">
        <f t="shared" si="55"/>
        <v>765.66747498207747</v>
      </c>
      <c r="S69" s="59">
        <f ca="1">AVERAGE(OFFSET($R$3,0,0,'Données projet'!$E$9+1,1))-AVERAGE(OFFSET($H$3,0,0,'Données projet'!$E$9+1,1))</f>
        <v>293.82673322742102</v>
      </c>
      <c r="T69" s="59">
        <f t="shared" ref="T69:T132" si="88">$T$3</f>
        <v>138.78566015867693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36.082867297679776</v>
      </c>
      <c r="AA69" s="21">
        <f>EXP(-LN(2)/25)*AA68+(1-EXP(-LN(2)/25))/(LN(2)/25)*Calculateur!V69*Calculateur!X69*VLOOKUP('Données projet'!$B$9,Paramètres!$A$1:$I$89,3,0)*0.475*44/12</f>
        <v>19.780943816595748</v>
      </c>
      <c r="AB69" s="21">
        <f>EXP(-LN(2)/2)*AB68+(1-EXP(-LN(2)/2))/(LN(2)/2)*V69*Y69*VLOOKUP('Données projet'!$B$9,Paramètres!$A$1:$I$89,3,0)*0.475*44/12</f>
        <v>2.1562053511950761</v>
      </c>
      <c r="AC69" s="22">
        <f t="shared" si="57"/>
        <v>58.020016465470597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15.755000000000003</v>
      </c>
      <c r="AI69" s="13">
        <f>IF('Données projet'!$A$62&gt;35,AI68+AH69-AQ68,IF(A69&lt;'Données projet'!$A$62,$AF$205^A69,IF(A69='Données projet'!$A$62,'Données projet'!$B$62,AI68+AH69-AQ68)))</f>
        <v>287.2649999999997</v>
      </c>
      <c r="AJ69" s="13">
        <f>AI69*VLOOKUP('Données projet'!$B$10,Paramètres!$A$1:$I$89,3,0)*VLOOKUP('Données projet'!$B$10,Paramètres!$A$1:$I$89,5,0)</f>
        <v>141.90890999999988</v>
      </c>
      <c r="AK69" s="13">
        <f t="shared" ref="AK69:AK132" si="89">EXP(-1.0587+0.8836*LN(AJ69)+0.284)</f>
        <v>36.733964690612822</v>
      </c>
      <c r="AL69" s="20">
        <f t="shared" si="58"/>
        <v>311.13634008615043</v>
      </c>
      <c r="AM69" s="59">
        <f t="shared" si="59"/>
        <v>604.4696734194838</v>
      </c>
      <c r="AN69" s="59">
        <f ca="1">AVERAGE(OFFSET($AM$3,0,0,'Données projet'!$E$10+1,1))-AVERAGE(OFFSET($H$3,0,0,'Données projet'!$E$10+1,1))</f>
        <v>265.57710796453807</v>
      </c>
      <c r="AO69" s="59">
        <f t="shared" ref="AO69:AO132" si="90">$AO$3</f>
        <v>171.29436297508141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3.5429096345863007</v>
      </c>
      <c r="AV69" s="21">
        <f>EXP(-LN(2)/25)*AV68+(1-EXP(-LN(2)/25))/(LN(2)/25)*Calculateur!AQ69*Calculateur!AS69*VLOOKUP('Données projet'!$B$10,Paramètres!$A$1:$I$89,3,0)*0.475*44/12</f>
        <v>30.408212861580456</v>
      </c>
      <c r="AW69" s="21">
        <f>EXP(-LN(2)/2)*AW68+(1-EXP(-LN(2)/2))/(LN(2)/2)*AQ69*AT69*VLOOKUP('Données projet'!$B$10,Paramètres!$A$1:$I$89,3,0)*0.475*44/12</f>
        <v>16.854605107850595</v>
      </c>
      <c r="AX69" s="21">
        <f t="shared" si="60"/>
        <v>50.805727604017349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175.05987582828078</v>
      </c>
      <c r="BJ69" s="59">
        <f t="shared" ref="BJ69:BJ132" si="92">$BJ$3</f>
        <v>268.54782308462387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128.20968805519686</v>
      </c>
      <c r="BQ69" s="21">
        <f>EXP(-LN(2)/25)*BQ68+(1-EXP(-LN(2)/25))/(LN(2)/25)*Calculateur!BL69*Calculateur!BN69*VLOOKUP('Données projet'!$B$11,Paramètres!$A$1:$I$89,3,0)*0.475*44/12</f>
        <v>41.374452281110379</v>
      </c>
      <c r="BR69" s="21">
        <f>EXP(-LN(2)/2)*BR68+(1-EXP(-LN(2)/2))/(LN(2)/2)*BL69*BO69*VLOOKUP('Données projet'!$B$11,Paramètres!$A$1:$I$89,3,0)*0.475*44/12</f>
        <v>5.3900497343405087</v>
      </c>
      <c r="BS69" s="22">
        <f t="shared" si="63"/>
        <v>174.97419007064778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10.513</v>
      </c>
      <c r="N70" s="13">
        <f>IF('Données projet'!$A$36&gt;35,N69+M70-V69,IF(A70&lt;'Données projet'!$A$36,$K$205^A70,IF(A70='Données projet'!$A$36,'Données projet'!$B$36,N69+M70-V69)))</f>
        <v>399.78499999999997</v>
      </c>
      <c r="O70" s="13">
        <f>N70*VLOOKUP('Données projet'!$B$9,Paramètres!$A$1:$I$89,3,0)*VLOOKUP('Données projet'!$B$9,Paramètres!$A$1:$I$89,5,0)</f>
        <v>223.479815</v>
      </c>
      <c r="P70" s="13">
        <f t="shared" si="87"/>
        <v>54.870514136526637</v>
      </c>
      <c r="Q70" s="20">
        <f t="shared" si="54"/>
        <v>484.79348991278385</v>
      </c>
      <c r="R70" s="59">
        <f t="shared" si="55"/>
        <v>778.12682324611717</v>
      </c>
      <c r="S70" s="59">
        <f ca="1">AVERAGE(OFFSET($R$3,0,0,'Données projet'!$E$9+1,1))-AVERAGE(OFFSET($H$3,0,0,'Données projet'!$E$9+1,1))</f>
        <v>293.82673322742102</v>
      </c>
      <c r="T70" s="59">
        <f t="shared" si="88"/>
        <v>138.78566015867693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35.375304278348182</v>
      </c>
      <c r="AA70" s="21">
        <f>EXP(-LN(2)/25)*AA69+(1-EXP(-LN(2)/25))/(LN(2)/25)*Calculateur!V70*Calculateur!X70*VLOOKUP('Données projet'!$B$9,Paramètres!$A$1:$I$89,3,0)*0.475*44/12</f>
        <v>19.240032867696311</v>
      </c>
      <c r="AB70" s="21">
        <f>EXP(-LN(2)/2)*AB69+(1-EXP(-LN(2)/2))/(LN(2)/2)*V70*Y70*VLOOKUP('Données projet'!$B$9,Paramètres!$A$1:$I$89,3,0)*0.475*44/12</f>
        <v>1.5246674254607595</v>
      </c>
      <c r="AC70" s="22">
        <f t="shared" si="57"/>
        <v>56.140004571505258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15.755000000000003</v>
      </c>
      <c r="AI70" s="13">
        <f>IF('Données projet'!$A$62&gt;35,AI69+AH70-AQ69,IF(A70&lt;'Données projet'!$A$62,$AF$205^A70,IF(A70='Données projet'!$A$62,'Données projet'!$B$62,AI69+AH70-AQ69)))</f>
        <v>303.0199999999997</v>
      </c>
      <c r="AJ70" s="13">
        <f>AI70*VLOOKUP('Données projet'!$B$10,Paramètres!$A$1:$I$89,3,0)*VLOOKUP('Données projet'!$B$10,Paramètres!$A$1:$I$89,5,0)</f>
        <v>149.69187999999986</v>
      </c>
      <c r="AK70" s="13">
        <f t="shared" si="89"/>
        <v>38.508555867706356</v>
      </c>
      <c r="AL70" s="20">
        <f t="shared" si="58"/>
        <v>327.78242580292164</v>
      </c>
      <c r="AM70" s="59">
        <f t="shared" si="59"/>
        <v>621.11575913625495</v>
      </c>
      <c r="AN70" s="59">
        <f ca="1">AVERAGE(OFFSET($AM$3,0,0,'Données projet'!$E$10+1,1))-AVERAGE(OFFSET($H$3,0,0,'Données projet'!$E$10+1,1))</f>
        <v>265.57710796453807</v>
      </c>
      <c r="AO70" s="59">
        <f t="shared" si="90"/>
        <v>171.29436297508141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3.4734353376135632</v>
      </c>
      <c r="AV70" s="21">
        <f>EXP(-LN(2)/25)*AV69+(1-EXP(-LN(2)/25))/(LN(2)/25)*Calculateur!AQ70*Calculateur!AS70*VLOOKUP('Données projet'!$B$10,Paramètres!$A$1:$I$89,3,0)*0.475*44/12</f>
        <v>29.576698681782123</v>
      </c>
      <c r="AW70" s="21">
        <f>EXP(-LN(2)/2)*AW69+(1-EXP(-LN(2)/2))/(LN(2)/2)*AQ70*AT70*VLOOKUP('Données projet'!$B$10,Paramètres!$A$1:$I$89,3,0)*0.475*44/12</f>
        <v>11.918005565982577</v>
      </c>
      <c r="AX70" s="21">
        <f t="shared" si="60"/>
        <v>44.96813958537826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175.05987582828078</v>
      </c>
      <c r="BJ70" s="59">
        <f t="shared" si="92"/>
        <v>268.54782308462387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125.69557427262254</v>
      </c>
      <c r="BQ70" s="21">
        <f>EXP(-LN(2)/25)*BQ69+(1-EXP(-LN(2)/25))/(LN(2)/25)*Calculateur!BL70*Calculateur!BN70*VLOOKUP('Données projet'!$B$11,Paramètres!$A$1:$I$89,3,0)*0.475*44/12</f>
        <v>40.243065707695536</v>
      </c>
      <c r="BR70" s="21">
        <f>EXP(-LN(2)/2)*BR69+(1-EXP(-LN(2)/2))/(LN(2)/2)*BL70*BO70*VLOOKUP('Données projet'!$B$11,Paramètres!$A$1:$I$89,3,0)*0.475*44/12</f>
        <v>3.811340718084923</v>
      </c>
      <c r="BS70" s="22">
        <f t="shared" si="63"/>
        <v>169.74998069840299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10.513</v>
      </c>
      <c r="N71" s="13">
        <f>IF('Données projet'!$A$36&gt;35,N70+M71-V70,IF(A71&lt;'Données projet'!$A$36,$K$205^A71,IF(A71='Données projet'!$A$36,'Données projet'!$B$36,N70+M71-V70)))</f>
        <v>410.29799999999994</v>
      </c>
      <c r="O71" s="13">
        <f>N71*VLOOKUP('Données projet'!$B$9,Paramètres!$A$1:$I$89,3,0)*VLOOKUP('Données projet'!$B$9,Paramètres!$A$1:$I$89,5,0)</f>
        <v>229.35658199999997</v>
      </c>
      <c r="P71" s="13">
        <f t="shared" si="87"/>
        <v>56.143536841975539</v>
      </c>
      <c r="Q71" s="20">
        <f t="shared" si="54"/>
        <v>497.24604031644066</v>
      </c>
      <c r="R71" s="59">
        <f t="shared" si="55"/>
        <v>790.57937364977397</v>
      </c>
      <c r="S71" s="59">
        <f ca="1">AVERAGE(OFFSET($R$3,0,0,'Données projet'!$E$9+1,1))-AVERAGE(OFFSET($H$3,0,0,'Données projet'!$E$9+1,1))</f>
        <v>293.82673322742102</v>
      </c>
      <c r="T71" s="59">
        <f t="shared" si="88"/>
        <v>138.78566015867693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34.681616138254853</v>
      </c>
      <c r="AA71" s="21">
        <f>EXP(-LN(2)/25)*AA70+(1-EXP(-LN(2)/25))/(LN(2)/25)*Calculateur!V71*Calculateur!X71*VLOOKUP('Données projet'!$B$9,Paramètres!$A$1:$I$89,3,0)*0.475*44/12</f>
        <v>18.7139131571398</v>
      </c>
      <c r="AB71" s="21">
        <f>EXP(-LN(2)/2)*AB70+(1-EXP(-LN(2)/2))/(LN(2)/2)*V71*Y71*VLOOKUP('Données projet'!$B$9,Paramètres!$A$1:$I$89,3,0)*0.475*44/12</f>
        <v>1.078102675597538</v>
      </c>
      <c r="AC71" s="22">
        <f t="shared" si="57"/>
        <v>54.473631970992187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15.755000000000003</v>
      </c>
      <c r="AI71" s="13">
        <f>IF('Données projet'!$A$62&gt;35,AI70+AH71-AQ70,IF(A71&lt;'Données projet'!$A$62,$AF$205^A71,IF(A71='Données projet'!$A$62,'Données projet'!$B$62,AI70+AH71-AQ70)))</f>
        <v>318.77499999999969</v>
      </c>
      <c r="AJ71" s="13">
        <f>AI71*VLOOKUP('Données projet'!$B$10,Paramètres!$A$1:$I$89,3,0)*VLOOKUP('Données projet'!$B$10,Paramètres!$A$1:$I$89,5,0)</f>
        <v>157.47484999999986</v>
      </c>
      <c r="AK71" s="13">
        <f t="shared" si="89"/>
        <v>40.272434528046034</v>
      </c>
      <c r="AL71" s="20">
        <f t="shared" si="58"/>
        <v>344.40985388634658</v>
      </c>
      <c r="AM71" s="59">
        <f t="shared" si="59"/>
        <v>637.74318721967984</v>
      </c>
      <c r="AN71" s="59">
        <f ca="1">AVERAGE(OFFSET($AM$3,0,0,'Données projet'!$E$10+1,1))-AVERAGE(OFFSET($H$3,0,0,'Données projet'!$E$10+1,1))</f>
        <v>265.57710796453807</v>
      </c>
      <c r="AO71" s="59">
        <f t="shared" si="90"/>
        <v>171.29436297508141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3.405323389229324</v>
      </c>
      <c r="AV71" s="21">
        <f>EXP(-LN(2)/25)*AV70+(1-EXP(-LN(2)/25))/(LN(2)/25)*Calculateur!AQ71*Calculateur!AS71*VLOOKUP('Données projet'!$B$10,Paramètres!$A$1:$I$89,3,0)*0.475*44/12</f>
        <v>28.767922300957807</v>
      </c>
      <c r="AW71" s="21">
        <f>EXP(-LN(2)/2)*AW70+(1-EXP(-LN(2)/2))/(LN(2)/2)*AQ71*AT71*VLOOKUP('Données projet'!$B$10,Paramètres!$A$1:$I$89,3,0)*0.475*44/12</f>
        <v>8.4273025539252977</v>
      </c>
      <c r="AX71" s="21">
        <f t="shared" si="60"/>
        <v>40.600548244112431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175.05987582828078</v>
      </c>
      <c r="BJ71" s="59">
        <f t="shared" si="92"/>
        <v>268.54782308462387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123.23076072786651</v>
      </c>
      <c r="BQ71" s="21">
        <f>EXP(-LN(2)/25)*BQ70+(1-EXP(-LN(2)/25))/(LN(2)/25)*Calculateur!BL71*Calculateur!BN71*VLOOKUP('Données projet'!$B$11,Paramètres!$A$1:$I$89,3,0)*0.475*44/12</f>
        <v>39.142616959627752</v>
      </c>
      <c r="BR71" s="21">
        <f>EXP(-LN(2)/2)*BR70+(1-EXP(-LN(2)/2))/(LN(2)/2)*BL71*BO71*VLOOKUP('Données projet'!$B$11,Paramètres!$A$1:$I$89,3,0)*0.475*44/12</f>
        <v>2.6950248671702548</v>
      </c>
      <c r="BS71" s="22">
        <f t="shared" si="63"/>
        <v>165.06840255466452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10.513</v>
      </c>
      <c r="N72" s="13">
        <f>IF('Données projet'!$A$36&gt;35,N71+M72-V71,IF(A72&lt;'Données projet'!$A$36,$K$205^A72,IF(A72='Données projet'!$A$36,'Données projet'!$B$36,N71+M72-V71)))</f>
        <v>420.81099999999992</v>
      </c>
      <c r="O72" s="13">
        <f>N72*VLOOKUP('Données projet'!$B$9,Paramètres!$A$1:$I$89,3,0)*VLOOKUP('Données projet'!$B$9,Paramètres!$A$1:$I$89,5,0)</f>
        <v>235.23334899999995</v>
      </c>
      <c r="P72" s="13">
        <f t="shared" si="87"/>
        <v>57.41276797691247</v>
      </c>
      <c r="Q72" s="20">
        <f t="shared" si="54"/>
        <v>509.69198706812244</v>
      </c>
      <c r="R72" s="59">
        <f t="shared" si="55"/>
        <v>803.0253204014557</v>
      </c>
      <c r="S72" s="59">
        <f ca="1">AVERAGE(OFFSET($R$3,0,0,'Données projet'!$E$9+1,1))-AVERAGE(OFFSET($H$3,0,0,'Données projet'!$E$9+1,1))</f>
        <v>293.82673322742102</v>
      </c>
      <c r="T72" s="59">
        <f t="shared" si="88"/>
        <v>138.78566015867693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34.001530799480769</v>
      </c>
      <c r="AA72" s="21">
        <f>EXP(-LN(2)/25)*AA71+(1-EXP(-LN(2)/25))/(LN(2)/25)*Calculateur!V72*Calculateur!X72*VLOOKUP('Données projet'!$B$9,Paramètres!$A$1:$I$89,3,0)*0.475*44/12</f>
        <v>18.20218021773589</v>
      </c>
      <c r="AB72" s="21">
        <f>EXP(-LN(2)/2)*AB71+(1-EXP(-LN(2)/2))/(LN(2)/2)*V72*Y72*VLOOKUP('Données projet'!$B$9,Paramètres!$A$1:$I$89,3,0)*0.475*44/12</f>
        <v>0.76233371273037975</v>
      </c>
      <c r="AC72" s="22">
        <f t="shared" si="57"/>
        <v>52.966044729947043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15.755000000000003</v>
      </c>
      <c r="AI72" s="13">
        <f>IF('Données projet'!$A$62&gt;35,AI71+AH72-AQ71,IF(A72&lt;'Données projet'!$A$62,$AF$205^A72,IF(A72='Données projet'!$A$62,'Données projet'!$B$62,AI71+AH72-AQ71)))</f>
        <v>334.52999999999969</v>
      </c>
      <c r="AJ72" s="13">
        <f>AI72*VLOOKUP('Données projet'!$B$10,Paramètres!$A$1:$I$89,3,0)*VLOOKUP('Données projet'!$B$10,Paramètres!$A$1:$I$89,5,0)</f>
        <v>165.25781999999984</v>
      </c>
      <c r="AK72" s="13">
        <f t="shared" si="89"/>
        <v>42.026190545349806</v>
      </c>
      <c r="AL72" s="20">
        <f t="shared" si="58"/>
        <v>361.0196516998173</v>
      </c>
      <c r="AM72" s="59">
        <f t="shared" si="59"/>
        <v>654.35298503315062</v>
      </c>
      <c r="AN72" s="59">
        <f ca="1">AVERAGE(OFFSET($AM$3,0,0,'Données projet'!$E$10+1,1))-AVERAGE(OFFSET($H$3,0,0,'Données projet'!$E$10+1,1))</f>
        <v>265.57710796453807</v>
      </c>
      <c r="AO72" s="59">
        <f t="shared" si="90"/>
        <v>171.29436297508141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3.3385470746087136</v>
      </c>
      <c r="AV72" s="21">
        <f>EXP(-LN(2)/25)*AV71+(1-EXP(-LN(2)/25))/(LN(2)/25)*Calculateur!AQ72*Calculateur!AS72*VLOOKUP('Données projet'!$B$10,Paramètres!$A$1:$I$89,3,0)*0.475*44/12</f>
        <v>27.981261952798832</v>
      </c>
      <c r="AW72" s="21">
        <f>EXP(-LN(2)/2)*AW71+(1-EXP(-LN(2)/2))/(LN(2)/2)*AQ72*AT72*VLOOKUP('Données projet'!$B$10,Paramètres!$A$1:$I$89,3,0)*0.475*44/12</f>
        <v>5.9590027829912886</v>
      </c>
      <c r="AX72" s="21">
        <f t="shared" si="60"/>
        <v>37.278811810398835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175.05987582828078</v>
      </c>
      <c r="BJ72" s="59">
        <f t="shared" si="92"/>
        <v>268.54782308462387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120.81428067333533</v>
      </c>
      <c r="BQ72" s="21">
        <f>EXP(-LN(2)/25)*BQ71+(1-EXP(-LN(2)/25))/(LN(2)/25)*Calculateur!BL72*Calculateur!BN72*VLOOKUP('Données projet'!$B$11,Paramètres!$A$1:$I$89,3,0)*0.475*44/12</f>
        <v>38.072260040445968</v>
      </c>
      <c r="BR72" s="21">
        <f>EXP(-LN(2)/2)*BR71+(1-EXP(-LN(2)/2))/(LN(2)/2)*BL72*BO72*VLOOKUP('Données projet'!$B$11,Paramètres!$A$1:$I$89,3,0)*0.475*44/12</f>
        <v>1.9056703590424617</v>
      </c>
      <c r="BS72" s="22">
        <f t="shared" si="63"/>
        <v>160.79221107282376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10.513</v>
      </c>
      <c r="N73" s="13">
        <f>IF('Données projet'!$A$36&gt;35,N72+M73-V72,IF(A73&lt;'Données projet'!$A$36,$K$205^A73,IF(A73='Données projet'!$A$36,'Données projet'!$B$36,N72+M73-V72)))</f>
        <v>431.3239999999999</v>
      </c>
      <c r="O73" s="13">
        <f>N73*VLOOKUP('Données projet'!$B$9,Paramètres!$A$1:$I$89,3,0)*VLOOKUP('Données projet'!$B$9,Paramètres!$A$1:$I$89,5,0)</f>
        <v>241.11011599999995</v>
      </c>
      <c r="P73" s="13">
        <f t="shared" si="87"/>
        <v>58.678313159507468</v>
      </c>
      <c r="Q73" s="20">
        <f t="shared" si="54"/>
        <v>522.13151411947536</v>
      </c>
      <c r="R73" s="59">
        <f t="shared" si="55"/>
        <v>815.46484745280873</v>
      </c>
      <c r="S73" s="59">
        <f ca="1">AVERAGE(OFFSET($R$3,0,0,'Données projet'!$E$9+1,1))-AVERAGE(OFFSET($H$3,0,0,'Données projet'!$E$9+1,1))</f>
        <v>293.82673322742102</v>
      </c>
      <c r="T73" s="59">
        <f t="shared" si="88"/>
        <v>138.78566015867693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33.33478151938894</v>
      </c>
      <c r="AA73" s="21">
        <f>EXP(-LN(2)/25)*AA72+(1-EXP(-LN(2)/25))/(LN(2)/25)*Calculateur!V73*Calculateur!X73*VLOOKUP('Données projet'!$B$9,Paramètres!$A$1:$I$89,3,0)*0.475*44/12</f>
        <v>17.704440642470846</v>
      </c>
      <c r="AB73" s="21">
        <f>EXP(-LN(2)/2)*AB72+(1-EXP(-LN(2)/2))/(LN(2)/2)*V73*Y73*VLOOKUP('Données projet'!$B$9,Paramètres!$A$1:$I$89,3,0)*0.475*44/12</f>
        <v>0.53905133779876901</v>
      </c>
      <c r="AC73" s="22">
        <f t="shared" si="57"/>
        <v>51.57827349965855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15.755000000000003</v>
      </c>
      <c r="AI73" s="13">
        <f>IF('Données projet'!$A$62&gt;35,AI72+AH73-AQ72,IF(A73&lt;'Données projet'!$A$62,$AF$205^A73,IF(A73='Données projet'!$A$62,'Données projet'!$B$62,AI72+AH73-AQ72)))</f>
        <v>350.28499999999968</v>
      </c>
      <c r="AJ73" s="13">
        <f>AI73*VLOOKUP('Données projet'!$B$10,Paramètres!$A$1:$I$89,3,0)*VLOOKUP('Données projet'!$B$10,Paramètres!$A$1:$I$89,5,0)</f>
        <v>173.04078999999984</v>
      </c>
      <c r="AK73" s="13">
        <f t="shared" si="89"/>
        <v>43.770355092263671</v>
      </c>
      <c r="AL73" s="20">
        <f t="shared" si="58"/>
        <v>377.61274436902568</v>
      </c>
      <c r="AM73" s="59">
        <f t="shared" si="59"/>
        <v>670.94607770235893</v>
      </c>
      <c r="AN73" s="59">
        <f ca="1">AVERAGE(OFFSET($AM$3,0,0,'Données projet'!$E$10+1,1))-AVERAGE(OFFSET($H$3,0,0,'Données projet'!$E$10+1,1))</f>
        <v>265.57710796453807</v>
      </c>
      <c r="AO73" s="59">
        <f t="shared" si="90"/>
        <v>171.29436297508141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3.2730802027882833</v>
      </c>
      <c r="AV73" s="21">
        <f>EXP(-LN(2)/25)*AV72+(1-EXP(-LN(2)/25))/(LN(2)/25)*Calculateur!AQ73*Calculateur!AS73*VLOOKUP('Données projet'!$B$10,Paramètres!$A$1:$I$89,3,0)*0.475*44/12</f>
        <v>27.216112873228933</v>
      </c>
      <c r="AW73" s="21">
        <f>EXP(-LN(2)/2)*AW72+(1-EXP(-LN(2)/2))/(LN(2)/2)*AQ73*AT73*VLOOKUP('Données projet'!$B$10,Paramètres!$A$1:$I$89,3,0)*0.475*44/12</f>
        <v>4.2136512769626489</v>
      </c>
      <c r="AX73" s="21">
        <f t="shared" si="60"/>
        <v>34.702844352979866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175.05987582828078</v>
      </c>
      <c r="BJ73" s="59">
        <f t="shared" si="92"/>
        <v>268.54782308462387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118.4451863187662</v>
      </c>
      <c r="BQ73" s="21">
        <f>EXP(-LN(2)/25)*BQ72+(1-EXP(-LN(2)/25))/(LN(2)/25)*Calculateur!BL73*Calculateur!BN73*VLOOKUP('Données projet'!$B$11,Paramètres!$A$1:$I$89,3,0)*0.475*44/12</f>
        <v>37.031172087506832</v>
      </c>
      <c r="BR73" s="21">
        <f>EXP(-LN(2)/2)*BR72+(1-EXP(-LN(2)/2))/(LN(2)/2)*BL73*BO73*VLOOKUP('Données projet'!$B$11,Paramètres!$A$1:$I$89,3,0)*0.475*44/12</f>
        <v>1.3475124335851276</v>
      </c>
      <c r="BS73" s="22">
        <f t="shared" si="63"/>
        <v>156.82387083985819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10.513</v>
      </c>
      <c r="N74" s="13">
        <f>IF('Données projet'!$A$36&gt;35,N73+M74-V73,IF(A74&lt;'Données projet'!$A$36,$K$205^A74,IF(A74='Données projet'!$A$36,'Données projet'!$B$36,N73+M74-V73)))</f>
        <v>441.83699999999988</v>
      </c>
      <c r="O74" s="13">
        <f>N74*VLOOKUP('Données projet'!$B$9,Paramètres!$A$1:$I$89,3,0)*VLOOKUP('Données projet'!$B$9,Paramètres!$A$1:$I$89,5,0)</f>
        <v>246.98688299999995</v>
      </c>
      <c r="P74" s="13">
        <f t="shared" si="87"/>
        <v>59.940272565748288</v>
      </c>
      <c r="Q74" s="20">
        <f t="shared" si="54"/>
        <v>534.56479594367818</v>
      </c>
      <c r="R74" s="59">
        <f t="shared" si="55"/>
        <v>827.89812927701155</v>
      </c>
      <c r="S74" s="59">
        <f ca="1">AVERAGE(OFFSET($R$3,0,0,'Données projet'!$E$9+1,1))-AVERAGE(OFFSET($H$3,0,0,'Données projet'!$E$9+1,1))</f>
        <v>293.82673322742102</v>
      </c>
      <c r="T74" s="59">
        <f t="shared" si="88"/>
        <v>138.78566015867693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32.681106786002815</v>
      </c>
      <c r="AA74" s="21">
        <f>EXP(-LN(2)/25)*AA73+(1-EXP(-LN(2)/25))/(LN(2)/25)*Calculateur!V74*Calculateur!X74*VLOOKUP('Données projet'!$B$9,Paramètres!$A$1:$I$89,3,0)*0.475*44/12</f>
        <v>17.22031178206641</v>
      </c>
      <c r="AB74" s="21">
        <f>EXP(-LN(2)/2)*AB73+(1-EXP(-LN(2)/2))/(LN(2)/2)*V74*Y74*VLOOKUP('Données projet'!$B$9,Paramètres!$A$1:$I$89,3,0)*0.475*44/12</f>
        <v>0.38116685636518988</v>
      </c>
      <c r="AC74" s="22">
        <f t="shared" si="57"/>
        <v>50.282585424434416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15.755000000000003</v>
      </c>
      <c r="AI74" s="13">
        <f>IF('Données projet'!$A$62&gt;35,AI73+AH74-AQ73,IF(A74&lt;'Données projet'!$A$62,$AF$205^A74,IF(A74='Données projet'!$A$62,'Données projet'!$B$62,AI73+AH74-AQ73)))</f>
        <v>366.03999999999968</v>
      </c>
      <c r="AJ74" s="13">
        <f>AI74*VLOOKUP('Données projet'!$B$10,Paramètres!$A$1:$I$89,3,0)*VLOOKUP('Données projet'!$B$10,Paramètres!$A$1:$I$89,5,0)</f>
        <v>180.82375999999988</v>
      </c>
      <c r="AK74" s="13">
        <f t="shared" si="89"/>
        <v>45.505408858446145</v>
      </c>
      <c r="AL74" s="20">
        <f t="shared" si="58"/>
        <v>394.1899690951268</v>
      </c>
      <c r="AM74" s="59">
        <f t="shared" si="59"/>
        <v>687.52330242846006</v>
      </c>
      <c r="AN74" s="59">
        <f ca="1">AVERAGE(OFFSET($AM$3,0,0,'Données projet'!$E$10+1,1))-AVERAGE(OFFSET($H$3,0,0,'Données projet'!$E$10+1,1))</f>
        <v>265.57710796453807</v>
      </c>
      <c r="AO74" s="59">
        <f t="shared" si="90"/>
        <v>171.29436297508141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3.2088970963934025</v>
      </c>
      <c r="AV74" s="21">
        <f>EXP(-LN(2)/25)*AV73+(1-EXP(-LN(2)/25))/(LN(2)/25)*Calculateur!AQ74*Calculateur!AS74*VLOOKUP('Données projet'!$B$10,Paramètres!$A$1:$I$89,3,0)*0.475*44/12</f>
        <v>26.471886835477317</v>
      </c>
      <c r="AW74" s="21">
        <f>EXP(-LN(2)/2)*AW73+(1-EXP(-LN(2)/2))/(LN(2)/2)*AQ74*AT74*VLOOKUP('Données projet'!$B$10,Paramètres!$A$1:$I$89,3,0)*0.475*44/12</f>
        <v>2.9795013914956443</v>
      </c>
      <c r="AX74" s="21">
        <f t="shared" si="60"/>
        <v>32.660285323366367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175.05987582828078</v>
      </c>
      <c r="BJ74" s="59">
        <f t="shared" si="92"/>
        <v>268.54782308462387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116.1225484594853</v>
      </c>
      <c r="BQ74" s="21">
        <f>EXP(-LN(2)/25)*BQ73+(1-EXP(-LN(2)/25))/(LN(2)/25)*Calculateur!BL74*Calculateur!BN74*VLOOKUP('Données projet'!$B$11,Paramètres!$A$1:$I$89,3,0)*0.475*44/12</f>
        <v>36.01855273938925</v>
      </c>
      <c r="BR74" s="21">
        <f>EXP(-LN(2)/2)*BR73+(1-EXP(-LN(2)/2))/(LN(2)/2)*BL74*BO74*VLOOKUP('Données projet'!$B$11,Paramètres!$A$1:$I$89,3,0)*0.475*44/12</f>
        <v>0.95283517952123109</v>
      </c>
      <c r="BS74" s="22">
        <f t="shared" si="63"/>
        <v>153.09393637839577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452.35</v>
      </c>
      <c r="L75" s="12">
        <f>VLOOKUP(A75,'Données projet'!$A$35:$I$55,9,0)</f>
        <v>10.513</v>
      </c>
      <c r="M75" s="12">
        <f t="array" ref="M75">INDEX(L:L,MIN(IF(ISNUMBER(L75:L271),ROW(L75:L271),"")))</f>
        <v>10.513</v>
      </c>
      <c r="N75" s="13">
        <f>IF('Données projet'!$A$36&gt;35,N74+M75-V74,IF(A75&lt;'Données projet'!$A$36,$K$205^A75,IF(A75='Données projet'!$A$36,'Données projet'!$B$36,N74+M75-V74)))</f>
        <v>452.34999999999985</v>
      </c>
      <c r="O75" s="13">
        <f>N75*VLOOKUP('Données projet'!$B$9,Paramètres!$A$1:$I$89,3,0)*VLOOKUP('Données projet'!$B$9,Paramètres!$A$1:$I$89,5,0)</f>
        <v>252.86364999999992</v>
      </c>
      <c r="P75" s="13">
        <f t="shared" si="87"/>
        <v>61.198741332579473</v>
      </c>
      <c r="Q75" s="20">
        <f t="shared" si="54"/>
        <v>546.99199823757579</v>
      </c>
      <c r="R75" s="59">
        <f t="shared" si="55"/>
        <v>840.32533157090916</v>
      </c>
      <c r="S75" s="59">
        <f ca="1">AVERAGE(OFFSET($R$3,0,0,'Données projet'!$E$9+1,1))-AVERAGE(OFFSET($H$3,0,0,'Données projet'!$E$9+1,1))</f>
        <v>293.82673322742102</v>
      </c>
      <c r="T75" s="59">
        <f t="shared" si="88"/>
        <v>138.78566015867693</v>
      </c>
      <c r="U75" s="15">
        <f>IF(ISNA(VLOOKUP(A75,'Données projet'!$A$35:$I$55,3,0)),0,VLOOKUP(A75,'Données projet'!$A$35:$I$55,3,0))</f>
        <v>5</v>
      </c>
      <c r="V75" s="15">
        <f>IF(ISNA(VLOOKUP(A75,'Données projet'!$A$35:$I$55,4,0)),0,VLOOKUP(A75,'Données projet'!$A$35:$I$55,4,0))</f>
        <v>64.210000000000036</v>
      </c>
      <c r="W75" s="16">
        <f>IF(ISNA(VLOOKUP(A75,'Données projet'!$A$35:$I$55,5,0)),0%,VLOOKUP(A75,'Données projet'!$A$35:$I$55,5,0)*VLOOKUP('Données projet'!$B$9,Paramètres!$A$1:$I$89,7,0))</f>
        <v>0.33</v>
      </c>
      <c r="X75" s="16">
        <f>IF(ISNA(VLOOKUP(A75,'Données projet'!$A$35:$I$55,6,0)),0%,VLOOKUP(A75,'Données projet'!$A$35:$I$55,6,0)*VLOOKUP('Données projet'!$B$9,Paramètres!$A$1:$I$89,7,0))</f>
        <v>0.11000000000000001</v>
      </c>
      <c r="Y75" s="16">
        <f>IF(ISNA(VLOOKUP(A75,'Données projet'!$A$35:$I$55,7,0)),0%,VLOOKUP(A75,'Données projet'!$A$35:$I$55,7,0))</f>
        <v>0.2</v>
      </c>
      <c r="Z75" s="21">
        <f>EXP(-LN(2)/35)*Z74+(1-EXP(-LN(2)/35))/(LN(2)/35)*V75*W75*VLOOKUP('Données projet'!$B$9,Paramètres!$A$1:$I$89,3,0)*0.475*44/12</f>
        <v>47.753165683981763</v>
      </c>
      <c r="AA75" s="21">
        <f>EXP(-LN(2)/25)*AA74+(1-EXP(-LN(2)/25))/(LN(2)/25)*Calculateur!V75*Calculateur!X75*VLOOKUP('Données projet'!$B$9,Paramètres!$A$1:$I$89,3,0)*0.475*44/12</f>
        <v>21.966437361894219</v>
      </c>
      <c r="AB75" s="21">
        <f>EXP(-LN(2)/2)*AB74+(1-EXP(-LN(2)/2))/(LN(2)/2)*V75*Y75*VLOOKUP('Données projet'!$B$9,Paramètres!$A$1:$I$89,3,0)*0.475*44/12</f>
        <v>8.3974567540420839</v>
      </c>
      <c r="AC75" s="22">
        <f t="shared" si="57"/>
        <v>78.117059799918067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15.755000000000003</v>
      </c>
      <c r="AI75" s="13">
        <f>IF('Données projet'!$A$62&gt;35,AI74+AH75-AQ74,IF(A75&lt;'Données projet'!$A$62,$AF$205^A75,IF(A75='Données projet'!$A$62,'Données projet'!$B$62,AI74+AH75-AQ74)))</f>
        <v>381.79499999999967</v>
      </c>
      <c r="AJ75" s="13">
        <f>AI75*VLOOKUP('Données projet'!$B$10,Paramètres!$A$1:$I$89,3,0)*VLOOKUP('Données projet'!$B$10,Paramètres!$A$1:$I$89,5,0)</f>
        <v>188.60672999999986</v>
      </c>
      <c r="AK75" s="13">
        <f t="shared" si="89"/>
        <v>47.231788813860717</v>
      </c>
      <c r="AL75" s="20">
        <f t="shared" si="58"/>
        <v>410.75208693414044</v>
      </c>
      <c r="AM75" s="59">
        <f t="shared" si="59"/>
        <v>704.08542026747375</v>
      </c>
      <c r="AN75" s="59">
        <f ca="1">AVERAGE(OFFSET($AM$3,0,0,'Données projet'!$E$10+1,1))-AVERAGE(OFFSET($H$3,0,0,'Données projet'!$E$10+1,1))</f>
        <v>265.57710796453807</v>
      </c>
      <c r="AO75" s="59">
        <f t="shared" si="90"/>
        <v>171.29436297508141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3.1459725815670958</v>
      </c>
      <c r="AV75" s="21">
        <f>EXP(-LN(2)/25)*AV74+(1-EXP(-LN(2)/25))/(LN(2)/25)*Calculateur!AQ75*Calculateur!AS75*VLOOKUP('Données projet'!$B$10,Paramètres!$A$1:$I$89,3,0)*0.475*44/12</f>
        <v>25.748011697865163</v>
      </c>
      <c r="AW75" s="21">
        <f>EXP(-LN(2)/2)*AW74+(1-EXP(-LN(2)/2))/(LN(2)/2)*AQ75*AT75*VLOOKUP('Données projet'!$B$10,Paramètres!$A$1:$I$89,3,0)*0.475*44/12</f>
        <v>2.1068256384813244</v>
      </c>
      <c r="AX75" s="21">
        <f t="shared" si="60"/>
        <v>31.000809917913585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175.05987582828078</v>
      </c>
      <c r="BJ75" s="59">
        <f t="shared" si="92"/>
        <v>268.54782308462387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113.8454561119557</v>
      </c>
      <c r="BQ75" s="21">
        <f>EXP(-LN(2)/25)*BQ74+(1-EXP(-LN(2)/25))/(LN(2)/25)*Calculateur!BL75*Calculateur!BN75*VLOOKUP('Données projet'!$B$11,Paramètres!$A$1:$I$89,3,0)*0.475*44/12</f>
        <v>35.033623520597281</v>
      </c>
      <c r="BR75" s="21">
        <f>EXP(-LN(2)/2)*BR74+(1-EXP(-LN(2)/2))/(LN(2)/2)*BL75*BO75*VLOOKUP('Données projet'!$B$11,Paramètres!$A$1:$I$89,3,0)*0.475*44/12</f>
        <v>0.67375621679256392</v>
      </c>
      <c r="BS75" s="22">
        <f t="shared" si="63"/>
        <v>149.55283584934554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8.8608333333333373</v>
      </c>
      <c r="N76" s="13">
        <f>IF('Données projet'!$A$36&gt;35,N75+M76-V75,IF(A76&lt;'Données projet'!$A$36,$K$205^A76,IF(A76='Données projet'!$A$36,'Données projet'!$B$36,N75+M76-V75)))</f>
        <v>397.00083333333316</v>
      </c>
      <c r="O76" s="13">
        <f>N76*VLOOKUP('Données projet'!$B$9,Paramètres!$A$1:$I$89,3,0)*VLOOKUP('Données projet'!$B$9,Paramètres!$A$1:$I$89,5,0)</f>
        <v>221.92346583333324</v>
      </c>
      <c r="P76" s="13">
        <f t="shared" si="87"/>
        <v>54.532729479689259</v>
      </c>
      <c r="Q76" s="20">
        <f t="shared" si="54"/>
        <v>481.49454017018076</v>
      </c>
      <c r="R76" s="59">
        <f t="shared" si="55"/>
        <v>774.82787350351407</v>
      </c>
      <c r="S76" s="59">
        <f ca="1">AVERAGE(OFFSET($R$3,0,0,'Données projet'!$E$9+1,1))-AVERAGE(OFFSET($H$3,0,0,'Données projet'!$E$9+1,1))</f>
        <v>293.82673322742102</v>
      </c>
      <c r="T76" s="59">
        <f t="shared" si="88"/>
        <v>138.78566015867693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46.816755231473941</v>
      </c>
      <c r="AA76" s="21">
        <f>EXP(-LN(2)/25)*AA75+(1-EXP(-LN(2)/25))/(LN(2)/25)*Calculateur!V76*Calculateur!X76*VLOOKUP('Données projet'!$B$9,Paramètres!$A$1:$I$89,3,0)*0.475*44/12</f>
        <v>21.365763977068486</v>
      </c>
      <c r="AB76" s="21">
        <f>EXP(-LN(2)/2)*AB75+(1-EXP(-LN(2)/2))/(LN(2)/2)*V76*Y76*VLOOKUP('Données projet'!$B$9,Paramètres!$A$1:$I$89,3,0)*0.475*44/12</f>
        <v>5.9378986155039319</v>
      </c>
      <c r="AC76" s="22">
        <f t="shared" si="57"/>
        <v>74.120417824046356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397.55</v>
      </c>
      <c r="AG76" s="12">
        <f>VLOOKUP(A76,'Données projet'!$A$61:$I$81,9,0)</f>
        <v>15.755000000000003</v>
      </c>
      <c r="AH76" s="12">
        <f t="array" ref="AH76">INDEX(AG:AG,MIN(IF(ISNUMBER(AG76:AG272),ROW(AG76:AG272),"")))</f>
        <v>15.755000000000003</v>
      </c>
      <c r="AI76" s="13">
        <f>IF('Données projet'!$A$62&gt;35,AI75+AH76-AQ75,IF(A76&lt;'Données projet'!$A$62,$AF$205^A76,IF(A76='Données projet'!$A$62,'Données projet'!$B$62,AI75+AH76-AQ75)))</f>
        <v>397.54999999999967</v>
      </c>
      <c r="AJ76" s="13">
        <f>AI76*VLOOKUP('Données projet'!$B$10,Paramètres!$A$1:$I$89,3,0)*VLOOKUP('Données projet'!$B$10,Paramètres!$A$1:$I$89,5,0)</f>
        <v>196.38969999999983</v>
      </c>
      <c r="AK76" s="13">
        <f t="shared" si="89"/>
        <v>48.949893824253969</v>
      </c>
      <c r="AL76" s="20">
        <f t="shared" si="58"/>
        <v>427.29979257724199</v>
      </c>
      <c r="AM76" s="59">
        <f t="shared" si="59"/>
        <v>720.63312591057525</v>
      </c>
      <c r="AN76" s="59">
        <f ca="1">AVERAGE(OFFSET($AM$3,0,0,'Données projet'!$E$10+1,1))-AVERAGE(OFFSET($H$3,0,0,'Données projet'!$E$10+1,1))</f>
        <v>265.57710796453807</v>
      </c>
      <c r="AO76" s="59">
        <f t="shared" si="90"/>
        <v>171.29436297508141</v>
      </c>
      <c r="AP76" s="15">
        <f>IF(ISNA(VLOOKUP(A76,'Données projet'!$A$61:$I$81,3,0)),0,VLOOKUP(A76,'Données projet'!$A$61:$I$81,3,0))</f>
        <v>3</v>
      </c>
      <c r="AQ76" s="15">
        <f>IF(ISNA(VLOOKUP(A76,'Données projet'!$A$61:$I$81,4,0)),0,VLOOKUP(A76,'Données projet'!$A$61:$I$81,4,0))</f>
        <v>82.800000000000011</v>
      </c>
      <c r="AR76" s="16">
        <f>IF(ISNA(VLOOKUP(A76,'Données projet'!$A$61:$I$81,5,0)),0%,VLOOKUP(A76,'Données projet'!$A$61:$I$81,5,0)*VLOOKUP('Données projet'!$B$10,Paramètres!$A$1:$I$89,7,0))</f>
        <v>0.22000000000000003</v>
      </c>
      <c r="AS76" s="16">
        <f>IF(ISNA(VLOOKUP(A76,'Données projet'!$A$61:$I$81,6,0)),0%,VLOOKUP(A76,'Données projet'!$A$61:$I$81,6,0)*VLOOKUP('Données projet'!$B$10,Paramètres!$A$1:$I$89,7,0))</f>
        <v>5.5000000000000007E-2</v>
      </c>
      <c r="AT76" s="16">
        <f>IF(ISNA(VLOOKUP(A76,'Données projet'!$A$61:$I$81,7,0)),0%,VLOOKUP(A76,'Données projet'!$A$61:$I$81,7,0))</f>
        <v>0.1</v>
      </c>
      <c r="AU76" s="21">
        <f>EXP(-LN(2)/35)*AU75+(1-EXP(-LN(2)/35))/(LN(2)/35)*AQ76*AR76*VLOOKUP('Données projet'!$B$10,Paramètres!$A$1:$I$89,3,0)*0.475*44/12</f>
        <v>15.021642849517987</v>
      </c>
      <c r="AV76" s="21">
        <f>EXP(-LN(2)/25)*AV75+(1-EXP(-LN(2)/25))/(LN(2)/25)*Calculateur!AQ76*Calculateur!AS76*VLOOKUP('Données projet'!$B$10,Paramètres!$A$1:$I$89,3,0)*0.475*44/12</f>
        <v>28.016520697252886</v>
      </c>
      <c r="AW76" s="21">
        <f>EXP(-LN(2)/2)*AW75+(1-EXP(-LN(2)/2))/(LN(2)/2)*AQ76*AT76*VLOOKUP('Données projet'!$B$10,Paramètres!$A$1:$I$89,3,0)*0.475*44/12</f>
        <v>6.1209431069662763</v>
      </c>
      <c r="AX76" s="21">
        <f t="shared" si="60"/>
        <v>49.159106653737155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175.05987582828078</v>
      </c>
      <c r="BJ76" s="59">
        <f t="shared" si="92"/>
        <v>268.54782308462387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111.61301615647196</v>
      </c>
      <c r="BQ76" s="21">
        <f>EXP(-LN(2)/25)*BQ75+(1-EXP(-LN(2)/25))/(LN(2)/25)*Calculateur!BL76*Calculateur!BN76*VLOOKUP('Données projet'!$B$11,Paramètres!$A$1:$I$89,3,0)*0.475*44/12</f>
        <v>34.075627243088356</v>
      </c>
      <c r="BR76" s="21">
        <f>EXP(-LN(2)/2)*BR75+(1-EXP(-LN(2)/2))/(LN(2)/2)*BL76*BO76*VLOOKUP('Données projet'!$B$11,Paramètres!$A$1:$I$89,3,0)*0.475*44/12</f>
        <v>0.4764175897606156</v>
      </c>
      <c r="BS76" s="22">
        <f t="shared" si="63"/>
        <v>146.16506098932092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8.8608333333333373</v>
      </c>
      <c r="N77" s="13">
        <f>IF('Données projet'!$A$36&gt;35,N76+M77-V76,IF(A77&lt;'Données projet'!$A$36,$K$205^A77,IF(A77='Données projet'!$A$36,'Données projet'!$B$36,N76+M77-V76)))</f>
        <v>405.86166666666651</v>
      </c>
      <c r="O77" s="13">
        <f>N77*VLOOKUP('Données projet'!$B$9,Paramètres!$A$1:$I$89,3,0)*VLOOKUP('Données projet'!$B$9,Paramètres!$A$1:$I$89,5,0)</f>
        <v>226.87667166666657</v>
      </c>
      <c r="P77" s="13">
        <f t="shared" si="87"/>
        <v>55.606808461154522</v>
      </c>
      <c r="Q77" s="20">
        <f t="shared" si="54"/>
        <v>491.99206122262177</v>
      </c>
      <c r="R77" s="59">
        <f t="shared" si="55"/>
        <v>785.32539455595509</v>
      </c>
      <c r="S77" s="59">
        <f ca="1">AVERAGE(OFFSET($R$3,0,0,'Données projet'!$E$9+1,1))-AVERAGE(OFFSET($H$3,0,0,'Données projet'!$E$9+1,1))</f>
        <v>293.82673322742102</v>
      </c>
      <c r="T77" s="59">
        <f t="shared" si="88"/>
        <v>138.78566015867693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45.898707216785816</v>
      </c>
      <c r="AA77" s="21">
        <f>EXP(-LN(2)/25)*AA76+(1-EXP(-LN(2)/25))/(LN(2)/25)*Calculateur!V77*Calculateur!X77*VLOOKUP('Données projet'!$B$9,Paramètres!$A$1:$I$89,3,0)*0.475*44/12</f>
        <v>20.781516037538854</v>
      </c>
      <c r="AB77" s="21">
        <f>EXP(-LN(2)/2)*AB76+(1-EXP(-LN(2)/2))/(LN(2)/2)*V77*Y77*VLOOKUP('Données projet'!$B$9,Paramètres!$A$1:$I$89,3,0)*0.475*44/12</f>
        <v>4.1987283770210428</v>
      </c>
      <c r="AC77" s="22">
        <f t="shared" si="57"/>
        <v>70.878951631345714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15.229999999999997</v>
      </c>
      <c r="AI77" s="13">
        <f>IF('Données projet'!$A$62&gt;35,AI76+AH77-AQ76,IF(A77&lt;'Données projet'!$A$62,$AF$205^A77,IF(A77='Données projet'!$A$62,'Données projet'!$B$62,AI76+AH77-AQ76)))</f>
        <v>329.97999999999968</v>
      </c>
      <c r="AJ77" s="13">
        <f>AI77*VLOOKUP('Données projet'!$B$10,Paramètres!$A$1:$I$89,3,0)*VLOOKUP('Données projet'!$B$10,Paramètres!$A$1:$I$89,5,0)</f>
        <v>163.01011999999986</v>
      </c>
      <c r="AK77" s="13">
        <f t="shared" si="89"/>
        <v>41.520718134649329</v>
      </c>
      <c r="AL77" s="20">
        <f t="shared" si="58"/>
        <v>356.22454308451393</v>
      </c>
      <c r="AM77" s="59">
        <f t="shared" si="59"/>
        <v>649.55787641784718</v>
      </c>
      <c r="AN77" s="59">
        <f ca="1">AVERAGE(OFFSET($AM$3,0,0,'Données projet'!$E$10+1,1))-AVERAGE(OFFSET($H$3,0,0,'Données projet'!$E$10+1,1))</f>
        <v>265.57710796453807</v>
      </c>
      <c r="AO77" s="59">
        <f t="shared" si="90"/>
        <v>171.29436297508141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14.727077595536375</v>
      </c>
      <c r="AV77" s="21">
        <f>EXP(-LN(2)/25)*AV76+(1-EXP(-LN(2)/25))/(LN(2)/25)*Calculateur!AQ77*Calculateur!AS77*VLOOKUP('Données projet'!$B$10,Paramètres!$A$1:$I$89,3,0)*0.475*44/12</f>
        <v>27.250407465461716</v>
      </c>
      <c r="AW77" s="21">
        <f>EXP(-LN(2)/2)*AW76+(1-EXP(-LN(2)/2))/(LN(2)/2)*AQ77*AT77*VLOOKUP('Données projet'!$B$10,Paramètres!$A$1:$I$89,3,0)*0.475*44/12</f>
        <v>4.3281603781929094</v>
      </c>
      <c r="AX77" s="21">
        <f t="shared" si="60"/>
        <v>46.305645439191004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175.05987582828078</v>
      </c>
      <c r="BJ77" s="59">
        <f t="shared" si="92"/>
        <v>268.54782308462387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109.42435298686134</v>
      </c>
      <c r="BQ77" s="21">
        <f>EXP(-LN(2)/25)*BQ76+(1-EXP(-LN(2)/25))/(LN(2)/25)*Calculateur!BL77*Calculateur!BN77*VLOOKUP('Données projet'!$B$11,Paramètres!$A$1:$I$89,3,0)*0.475*44/12</f>
        <v>33.143827424166751</v>
      </c>
      <c r="BR77" s="21">
        <f>EXP(-LN(2)/2)*BR76+(1-EXP(-LN(2)/2))/(LN(2)/2)*BL77*BO77*VLOOKUP('Données projet'!$B$11,Paramètres!$A$1:$I$89,3,0)*0.475*44/12</f>
        <v>0.33687810839628202</v>
      </c>
      <c r="BS77" s="22">
        <f t="shared" si="63"/>
        <v>142.90505851942439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8.8608333333333373</v>
      </c>
      <c r="N78" s="13">
        <f>IF('Données projet'!$A$36&gt;35,N77+M78-V77,IF(A78&lt;'Données projet'!$A$36,$K$205^A78,IF(A78='Données projet'!$A$36,'Données projet'!$B$36,N77+M78-V77)))</f>
        <v>414.72249999999985</v>
      </c>
      <c r="O78" s="13">
        <f>N78*VLOOKUP('Données projet'!$B$9,Paramètres!$A$1:$I$89,3,0)*VLOOKUP('Données projet'!$B$9,Paramètres!$A$1:$I$89,5,0)</f>
        <v>231.82987749999992</v>
      </c>
      <c r="P78" s="13">
        <f t="shared" si="87"/>
        <v>56.678161162427152</v>
      </c>
      <c r="Q78" s="20">
        <f t="shared" si="54"/>
        <v>502.48483400372714</v>
      </c>
      <c r="R78" s="59">
        <f t="shared" si="55"/>
        <v>795.81816733706046</v>
      </c>
      <c r="S78" s="59">
        <f ca="1">AVERAGE(OFFSET($R$3,0,0,'Données projet'!$E$9+1,1))-AVERAGE(OFFSET($H$3,0,0,'Données projet'!$E$9+1,1))</f>
        <v>293.82673322742102</v>
      </c>
      <c r="T78" s="59">
        <f t="shared" si="88"/>
        <v>138.78566015867693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44.998661563711728</v>
      </c>
      <c r="AA78" s="21">
        <f>EXP(-LN(2)/25)*AA77+(1-EXP(-LN(2)/25))/(LN(2)/25)*Calculateur!V78*Calculateur!X78*VLOOKUP('Données projet'!$B$9,Paramètres!$A$1:$I$89,3,0)*0.475*44/12</f>
        <v>20.213244388639922</v>
      </c>
      <c r="AB78" s="21">
        <f>EXP(-LN(2)/2)*AB77+(1-EXP(-LN(2)/2))/(LN(2)/2)*V78*Y78*VLOOKUP('Données projet'!$B$9,Paramètres!$A$1:$I$89,3,0)*0.475*44/12</f>
        <v>2.9689493077519664</v>
      </c>
      <c r="AC78" s="22">
        <f t="shared" si="57"/>
        <v>68.180855260103627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15.229999999999997</v>
      </c>
      <c r="AI78" s="13">
        <f>IF('Données projet'!$A$62&gt;35,AI77+AH78-AQ77,IF(A78&lt;'Données projet'!$A$62,$AF$205^A78,IF(A78='Données projet'!$A$62,'Données projet'!$B$62,AI77+AH78-AQ77)))</f>
        <v>345.2099999999997</v>
      </c>
      <c r="AJ78" s="13">
        <f>AI78*VLOOKUP('Données projet'!$B$10,Paramètres!$A$1:$I$89,3,0)*VLOOKUP('Données projet'!$B$10,Paramètres!$A$1:$I$89,5,0)</f>
        <v>170.53373999999985</v>
      </c>
      <c r="AK78" s="13">
        <f t="shared" si="89"/>
        <v>43.209541772342874</v>
      </c>
      <c r="AL78" s="20">
        <f t="shared" si="58"/>
        <v>372.26954908683024</v>
      </c>
      <c r="AM78" s="59">
        <f t="shared" si="59"/>
        <v>665.6028824201635</v>
      </c>
      <c r="AN78" s="59">
        <f ca="1">AVERAGE(OFFSET($AM$3,0,0,'Données projet'!$E$10+1,1))-AVERAGE(OFFSET($H$3,0,0,'Données projet'!$E$10+1,1))</f>
        <v>265.57710796453807</v>
      </c>
      <c r="AO78" s="59">
        <f t="shared" si="90"/>
        <v>171.29436297508141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14.438288586518279</v>
      </c>
      <c r="AV78" s="21">
        <f>EXP(-LN(2)/25)*AV77+(1-EXP(-LN(2)/25))/(LN(2)/25)*Calculateur!AQ78*Calculateur!AS78*VLOOKUP('Données projet'!$B$10,Paramètres!$A$1:$I$89,3,0)*0.475*44/12</f>
        <v>26.505243640282018</v>
      </c>
      <c r="AW78" s="21">
        <f>EXP(-LN(2)/2)*AW77+(1-EXP(-LN(2)/2))/(LN(2)/2)*AQ78*AT78*VLOOKUP('Données projet'!$B$10,Paramètres!$A$1:$I$89,3,0)*0.475*44/12</f>
        <v>3.0604715534831386</v>
      </c>
      <c r="AX78" s="21">
        <f t="shared" si="60"/>
        <v>44.004003780283441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175.05987582828078</v>
      </c>
      <c r="BJ78" s="59">
        <f t="shared" si="92"/>
        <v>268.54782308462387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107.27860816705406</v>
      </c>
      <c r="BQ78" s="21">
        <f>EXP(-LN(2)/25)*BQ77+(1-EXP(-LN(2)/25))/(LN(2)/25)*Calculateur!BL78*Calculateur!BN78*VLOOKUP('Données projet'!$B$11,Paramètres!$A$1:$I$89,3,0)*0.475*44/12</f>
        <v>32.237507720294779</v>
      </c>
      <c r="BR78" s="21">
        <f>EXP(-LN(2)/2)*BR77+(1-EXP(-LN(2)/2))/(LN(2)/2)*BL78*BO78*VLOOKUP('Données projet'!$B$11,Paramètres!$A$1:$I$89,3,0)*0.475*44/12</f>
        <v>0.23820879488030786</v>
      </c>
      <c r="BS78" s="22">
        <f t="shared" si="63"/>
        <v>139.75432468222914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8.8608333333333373</v>
      </c>
      <c r="N79" s="13">
        <f>IF('Données projet'!$A$36&gt;35,N78+M79-V78,IF(A79&lt;'Données projet'!$A$36,$K$205^A79,IF(A79='Données projet'!$A$36,'Données projet'!$B$36,N78+M79-V78)))</f>
        <v>423.5833333333332</v>
      </c>
      <c r="O79" s="13">
        <f>N79*VLOOKUP('Données projet'!$B$9,Paramètres!$A$1:$I$89,3,0)*VLOOKUP('Données projet'!$B$9,Paramètres!$A$1:$I$89,5,0)</f>
        <v>236.78308333333325</v>
      </c>
      <c r="P79" s="13">
        <f t="shared" si="87"/>
        <v>57.746852541723904</v>
      </c>
      <c r="Q79" s="20">
        <f t="shared" si="54"/>
        <v>512.97297164905785</v>
      </c>
      <c r="R79" s="59">
        <f t="shared" si="55"/>
        <v>806.30630498239111</v>
      </c>
      <c r="S79" s="59">
        <f ca="1">AVERAGE(OFFSET($R$3,0,0,'Données projet'!$E$9+1,1))-AVERAGE(OFFSET($H$3,0,0,'Données projet'!$E$9+1,1))</f>
        <v>293.82673322742102</v>
      </c>
      <c r="T79" s="59">
        <f t="shared" si="88"/>
        <v>138.78566015867693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44.116265256920784</v>
      </c>
      <c r="AA79" s="21">
        <f>EXP(-LN(2)/25)*AA78+(1-EXP(-LN(2)/25))/(LN(2)/25)*Calculateur!V79*Calculateur!X79*VLOOKUP('Données projet'!$B$9,Paramètres!$A$1:$I$89,3,0)*0.475*44/12</f>
        <v>19.66051215786424</v>
      </c>
      <c r="AB79" s="21">
        <f>EXP(-LN(2)/2)*AB78+(1-EXP(-LN(2)/2))/(LN(2)/2)*V79*Y79*VLOOKUP('Données projet'!$B$9,Paramètres!$A$1:$I$89,3,0)*0.475*44/12</f>
        <v>2.0993641885105214</v>
      </c>
      <c r="AC79" s="22">
        <f t="shared" si="57"/>
        <v>65.876141603295551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15.229999999999997</v>
      </c>
      <c r="AI79" s="13">
        <f>IF('Données projet'!$A$62&gt;35,AI78+AH79-AQ78,IF(A79&lt;'Données projet'!$A$62,$AF$205^A79,IF(A79='Données projet'!$A$62,'Données projet'!$B$62,AI78+AH79-AQ78)))</f>
        <v>360.43999999999971</v>
      </c>
      <c r="AJ79" s="13">
        <f>AI79*VLOOKUP('Données projet'!$B$10,Paramètres!$A$1:$I$89,3,0)*VLOOKUP('Données projet'!$B$10,Paramètres!$A$1:$I$89,5,0)</f>
        <v>178.05735999999987</v>
      </c>
      <c r="AK79" s="13">
        <f t="shared" si="89"/>
        <v>44.88971198642033</v>
      </c>
      <c r="AL79" s="20">
        <f t="shared" si="58"/>
        <v>388.29948370968191</v>
      </c>
      <c r="AM79" s="59">
        <f t="shared" si="59"/>
        <v>681.63281704301517</v>
      </c>
      <c r="AN79" s="59">
        <f ca="1">AVERAGE(OFFSET($AM$3,0,0,'Données projet'!$E$10+1,1))-AVERAGE(OFFSET($H$3,0,0,'Données projet'!$E$10+1,1))</f>
        <v>265.57710796453807</v>
      </c>
      <c r="AO79" s="59">
        <f t="shared" si="90"/>
        <v>171.29436297508141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14.155162553823125</v>
      </c>
      <c r="AV79" s="21">
        <f>EXP(-LN(2)/25)*AV78+(1-EXP(-LN(2)/25))/(LN(2)/25)*Calculateur!AQ79*Calculateur!AS79*VLOOKUP('Données projet'!$B$10,Paramètres!$A$1:$I$89,3,0)*0.475*44/12</f>
        <v>25.780456359088323</v>
      </c>
      <c r="AW79" s="21">
        <f>EXP(-LN(2)/2)*AW78+(1-EXP(-LN(2)/2))/(LN(2)/2)*AQ79*AT79*VLOOKUP('Données projet'!$B$10,Paramètres!$A$1:$I$89,3,0)*0.475*44/12</f>
        <v>2.1640801890964552</v>
      </c>
      <c r="AX79" s="21">
        <f t="shared" si="60"/>
        <v>42.099699102007904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175.05987582828078</v>
      </c>
      <c r="BJ79" s="59">
        <f t="shared" si="92"/>
        <v>268.54782308462387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105.17494009438809</v>
      </c>
      <c r="BQ79" s="21">
        <f>EXP(-LN(2)/25)*BQ78+(1-EXP(-LN(2)/25))/(LN(2)/25)*Calculateur!BL79*Calculateur!BN79*VLOOKUP('Données projet'!$B$11,Paramètres!$A$1:$I$89,3,0)*0.475*44/12</f>
        <v>31.355971376386467</v>
      </c>
      <c r="BR79" s="21">
        <f>EXP(-LN(2)/2)*BR78+(1-EXP(-LN(2)/2))/(LN(2)/2)*BL79*BO79*VLOOKUP('Données projet'!$B$11,Paramètres!$A$1:$I$89,3,0)*0.475*44/12</f>
        <v>0.16843905419814104</v>
      </c>
      <c r="BS79" s="22">
        <f t="shared" si="63"/>
        <v>136.69935052497269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8.8608333333333373</v>
      </c>
      <c r="N80" s="13">
        <f>IF('Données projet'!$A$36&gt;35,N79+M80-V79,IF(A80&lt;'Données projet'!$A$36,$K$205^A80,IF(A80='Données projet'!$A$36,'Données projet'!$B$36,N79+M80-V79)))</f>
        <v>432.44416666666655</v>
      </c>
      <c r="O80" s="13">
        <f>N80*VLOOKUP('Données projet'!$B$9,Paramètres!$A$1:$I$89,3,0)*VLOOKUP('Données projet'!$B$9,Paramètres!$A$1:$I$89,5,0)</f>
        <v>241.73628916666661</v>
      </c>
      <c r="P80" s="13">
        <f t="shared" si="87"/>
        <v>58.812944684272395</v>
      </c>
      <c r="Q80" s="20">
        <f t="shared" si="54"/>
        <v>523.45658229038543</v>
      </c>
      <c r="R80" s="59">
        <f t="shared" si="55"/>
        <v>816.7899156237188</v>
      </c>
      <c r="S80" s="59">
        <f ca="1">AVERAGE(OFFSET($R$3,0,0,'Données projet'!$E$9+1,1))-AVERAGE(OFFSET($H$3,0,0,'Données projet'!$E$9+1,1))</f>
        <v>293.82673322742102</v>
      </c>
      <c r="T80" s="59">
        <f t="shared" si="88"/>
        <v>138.78566015867693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43.251172203497404</v>
      </c>
      <c r="AA80" s="21">
        <f>EXP(-LN(2)/25)*AA79+(1-EXP(-LN(2)/25))/(LN(2)/25)*Calculateur!V80*Calculateur!X80*VLOOKUP('Données projet'!$B$9,Paramètres!$A$1:$I$89,3,0)*0.475*44/12</f>
        <v>19.122894419006041</v>
      </c>
      <c r="AB80" s="21">
        <f>EXP(-LN(2)/2)*AB79+(1-EXP(-LN(2)/2))/(LN(2)/2)*V80*Y80*VLOOKUP('Données projet'!$B$9,Paramètres!$A$1:$I$89,3,0)*0.475*44/12</f>
        <v>1.4844746538759832</v>
      </c>
      <c r="AC80" s="22">
        <f t="shared" si="57"/>
        <v>63.858541276379434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15.229999999999997</v>
      </c>
      <c r="AI80" s="13">
        <f>IF('Données projet'!$A$62&gt;35,AI79+AH80-AQ79,IF(A80&lt;'Données projet'!$A$62,$AF$205^A80,IF(A80='Données projet'!$A$62,'Données projet'!$B$62,AI79+AH80-AQ79)))</f>
        <v>375.66999999999973</v>
      </c>
      <c r="AJ80" s="13">
        <f>AI80*VLOOKUP('Données projet'!$B$10,Paramètres!$A$1:$I$89,3,0)*VLOOKUP('Données projet'!$B$10,Paramètres!$A$1:$I$89,5,0)</f>
        <v>185.58097999999987</v>
      </c>
      <c r="AK80" s="13">
        <f t="shared" si="89"/>
        <v>46.561636223648172</v>
      </c>
      <c r="AL80" s="20">
        <f t="shared" si="58"/>
        <v>404.31505658952034</v>
      </c>
      <c r="AM80" s="59">
        <f t="shared" si="59"/>
        <v>697.64838992285365</v>
      </c>
      <c r="AN80" s="59">
        <f ca="1">AVERAGE(OFFSET($AM$3,0,0,'Données projet'!$E$10+1,1))-AVERAGE(OFFSET($H$3,0,0,'Données projet'!$E$10+1,1))</f>
        <v>265.57710796453807</v>
      </c>
      <c r="AO80" s="59">
        <f t="shared" si="90"/>
        <v>171.29436297508141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13.877588449939294</v>
      </c>
      <c r="AV80" s="21">
        <f>EXP(-LN(2)/25)*AV79+(1-EXP(-LN(2)/25))/(LN(2)/25)*Calculateur!AQ80*Calculateur!AS80*VLOOKUP('Données projet'!$B$10,Paramètres!$A$1:$I$89,3,0)*0.475*44/12</f>
        <v>25.075488424213773</v>
      </c>
      <c r="AW80" s="21">
        <f>EXP(-LN(2)/2)*AW79+(1-EXP(-LN(2)/2))/(LN(2)/2)*AQ80*AT80*VLOOKUP('Données projet'!$B$10,Paramètres!$A$1:$I$89,3,0)*0.475*44/12</f>
        <v>1.5302357767415695</v>
      </c>
      <c r="AX80" s="21">
        <f t="shared" si="60"/>
        <v>40.483312650894639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175.05987582828078</v>
      </c>
      <c r="BJ80" s="59">
        <f t="shared" si="92"/>
        <v>268.54782308462387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103.11252366951628</v>
      </c>
      <c r="BQ80" s="21">
        <f>EXP(-LN(2)/25)*BQ79+(1-EXP(-LN(2)/25))/(LN(2)/25)*Calculateur!BL80*Calculateur!BN80*VLOOKUP('Données projet'!$B$11,Paramètres!$A$1:$I$89,3,0)*0.475*44/12</f>
        <v>30.498540690160311</v>
      </c>
      <c r="BR80" s="21">
        <f>EXP(-LN(2)/2)*BR79+(1-EXP(-LN(2)/2))/(LN(2)/2)*BL80*BO80*VLOOKUP('Données projet'!$B$11,Paramètres!$A$1:$I$89,3,0)*0.475*44/12</f>
        <v>0.11910439744015394</v>
      </c>
      <c r="BS80" s="22">
        <f t="shared" si="63"/>
        <v>133.73016875711676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8.8608333333333373</v>
      </c>
      <c r="N81" s="13">
        <f>IF('Données projet'!$A$36&gt;35,N80+M81-V80,IF(A81&lt;'Données projet'!$A$36,$K$205^A81,IF(A81='Données projet'!$A$36,'Données projet'!$B$36,N80+M81-V80)))</f>
        <v>441.30499999999989</v>
      </c>
      <c r="O81" s="13">
        <f>N81*VLOOKUP('Données projet'!$B$9,Paramètres!$A$1:$I$89,3,0)*VLOOKUP('Données projet'!$B$9,Paramètres!$A$1:$I$89,5,0)</f>
        <v>246.68949499999997</v>
      </c>
      <c r="P81" s="13">
        <f t="shared" si="87"/>
        <v>59.876496985599339</v>
      </c>
      <c r="Q81" s="20">
        <f t="shared" si="54"/>
        <v>533.93576937491866</v>
      </c>
      <c r="R81" s="59">
        <f t="shared" si="55"/>
        <v>827.26910270825192</v>
      </c>
      <c r="S81" s="59">
        <f ca="1">AVERAGE(OFFSET($R$3,0,0,'Données projet'!$E$9+1,1))-AVERAGE(OFFSET($H$3,0,0,'Données projet'!$E$9+1,1))</f>
        <v>293.82673322742102</v>
      </c>
      <c r="T81" s="59">
        <f t="shared" si="88"/>
        <v>138.78566015867693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42.403043097196992</v>
      </c>
      <c r="AA81" s="21">
        <f>EXP(-LN(2)/25)*AA80+(1-EXP(-LN(2)/25))/(LN(2)/25)*Calculateur!V81*Calculateur!X81*VLOOKUP('Données projet'!$B$9,Paramètres!$A$1:$I$89,3,0)*0.475*44/12</f>
        <v>18.599977865489009</v>
      </c>
      <c r="AB81" s="21">
        <f>EXP(-LN(2)/2)*AB80+(1-EXP(-LN(2)/2))/(LN(2)/2)*V81*Y81*VLOOKUP('Données projet'!$B$9,Paramètres!$A$1:$I$89,3,0)*0.475*44/12</f>
        <v>1.0496820942552607</v>
      </c>
      <c r="AC81" s="22">
        <f t="shared" si="57"/>
        <v>62.052703056941262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15.229999999999997</v>
      </c>
      <c r="AI81" s="13">
        <f>IF('Données projet'!$A$62&gt;35,AI80+AH81-AQ80,IF(A81&lt;'Données projet'!$A$62,$AF$205^A81,IF(A81='Données projet'!$A$62,'Données projet'!$B$62,AI80+AH81-AQ80)))</f>
        <v>390.89999999999975</v>
      </c>
      <c r="AJ81" s="13">
        <f>AI81*VLOOKUP('Données projet'!$B$10,Paramètres!$A$1:$I$89,3,0)*VLOOKUP('Données projet'!$B$10,Paramètres!$A$1:$I$89,5,0)</f>
        <v>193.10459999999989</v>
      </c>
      <c r="AK81" s="13">
        <f t="shared" si="89"/>
        <v>48.225687024607268</v>
      </c>
      <c r="AL81" s="20">
        <f t="shared" si="58"/>
        <v>420.3169165678575</v>
      </c>
      <c r="AM81" s="59">
        <f t="shared" si="59"/>
        <v>713.65024990119082</v>
      </c>
      <c r="AN81" s="59">
        <f ca="1">AVERAGE(OFFSET($AM$3,0,0,'Données projet'!$E$10+1,1))-AVERAGE(OFFSET($H$3,0,0,'Données projet'!$E$10+1,1))</f>
        <v>265.57710796453807</v>
      </c>
      <c r="AO81" s="59">
        <f t="shared" si="90"/>
        <v>171.29436297508141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13.60545740492914</v>
      </c>
      <c r="AV81" s="21">
        <f>EXP(-LN(2)/25)*AV80+(1-EXP(-LN(2)/25))/(LN(2)/25)*Calculateur!AQ81*Calculateur!AS81*VLOOKUP('Données projet'!$B$10,Paramètres!$A$1:$I$89,3,0)*0.475*44/12</f>
        <v>24.389797874591022</v>
      </c>
      <c r="AW81" s="21">
        <f>EXP(-LN(2)/2)*AW80+(1-EXP(-LN(2)/2))/(LN(2)/2)*AQ81*AT81*VLOOKUP('Données projet'!$B$10,Paramètres!$A$1:$I$89,3,0)*0.475*44/12</f>
        <v>1.0820400945482276</v>
      </c>
      <c r="AX81" s="21">
        <f t="shared" si="60"/>
        <v>39.077295374068392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175.05987582828078</v>
      </c>
      <c r="BJ81" s="59">
        <f t="shared" si="92"/>
        <v>268.54782308462387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101.09054997278639</v>
      </c>
      <c r="BQ81" s="21">
        <f>EXP(-LN(2)/25)*BQ80+(1-EXP(-LN(2)/25))/(LN(2)/25)*Calculateur!BL81*Calculateur!BN81*VLOOKUP('Données projet'!$B$11,Paramètres!$A$1:$I$89,3,0)*0.475*44/12</f>
        <v>29.664556491139329</v>
      </c>
      <c r="BR81" s="21">
        <f>EXP(-LN(2)/2)*BR80+(1-EXP(-LN(2)/2))/(LN(2)/2)*BL81*BO81*VLOOKUP('Données projet'!$B$11,Paramètres!$A$1:$I$89,3,0)*0.475*44/12</f>
        <v>8.4219527099070532E-2</v>
      </c>
      <c r="BS81" s="22">
        <f t="shared" si="63"/>
        <v>130.83932599102479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8.8608333333333373</v>
      </c>
      <c r="N82" s="13">
        <f>IF('Données projet'!$A$36&gt;35,N81+M82-V81,IF(A82&lt;'Données projet'!$A$36,$K$205^A82,IF(A82='Données projet'!$A$36,'Données projet'!$B$36,N81+M82-V81)))</f>
        <v>450.16583333333324</v>
      </c>
      <c r="O82" s="13">
        <f>N82*VLOOKUP('Données projet'!$B$9,Paramètres!$A$1:$I$89,3,0)*VLOOKUP('Données projet'!$B$9,Paramètres!$A$1:$I$89,5,0)</f>
        <v>251.64270083333329</v>
      </c>
      <c r="P82" s="13">
        <f t="shared" si="87"/>
        <v>60.937566319682929</v>
      </c>
      <c r="Q82" s="20">
        <f t="shared" si="54"/>
        <v>544.41063195816992</v>
      </c>
      <c r="R82" s="59">
        <f t="shared" si="55"/>
        <v>837.74396529150317</v>
      </c>
      <c r="S82" s="59">
        <f ca="1">AVERAGE(OFFSET($R$3,0,0,'Données projet'!$E$9+1,1))-AVERAGE(OFFSET($H$3,0,0,'Données projet'!$E$9+1,1))</f>
        <v>293.82673322742102</v>
      </c>
      <c r="T82" s="59">
        <f t="shared" si="88"/>
        <v>138.78566015867693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41.571545285363456</v>
      </c>
      <c r="AA82" s="21">
        <f>EXP(-LN(2)/25)*AA81+(1-EXP(-LN(2)/25))/(LN(2)/25)*Calculateur!V82*Calculateur!X82*VLOOKUP('Données projet'!$B$9,Paramètres!$A$1:$I$89,3,0)*0.475*44/12</f>
        <v>18.091360492626887</v>
      </c>
      <c r="AB82" s="21">
        <f>EXP(-LN(2)/2)*AB81+(1-EXP(-LN(2)/2))/(LN(2)/2)*V82*Y82*VLOOKUP('Données projet'!$B$9,Paramètres!$A$1:$I$89,3,0)*0.475*44/12</f>
        <v>0.7422373269379916</v>
      </c>
      <c r="AC82" s="22">
        <f t="shared" si="57"/>
        <v>60.405143104928335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15.229999999999997</v>
      </c>
      <c r="AI82" s="13">
        <f>IF('Données projet'!$A$62&gt;35,AI81+AH82-AQ81,IF(A82&lt;'Données projet'!$A$62,$AF$205^A82,IF(A82='Données projet'!$A$62,'Données projet'!$B$62,AI81+AH82-AQ81)))</f>
        <v>406.12999999999977</v>
      </c>
      <c r="AJ82" s="13">
        <f>AI82*VLOOKUP('Données projet'!$B$10,Paramètres!$A$1:$I$89,3,0)*VLOOKUP('Données projet'!$B$10,Paramètres!$A$1:$I$89,5,0)</f>
        <v>200.62821999999989</v>
      </c>
      <c r="AK82" s="13">
        <f t="shared" si="89"/>
        <v>49.882206256797616</v>
      </c>
      <c r="AL82" s="20">
        <f t="shared" si="58"/>
        <v>436.30565906392229</v>
      </c>
      <c r="AM82" s="59">
        <f t="shared" si="59"/>
        <v>729.63899239725561</v>
      </c>
      <c r="AN82" s="59">
        <f ca="1">AVERAGE(OFFSET($AM$3,0,0,'Données projet'!$E$10+1,1))-AVERAGE(OFFSET($H$3,0,0,'Données projet'!$E$10+1,1))</f>
        <v>265.57710796453807</v>
      </c>
      <c r="AO82" s="59">
        <f t="shared" si="90"/>
        <v>171.29436297508141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13.338662683728087</v>
      </c>
      <c r="AV82" s="21">
        <f>EXP(-LN(2)/25)*AV81+(1-EXP(-LN(2)/25))/(LN(2)/25)*Calculateur!AQ82*Calculateur!AS82*VLOOKUP('Données projet'!$B$10,Paramètres!$A$1:$I$89,3,0)*0.475*44/12</f>
        <v>23.722857569106605</v>
      </c>
      <c r="AW82" s="21">
        <f>EXP(-LN(2)/2)*AW81+(1-EXP(-LN(2)/2))/(LN(2)/2)*AQ82*AT82*VLOOKUP('Données projet'!$B$10,Paramètres!$A$1:$I$89,3,0)*0.475*44/12</f>
        <v>0.76511788837078476</v>
      </c>
      <c r="AX82" s="21">
        <f t="shared" si="60"/>
        <v>37.826638141205471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175.05987582828078</v>
      </c>
      <c r="BJ82" s="59">
        <f t="shared" si="92"/>
        <v>268.54782308462387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99.108225946967195</v>
      </c>
      <c r="BQ82" s="21">
        <f>EXP(-LN(2)/25)*BQ81+(1-EXP(-LN(2)/25))/(LN(2)/25)*Calculateur!BL82*Calculateur!BN82*VLOOKUP('Données projet'!$B$11,Paramètres!$A$1:$I$89,3,0)*0.475*44/12</f>
        <v>28.8533776338979</v>
      </c>
      <c r="BR82" s="21">
        <f>EXP(-LN(2)/2)*BR81+(1-EXP(-LN(2)/2))/(LN(2)/2)*BL82*BO82*VLOOKUP('Données projet'!$B$11,Paramètres!$A$1:$I$89,3,0)*0.475*44/12</f>
        <v>5.9552198720076978E-2</v>
      </c>
      <c r="BS82" s="22">
        <f t="shared" si="63"/>
        <v>128.02115577958517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8.8608333333333373</v>
      </c>
      <c r="N83" s="13">
        <f>IF('Données projet'!$A$36&gt;35,N82+M83-V82,IF(A83&lt;'Données projet'!$A$36,$K$205^A83,IF(A83='Données projet'!$A$36,'Données projet'!$B$36,N82+M83-V82)))</f>
        <v>459.02666666666659</v>
      </c>
      <c r="O83" s="13">
        <f>N83*VLOOKUP('Données projet'!$B$9,Paramètres!$A$1:$I$89,3,0)*VLOOKUP('Données projet'!$B$9,Paramètres!$A$1:$I$89,5,0)</f>
        <v>256.59590666666662</v>
      </c>
      <c r="P83" s="13">
        <f t="shared" si="87"/>
        <v>61.996207193491571</v>
      </c>
      <c r="Q83" s="20">
        <f t="shared" si="54"/>
        <v>554.88126497310884</v>
      </c>
      <c r="R83" s="59">
        <f t="shared" si="55"/>
        <v>848.21459830644221</v>
      </c>
      <c r="S83" s="59">
        <f ca="1">AVERAGE(OFFSET($R$3,0,0,'Données projet'!$E$9+1,1))-AVERAGE(OFFSET($H$3,0,0,'Données projet'!$E$9+1,1))</f>
        <v>293.82673322742102</v>
      </c>
      <c r="T83" s="59">
        <f t="shared" si="88"/>
        <v>138.78566015867693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40.756352638456391</v>
      </c>
      <c r="AA83" s="21">
        <f>EXP(-LN(2)/25)*AA82+(1-EXP(-LN(2)/25))/(LN(2)/25)*Calculateur!V83*Calculateur!X83*VLOOKUP('Données projet'!$B$9,Paramètres!$A$1:$I$89,3,0)*0.475*44/12</f>
        <v>17.596651288572705</v>
      </c>
      <c r="AB83" s="21">
        <f>EXP(-LN(2)/2)*AB82+(1-EXP(-LN(2)/2))/(LN(2)/2)*V83*Y83*VLOOKUP('Données projet'!$B$9,Paramètres!$A$1:$I$89,3,0)*0.475*44/12</f>
        <v>0.52484104712763036</v>
      </c>
      <c r="AC83" s="22">
        <f t="shared" si="57"/>
        <v>58.877844974156723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15.229999999999997</v>
      </c>
      <c r="AI83" s="13">
        <f>IF('Données projet'!$A$62&gt;35,AI82+AH83-AQ82,IF(A83&lt;'Données projet'!$A$62,$AF$205^A83,IF(A83='Données projet'!$A$62,'Données projet'!$B$62,AI82+AH83-AQ82)))</f>
        <v>421.35999999999979</v>
      </c>
      <c r="AJ83" s="13">
        <f>AI83*VLOOKUP('Données projet'!$B$10,Paramètres!$A$1:$I$89,3,0)*VLOOKUP('Données projet'!$B$10,Paramètres!$A$1:$I$89,5,0)</f>
        <v>208.15183999999991</v>
      </c>
      <c r="AK83" s="13">
        <f t="shared" si="89"/>
        <v>51.531508694919474</v>
      </c>
      <c r="AL83" s="20">
        <f t="shared" si="58"/>
        <v>452.2818323103179</v>
      </c>
      <c r="AM83" s="59">
        <f t="shared" si="59"/>
        <v>745.61516564365115</v>
      </c>
      <c r="AN83" s="59">
        <f ca="1">AVERAGE(OFFSET($AM$3,0,0,'Données projet'!$E$10+1,1))-AVERAGE(OFFSET($H$3,0,0,'Données projet'!$E$10+1,1))</f>
        <v>265.57710796453807</v>
      </c>
      <c r="AO83" s="59">
        <f t="shared" si="90"/>
        <v>171.29436297508141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13.077099644281075</v>
      </c>
      <c r="AV83" s="21">
        <f>EXP(-LN(2)/25)*AV82+(1-EXP(-LN(2)/25))/(LN(2)/25)*Calculateur!AQ83*Calculateur!AS83*VLOOKUP('Données projet'!$B$10,Paramètres!$A$1:$I$89,3,0)*0.475*44/12</f>
        <v>23.074154781348525</v>
      </c>
      <c r="AW83" s="21">
        <f>EXP(-LN(2)/2)*AW82+(1-EXP(-LN(2)/2))/(LN(2)/2)*AQ83*AT83*VLOOKUP('Données projet'!$B$10,Paramètres!$A$1:$I$89,3,0)*0.475*44/12</f>
        <v>0.54102004727411379</v>
      </c>
      <c r="AX83" s="21">
        <f t="shared" si="60"/>
        <v>36.692274472903719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175.05987582828078</v>
      </c>
      <c r="BJ83" s="59">
        <f t="shared" si="92"/>
        <v>268.54782308462387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97.164774086196047</v>
      </c>
      <c r="BQ83" s="21">
        <f>EXP(-LN(2)/25)*BQ82+(1-EXP(-LN(2)/25))/(LN(2)/25)*Calculateur!BL83*Calculateur!BN83*VLOOKUP('Données projet'!$B$11,Paramètres!$A$1:$I$89,3,0)*0.475*44/12</f>
        <v>28.064380505165776</v>
      </c>
      <c r="BR83" s="21">
        <f>EXP(-LN(2)/2)*BR82+(1-EXP(-LN(2)/2))/(LN(2)/2)*BL83*BO83*VLOOKUP('Données projet'!$B$11,Paramètres!$A$1:$I$89,3,0)*0.475*44/12</f>
        <v>4.2109763549535273E-2</v>
      </c>
      <c r="BS83" s="22">
        <f t="shared" si="63"/>
        <v>125.27126435491135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8.8608333333333373</v>
      </c>
      <c r="N84" s="13">
        <f>IF('Données projet'!$A$36&gt;35,N83+M84-V83,IF(A84&lt;'Données projet'!$A$36,$K$205^A84,IF(A84='Données projet'!$A$36,'Données projet'!$B$36,N83+M84-V83)))</f>
        <v>467.88749999999993</v>
      </c>
      <c r="O84" s="13">
        <f>N84*VLOOKUP('Données projet'!$B$9,Paramètres!$A$1:$I$89,3,0)*VLOOKUP('Données projet'!$B$9,Paramètres!$A$1:$I$89,5,0)</f>
        <v>261.54911249999998</v>
      </c>
      <c r="P84" s="13">
        <f t="shared" si="87"/>
        <v>63.052471889252359</v>
      </c>
      <c r="Q84" s="20">
        <f t="shared" si="54"/>
        <v>565.34775947794776</v>
      </c>
      <c r="R84" s="59">
        <f t="shared" si="55"/>
        <v>858.68109281128113</v>
      </c>
      <c r="S84" s="59">
        <f ca="1">AVERAGE(OFFSET($R$3,0,0,'Données projet'!$E$9+1,1))-AVERAGE(OFFSET($H$3,0,0,'Données projet'!$E$9+1,1))</f>
        <v>293.82673322742102</v>
      </c>
      <c r="T84" s="59">
        <f t="shared" si="88"/>
        <v>138.78566015867693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39.957145422136755</v>
      </c>
      <c r="AA84" s="21">
        <f>EXP(-LN(2)/25)*AA83+(1-EXP(-LN(2)/25))/(LN(2)/25)*Calculateur!V84*Calculateur!X84*VLOOKUP('Données projet'!$B$9,Paramètres!$A$1:$I$89,3,0)*0.475*44/12</f>
        <v>17.115469933719012</v>
      </c>
      <c r="AB84" s="21">
        <f>EXP(-LN(2)/2)*AB83+(1-EXP(-LN(2)/2))/(LN(2)/2)*V84*Y84*VLOOKUP('Données projet'!$B$9,Paramètres!$A$1:$I$89,3,0)*0.475*44/12</f>
        <v>0.3711186634689958</v>
      </c>
      <c r="AC84" s="22">
        <f t="shared" si="57"/>
        <v>57.443734019324765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436.59</v>
      </c>
      <c r="AG84" s="12">
        <f>VLOOKUP(A84,'Données projet'!$A$61:$I$81,9,0)</f>
        <v>15.229999999999997</v>
      </c>
      <c r="AH84" s="12">
        <f t="array" ref="AH84">INDEX(AG:AG,MIN(IF(ISNUMBER(AG84:AG280),ROW(AG84:AG280),"")))</f>
        <v>15.229999999999997</v>
      </c>
      <c r="AI84" s="13">
        <f>IF('Données projet'!$A$62&gt;35,AI83+AH84-AQ83,IF(A84&lt;'Données projet'!$A$62,$AF$205^A84,IF(A84='Données projet'!$A$62,'Données projet'!$B$62,AI83+AH84-AQ83)))</f>
        <v>436.5899999999998</v>
      </c>
      <c r="AJ84" s="13">
        <f>AI84*VLOOKUP('Données projet'!$B$10,Paramètres!$A$1:$I$89,3,0)*VLOOKUP('Données projet'!$B$10,Paramètres!$A$1:$I$89,5,0)</f>
        <v>215.6754599999999</v>
      </c>
      <c r="AK84" s="13">
        <f t="shared" si="89"/>
        <v>53.173885068971167</v>
      </c>
      <c r="AL84" s="20">
        <f t="shared" si="58"/>
        <v>468.24594266179116</v>
      </c>
      <c r="AM84" s="59">
        <f t="shared" si="59"/>
        <v>761.57927599512448</v>
      </c>
      <c r="AN84" s="59">
        <f ca="1">AVERAGE(OFFSET($AM$3,0,0,'Données projet'!$E$10+1,1))-AVERAGE(OFFSET($H$3,0,0,'Données projet'!$E$10+1,1))</f>
        <v>265.57710796453807</v>
      </c>
      <c r="AO84" s="59">
        <f t="shared" si="90"/>
        <v>171.29436297508141</v>
      </c>
      <c r="AP84" s="15">
        <f>IF(ISNA(VLOOKUP(A84,'Données projet'!$A$61:$I$81,3,0)),0,VLOOKUP(A84,'Données projet'!$A$61:$I$81,3,0))</f>
        <v>4</v>
      </c>
      <c r="AQ84" s="15">
        <f>IF(ISNA(VLOOKUP(A84,'Données projet'!$A$61:$I$81,4,0)),0,VLOOKUP(A84,'Données projet'!$A$61:$I$81,4,0))</f>
        <v>93.039999999999964</v>
      </c>
      <c r="AR84" s="16">
        <f>IF(ISNA(VLOOKUP(A84,'Données projet'!$A$61:$I$81,5,0)),0%,VLOOKUP(A84,'Données projet'!$A$61:$I$81,5,0)*VLOOKUP('Données projet'!$B$10,Paramètres!$A$1:$I$89,7,0))</f>
        <v>0.22000000000000003</v>
      </c>
      <c r="AS84" s="16">
        <f>IF(ISNA(VLOOKUP(A84,'Données projet'!$A$61:$I$81,6,0)),0%,VLOOKUP(A84,'Données projet'!$A$61:$I$81,6,0)*VLOOKUP('Données projet'!$B$10,Paramètres!$A$1:$I$89,7,0))</f>
        <v>5.5000000000000007E-2</v>
      </c>
      <c r="AT84" s="16">
        <f>IF(ISNA(VLOOKUP(A84,'Données projet'!$A$61:$I$81,7,0)),0%,VLOOKUP(A84,'Données projet'!$A$61:$I$81,7,0))</f>
        <v>0.1</v>
      </c>
      <c r="AU84" s="21">
        <f>EXP(-LN(2)/35)*AU83+(1-EXP(-LN(2)/35))/(LN(2)/35)*AQ84*AR84*VLOOKUP('Données projet'!$B$10,Paramètres!$A$1:$I$89,3,0)*0.475*44/12</f>
        <v>26.234337864097338</v>
      </c>
      <c r="AV84" s="21">
        <f>EXP(-LN(2)/25)*AV83+(1-EXP(-LN(2)/25))/(LN(2)/25)*Calculateur!AQ84*Calculateur!AS84*VLOOKUP('Données projet'!$B$10,Paramètres!$A$1:$I$89,3,0)*0.475*44/12</f>
        <v>25.783405162751439</v>
      </c>
      <c r="AW84" s="21">
        <f>EXP(-LN(2)/2)*AW83+(1-EXP(-LN(2)/2))/(LN(2)/2)*AQ84*AT84*VLOOKUP('Données projet'!$B$10,Paramètres!$A$1:$I$89,3,0)*0.475*44/12</f>
        <v>5.5864978565013912</v>
      </c>
      <c r="AX84" s="21">
        <f t="shared" si="60"/>
        <v>57.604240883350165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175.05987582828078</v>
      </c>
      <c r="BJ84" s="59">
        <f t="shared" si="92"/>
        <v>268.54782308462387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95.259432131026031</v>
      </c>
      <c r="BQ84" s="21">
        <f>EXP(-LN(2)/25)*BQ83+(1-EXP(-LN(2)/25))/(LN(2)/25)*Calculateur!BL84*Calculateur!BN84*VLOOKUP('Données projet'!$B$11,Paramètres!$A$1:$I$89,3,0)*0.475*44/12</f>
        <v>27.296958544410391</v>
      </c>
      <c r="BR84" s="21">
        <f>EXP(-LN(2)/2)*BR83+(1-EXP(-LN(2)/2))/(LN(2)/2)*BL84*BO84*VLOOKUP('Données projet'!$B$11,Paramètres!$A$1:$I$89,3,0)*0.475*44/12</f>
        <v>2.9776099360038496E-2</v>
      </c>
      <c r="BS84" s="22">
        <f t="shared" si="63"/>
        <v>122.58616677479645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8.8608333333333373</v>
      </c>
      <c r="N85" s="13">
        <f>IF('Données projet'!$A$36&gt;35,N84+M85-V84,IF(A85&lt;'Données projet'!$A$36,$K$205^A85,IF(A85='Données projet'!$A$36,'Données projet'!$B$36,N84+M85-V84)))</f>
        <v>476.74833333333328</v>
      </c>
      <c r="O85" s="13">
        <f>N85*VLOOKUP('Données projet'!$B$9,Paramètres!$A$1:$I$89,3,0)*VLOOKUP('Données projet'!$B$9,Paramètres!$A$1:$I$89,5,0)</f>
        <v>266.50231833333328</v>
      </c>
      <c r="P85" s="13">
        <f t="shared" si="87"/>
        <v>64.106410595638764</v>
      </c>
      <c r="Q85" s="20">
        <f t="shared" si="54"/>
        <v>575.81020288462628</v>
      </c>
      <c r="R85" s="59">
        <f t="shared" si="55"/>
        <v>869.14353621795954</v>
      </c>
      <c r="S85" s="59">
        <f ca="1">AVERAGE(OFFSET($R$3,0,0,'Données projet'!$E$9+1,1))-AVERAGE(OFFSET($H$3,0,0,'Données projet'!$E$9+1,1))</f>
        <v>293.82673322742102</v>
      </c>
      <c r="T85" s="59">
        <f t="shared" si="88"/>
        <v>138.78566015867693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39.173610171860879</v>
      </c>
      <c r="AA85" s="21">
        <f>EXP(-LN(2)/25)*AA84+(1-EXP(-LN(2)/25))/(LN(2)/25)*Calculateur!V85*Calculateur!X85*VLOOKUP('Données projet'!$B$9,Paramètres!$A$1:$I$89,3,0)*0.475*44/12</f>
        <v>16.647446508318019</v>
      </c>
      <c r="AB85" s="21">
        <f>EXP(-LN(2)/2)*AB84+(1-EXP(-LN(2)/2))/(LN(2)/2)*V85*Y85*VLOOKUP('Données projet'!$B$9,Paramètres!$A$1:$I$89,3,0)*0.475*44/12</f>
        <v>0.26242052356381518</v>
      </c>
      <c r="AC85" s="22">
        <f t="shared" si="57"/>
        <v>56.083477203742717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14.304444444444446</v>
      </c>
      <c r="AI85" s="13">
        <f>IF('Données projet'!$A$62&gt;35,AI84+AH85-AQ84,IF(A85&lt;'Données projet'!$A$62,$AF$205^A85,IF(A85='Données projet'!$A$62,'Données projet'!$B$62,AI84+AH85-AQ84)))</f>
        <v>357.85444444444431</v>
      </c>
      <c r="AJ85" s="13">
        <f>AI85*VLOOKUP('Données projet'!$B$10,Paramètres!$A$1:$I$89,3,0)*VLOOKUP('Données projet'!$B$10,Paramètres!$A$1:$I$89,5,0)</f>
        <v>176.78009555555548</v>
      </c>
      <c r="AK85" s="13">
        <f t="shared" si="89"/>
        <v>44.605065924654603</v>
      </c>
      <c r="AL85" s="20">
        <f t="shared" si="58"/>
        <v>385.57915624469916</v>
      </c>
      <c r="AM85" s="59">
        <f t="shared" si="59"/>
        <v>678.91248957803248</v>
      </c>
      <c r="AN85" s="59">
        <f ca="1">AVERAGE(OFFSET($AM$3,0,0,'Données projet'!$E$10+1,1))-AVERAGE(OFFSET($H$3,0,0,'Données projet'!$E$10+1,1))</f>
        <v>265.57710796453807</v>
      </c>
      <c r="AO85" s="59">
        <f t="shared" si="90"/>
        <v>171.29436297508141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25.719898499948481</v>
      </c>
      <c r="AV85" s="21">
        <f>EXP(-LN(2)/25)*AV84+(1-EXP(-LN(2)/25))/(LN(2)/25)*Calculateur!AQ85*Calculateur!AS85*VLOOKUP('Données projet'!$B$10,Paramètres!$A$1:$I$89,3,0)*0.475*44/12</f>
        <v>25.078356592685651</v>
      </c>
      <c r="AW85" s="21">
        <f>EXP(-LN(2)/2)*AW84+(1-EXP(-LN(2)/2))/(LN(2)/2)*AQ85*AT85*VLOOKUP('Données projet'!$B$10,Paramètres!$A$1:$I$89,3,0)*0.475*44/12</f>
        <v>3.9502505174162463</v>
      </c>
      <c r="AX85" s="21">
        <f t="shared" si="60"/>
        <v>54.74850561005038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175.05987582828078</v>
      </c>
      <c r="BJ85" s="59">
        <f t="shared" si="92"/>
        <v>268.54782308462387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93.391452769453068</v>
      </c>
      <c r="BQ85" s="21">
        <f>EXP(-LN(2)/25)*BQ84+(1-EXP(-LN(2)/25))/(LN(2)/25)*Calculateur!BL85*Calculateur!BN85*VLOOKUP('Données projet'!$B$11,Paramètres!$A$1:$I$89,3,0)*0.475*44/12</f>
        <v>26.550521777528825</v>
      </c>
      <c r="BR85" s="21">
        <f>EXP(-LN(2)/2)*BR84+(1-EXP(-LN(2)/2))/(LN(2)/2)*BL85*BO85*VLOOKUP('Données projet'!$B$11,Paramètres!$A$1:$I$89,3,0)*0.475*44/12</f>
        <v>2.105488177476764E-2</v>
      </c>
      <c r="BS85" s="22">
        <f t="shared" si="63"/>
        <v>119.96302942875667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8.8608333333333373</v>
      </c>
      <c r="N86" s="13">
        <f>IF('Données projet'!$A$36&gt;35,N85+M86-V85,IF(A86&lt;'Données projet'!$A$36,$K$205^A86,IF(A86='Données projet'!$A$36,'Données projet'!$B$36,N85+M86-V85)))</f>
        <v>485.60916666666662</v>
      </c>
      <c r="O86" s="13">
        <f>N86*VLOOKUP('Données projet'!$B$9,Paramètres!$A$1:$I$89,3,0)*VLOOKUP('Données projet'!$B$9,Paramètres!$A$1:$I$89,5,0)</f>
        <v>271.45552416666663</v>
      </c>
      <c r="P86" s="13">
        <f t="shared" si="87"/>
        <v>65.158071528928332</v>
      </c>
      <c r="Q86" s="20">
        <f t="shared" si="54"/>
        <v>586.26867916982792</v>
      </c>
      <c r="R86" s="59">
        <f t="shared" si="55"/>
        <v>879.60201250316118</v>
      </c>
      <c r="S86" s="59">
        <f ca="1">AVERAGE(OFFSET($R$3,0,0,'Données projet'!$E$9+1,1))-AVERAGE(OFFSET($H$3,0,0,'Données projet'!$E$9+1,1))</f>
        <v>293.82673322742102</v>
      </c>
      <c r="T86" s="59">
        <f t="shared" si="88"/>
        <v>138.78566015867693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38.405439569933598</v>
      </c>
      <c r="AA86" s="21">
        <f>EXP(-LN(2)/25)*AA85+(1-EXP(-LN(2)/25))/(LN(2)/25)*Calculateur!V86*Calculateur!X86*VLOOKUP('Données projet'!$B$9,Paramètres!$A$1:$I$89,3,0)*0.475*44/12</f>
        <v>16.1922212080969</v>
      </c>
      <c r="AB86" s="21">
        <f>EXP(-LN(2)/2)*AB85+(1-EXP(-LN(2)/2))/(LN(2)/2)*V86*Y86*VLOOKUP('Données projet'!$B$9,Paramètres!$A$1:$I$89,3,0)*0.475*44/12</f>
        <v>0.1855593317344979</v>
      </c>
      <c r="AC86" s="22">
        <f t="shared" si="57"/>
        <v>54.783220109764997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14.304444444444446</v>
      </c>
      <c r="AI86" s="13">
        <f>IF('Données projet'!$A$62&gt;35,AI85+AH86-AQ85,IF(A86&lt;'Données projet'!$A$62,$AF$205^A86,IF(A86='Données projet'!$A$62,'Données projet'!$B$62,AI85+AH86-AQ85)))</f>
        <v>372.15888888888878</v>
      </c>
      <c r="AJ86" s="13">
        <f>AI86*VLOOKUP('Données projet'!$B$10,Paramètres!$A$1:$I$89,3,0)*VLOOKUP('Données projet'!$B$10,Paramètres!$A$1:$I$89,5,0)</f>
        <v>183.84649111111105</v>
      </c>
      <c r="AK86" s="13">
        <f t="shared" si="89"/>
        <v>46.176903616390575</v>
      </c>
      <c r="AL86" s="20">
        <f t="shared" si="58"/>
        <v>400.6240791503987</v>
      </c>
      <c r="AM86" s="59">
        <f t="shared" si="59"/>
        <v>693.95741248373201</v>
      </c>
      <c r="AN86" s="59">
        <f ca="1">AVERAGE(OFFSET($AM$3,0,0,'Données projet'!$E$10+1,1))-AVERAGE(OFFSET($H$3,0,0,'Données projet'!$E$10+1,1))</f>
        <v>265.57710796453807</v>
      </c>
      <c r="AO86" s="59">
        <f t="shared" si="90"/>
        <v>171.29436297508141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25.215546977953554</v>
      </c>
      <c r="AV86" s="21">
        <f>EXP(-LN(2)/25)*AV85+(1-EXP(-LN(2)/25))/(LN(2)/25)*Calculateur!AQ86*Calculateur!AS86*VLOOKUP('Données projet'!$B$10,Paramètres!$A$1:$I$89,3,0)*0.475*44/12</f>
        <v>24.392587612845205</v>
      </c>
      <c r="AW86" s="21">
        <f>EXP(-LN(2)/2)*AW85+(1-EXP(-LN(2)/2))/(LN(2)/2)*AQ86*AT86*VLOOKUP('Données projet'!$B$10,Paramètres!$A$1:$I$89,3,0)*0.475*44/12</f>
        <v>2.793248928250696</v>
      </c>
      <c r="AX86" s="21">
        <f t="shared" si="60"/>
        <v>52.401383519049453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175.05987582828078</v>
      </c>
      <c r="BJ86" s="59">
        <f t="shared" si="92"/>
        <v>268.54782308462387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91.560103343805636</v>
      </c>
      <c r="BQ86" s="21">
        <f>EXP(-LN(2)/25)*BQ85+(1-EXP(-LN(2)/25))/(LN(2)/25)*Calculateur!BL86*Calculateur!BN86*VLOOKUP('Données projet'!$B$11,Paramètres!$A$1:$I$89,3,0)*0.475*44/12</f>
        <v>25.82449636329104</v>
      </c>
      <c r="BR86" s="21">
        <f>EXP(-LN(2)/2)*BR85+(1-EXP(-LN(2)/2))/(LN(2)/2)*BL86*BO86*VLOOKUP('Données projet'!$B$11,Paramètres!$A$1:$I$89,3,0)*0.475*44/12</f>
        <v>1.488804968001925E-2</v>
      </c>
      <c r="BS86" s="22">
        <f t="shared" si="63"/>
        <v>117.39948775677669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494.47</v>
      </c>
      <c r="L87" s="12">
        <f>VLOOKUP(A87,'Données projet'!$A$35:$I$55,9,0)</f>
        <v>8.8608333333333373</v>
      </c>
      <c r="M87" s="12">
        <f t="array" ref="M87">INDEX(L:L,MIN(IF(ISNUMBER(L87:L283),ROW(L87:L283),"")))</f>
        <v>8.8608333333333373</v>
      </c>
      <c r="N87" s="13">
        <f>IF('Données projet'!$A$36&gt;35,N86+M87-V86,IF(A87&lt;'Données projet'!$A$36,$K$205^A87,IF(A87='Données projet'!$A$36,'Données projet'!$B$36,N86+M87-V86)))</f>
        <v>494.46999999999997</v>
      </c>
      <c r="O87" s="13">
        <f>N87*VLOOKUP('Données projet'!$B$9,Paramètres!$A$1:$I$89,3,0)*VLOOKUP('Données projet'!$B$9,Paramètres!$A$1:$I$89,5,0)</f>
        <v>276.40872999999999</v>
      </c>
      <c r="P87" s="13">
        <f t="shared" si="87"/>
        <v>66.207501045067801</v>
      </c>
      <c r="Q87" s="20">
        <f t="shared" si="54"/>
        <v>596.72326907015974</v>
      </c>
      <c r="R87" s="59">
        <f t="shared" si="55"/>
        <v>890.05660240349312</v>
      </c>
      <c r="S87" s="59">
        <f ca="1">AVERAGE(OFFSET($R$3,0,0,'Données projet'!$E$9+1,1))-AVERAGE(OFFSET($H$3,0,0,'Données projet'!$E$9+1,1))</f>
        <v>293.82673322742102</v>
      </c>
      <c r="T87" s="59">
        <f t="shared" si="88"/>
        <v>138.78566015867693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70.220000000000027</v>
      </c>
      <c r="W87" s="16">
        <f>IF(ISNA(VLOOKUP(A87,'Données projet'!$A$35:$I$55,5,0)),0%,VLOOKUP(A87,'Données projet'!$A$35:$I$55,5,0)*VLOOKUP('Données projet'!$B$9,Paramètres!$A$1:$I$89,7,0))</f>
        <v>0.33</v>
      </c>
      <c r="X87" s="16">
        <f>IF(ISNA(VLOOKUP(A87,'Données projet'!$A$35:$I$55,6,0)),0%,VLOOKUP(A87,'Données projet'!$A$35:$I$55,6,0)*VLOOKUP('Données projet'!$B$9,Paramètres!$A$1:$I$89,7,0))</f>
        <v>0.11000000000000001</v>
      </c>
      <c r="Y87" s="16">
        <f>IF(ISNA(VLOOKUP(A87,'Données projet'!$A$35:$I$55,7,0)),0%,VLOOKUP(A87,'Données projet'!$A$35:$I$55,7,0))</f>
        <v>0.2</v>
      </c>
      <c r="Z87" s="21">
        <f>EXP(-LN(2)/35)*Z86+(1-EXP(-LN(2)/35))/(LN(2)/35)*V87*W87*VLOOKUP('Données projet'!$B$9,Paramètres!$A$1:$I$89,3,0)*0.475*44/12</f>
        <v>54.835962977538443</v>
      </c>
      <c r="AA87" s="21">
        <f>EXP(-LN(2)/25)*AA86+(1-EXP(-LN(2)/25))/(LN(2)/25)*Calculateur!V87*Calculateur!X87*VLOOKUP('Données projet'!$B$9,Paramètres!$A$1:$I$89,3,0)*0.475*44/12</f>
        <v>21.454768118053046</v>
      </c>
      <c r="AB87" s="21">
        <f>EXP(-LN(2)/2)*AB86+(1-EXP(-LN(2)/2))/(LN(2)/2)*V87*Y87*VLOOKUP('Données projet'!$B$9,Paramètres!$A$1:$I$89,3,0)*0.475*44/12</f>
        <v>9.0199086078139938</v>
      </c>
      <c r="AC87" s="22">
        <f t="shared" si="57"/>
        <v>85.310639703405485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14.304444444444446</v>
      </c>
      <c r="AI87" s="13">
        <f>IF('Données projet'!$A$62&gt;35,AI86+AH87-AQ86,IF(A87&lt;'Données projet'!$A$62,$AF$205^A87,IF(A87='Données projet'!$A$62,'Données projet'!$B$62,AI86+AH87-AQ86)))</f>
        <v>386.46333333333325</v>
      </c>
      <c r="AJ87" s="13">
        <f>AI87*VLOOKUP('Données projet'!$B$10,Paramètres!$A$1:$I$89,3,0)*VLOOKUP('Données projet'!$B$10,Paramètres!$A$1:$I$89,5,0)</f>
        <v>190.91288666666662</v>
      </c>
      <c r="AK87" s="13">
        <f t="shared" si="89"/>
        <v>47.741722795514313</v>
      </c>
      <c r="AL87" s="20">
        <f t="shared" si="58"/>
        <v>415.65677814663178</v>
      </c>
      <c r="AM87" s="59">
        <f t="shared" si="59"/>
        <v>708.99011147996509</v>
      </c>
      <c r="AN87" s="59">
        <f ca="1">AVERAGE(OFFSET($AM$3,0,0,'Données projet'!$E$10+1,1))-AVERAGE(OFFSET($H$3,0,0,'Données projet'!$E$10+1,1))</f>
        <v>265.57710796453807</v>
      </c>
      <c r="AO87" s="59">
        <f t="shared" si="90"/>
        <v>171.29436297508141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24.721085481680895</v>
      </c>
      <c r="AV87" s="21">
        <f>EXP(-LN(2)/25)*AV86+(1-EXP(-LN(2)/25))/(LN(2)/25)*Calculateur!AQ87*Calculateur!AS87*VLOOKUP('Données projet'!$B$10,Paramètres!$A$1:$I$89,3,0)*0.475*44/12</f>
        <v>23.725571021821519</v>
      </c>
      <c r="AW87" s="21">
        <f>EXP(-LN(2)/2)*AW86+(1-EXP(-LN(2)/2))/(LN(2)/2)*AQ87*AT87*VLOOKUP('Données projet'!$B$10,Paramètres!$A$1:$I$89,3,0)*0.475*44/12</f>
        <v>1.9751252587081234</v>
      </c>
      <c r="AX87" s="21">
        <f t="shared" si="60"/>
        <v>50.421781762210536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175.05987582828078</v>
      </c>
      <c r="BJ87" s="59">
        <f t="shared" si="92"/>
        <v>268.54782308462387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89.764665563382295</v>
      </c>
      <c r="BQ87" s="21">
        <f>EXP(-LN(2)/25)*BQ86+(1-EXP(-LN(2)/25))/(LN(2)/25)*Calculateur!BL87*Calculateur!BN87*VLOOKUP('Données projet'!$B$11,Paramètres!$A$1:$I$89,3,0)*0.475*44/12</f>
        <v>25.118324152185604</v>
      </c>
      <c r="BR87" s="21">
        <f>EXP(-LN(2)/2)*BR86+(1-EXP(-LN(2)/2))/(LN(2)/2)*BL87*BO87*VLOOKUP('Données projet'!$B$11,Paramètres!$A$1:$I$89,3,0)*0.475*44/12</f>
        <v>1.0527440887383822E-2</v>
      </c>
      <c r="BS87" s="22">
        <f t="shared" si="63"/>
        <v>114.89351715645529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7.1416666666666657</v>
      </c>
      <c r="N88" s="13">
        <f>IF('Données projet'!$A$36&gt;35,N87+M88-V87,IF(A88&lt;'Données projet'!$A$36,$K$205^A88,IF(A88='Données projet'!$A$36,'Données projet'!$B$36,N87+M88-V87)))</f>
        <v>431.39166666666659</v>
      </c>
      <c r="O88" s="13">
        <f>N88*VLOOKUP('Données projet'!$B$9,Paramètres!$A$1:$I$89,3,0)*VLOOKUP('Données projet'!$B$9,Paramètres!$A$1:$I$89,5,0)</f>
        <v>241.14794166666661</v>
      </c>
      <c r="P88" s="13">
        <f t="shared" si="87"/>
        <v>58.686447091215065</v>
      </c>
      <c r="Q88" s="20">
        <f t="shared" si="54"/>
        <v>522.21156041997722</v>
      </c>
      <c r="R88" s="59">
        <f t="shared" si="55"/>
        <v>815.54489375331059</v>
      </c>
      <c r="S88" s="59">
        <f ca="1">AVERAGE(OFFSET($R$3,0,0,'Données projet'!$E$9+1,1))-AVERAGE(OFFSET($H$3,0,0,'Données projet'!$E$9+1,1))</f>
        <v>293.82673322742102</v>
      </c>
      <c r="T88" s="59">
        <f t="shared" si="88"/>
        <v>138.78566015867693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53.760663190183749</v>
      </c>
      <c r="AA88" s="21">
        <f>EXP(-LN(2)/25)*AA87+(1-EXP(-LN(2)/25))/(LN(2)/25)*Calculateur!V88*Calculateur!X88*VLOOKUP('Données projet'!$B$9,Paramètres!$A$1:$I$89,3,0)*0.475*44/12</f>
        <v>20.868086355607666</v>
      </c>
      <c r="AB88" s="21">
        <f>EXP(-LN(2)/2)*AB87+(1-EXP(-LN(2)/2))/(LN(2)/2)*V88*Y88*VLOOKUP('Données projet'!$B$9,Paramètres!$A$1:$I$89,3,0)*0.475*44/12</f>
        <v>6.3780385422681869</v>
      </c>
      <c r="AC88" s="22">
        <f t="shared" si="57"/>
        <v>81.006788088059594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14.304444444444446</v>
      </c>
      <c r="AI88" s="13">
        <f>IF('Données projet'!$A$62&gt;35,AI87+AH88-AQ87,IF(A88&lt;'Données projet'!$A$62,$AF$205^A88,IF(A88='Données projet'!$A$62,'Données projet'!$B$62,AI87+AH88-AQ87)))</f>
        <v>400.76777777777772</v>
      </c>
      <c r="AJ88" s="13">
        <f>AI88*VLOOKUP('Données projet'!$B$10,Paramètres!$A$1:$I$89,3,0)*VLOOKUP('Données projet'!$B$10,Paramètres!$A$1:$I$89,5,0)</f>
        <v>197.9792822222222</v>
      </c>
      <c r="AK88" s="13">
        <f t="shared" si="89"/>
        <v>49.299812992460843</v>
      </c>
      <c r="AL88" s="20">
        <f t="shared" si="58"/>
        <v>430.6777574989062</v>
      </c>
      <c r="AM88" s="59">
        <f t="shared" si="59"/>
        <v>724.01109083223946</v>
      </c>
      <c r="AN88" s="59">
        <f ca="1">AVERAGE(OFFSET($AM$3,0,0,'Données projet'!$E$10+1,1))-AVERAGE(OFFSET($H$3,0,0,'Données projet'!$E$10+1,1))</f>
        <v>265.57710796453807</v>
      </c>
      <c r="AO88" s="59">
        <f t="shared" si="90"/>
        <v>171.29436297508141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24.23632007375841</v>
      </c>
      <c r="AV88" s="21">
        <f>EXP(-LN(2)/25)*AV87+(1-EXP(-LN(2)/25))/(LN(2)/25)*Calculateur!AQ88*Calculateur!AS88*VLOOKUP('Données projet'!$B$10,Paramètres!$A$1:$I$89,3,0)*0.475*44/12</f>
        <v>23.076794034556254</v>
      </c>
      <c r="AW88" s="21">
        <f>EXP(-LN(2)/2)*AW87+(1-EXP(-LN(2)/2))/(LN(2)/2)*AQ88*AT88*VLOOKUP('Données projet'!$B$10,Paramètres!$A$1:$I$89,3,0)*0.475*44/12</f>
        <v>1.3966244641253482</v>
      </c>
      <c r="AX88" s="21">
        <f t="shared" si="60"/>
        <v>48.70973857244001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175.05987582828078</v>
      </c>
      <c r="BJ88" s="59">
        <f t="shared" si="92"/>
        <v>268.54782308462387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88.00443522272414</v>
      </c>
      <c r="BQ88" s="21">
        <f>EXP(-LN(2)/25)*BQ87+(1-EXP(-LN(2)/25))/(LN(2)/25)*Calculateur!BL88*Calculateur!BN88*VLOOKUP('Données projet'!$B$11,Paramètres!$A$1:$I$89,3,0)*0.475*44/12</f>
        <v>24.431462257328832</v>
      </c>
      <c r="BR88" s="21">
        <f>EXP(-LN(2)/2)*BR87+(1-EXP(-LN(2)/2))/(LN(2)/2)*BL88*BO88*VLOOKUP('Données projet'!$B$11,Paramètres!$A$1:$I$89,3,0)*0.475*44/12</f>
        <v>7.4440248400096266E-3</v>
      </c>
      <c r="BS88" s="22">
        <f t="shared" si="63"/>
        <v>112.44334150489298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7.1416666666666657</v>
      </c>
      <c r="N89" s="13">
        <f>IF('Données projet'!$A$36&gt;35,N88+M89-V88,IF(A89&lt;'Données projet'!$A$36,$K$205^A89,IF(A89='Données projet'!$A$36,'Données projet'!$B$36,N88+M89-V88)))</f>
        <v>438.53333333333325</v>
      </c>
      <c r="O89" s="13">
        <f>N89*VLOOKUP('Données projet'!$B$9,Paramètres!$A$1:$I$89,3,0)*VLOOKUP('Données projet'!$B$9,Paramètres!$A$1:$I$89,5,0)</f>
        <v>245.1401333333333</v>
      </c>
      <c r="P89" s="13">
        <f t="shared" si="87"/>
        <v>59.544087556844332</v>
      </c>
      <c r="Q89" s="20">
        <f t="shared" si="54"/>
        <v>530.65835138372609</v>
      </c>
      <c r="R89" s="59">
        <f t="shared" si="55"/>
        <v>823.99168471705934</v>
      </c>
      <c r="S89" s="59">
        <f ca="1">AVERAGE(OFFSET($R$3,0,0,'Données projet'!$E$9+1,1))-AVERAGE(OFFSET($H$3,0,0,'Données projet'!$E$9+1,1))</f>
        <v>293.82673322742102</v>
      </c>
      <c r="T89" s="59">
        <f t="shared" si="88"/>
        <v>138.78566015867693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52.706449375790974</v>
      </c>
      <c r="AA89" s="21">
        <f>EXP(-LN(2)/25)*AA88+(1-EXP(-LN(2)/25))/(LN(2)/25)*Calculateur!V89*Calculateur!X89*VLOOKUP('Données projet'!$B$9,Paramètres!$A$1:$I$89,3,0)*0.475*44/12</f>
        <v>20.297447436808607</v>
      </c>
      <c r="AB89" s="21">
        <f>EXP(-LN(2)/2)*AB88+(1-EXP(-LN(2)/2))/(LN(2)/2)*V89*Y89*VLOOKUP('Données projet'!$B$9,Paramètres!$A$1:$I$89,3,0)*0.475*44/12</f>
        <v>4.5099543039069978</v>
      </c>
      <c r="AC89" s="22">
        <f t="shared" si="57"/>
        <v>77.513851116506572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14.304444444444446</v>
      </c>
      <c r="AI89" s="13">
        <f>IF('Données projet'!$A$62&gt;35,AI88+AH89-AQ88,IF(A89&lt;'Données projet'!$A$62,$AF$205^A89,IF(A89='Données projet'!$A$62,'Données projet'!$B$62,AI88+AH89-AQ88)))</f>
        <v>415.07222222222219</v>
      </c>
      <c r="AJ89" s="13">
        <f>AI89*VLOOKUP('Données projet'!$B$10,Paramètres!$A$1:$I$89,3,0)*VLOOKUP('Données projet'!$B$10,Paramètres!$A$1:$I$89,5,0)</f>
        <v>205.0456777777778</v>
      </c>
      <c r="AK89" s="13">
        <f t="shared" si="89"/>
        <v>50.851441897822241</v>
      </c>
      <c r="AL89" s="20">
        <f t="shared" si="58"/>
        <v>445.68748343500334</v>
      </c>
      <c r="AM89" s="59">
        <f t="shared" si="59"/>
        <v>739.02081676833666</v>
      </c>
      <c r="AN89" s="59">
        <f ca="1">AVERAGE(OFFSET($AM$3,0,0,'Données projet'!$E$10+1,1))-AVERAGE(OFFSET($H$3,0,0,'Données projet'!$E$10+1,1))</f>
        <v>265.57710796453807</v>
      </c>
      <c r="AO89" s="59">
        <f t="shared" si="90"/>
        <v>171.29436297508141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23.761060619807584</v>
      </c>
      <c r="AV89" s="21">
        <f>EXP(-LN(2)/25)*AV88+(1-EXP(-LN(2)/25))/(LN(2)/25)*Calculateur!AQ89*Calculateur!AS89*VLOOKUP('Données projet'!$B$10,Paramètres!$A$1:$I$89,3,0)*0.475*44/12</f>
        <v>22.445757888125456</v>
      </c>
      <c r="AW89" s="21">
        <f>EXP(-LN(2)/2)*AW88+(1-EXP(-LN(2)/2))/(LN(2)/2)*AQ89*AT89*VLOOKUP('Données projet'!$B$10,Paramètres!$A$1:$I$89,3,0)*0.475*44/12</f>
        <v>0.98756262935406192</v>
      </c>
      <c r="AX89" s="21">
        <f t="shared" si="60"/>
        <v>47.194381137287095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175.05987582828078</v>
      </c>
      <c r="BJ89" s="59">
        <f t="shared" si="92"/>
        <v>268.54782308462387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86.278721925411801</v>
      </c>
      <c r="BQ89" s="21">
        <f>EXP(-LN(2)/25)*BQ88+(1-EXP(-LN(2)/25))/(LN(2)/25)*Calculateur!BL89*Calculateur!BN89*VLOOKUP('Données projet'!$B$11,Paramètres!$A$1:$I$89,3,0)*0.475*44/12</f>
        <v>23.763382637107412</v>
      </c>
      <c r="BR89" s="21">
        <f>EXP(-LN(2)/2)*BR88+(1-EXP(-LN(2)/2))/(LN(2)/2)*BL89*BO89*VLOOKUP('Données projet'!$B$11,Paramètres!$A$1:$I$89,3,0)*0.475*44/12</f>
        <v>5.2637204436919117E-3</v>
      </c>
      <c r="BS89" s="22">
        <f t="shared" si="63"/>
        <v>110.04736828296291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7.1416666666666657</v>
      </c>
      <c r="N90" s="13">
        <f>IF('Données projet'!$A$36&gt;35,N89+M90-V89,IF(A90&lt;'Données projet'!$A$36,$K$205^A90,IF(A90='Données projet'!$A$36,'Données projet'!$B$36,N89+M90-V89)))</f>
        <v>445.6749999999999</v>
      </c>
      <c r="O90" s="13">
        <f>N90*VLOOKUP('Données projet'!$B$9,Paramètres!$A$1:$I$89,3,0)*VLOOKUP('Données projet'!$B$9,Paramètres!$A$1:$I$89,5,0)</f>
        <v>249.13232499999995</v>
      </c>
      <c r="P90" s="13">
        <f t="shared" si="87"/>
        <v>60.400103731076321</v>
      </c>
      <c r="Q90" s="20">
        <f t="shared" si="54"/>
        <v>539.10231337329117</v>
      </c>
      <c r="R90" s="59">
        <f t="shared" si="55"/>
        <v>832.43564670662454</v>
      </c>
      <c r="S90" s="59">
        <f ca="1">AVERAGE(OFFSET($R$3,0,0,'Données projet'!$E$9+1,1))-AVERAGE(OFFSET($H$3,0,0,'Données projet'!$E$9+1,1))</f>
        <v>293.82673322742102</v>
      </c>
      <c r="T90" s="59">
        <f t="shared" si="88"/>
        <v>138.78566015867693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51.672908051291508</v>
      </c>
      <c r="AA90" s="21">
        <f>EXP(-LN(2)/25)*AA89+(1-EXP(-LN(2)/25))/(LN(2)/25)*Calculateur!V90*Calculateur!X90*VLOOKUP('Données projet'!$B$9,Paramètres!$A$1:$I$89,3,0)*0.475*44/12</f>
        <v>19.742412669252705</v>
      </c>
      <c r="AB90" s="21">
        <f>EXP(-LN(2)/2)*AB89+(1-EXP(-LN(2)/2))/(LN(2)/2)*V90*Y90*VLOOKUP('Données projet'!$B$9,Paramètres!$A$1:$I$89,3,0)*0.475*44/12</f>
        <v>3.1890192711340939</v>
      </c>
      <c r="AC90" s="22">
        <f t="shared" si="57"/>
        <v>74.604339991678316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14.304444444444446</v>
      </c>
      <c r="AI90" s="13">
        <f>IF('Données projet'!$A$62&gt;35,AI89+AH90-AQ89,IF(A90&lt;'Données projet'!$A$62,$AF$205^A90,IF(A90='Données projet'!$A$62,'Données projet'!$B$62,AI89+AH90-AQ89)))</f>
        <v>429.37666666666667</v>
      </c>
      <c r="AJ90" s="13">
        <f>AI90*VLOOKUP('Données projet'!$B$10,Paramètres!$A$1:$I$89,3,0)*VLOOKUP('Données projet'!$B$10,Paramètres!$A$1:$I$89,5,0)</f>
        <v>212.11207333333337</v>
      </c>
      <c r="AK90" s="13">
        <f t="shared" si="89"/>
        <v>52.396857705127331</v>
      </c>
      <c r="AL90" s="20">
        <f t="shared" si="58"/>
        <v>460.68638822531898</v>
      </c>
      <c r="AM90" s="59">
        <f t="shared" si="59"/>
        <v>754.01972155865224</v>
      </c>
      <c r="AN90" s="59">
        <f ca="1">AVERAGE(OFFSET($AM$3,0,0,'Données projet'!$E$10+1,1))-AVERAGE(OFFSET($H$3,0,0,'Données projet'!$E$10+1,1))</f>
        <v>265.57710796453807</v>
      </c>
      <c r="AO90" s="59">
        <f t="shared" si="90"/>
        <v>171.29436297508141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23.295120713869089</v>
      </c>
      <c r="AV90" s="21">
        <f>EXP(-LN(2)/25)*AV89+(1-EXP(-LN(2)/25))/(LN(2)/25)*Calculateur!AQ90*Calculateur!AS90*VLOOKUP('Données projet'!$B$10,Paramètres!$A$1:$I$89,3,0)*0.475*44/12</f>
        <v>21.831977458303559</v>
      </c>
      <c r="AW90" s="21">
        <f>EXP(-LN(2)/2)*AW89+(1-EXP(-LN(2)/2))/(LN(2)/2)*AQ90*AT90*VLOOKUP('Données projet'!$B$10,Paramètres!$A$1:$I$89,3,0)*0.475*44/12</f>
        <v>0.69831223206267423</v>
      </c>
      <c r="AX90" s="21">
        <f t="shared" si="60"/>
        <v>45.825410404235328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175.05987582828078</v>
      </c>
      <c r="BJ90" s="59">
        <f t="shared" si="92"/>
        <v>268.54782308462387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84.586848813278579</v>
      </c>
      <c r="BQ90" s="21">
        <f>EXP(-LN(2)/25)*BQ89+(1-EXP(-LN(2)/25))/(LN(2)/25)*Calculateur!BL90*Calculateur!BN90*VLOOKUP('Données projet'!$B$11,Paramètres!$A$1:$I$89,3,0)*0.475*44/12</f>
        <v>23.11357168923373</v>
      </c>
      <c r="BR90" s="21">
        <f>EXP(-LN(2)/2)*BR89+(1-EXP(-LN(2)/2))/(LN(2)/2)*BL90*BO90*VLOOKUP('Données projet'!$B$11,Paramètres!$A$1:$I$89,3,0)*0.475*44/12</f>
        <v>3.7220124200048137E-3</v>
      </c>
      <c r="BS90" s="22">
        <f t="shared" si="63"/>
        <v>107.70414251493231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7.1416666666666657</v>
      </c>
      <c r="N91" s="13">
        <f>IF('Données projet'!$A$36&gt;35,N90+M91-V90,IF(A91&lt;'Données projet'!$A$36,$K$205^A91,IF(A91='Données projet'!$A$36,'Données projet'!$B$36,N90+M91-V90)))</f>
        <v>452.81666666666655</v>
      </c>
      <c r="O91" s="13">
        <f>N91*VLOOKUP('Données projet'!$B$9,Paramètres!$A$1:$I$89,3,0)*VLOOKUP('Données projet'!$B$9,Paramètres!$A$1:$I$89,5,0)</f>
        <v>253.12451666666658</v>
      </c>
      <c r="P91" s="13">
        <f t="shared" si="87"/>
        <v>61.254524647287759</v>
      </c>
      <c r="Q91" s="20">
        <f t="shared" si="54"/>
        <v>547.54349695513713</v>
      </c>
      <c r="R91" s="59">
        <f t="shared" si="55"/>
        <v>840.8768302884705</v>
      </c>
      <c r="S91" s="59">
        <f ca="1">AVERAGE(OFFSET($R$3,0,0,'Données projet'!$E$9+1,1))-AVERAGE(OFFSET($H$3,0,0,'Données projet'!$E$9+1,1))</f>
        <v>293.82673322742102</v>
      </c>
      <c r="T91" s="59">
        <f t="shared" si="88"/>
        <v>138.78566015867693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50.659633841767508</v>
      </c>
      <c r="AA91" s="21">
        <f>EXP(-LN(2)/25)*AA90+(1-EXP(-LN(2)/25))/(LN(2)/25)*Calculateur!V91*Calculateur!X91*VLOOKUP('Données projet'!$B$9,Paramètres!$A$1:$I$89,3,0)*0.475*44/12</f>
        <v>19.202555356603629</v>
      </c>
      <c r="AB91" s="21">
        <f>EXP(-LN(2)/2)*AB90+(1-EXP(-LN(2)/2))/(LN(2)/2)*V91*Y91*VLOOKUP('Données projet'!$B$9,Paramètres!$A$1:$I$89,3,0)*0.475*44/12</f>
        <v>2.2549771519534993</v>
      </c>
      <c r="AC91" s="22">
        <f t="shared" si="57"/>
        <v>72.117166350324638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14.304444444444446</v>
      </c>
      <c r="AI91" s="13">
        <f>IF('Données projet'!$A$62&gt;35,AI90+AH91-AQ90,IF(A91&lt;'Données projet'!$A$62,$AF$205^A91,IF(A91='Données projet'!$A$62,'Données projet'!$B$62,AI90+AH91-AQ90)))</f>
        <v>443.68111111111114</v>
      </c>
      <c r="AJ91" s="13">
        <f>AI91*VLOOKUP('Données projet'!$B$10,Paramètres!$A$1:$I$89,3,0)*VLOOKUP('Données projet'!$B$10,Paramètres!$A$1:$I$89,5,0)</f>
        <v>219.17846888888889</v>
      </c>
      <c r="AK91" s="13">
        <f t="shared" si="89"/>
        <v>53.936291132658106</v>
      </c>
      <c r="AL91" s="20">
        <f t="shared" si="58"/>
        <v>475.6748737041944</v>
      </c>
      <c r="AM91" s="59">
        <f t="shared" si="59"/>
        <v>769.00820703752765</v>
      </c>
      <c r="AN91" s="59">
        <f ca="1">AVERAGE(OFFSET($AM$3,0,0,'Données projet'!$E$10+1,1))-AVERAGE(OFFSET($H$3,0,0,'Données projet'!$E$10+1,1))</f>
        <v>265.57710796453807</v>
      </c>
      <c r="AO91" s="59">
        <f t="shared" si="90"/>
        <v>171.29436297508141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22.838317605290769</v>
      </c>
      <c r="AV91" s="21">
        <f>EXP(-LN(2)/25)*AV90+(1-EXP(-LN(2)/25))/(LN(2)/25)*Calculateur!AQ91*Calculateur!AS91*VLOOKUP('Données projet'!$B$10,Paramètres!$A$1:$I$89,3,0)*0.475*44/12</f>
        <v>21.234980886612451</v>
      </c>
      <c r="AW91" s="21">
        <f>EXP(-LN(2)/2)*AW90+(1-EXP(-LN(2)/2))/(LN(2)/2)*AQ91*AT91*VLOOKUP('Données projet'!$B$10,Paramètres!$A$1:$I$89,3,0)*0.475*44/12</f>
        <v>0.49378131467703101</v>
      </c>
      <c r="AX91" s="21">
        <f t="shared" si="60"/>
        <v>44.567079806580246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175.05987582828078</v>
      </c>
      <c r="BJ91" s="59">
        <f t="shared" si="92"/>
        <v>268.54782308462387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82.92815230093359</v>
      </c>
      <c r="BQ91" s="21">
        <f>EXP(-LN(2)/25)*BQ90+(1-EXP(-LN(2)/25))/(LN(2)/25)*Calculateur!BL91*Calculateur!BN91*VLOOKUP('Données projet'!$B$11,Paramètres!$A$1:$I$89,3,0)*0.475*44/12</f>
        <v>22.481529855901726</v>
      </c>
      <c r="BR91" s="21">
        <f>EXP(-LN(2)/2)*BR90+(1-EXP(-LN(2)/2))/(LN(2)/2)*BL91*BO91*VLOOKUP('Données projet'!$B$11,Paramètres!$A$1:$I$89,3,0)*0.475*44/12</f>
        <v>2.6318602218459563E-3</v>
      </c>
      <c r="BS91" s="22">
        <f t="shared" si="63"/>
        <v>105.41231401705716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7.1416666666666657</v>
      </c>
      <c r="N92" s="13">
        <f>IF('Données projet'!$A$36&gt;35,N91+M92-V91,IF(A92&lt;'Données projet'!$A$36,$K$205^A92,IF(A92='Données projet'!$A$36,'Données projet'!$B$36,N91+M92-V91)))</f>
        <v>459.9583333333332</v>
      </c>
      <c r="O92" s="13">
        <f>N92*VLOOKUP('Données projet'!$B$9,Paramètres!$A$1:$I$89,3,0)*VLOOKUP('Données projet'!$B$9,Paramètres!$A$1:$I$89,5,0)</f>
        <v>257.11670833333329</v>
      </c>
      <c r="P92" s="13">
        <f t="shared" si="87"/>
        <v>62.107378370515953</v>
      </c>
      <c r="Q92" s="20">
        <f t="shared" si="54"/>
        <v>555.98195100920418</v>
      </c>
      <c r="R92" s="59">
        <f t="shared" si="55"/>
        <v>849.31528434253755</v>
      </c>
      <c r="S92" s="59">
        <f ca="1">AVERAGE(OFFSET($R$3,0,0,'Données projet'!$E$9+1,1))-AVERAGE(OFFSET($H$3,0,0,'Données projet'!$E$9+1,1))</f>
        <v>293.82673322742102</v>
      </c>
      <c r="T92" s="59">
        <f t="shared" si="88"/>
        <v>138.78566015867693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49.666229321456036</v>
      </c>
      <c r="AA92" s="21">
        <f>EXP(-LN(2)/25)*AA91+(1-EXP(-LN(2)/25))/(LN(2)/25)*Calculateur!V92*Calculateur!X92*VLOOKUP('Données projet'!$B$9,Paramètres!$A$1:$I$89,3,0)*0.475*44/12</f>
        <v>18.677460470558803</v>
      </c>
      <c r="AB92" s="21">
        <f>EXP(-LN(2)/2)*AB91+(1-EXP(-LN(2)/2))/(LN(2)/2)*V92*Y92*VLOOKUP('Données projet'!$B$9,Paramètres!$A$1:$I$89,3,0)*0.475*44/12</f>
        <v>1.5945096355670474</v>
      </c>
      <c r="AC92" s="22">
        <f t="shared" si="57"/>
        <v>69.938199427581893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14.304444444444446</v>
      </c>
      <c r="AI92" s="13">
        <f>IF('Données projet'!$A$62&gt;35,AI91+AH92-AQ91,IF(A92&lt;'Données projet'!$A$62,$AF$205^A92,IF(A92='Données projet'!$A$62,'Données projet'!$B$62,AI91+AH92-AQ91)))</f>
        <v>457.98555555555561</v>
      </c>
      <c r="AJ92" s="13">
        <f>AI92*VLOOKUP('Données projet'!$B$10,Paramètres!$A$1:$I$89,3,0)*VLOOKUP('Données projet'!$B$10,Paramètres!$A$1:$I$89,5,0)</f>
        <v>226.24486444444449</v>
      </c>
      <c r="AK92" s="13">
        <f t="shared" si="89"/>
        <v>55.469957177204755</v>
      </c>
      <c r="AL92" s="20">
        <f t="shared" si="58"/>
        <v>490.6533143243725</v>
      </c>
      <c r="AM92" s="59">
        <f t="shared" si="59"/>
        <v>783.98664765770582</v>
      </c>
      <c r="AN92" s="59">
        <f ca="1">AVERAGE(OFFSET($AM$3,0,0,'Données projet'!$E$10+1,1))-AVERAGE(OFFSET($H$3,0,0,'Données projet'!$E$10+1,1))</f>
        <v>265.57710796453807</v>
      </c>
      <c r="AO92" s="59">
        <f t="shared" si="90"/>
        <v>171.29436297508141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22.390472127049282</v>
      </c>
      <c r="AV92" s="21">
        <f>EXP(-LN(2)/25)*AV91+(1-EXP(-LN(2)/25))/(LN(2)/25)*Calculateur!AQ92*Calculateur!AS92*VLOOKUP('Données projet'!$B$10,Paramètres!$A$1:$I$89,3,0)*0.475*44/12</f>
        <v>20.654309217568922</v>
      </c>
      <c r="AW92" s="21">
        <f>EXP(-LN(2)/2)*AW91+(1-EXP(-LN(2)/2))/(LN(2)/2)*AQ92*AT92*VLOOKUP('Données projet'!$B$10,Paramètres!$A$1:$I$89,3,0)*0.475*44/12</f>
        <v>0.34915611603133717</v>
      </c>
      <c r="AX92" s="21">
        <f t="shared" si="60"/>
        <v>43.393937460649539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175.05987582828078</v>
      </c>
      <c r="BJ92" s="59">
        <f t="shared" si="92"/>
        <v>268.54782308462387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81.301981815490706</v>
      </c>
      <c r="BQ92" s="21">
        <f>EXP(-LN(2)/25)*BQ91+(1-EXP(-LN(2)/25))/(LN(2)/25)*Calculateur!BL92*Calculateur!BN92*VLOOKUP('Données projet'!$B$11,Paramètres!$A$1:$I$89,3,0)*0.475*44/12</f>
        <v>21.866771239739823</v>
      </c>
      <c r="BR92" s="21">
        <f>EXP(-LN(2)/2)*BR91+(1-EXP(-LN(2)/2))/(LN(2)/2)*BL92*BO92*VLOOKUP('Données projet'!$B$11,Paramètres!$A$1:$I$89,3,0)*0.475*44/12</f>
        <v>1.8610062100024071E-3</v>
      </c>
      <c r="BS92" s="22">
        <f t="shared" si="63"/>
        <v>103.17061406144053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7.1416666666666657</v>
      </c>
      <c r="N93" s="13">
        <f>IF('Données projet'!$A$36&gt;35,N92+M93-V92,IF(A93&lt;'Données projet'!$A$36,$K$205^A93,IF(A93='Données projet'!$A$36,'Données projet'!$B$36,N92+M93-V92)))</f>
        <v>467.09999999999985</v>
      </c>
      <c r="O93" s="13">
        <f>N93*VLOOKUP('Données projet'!$B$9,Paramètres!$A$1:$I$89,3,0)*VLOOKUP('Données projet'!$B$9,Paramètres!$A$1:$I$89,5,0)</f>
        <v>261.10889999999989</v>
      </c>
      <c r="P93" s="13">
        <f t="shared" si="87"/>
        <v>62.958692044279395</v>
      </c>
      <c r="Q93" s="20">
        <f t="shared" si="54"/>
        <v>564.41772281045303</v>
      </c>
      <c r="R93" s="59">
        <f t="shared" si="55"/>
        <v>857.7510561437864</v>
      </c>
      <c r="S93" s="59">
        <f ca="1">AVERAGE(OFFSET($R$3,0,0,'Données projet'!$E$9+1,1))-AVERAGE(OFFSET($H$3,0,0,'Données projet'!$E$9+1,1))</f>
        <v>293.82673322742102</v>
      </c>
      <c r="T93" s="59">
        <f t="shared" si="88"/>
        <v>138.78566015867693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48.692304857870944</v>
      </c>
      <c r="AA93" s="21">
        <f>EXP(-LN(2)/25)*AA92+(1-EXP(-LN(2)/25))/(LN(2)/25)*Calculateur!V93*Calculateur!X93*VLOOKUP('Données projet'!$B$9,Paramètres!$A$1:$I$89,3,0)*0.475*44/12</f>
        <v>18.166724331786416</v>
      </c>
      <c r="AB93" s="21">
        <f>EXP(-LN(2)/2)*AB92+(1-EXP(-LN(2)/2))/(LN(2)/2)*V93*Y93*VLOOKUP('Données projet'!$B$9,Paramètres!$A$1:$I$89,3,0)*0.475*44/12</f>
        <v>1.1274885759767499</v>
      </c>
      <c r="AC93" s="22">
        <f t="shared" si="57"/>
        <v>67.986517765634119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472.29</v>
      </c>
      <c r="AG93" s="12">
        <f>VLOOKUP(A93,'Données projet'!$A$61:$I$81,9,0)</f>
        <v>14.304444444444446</v>
      </c>
      <c r="AH93" s="12">
        <f t="array" ref="AH93">INDEX(AG:AG,MIN(IF(ISNUMBER(AG93:AG289),ROW(AG93:AG289),"")))</f>
        <v>14.304444444444446</v>
      </c>
      <c r="AI93" s="13">
        <f>IF('Données projet'!$A$62&gt;35,AI92+AH93-AQ92,IF(A93&lt;'Données projet'!$A$62,$AF$205^A93,IF(A93='Données projet'!$A$62,'Données projet'!$B$62,AI92+AH93-AQ92)))</f>
        <v>472.29000000000008</v>
      </c>
      <c r="AJ93" s="13">
        <f>AI93*VLOOKUP('Données projet'!$B$10,Paramètres!$A$1:$I$89,3,0)*VLOOKUP('Données projet'!$B$10,Paramètres!$A$1:$I$89,5,0)</f>
        <v>233.31126000000006</v>
      </c>
      <c r="AK93" s="13">
        <f t="shared" si="89"/>
        <v>56.998056642563519</v>
      </c>
      <c r="AL93" s="20">
        <f t="shared" si="58"/>
        <v>505.62205981913161</v>
      </c>
      <c r="AM93" s="59">
        <f t="shared" si="59"/>
        <v>798.95539315246492</v>
      </c>
      <c r="AN93" s="59">
        <f ca="1">AVERAGE(OFFSET($AM$3,0,0,'Données projet'!$E$10+1,1))-AVERAGE(OFFSET($H$3,0,0,'Données projet'!$E$10+1,1))</f>
        <v>265.57710796453807</v>
      </c>
      <c r="AO93" s="59">
        <f t="shared" si="90"/>
        <v>171.29436297508141</v>
      </c>
      <c r="AP93" s="15">
        <f>IF(ISNA(VLOOKUP(A93,'Données projet'!$A$61:$I$81,3,0)),0,VLOOKUP(A93,'Données projet'!$A$61:$I$81,3,0))</f>
        <v>5</v>
      </c>
      <c r="AQ93" s="15">
        <f>IF(ISNA(VLOOKUP(A93,'Données projet'!$A$61:$I$81,4,0)),0,VLOOKUP(A93,'Données projet'!$A$61:$I$81,4,0))</f>
        <v>88.010000000000048</v>
      </c>
      <c r="AR93" s="16">
        <f>IF(ISNA(VLOOKUP(A93,'Données projet'!$A$61:$I$81,5,0)),0%,VLOOKUP(A93,'Données projet'!$A$61:$I$81,5,0)*VLOOKUP('Données projet'!$B$10,Paramètres!$A$1:$I$89,7,0))</f>
        <v>0.22000000000000003</v>
      </c>
      <c r="AS93" s="16">
        <f>IF(ISNA(VLOOKUP(A93,'Données projet'!$A$61:$I$81,6,0)),0%,VLOOKUP(A93,'Données projet'!$A$61:$I$81,6,0)*VLOOKUP('Données projet'!$B$10,Paramètres!$A$1:$I$89,7,0))</f>
        <v>5.5000000000000007E-2</v>
      </c>
      <c r="AT93" s="16">
        <f>IF(ISNA(VLOOKUP(A93,'Données projet'!$A$61:$I$81,7,0)),0%,VLOOKUP(A93,'Données projet'!$A$61:$I$81,7,0))</f>
        <v>0.1</v>
      </c>
      <c r="AU93" s="21">
        <f>EXP(-LN(2)/35)*AU92+(1-EXP(-LN(2)/35))/(LN(2)/35)*AQ93*AR93*VLOOKUP('Données projet'!$B$10,Paramètres!$A$1:$I$89,3,0)*0.475*44/12</f>
        <v>34.639900537238411</v>
      </c>
      <c r="AV93" s="21">
        <f>EXP(-LN(2)/25)*AV92+(1-EXP(-LN(2)/25))/(LN(2)/25)*Calculateur!AQ93*Calculateur!AS93*VLOOKUP('Données projet'!$B$10,Paramètres!$A$1:$I$89,3,0)*0.475*44/12</f>
        <v>23.249149166954091</v>
      </c>
      <c r="AW93" s="21">
        <f>EXP(-LN(2)/2)*AW92+(1-EXP(-LN(2)/2))/(LN(2)/2)*AQ93*AT93*VLOOKUP('Données projet'!$B$10,Paramètres!$A$1:$I$89,3,0)*0.475*44/12</f>
        <v>5.1694902239005494</v>
      </c>
      <c r="AX93" s="21">
        <f t="shared" si="60"/>
        <v>63.058539928093055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175.05987582828078</v>
      </c>
      <c r="BJ93" s="59">
        <f t="shared" si="92"/>
        <v>268.54782308462387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79.707699541401297</v>
      </c>
      <c r="BQ93" s="21">
        <f>EXP(-LN(2)/25)*BQ92+(1-EXP(-LN(2)/25))/(LN(2)/25)*Calculateur!BL93*Calculateur!BN93*VLOOKUP('Données projet'!$B$11,Paramètres!$A$1:$I$89,3,0)*0.475*44/12</f>
        <v>21.268823230265614</v>
      </c>
      <c r="BR93" s="21">
        <f>EXP(-LN(2)/2)*BR92+(1-EXP(-LN(2)/2))/(LN(2)/2)*BL93*BO93*VLOOKUP('Données projet'!$B$11,Paramètres!$A$1:$I$89,3,0)*0.475*44/12</f>
        <v>1.3159301109229784E-3</v>
      </c>
      <c r="BS93" s="22">
        <f t="shared" si="63"/>
        <v>100.97783870177783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7.1416666666666657</v>
      </c>
      <c r="N94" s="13">
        <f>IF('Données projet'!$A$36&gt;35,N93+M94-V93,IF(A94&lt;'Données projet'!$A$36,$K$205^A94,IF(A94='Données projet'!$A$36,'Données projet'!$B$36,N93+M94-V93)))</f>
        <v>474.2416666666665</v>
      </c>
      <c r="O94" s="13">
        <f>N94*VLOOKUP('Données projet'!$B$9,Paramètres!$A$1:$I$89,3,0)*VLOOKUP('Données projet'!$B$9,Paramètres!$A$1:$I$89,5,0)</f>
        <v>265.1010916666666</v>
      </c>
      <c r="P94" s="13">
        <f t="shared" si="87"/>
        <v>63.808491934453961</v>
      </c>
      <c r="Q94" s="20">
        <f t="shared" si="54"/>
        <v>572.85085810528494</v>
      </c>
      <c r="R94" s="59">
        <f t="shared" si="55"/>
        <v>866.1841914386182</v>
      </c>
      <c r="S94" s="59">
        <f ca="1">AVERAGE(OFFSET($R$3,0,0,'Données projet'!$E$9+1,1))-AVERAGE(OFFSET($H$3,0,0,'Données projet'!$E$9+1,1))</f>
        <v>293.82673322742102</v>
      </c>
      <c r="T94" s="59">
        <f t="shared" si="88"/>
        <v>138.78566015867693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47.737478458981485</v>
      </c>
      <c r="AA94" s="21">
        <f>EXP(-LN(2)/25)*AA93+(1-EXP(-LN(2)/25))/(LN(2)/25)*Calculateur!V94*Calculateur!X94*VLOOKUP('Données projet'!$B$9,Paramètres!$A$1:$I$89,3,0)*0.475*44/12</f>
        <v>17.669954299587204</v>
      </c>
      <c r="AB94" s="21">
        <f>EXP(-LN(2)/2)*AB93+(1-EXP(-LN(2)/2))/(LN(2)/2)*V94*Y94*VLOOKUP('Données projet'!$B$9,Paramètres!$A$1:$I$89,3,0)*0.475*44/12</f>
        <v>0.79725481778352381</v>
      </c>
      <c r="AC94" s="22">
        <f t="shared" si="57"/>
        <v>66.204687576352214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13.305555555555555</v>
      </c>
      <c r="AI94" s="13">
        <f>IF('Données projet'!$A$62&gt;35,AI93+AH94-AQ93,IF(A94&lt;'Données projet'!$A$62,$AF$205^A94,IF(A94='Données projet'!$A$62,'Données projet'!$B$62,AI93+AH94-AQ93)))</f>
        <v>397.58555555555557</v>
      </c>
      <c r="AJ94" s="13">
        <f>AI94*VLOOKUP('Données projet'!$B$10,Paramètres!$A$1:$I$89,3,0)*VLOOKUP('Données projet'!$B$10,Paramètres!$A$1:$I$89,5,0)</f>
        <v>196.40726444444448</v>
      </c>
      <c r="AK94" s="13">
        <f t="shared" si="89"/>
        <v>48.953762131060273</v>
      </c>
      <c r="AL94" s="20">
        <f t="shared" si="58"/>
        <v>427.33712128567078</v>
      </c>
      <c r="AM94" s="59">
        <f t="shared" si="59"/>
        <v>720.67045461900409</v>
      </c>
      <c r="AN94" s="59">
        <f ca="1">AVERAGE(OFFSET($AM$3,0,0,'Données projet'!$E$10+1,1))-AVERAGE(OFFSET($H$3,0,0,'Données projet'!$E$10+1,1))</f>
        <v>265.57710796453807</v>
      </c>
      <c r="AO94" s="59">
        <f t="shared" si="90"/>
        <v>171.29436297508141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33.96063321595625</v>
      </c>
      <c r="AV94" s="21">
        <f>EXP(-LN(2)/25)*AV93+(1-EXP(-LN(2)/25))/(LN(2)/25)*Calculateur!AQ94*Calculateur!AS94*VLOOKUP('Données projet'!$B$10,Paramètres!$A$1:$I$89,3,0)*0.475*44/12</f>
        <v>22.613399960364113</v>
      </c>
      <c r="AW94" s="21">
        <f>EXP(-LN(2)/2)*AW93+(1-EXP(-LN(2)/2))/(LN(2)/2)*AQ94*AT94*VLOOKUP('Données projet'!$B$10,Paramètres!$A$1:$I$89,3,0)*0.475*44/12</f>
        <v>3.6553815925976427</v>
      </c>
      <c r="AX94" s="21">
        <f t="shared" si="60"/>
        <v>60.229414768918005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175.05987582828078</v>
      </c>
      <c r="BJ94" s="59">
        <f t="shared" si="92"/>
        <v>268.54782308462387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78.144680170290613</v>
      </c>
      <c r="BQ94" s="21">
        <f>EXP(-LN(2)/25)*BQ93+(1-EXP(-LN(2)/25))/(LN(2)/25)*Calculateur!BL94*Calculateur!BN94*VLOOKUP('Données projet'!$B$11,Paramètres!$A$1:$I$89,3,0)*0.475*44/12</f>
        <v>20.687226140555197</v>
      </c>
      <c r="BR94" s="21">
        <f>EXP(-LN(2)/2)*BR93+(1-EXP(-LN(2)/2))/(LN(2)/2)*BL94*BO94*VLOOKUP('Données projet'!$B$11,Paramètres!$A$1:$I$89,3,0)*0.475*44/12</f>
        <v>9.3050310500120375E-4</v>
      </c>
      <c r="BS94" s="22">
        <f t="shared" si="63"/>
        <v>98.832836813950806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7.1416666666666657</v>
      </c>
      <c r="N95" s="13">
        <f>IF('Données projet'!$A$36&gt;35,N94+M95-V94,IF(A95&lt;'Données projet'!$A$36,$K$205^A95,IF(A95='Données projet'!$A$36,'Données projet'!$B$36,N94+M95-V94)))</f>
        <v>481.38333333333316</v>
      </c>
      <c r="O95" s="13">
        <f>N95*VLOOKUP('Données projet'!$B$9,Paramètres!$A$1:$I$89,3,0)*VLOOKUP('Données projet'!$B$9,Paramètres!$A$1:$I$89,5,0)</f>
        <v>269.0932833333332</v>
      </c>
      <c r="P95" s="13">
        <f t="shared" si="87"/>
        <v>64.656803470430887</v>
      </c>
      <c r="Q95" s="20">
        <f t="shared" si="54"/>
        <v>581.28140118322233</v>
      </c>
      <c r="R95" s="59">
        <f t="shared" si="55"/>
        <v>874.6147345165557</v>
      </c>
      <c r="S95" s="59">
        <f ca="1">AVERAGE(OFFSET($R$3,0,0,'Données projet'!$E$9+1,1))-AVERAGE(OFFSET($H$3,0,0,'Données projet'!$E$9+1,1))</f>
        <v>293.82673322742102</v>
      </c>
      <c r="T95" s="59">
        <f t="shared" si="88"/>
        <v>138.78566015867693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46.801375623387656</v>
      </c>
      <c r="AA95" s="21">
        <f>EXP(-LN(2)/25)*AA94+(1-EXP(-LN(2)/25))/(LN(2)/25)*Calculateur!V95*Calculateur!X95*VLOOKUP('Données projet'!$B$9,Paramètres!$A$1:$I$89,3,0)*0.475*44/12</f>
        <v>17.18676847004248</v>
      </c>
      <c r="AB95" s="21">
        <f>EXP(-LN(2)/2)*AB94+(1-EXP(-LN(2)/2))/(LN(2)/2)*V95*Y95*VLOOKUP('Données projet'!$B$9,Paramètres!$A$1:$I$89,3,0)*0.475*44/12</f>
        <v>0.56374428798837506</v>
      </c>
      <c r="AC95" s="22">
        <f t="shared" si="57"/>
        <v>64.551888381418507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13.305555555555555</v>
      </c>
      <c r="AI95" s="13">
        <f>IF('Données projet'!$A$62&gt;35,AI94+AH95-AQ94,IF(A95&lt;'Données projet'!$A$62,$AF$205^A95,IF(A95='Données projet'!$A$62,'Données projet'!$B$62,AI94+AH95-AQ94)))</f>
        <v>410.89111111111112</v>
      </c>
      <c r="AJ95" s="13">
        <f>AI95*VLOOKUP('Données projet'!$B$10,Paramètres!$A$1:$I$89,3,0)*VLOOKUP('Données projet'!$B$10,Paramètres!$A$1:$I$89,5,0)</f>
        <v>202.98020888888891</v>
      </c>
      <c r="AK95" s="13">
        <f t="shared" si="89"/>
        <v>50.398562554533122</v>
      </c>
      <c r="AL95" s="20">
        <f t="shared" si="58"/>
        <v>441.30136026396008</v>
      </c>
      <c r="AM95" s="59">
        <f t="shared" si="59"/>
        <v>734.63469359729334</v>
      </c>
      <c r="AN95" s="59">
        <f ca="1">AVERAGE(OFFSET($AM$3,0,0,'Données projet'!$E$10+1,1))-AVERAGE(OFFSET($H$3,0,0,'Données projet'!$E$10+1,1))</f>
        <v>265.57710796453807</v>
      </c>
      <c r="AO95" s="59">
        <f t="shared" si="90"/>
        <v>171.29436297508141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33.29468591253228</v>
      </c>
      <c r="AV95" s="21">
        <f>EXP(-LN(2)/25)*AV94+(1-EXP(-LN(2)/25))/(LN(2)/25)*Calculateur!AQ95*Calculateur!AS95*VLOOKUP('Données projet'!$B$10,Paramètres!$A$1:$I$89,3,0)*0.475*44/12</f>
        <v>21.995035349260935</v>
      </c>
      <c r="AW95" s="21">
        <f>EXP(-LN(2)/2)*AW94+(1-EXP(-LN(2)/2))/(LN(2)/2)*AQ95*AT95*VLOOKUP('Données projet'!$B$10,Paramètres!$A$1:$I$89,3,0)*0.475*44/12</f>
        <v>2.5847451119502751</v>
      </c>
      <c r="AX95" s="21">
        <f t="shared" si="60"/>
        <v>57.874466373743495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175.05987582828078</v>
      </c>
      <c r="BJ95" s="59">
        <f t="shared" si="92"/>
        <v>268.54782308462387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76.61231065569973</v>
      </c>
      <c r="BQ95" s="21">
        <f>EXP(-LN(2)/25)*BQ94+(1-EXP(-LN(2)/25))/(LN(2)/25)*Calculateur!BL95*Calculateur!BN95*VLOOKUP('Données projet'!$B$11,Paramètres!$A$1:$I$89,3,0)*0.475*44/12</f>
        <v>20.121532853847775</v>
      </c>
      <c r="BR95" s="21">
        <f>EXP(-LN(2)/2)*BR94+(1-EXP(-LN(2)/2))/(LN(2)/2)*BL95*BO95*VLOOKUP('Données projet'!$B$11,Paramètres!$A$1:$I$89,3,0)*0.475*44/12</f>
        <v>6.5796505546148929E-4</v>
      </c>
      <c r="BS95" s="22">
        <f t="shared" si="63"/>
        <v>96.734501474602979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7.1416666666666657</v>
      </c>
      <c r="N96" s="13">
        <f>IF('Données projet'!$A$36&gt;35,N95+M96-V95,IF(A96&lt;'Données projet'!$A$36,$K$205^A96,IF(A96='Données projet'!$A$36,'Données projet'!$B$36,N95+M96-V95)))</f>
        <v>488.52499999999981</v>
      </c>
      <c r="O96" s="13">
        <f>N96*VLOOKUP('Données projet'!$B$9,Paramètres!$A$1:$I$89,3,0)*VLOOKUP('Données projet'!$B$9,Paramètres!$A$1:$I$89,5,0)</f>
        <v>273.08547499999992</v>
      </c>
      <c r="P96" s="13">
        <f t="shared" si="87"/>
        <v>65.503651283763162</v>
      </c>
      <c r="Q96" s="20">
        <f t="shared" si="54"/>
        <v>589.70939494422078</v>
      </c>
      <c r="R96" s="59">
        <f t="shared" si="55"/>
        <v>883.04272827755403</v>
      </c>
      <c r="S96" s="59">
        <f ca="1">AVERAGE(OFFSET($R$3,0,0,'Données projet'!$E$9+1,1))-AVERAGE(OFFSET($H$3,0,0,'Données projet'!$E$9+1,1))</f>
        <v>293.82673322742102</v>
      </c>
      <c r="T96" s="59">
        <f t="shared" si="88"/>
        <v>138.78566015867693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45.883629193433471</v>
      </c>
      <c r="AA96" s="21">
        <f>EXP(-LN(2)/25)*AA95+(1-EXP(-LN(2)/25))/(LN(2)/25)*Calculateur!V96*Calculateur!X96*VLOOKUP('Données projet'!$B$9,Paramètres!$A$1:$I$89,3,0)*0.475*44/12</f>
        <v>16.716795382416297</v>
      </c>
      <c r="AB96" s="21">
        <f>EXP(-LN(2)/2)*AB95+(1-EXP(-LN(2)/2))/(LN(2)/2)*V96*Y96*VLOOKUP('Données projet'!$B$9,Paramètres!$A$1:$I$89,3,0)*0.475*44/12</f>
        <v>0.39862740889176196</v>
      </c>
      <c r="AC96" s="22">
        <f t="shared" si="57"/>
        <v>62.999051984741534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13.305555555555555</v>
      </c>
      <c r="AI96" s="13">
        <f>IF('Données projet'!$A$62&gt;35,AI95+AH96-AQ95,IF(A96&lt;'Données projet'!$A$62,$AF$205^A96,IF(A96='Données projet'!$A$62,'Données projet'!$B$62,AI95+AH96-AQ95)))</f>
        <v>424.19666666666666</v>
      </c>
      <c r="AJ96" s="13">
        <f>AI96*VLOOKUP('Données projet'!$B$10,Paramètres!$A$1:$I$89,3,0)*VLOOKUP('Données projet'!$B$10,Paramètres!$A$1:$I$89,5,0)</f>
        <v>209.55315333333337</v>
      </c>
      <c r="AK96" s="13">
        <f t="shared" si="89"/>
        <v>51.837926356880232</v>
      </c>
      <c r="AL96" s="20">
        <f t="shared" si="58"/>
        <v>455.25613046045532</v>
      </c>
      <c r="AM96" s="59">
        <f t="shared" si="59"/>
        <v>748.58946379378858</v>
      </c>
      <c r="AN96" s="59">
        <f ca="1">AVERAGE(OFFSET($AM$3,0,0,'Données projet'!$E$10+1,1))-AVERAGE(OFFSET($H$3,0,0,'Données projet'!$E$10+1,1))</f>
        <v>265.57710796453807</v>
      </c>
      <c r="AO96" s="59">
        <f t="shared" si="90"/>
        <v>171.29436297508141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32.641797429540702</v>
      </c>
      <c r="AV96" s="21">
        <f>EXP(-LN(2)/25)*AV95+(1-EXP(-LN(2)/25))/(LN(2)/25)*Calculateur!AQ96*Calculateur!AS96*VLOOKUP('Données projet'!$B$10,Paramètres!$A$1:$I$89,3,0)*0.475*44/12</f>
        <v>21.393579950966757</v>
      </c>
      <c r="AW96" s="21">
        <f>EXP(-LN(2)/2)*AW95+(1-EXP(-LN(2)/2))/(LN(2)/2)*AQ96*AT96*VLOOKUP('Données projet'!$B$10,Paramètres!$A$1:$I$89,3,0)*0.475*44/12</f>
        <v>1.8276907962988216</v>
      </c>
      <c r="AX96" s="21">
        <f t="shared" si="60"/>
        <v>55.86306817680628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175.05987582828078</v>
      </c>
      <c r="BJ96" s="59">
        <f t="shared" si="92"/>
        <v>268.54782308462387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75.109989972636868</v>
      </c>
      <c r="BQ96" s="21">
        <f>EXP(-LN(2)/25)*BQ95+(1-EXP(-LN(2)/25))/(LN(2)/25)*Calculateur!BL96*Calculateur!BN96*VLOOKUP('Données projet'!$B$11,Paramètres!$A$1:$I$89,3,0)*0.475*44/12</f>
        <v>19.571308479813883</v>
      </c>
      <c r="BR96" s="21">
        <f>EXP(-LN(2)/2)*BR95+(1-EXP(-LN(2)/2))/(LN(2)/2)*BL96*BO96*VLOOKUP('Données projet'!$B$11,Paramètres!$A$1:$I$89,3,0)*0.475*44/12</f>
        <v>4.6525155250060193E-4</v>
      </c>
      <c r="BS96" s="22">
        <f t="shared" si="63"/>
        <v>94.681763704003245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7.1416666666666657</v>
      </c>
      <c r="N97" s="13">
        <f>IF('Données projet'!$A$36&gt;35,N96+M97-V96,IF(A97&lt;'Données projet'!$A$36,$K$205^A97,IF(A97='Données projet'!$A$36,'Données projet'!$B$36,N96+M97-V96)))</f>
        <v>495.66666666666646</v>
      </c>
      <c r="O97" s="13">
        <f>N97*VLOOKUP('Données projet'!$B$9,Paramètres!$A$1:$I$89,3,0)*VLOOKUP('Données projet'!$B$9,Paramètres!$A$1:$I$89,5,0)</f>
        <v>277.07766666666657</v>
      </c>
      <c r="P97" s="13">
        <f t="shared" si="87"/>
        <v>66.349059244487947</v>
      </c>
      <c r="Q97" s="20">
        <f t="shared" si="54"/>
        <v>598.13488096192737</v>
      </c>
      <c r="R97" s="59">
        <f t="shared" si="55"/>
        <v>891.46821429526062</v>
      </c>
      <c r="S97" s="59">
        <f ca="1">AVERAGE(OFFSET($R$3,0,0,'Données projet'!$E$9+1,1))-AVERAGE(OFFSET($H$3,0,0,'Données projet'!$E$9+1,1))</f>
        <v>293.82673322742102</v>
      </c>
      <c r="T97" s="59">
        <f t="shared" si="88"/>
        <v>138.78566015867693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44.983879211200637</v>
      </c>
      <c r="AA97" s="21">
        <f>EXP(-LN(2)/25)*AA96+(1-EXP(-LN(2)/25))/(LN(2)/25)*Calculateur!V97*Calculateur!X97*VLOOKUP('Données projet'!$B$9,Paramètres!$A$1:$I$89,3,0)*0.475*44/12</f>
        <v>16.259673733586062</v>
      </c>
      <c r="AB97" s="21">
        <f>EXP(-LN(2)/2)*AB96+(1-EXP(-LN(2)/2))/(LN(2)/2)*V97*Y97*VLOOKUP('Données projet'!$B$9,Paramètres!$A$1:$I$89,3,0)*0.475*44/12</f>
        <v>0.28187214399418753</v>
      </c>
      <c r="AC97" s="22">
        <f t="shared" si="57"/>
        <v>61.525425088780885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13.305555555555555</v>
      </c>
      <c r="AI97" s="13">
        <f>IF('Données projet'!$A$62&gt;35,AI96+AH97-AQ96,IF(A97&lt;'Données projet'!$A$62,$AF$205^A97,IF(A97='Données projet'!$A$62,'Données projet'!$B$62,AI96+AH97-AQ96)))</f>
        <v>437.5022222222222</v>
      </c>
      <c r="AJ97" s="13">
        <f>AI97*VLOOKUP('Données projet'!$B$10,Paramètres!$A$1:$I$89,3,0)*VLOOKUP('Données projet'!$B$10,Paramètres!$A$1:$I$89,5,0)</f>
        <v>216.12609777777777</v>
      </c>
      <c r="AK97" s="13">
        <f t="shared" si="89"/>
        <v>53.272043631315661</v>
      </c>
      <c r="AL97" s="20">
        <f t="shared" si="58"/>
        <v>469.20176295417104</v>
      </c>
      <c r="AM97" s="59">
        <f t="shared" si="59"/>
        <v>762.5350962875043</v>
      </c>
      <c r="AN97" s="59">
        <f ca="1">AVERAGE(OFFSET($AM$3,0,0,'Données projet'!$E$10+1,1))-AVERAGE(OFFSET($H$3,0,0,'Données projet'!$E$10+1,1))</f>
        <v>265.57710796453807</v>
      </c>
      <c r="AO97" s="59">
        <f t="shared" si="90"/>
        <v>171.29436297508141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32.001711691477936</v>
      </c>
      <c r="AV97" s="21">
        <f>EXP(-LN(2)/25)*AV96+(1-EXP(-LN(2)/25))/(LN(2)/25)*Calculateur!AQ97*Calculateur!AS97*VLOOKUP('Données projet'!$B$10,Paramètres!$A$1:$I$89,3,0)*0.475*44/12</f>
        <v>20.808571382168097</v>
      </c>
      <c r="AW97" s="21">
        <f>EXP(-LN(2)/2)*AW96+(1-EXP(-LN(2)/2))/(LN(2)/2)*AQ97*AT97*VLOOKUP('Données projet'!$B$10,Paramètres!$A$1:$I$89,3,0)*0.475*44/12</f>
        <v>1.2923725559751378</v>
      </c>
      <c r="AX97" s="21">
        <f t="shared" si="60"/>
        <v>54.102655629621168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175.05987582828078</v>
      </c>
      <c r="BJ97" s="59">
        <f t="shared" si="92"/>
        <v>268.54782308462387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73.637128881843722</v>
      </c>
      <c r="BQ97" s="21">
        <f>EXP(-LN(2)/25)*BQ96+(1-EXP(-LN(2)/25))/(LN(2)/25)*Calculateur!BL97*Calculateur!BN97*VLOOKUP('Données projet'!$B$11,Paramètres!$A$1:$I$89,3,0)*0.475*44/12</f>
        <v>19.036130020222991</v>
      </c>
      <c r="BR97" s="21">
        <f>EXP(-LN(2)/2)*BR96+(1-EXP(-LN(2)/2))/(LN(2)/2)*BL97*BO97*VLOOKUP('Données projet'!$B$11,Paramètres!$A$1:$I$89,3,0)*0.475*44/12</f>
        <v>3.289825277307447E-4</v>
      </c>
      <c r="BS97" s="22">
        <f t="shared" si="63"/>
        <v>92.673587884594454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7.1416666666666657</v>
      </c>
      <c r="N98" s="13">
        <f>IF('Données projet'!$A$36&gt;35,N97+M98-V97,IF(A98&lt;'Données projet'!$A$36,$K$205^A98,IF(A98='Données projet'!$A$36,'Données projet'!$B$36,N97+M98-V97)))</f>
        <v>502.80833333333311</v>
      </c>
      <c r="O98" s="13">
        <f>N98*VLOOKUP('Données projet'!$B$9,Paramètres!$A$1:$I$89,3,0)*VLOOKUP('Données projet'!$B$9,Paramètres!$A$1:$I$89,5,0)</f>
        <v>281.06985833333323</v>
      </c>
      <c r="P98" s="13">
        <f t="shared" si="87"/>
        <v>67.193050495295523</v>
      </c>
      <c r="Q98" s="20">
        <f t="shared" si="54"/>
        <v>606.55789954319505</v>
      </c>
      <c r="R98" s="59">
        <f t="shared" si="55"/>
        <v>899.89123287652842</v>
      </c>
      <c r="S98" s="59">
        <f ca="1">AVERAGE(OFFSET($R$3,0,0,'Données projet'!$E$9+1,1))-AVERAGE(OFFSET($H$3,0,0,'Données projet'!$E$9+1,1))</f>
        <v>293.82673322742102</v>
      </c>
      <c r="T98" s="59">
        <f t="shared" si="88"/>
        <v>138.78566015867693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44.10177277732609</v>
      </c>
      <c r="AA98" s="21">
        <f>EXP(-LN(2)/25)*AA97+(1-EXP(-LN(2)/25))/(LN(2)/25)*Calculateur!V98*Calculateur!X98*VLOOKUP('Données projet'!$B$9,Paramètres!$A$1:$I$89,3,0)*0.475*44/12</f>
        <v>15.815052100282072</v>
      </c>
      <c r="AB98" s="21">
        <f>EXP(-LN(2)/2)*AB97+(1-EXP(-LN(2)/2))/(LN(2)/2)*V98*Y98*VLOOKUP('Données projet'!$B$9,Paramètres!$A$1:$I$89,3,0)*0.475*44/12</f>
        <v>0.19931370444588098</v>
      </c>
      <c r="AC98" s="22">
        <f t="shared" si="57"/>
        <v>60.116138582054042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13.305555555555555</v>
      </c>
      <c r="AI98" s="13">
        <f>IF('Données projet'!$A$62&gt;35,AI97+AH98-AQ97,IF(A98&lt;'Données projet'!$A$62,$AF$205^A98,IF(A98='Données projet'!$A$62,'Données projet'!$B$62,AI97+AH98-AQ97)))</f>
        <v>450.80777777777774</v>
      </c>
      <c r="AJ98" s="13">
        <f>AI98*VLOOKUP('Données projet'!$B$10,Paramètres!$A$1:$I$89,3,0)*VLOOKUP('Données projet'!$B$10,Paramètres!$A$1:$I$89,5,0)</f>
        <v>222.6990422222222</v>
      </c>
      <c r="AK98" s="13">
        <f t="shared" si="89"/>
        <v>54.701092251603995</v>
      </c>
      <c r="AL98" s="20">
        <f t="shared" si="58"/>
        <v>483.13856754191391</v>
      </c>
      <c r="AM98" s="59">
        <f t="shared" si="59"/>
        <v>776.47190087524723</v>
      </c>
      <c r="AN98" s="59">
        <f ca="1">AVERAGE(OFFSET($AM$3,0,0,'Données projet'!$E$10+1,1))-AVERAGE(OFFSET($H$3,0,0,'Données projet'!$E$10+1,1))</f>
        <v>265.57710796453807</v>
      </c>
      <c r="AO98" s="59">
        <f t="shared" si="90"/>
        <v>171.29436297508141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31.374177644324835</v>
      </c>
      <c r="AV98" s="21">
        <f>EXP(-LN(2)/25)*AV97+(1-EXP(-LN(2)/25))/(LN(2)/25)*Calculateur!AQ98*Calculateur!AS98*VLOOKUP('Données projet'!$B$10,Paramètres!$A$1:$I$89,3,0)*0.475*44/12</f>
        <v>20.2395599034475</v>
      </c>
      <c r="AW98" s="21">
        <f>EXP(-LN(2)/2)*AW97+(1-EXP(-LN(2)/2))/(LN(2)/2)*AQ98*AT98*VLOOKUP('Données projet'!$B$10,Paramètres!$A$1:$I$89,3,0)*0.475*44/12</f>
        <v>0.9138453981494109</v>
      </c>
      <c r="AX98" s="21">
        <f t="shared" si="60"/>
        <v>52.527582945921743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175.05987582828078</v>
      </c>
      <c r="BJ98" s="59">
        <f t="shared" si="92"/>
        <v>268.54782308462387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72.193149698684479</v>
      </c>
      <c r="BQ98" s="21">
        <f>EXP(-LN(2)/25)*BQ97+(1-EXP(-LN(2)/25))/(LN(2)/25)*Calculateur!BL98*Calculateur!BN98*VLOOKUP('Données projet'!$B$11,Paramètres!$A$1:$I$89,3,0)*0.475*44/12</f>
        <v>18.515586043753423</v>
      </c>
      <c r="BR98" s="21">
        <f>EXP(-LN(2)/2)*BR97+(1-EXP(-LN(2)/2))/(LN(2)/2)*BL98*BO98*VLOOKUP('Données projet'!$B$11,Paramètres!$A$1:$I$89,3,0)*0.475*44/12</f>
        <v>2.3262577625030102E-4</v>
      </c>
      <c r="BS98" s="22">
        <f t="shared" si="63"/>
        <v>90.708968368214158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>
        <f>VLOOKUP(A99,'Données projet'!$A$35:$I$55,2,0)</f>
        <v>509.95</v>
      </c>
      <c r="L99" s="12">
        <f>VLOOKUP(A99,'Données projet'!$A$35:$I$55,9,0)</f>
        <v>7.1416666666666657</v>
      </c>
      <c r="M99" s="12">
        <f t="array" ref="M99">INDEX(L:L,MIN(IF(ISNUMBER(L99:L295),ROW(L99:L295),"")))</f>
        <v>7.1416666666666657</v>
      </c>
      <c r="N99" s="13">
        <f>IF('Données projet'!$A$36&gt;35,N98+M99-V98,IF(A99&lt;'Données projet'!$A$36,$K$205^A99,IF(A99='Données projet'!$A$36,'Données projet'!$B$36,N98+M99-V98)))</f>
        <v>509.94999999999976</v>
      </c>
      <c r="O99" s="13">
        <f>N99*VLOOKUP('Données projet'!$B$9,Paramètres!$A$1:$I$89,3,0)*VLOOKUP('Données projet'!$B$9,Paramètres!$A$1:$I$89,5,0)</f>
        <v>285.06204999999989</v>
      </c>
      <c r="P99" s="13">
        <f t="shared" si="87"/>
        <v>68.035647483702888</v>
      </c>
      <c r="Q99" s="20">
        <f t="shared" ref="Q99:Q130" si="107">(O99+P99)*0.475*44/12</f>
        <v>614.9784897841156</v>
      </c>
      <c r="R99" s="59">
        <f t="shared" si="55"/>
        <v>908.31182311744897</v>
      </c>
      <c r="S99" s="59">
        <f ca="1">AVERAGE(OFFSET($R$3,0,0,'Données projet'!$E$9+1,1))-AVERAGE(OFFSET($H$3,0,0,'Données projet'!$E$9+1,1))</f>
        <v>293.82673322742102</v>
      </c>
      <c r="T99" s="59">
        <f t="shared" si="88"/>
        <v>138.78566015867693</v>
      </c>
      <c r="U99" s="15">
        <f>IF(ISNA(VLOOKUP(A99,'Données projet'!$A$35:$I$55,3,0)),0,VLOOKUP(A99,'Données projet'!$A$35:$I$55,3,0))</f>
        <v>7</v>
      </c>
      <c r="V99" s="15">
        <f>IF(ISNA(VLOOKUP(A99,'Données projet'!$A$35:$I$55,4,0)),0,VLOOKUP(A99,'Données projet'!$A$35:$I$55,4,0))</f>
        <v>74.37</v>
      </c>
      <c r="W99" s="16">
        <f>IF(ISNA(VLOOKUP(A99,'Données projet'!$A$35:$I$55,5,0)),0%,VLOOKUP(A99,'Données projet'!$A$35:$I$55,5,0)*VLOOKUP('Données projet'!$B$9,Paramètres!$A$1:$I$89,7,0))</f>
        <v>0.33</v>
      </c>
      <c r="X99" s="16">
        <f>IF(ISNA(VLOOKUP(A99,'Données projet'!$A$35:$I$55,6,0)),0%,VLOOKUP(A99,'Données projet'!$A$35:$I$55,6,0)*VLOOKUP('Données projet'!$B$9,Paramètres!$A$1:$I$89,7,0))</f>
        <v>0.11000000000000001</v>
      </c>
      <c r="Y99" s="16">
        <f>IF(ISNA(VLOOKUP(A99,'Données projet'!$A$35:$I$55,7,0)),0%,VLOOKUP(A99,'Données projet'!$A$35:$I$55,7,0))</f>
        <v>0.2</v>
      </c>
      <c r="Z99" s="21">
        <f>EXP(-LN(2)/35)*Z98+(1-EXP(-LN(2)/35))/(LN(2)/35)*V99*W99*VLOOKUP('Données projet'!$B$9,Paramètres!$A$1:$I$89,3,0)*0.475*44/12</f>
        <v>61.436146647298116</v>
      </c>
      <c r="AA99" s="21">
        <f>EXP(-LN(2)/25)*AA98+(1-EXP(-LN(2)/25))/(LN(2)/25)*Calculateur!V99*Calculateur!X99*VLOOKUP('Données projet'!$B$9,Paramètres!$A$1:$I$89,3,0)*0.475*44/12</f>
        <v>21.425097208206168</v>
      </c>
      <c r="AB99" s="21">
        <f>EXP(-LN(2)/2)*AB98+(1-EXP(-LN(2)/2))/(LN(2)/2)*V99*Y99*VLOOKUP('Données projet'!$B$9,Paramètres!$A$1:$I$89,3,0)*0.475*44/12</f>
        <v>9.5549562371125329</v>
      </c>
      <c r="AC99" s="22">
        <f t="shared" si="57"/>
        <v>92.416200092616819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13.305555555555555</v>
      </c>
      <c r="AI99" s="13">
        <f>IF('Données projet'!$A$62&gt;35,AI98+AH99-AQ98,IF(A99&lt;'Données projet'!$A$62,$AF$205^A99,IF(A99='Données projet'!$A$62,'Données projet'!$B$62,AI98+AH99-AQ98)))</f>
        <v>464.11333333333329</v>
      </c>
      <c r="AJ99" s="13">
        <f>AI99*VLOOKUP('Données projet'!$B$10,Paramètres!$A$1:$I$89,3,0)*VLOOKUP('Données projet'!$B$10,Paramètres!$A$1:$I$89,5,0)</f>
        <v>229.27198666666663</v>
      </c>
      <c r="AK99" s="13">
        <f t="shared" si="89"/>
        <v>56.125238994742524</v>
      </c>
      <c r="AL99" s="20">
        <f t="shared" si="58"/>
        <v>497.06683469362088</v>
      </c>
      <c r="AM99" s="59">
        <f t="shared" si="59"/>
        <v>790.40016802695413</v>
      </c>
      <c r="AN99" s="59">
        <f ca="1">AVERAGE(OFFSET($AM$3,0,0,'Données projet'!$E$10+1,1))-AVERAGE(OFFSET($H$3,0,0,'Données projet'!$E$10+1,1))</f>
        <v>265.57710796453807</v>
      </c>
      <c r="AO99" s="59">
        <f t="shared" si="90"/>
        <v>171.29436297508141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30.75894915707843</v>
      </c>
      <c r="AV99" s="21">
        <f>EXP(-LN(2)/25)*AV98+(1-EXP(-LN(2)/25))/(LN(2)/25)*Calculateur!AQ99*Calculateur!AS99*VLOOKUP('Données projet'!$B$10,Paramètres!$A$1:$I$89,3,0)*0.475*44/12</f>
        <v>19.686108073535532</v>
      </c>
      <c r="AW99" s="21">
        <f>EXP(-LN(2)/2)*AW98+(1-EXP(-LN(2)/2))/(LN(2)/2)*AQ99*AT99*VLOOKUP('Données projet'!$B$10,Paramètres!$A$1:$I$89,3,0)*0.475*44/12</f>
        <v>0.64618627798756889</v>
      </c>
      <c r="AX99" s="21">
        <f t="shared" si="60"/>
        <v>51.091243508601529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175.05987582828078</v>
      </c>
      <c r="BJ99" s="59">
        <f t="shared" si="92"/>
        <v>268.54782308462387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70.777486066566652</v>
      </c>
      <c r="BQ99" s="21">
        <f>EXP(-LN(2)/25)*BQ98+(1-EXP(-LN(2)/25))/(LN(2)/25)*Calculateur!BL99*Calculateur!BN99*VLOOKUP('Données projet'!$B$11,Paramètres!$A$1:$I$89,3,0)*0.475*44/12</f>
        <v>18.009276369694632</v>
      </c>
      <c r="BR99" s="21">
        <f>EXP(-LN(2)/2)*BR98+(1-EXP(-LN(2)/2))/(LN(2)/2)*BL99*BO99*VLOOKUP('Données projet'!$B$11,Paramètres!$A$1:$I$89,3,0)*0.475*44/12</f>
        <v>1.6449126386537238E-4</v>
      </c>
      <c r="BS99" s="22">
        <f t="shared" si="63"/>
        <v>88.786926927525144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5.6049999999999995</v>
      </c>
      <c r="N100" s="13">
        <f>IF('Données projet'!$A$36&gt;35,N99+M100-V99,IF(A100&lt;'Données projet'!$A$36,$K$205^A100,IF(A100='Données projet'!$A$36,'Données projet'!$B$36,N99+M100-V99)))</f>
        <v>441.18499999999972</v>
      </c>
      <c r="O100" s="13">
        <f>N100*VLOOKUP('Données projet'!$B$9,Paramètres!$A$1:$I$89,3,0)*VLOOKUP('Données projet'!$B$9,Paramètres!$A$1:$I$89,5,0)</f>
        <v>246.62241499999982</v>
      </c>
      <c r="P100" s="13">
        <f t="shared" si="87"/>
        <v>59.86211027977518</v>
      </c>
      <c r="Q100" s="20">
        <f t="shared" si="107"/>
        <v>533.79388152894137</v>
      </c>
      <c r="R100" s="59">
        <f t="shared" si="55"/>
        <v>827.12721486227474</v>
      </c>
      <c r="S100" s="59">
        <f ca="1">AVERAGE(OFFSET($R$3,0,0,'Données projet'!$E$9+1,1))-AVERAGE(OFFSET($H$3,0,0,'Données projet'!$E$9+1,1))</f>
        <v>293.82673322742102</v>
      </c>
      <c r="T100" s="59">
        <f t="shared" si="88"/>
        <v>138.78566015867693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60.231421283893965</v>
      </c>
      <c r="AA100" s="21">
        <f>EXP(-LN(2)/25)*AA99+(1-EXP(-LN(2)/25))/(LN(2)/25)*Calculateur!V100*Calculateur!X100*VLOOKUP('Données projet'!$B$9,Paramètres!$A$1:$I$89,3,0)*0.475*44/12</f>
        <v>20.839226798350875</v>
      </c>
      <c r="AB100" s="21">
        <f>EXP(-LN(2)/2)*AB99+(1-EXP(-LN(2)/2))/(LN(2)/2)*V100*Y100*VLOOKUP('Données projet'!$B$9,Paramètres!$A$1:$I$89,3,0)*0.475*44/12</f>
        <v>6.7563743492029698</v>
      </c>
      <c r="AC100" s="22">
        <f t="shared" si="57"/>
        <v>87.827022431447816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13.305555555555555</v>
      </c>
      <c r="AI100" s="13">
        <f>IF('Données projet'!$A$62&gt;35,AI99+AH100-AQ99,IF(A100&lt;'Données projet'!$A$62,$AF$205^A100,IF(A100='Données projet'!$A$62,'Données projet'!$B$62,AI99+AH100-AQ99)))</f>
        <v>477.41888888888883</v>
      </c>
      <c r="AJ100" s="13">
        <f>AI100*VLOOKUP('Données projet'!$B$10,Paramètres!$A$1:$I$89,3,0)*VLOOKUP('Données projet'!$B$10,Paramètres!$A$1:$I$89,5,0)</f>
        <v>235.84493111111107</v>
      </c>
      <c r="AK100" s="13">
        <f t="shared" si="89"/>
        <v>57.544640531281637</v>
      </c>
      <c r="AL100" s="20">
        <f t="shared" si="58"/>
        <v>510.98683727716724</v>
      </c>
      <c r="AM100" s="59">
        <f t="shared" si="59"/>
        <v>804.32017061050055</v>
      </c>
      <c r="AN100" s="59">
        <f ca="1">AVERAGE(OFFSET($AM$3,0,0,'Données projet'!$E$10+1,1))-AVERAGE(OFFSET($H$3,0,0,'Données projet'!$E$10+1,1))</f>
        <v>265.57710796453807</v>
      </c>
      <c r="AO100" s="59">
        <f t="shared" si="90"/>
        <v>171.29436297508141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30.155784925214601</v>
      </c>
      <c r="AV100" s="21">
        <f>EXP(-LN(2)/25)*AV99+(1-EXP(-LN(2)/25))/(LN(2)/25)*Calculateur!AQ100*Calculateur!AS100*VLOOKUP('Données projet'!$B$10,Paramètres!$A$1:$I$89,3,0)*0.475*44/12</f>
        <v>19.147790413017272</v>
      </c>
      <c r="AW100" s="21">
        <f>EXP(-LN(2)/2)*AW99+(1-EXP(-LN(2)/2))/(LN(2)/2)*AQ100*AT100*VLOOKUP('Données projet'!$B$10,Paramètres!$A$1:$I$89,3,0)*0.475*44/12</f>
        <v>0.45692269907470545</v>
      </c>
      <c r="AX100" s="21">
        <f t="shared" si="60"/>
        <v>49.760498037306576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175.05987582828078</v>
      </c>
      <c r="BJ100" s="59">
        <f t="shared" si="92"/>
        <v>268.54782308462387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69.389582734805103</v>
      </c>
      <c r="BQ100" s="21">
        <f>EXP(-LN(2)/25)*BQ99+(1-EXP(-LN(2)/25))/(LN(2)/25)*Calculateur!BL100*Calculateur!BN100*VLOOKUP('Données projet'!$B$11,Paramètres!$A$1:$I$89,3,0)*0.475*44/12</f>
        <v>17.516811760298648</v>
      </c>
      <c r="BR100" s="21">
        <f>EXP(-LN(2)/2)*BR99+(1-EXP(-LN(2)/2))/(LN(2)/2)*BL100*BO100*VLOOKUP('Données projet'!$B$11,Paramètres!$A$1:$I$89,3,0)*0.475*44/12</f>
        <v>1.1631288812515052E-4</v>
      </c>
      <c r="BS100" s="22">
        <f t="shared" si="63"/>
        <v>86.906510807991879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5.6049999999999995</v>
      </c>
      <c r="N101" s="13">
        <f>IF('Données projet'!$A$36&gt;35,N100+M101-V100,IF(A101&lt;'Données projet'!$A$36,$K$205^A101,IF(A101='Données projet'!$A$36,'Données projet'!$B$36,N100+M101-V100)))</f>
        <v>446.78999999999974</v>
      </c>
      <c r="O101" s="13">
        <f>N101*VLOOKUP('Données projet'!$B$9,Paramètres!$A$1:$I$89,3,0)*VLOOKUP('Données projet'!$B$9,Paramètres!$A$1:$I$89,5,0)</f>
        <v>249.75560999999985</v>
      </c>
      <c r="P101" s="13">
        <f t="shared" si="87"/>
        <v>60.533605433588299</v>
      </c>
      <c r="Q101" s="20">
        <f t="shared" si="107"/>
        <v>540.42038354683268</v>
      </c>
      <c r="R101" s="59">
        <f t="shared" si="55"/>
        <v>833.75371688016594</v>
      </c>
      <c r="S101" s="59">
        <f ca="1">AVERAGE(OFFSET($R$3,0,0,'Données projet'!$E$9+1,1))-AVERAGE(OFFSET($H$3,0,0,'Données projet'!$E$9+1,1))</f>
        <v>293.82673322742102</v>
      </c>
      <c r="T101" s="59">
        <f t="shared" si="88"/>
        <v>138.78566015867693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59.050319850056255</v>
      </c>
      <c r="AA101" s="21">
        <f>EXP(-LN(2)/25)*AA100+(1-EXP(-LN(2)/25))/(LN(2)/25)*Calculateur!V101*Calculateur!X101*VLOOKUP('Données projet'!$B$9,Paramètres!$A$1:$I$89,3,0)*0.475*44/12</f>
        <v>20.269377045662662</v>
      </c>
      <c r="AB101" s="21">
        <f>EXP(-LN(2)/2)*AB100+(1-EXP(-LN(2)/2))/(LN(2)/2)*V101*Y101*VLOOKUP('Données projet'!$B$9,Paramètres!$A$1:$I$89,3,0)*0.475*44/12</f>
        <v>4.7774781185562674</v>
      </c>
      <c r="AC101" s="22">
        <f t="shared" si="57"/>
        <v>84.097175014275194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13.305555555555555</v>
      </c>
      <c r="AI101" s="13">
        <f>IF('Données projet'!$A$62&gt;35,AI100+AH101-AQ100,IF(A101&lt;'Données projet'!$A$62,$AF$205^A101,IF(A101='Données projet'!$A$62,'Données projet'!$B$62,AI100+AH101-AQ100)))</f>
        <v>490.72444444444437</v>
      </c>
      <c r="AJ101" s="13">
        <f>AI101*VLOOKUP('Données projet'!$B$10,Paramètres!$A$1:$I$89,3,0)*VLOOKUP('Données projet'!$B$10,Paramètres!$A$1:$I$89,5,0)</f>
        <v>242.41787555555553</v>
      </c>
      <c r="AK101" s="13">
        <f t="shared" si="89"/>
        <v>58.959444302141236</v>
      </c>
      <c r="AL101" s="20">
        <f t="shared" si="58"/>
        <v>524.89883208548849</v>
      </c>
      <c r="AM101" s="59">
        <f t="shared" si="59"/>
        <v>818.23216541882175</v>
      </c>
      <c r="AN101" s="59">
        <f ca="1">AVERAGE(OFFSET($AM$3,0,0,'Données projet'!$E$10+1,1))-AVERAGE(OFFSET($H$3,0,0,'Données projet'!$E$10+1,1))</f>
        <v>265.57710796453807</v>
      </c>
      <c r="AO101" s="59">
        <f t="shared" si="90"/>
        <v>171.29436297508141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29.564448376043767</v>
      </c>
      <c r="AV101" s="21">
        <f>EXP(-LN(2)/25)*AV100+(1-EXP(-LN(2)/25))/(LN(2)/25)*Calculateur!AQ101*Calculateur!AS101*VLOOKUP('Données projet'!$B$10,Paramètres!$A$1:$I$89,3,0)*0.475*44/12</f>
        <v>18.624193077234779</v>
      </c>
      <c r="AW101" s="21">
        <f>EXP(-LN(2)/2)*AW100+(1-EXP(-LN(2)/2))/(LN(2)/2)*AQ101*AT101*VLOOKUP('Données projet'!$B$10,Paramètres!$A$1:$I$89,3,0)*0.475*44/12</f>
        <v>0.32309313899378445</v>
      </c>
      <c r="AX101" s="21">
        <f t="shared" si="60"/>
        <v>48.511734592272333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175.05987582828078</v>
      </c>
      <c r="BJ101" s="59">
        <f t="shared" si="92"/>
        <v>268.54782308462387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68.028895340841942</v>
      </c>
      <c r="BQ101" s="21">
        <f>EXP(-LN(2)/25)*BQ100+(1-EXP(-LN(2)/25))/(LN(2)/25)*Calculateur!BL101*Calculateur!BN101*VLOOKUP('Données projet'!$B$11,Paramètres!$A$1:$I$89,3,0)*0.475*44/12</f>
        <v>17.037813621544185</v>
      </c>
      <c r="BR101" s="21">
        <f>EXP(-LN(2)/2)*BR100+(1-EXP(-LN(2)/2))/(LN(2)/2)*BL101*BO101*VLOOKUP('Données projet'!$B$11,Paramètres!$A$1:$I$89,3,0)*0.475*44/12</f>
        <v>8.2245631932686202E-5</v>
      </c>
      <c r="BS101" s="22">
        <f t="shared" si="63"/>
        <v>85.06679120801806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5.6049999999999995</v>
      </c>
      <c r="N102" s="13">
        <f>IF('Données projet'!$A$36&gt;35,N101+M102-V101,IF(A102&lt;'Données projet'!$A$36,$K$205^A102,IF(A102='Données projet'!$A$36,'Données projet'!$B$36,N101+M102-V101)))</f>
        <v>452.39499999999975</v>
      </c>
      <c r="O102" s="13">
        <f>N102*VLOOKUP('Données projet'!$B$9,Paramètres!$A$1:$I$89,3,0)*VLOOKUP('Données projet'!$B$9,Paramètres!$A$1:$I$89,5,0)</f>
        <v>252.88880499999988</v>
      </c>
      <c r="P102" s="13">
        <f t="shared" si="87"/>
        <v>61.204120729649546</v>
      </c>
      <c r="Q102" s="20">
        <f t="shared" si="107"/>
        <v>547.04517897913945</v>
      </c>
      <c r="R102" s="59">
        <f t="shared" si="55"/>
        <v>840.37851231247282</v>
      </c>
      <c r="S102" s="59">
        <f ca="1">AVERAGE(OFFSET($R$3,0,0,'Données projet'!$E$9+1,1))-AVERAGE(OFFSET($H$3,0,0,'Données projet'!$E$9+1,1))</f>
        <v>293.82673322742102</v>
      </c>
      <c r="T102" s="59">
        <f t="shared" si="88"/>
        <v>138.78566015867693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57.892379094935364</v>
      </c>
      <c r="AA102" s="21">
        <f>EXP(-LN(2)/25)*AA101+(1-EXP(-LN(2)/25))/(LN(2)/25)*Calculateur!V102*Calculateur!X102*VLOOKUP('Données projet'!$B$9,Paramètres!$A$1:$I$89,3,0)*0.475*44/12</f>
        <v>19.715109864428804</v>
      </c>
      <c r="AB102" s="21">
        <f>EXP(-LN(2)/2)*AB101+(1-EXP(-LN(2)/2))/(LN(2)/2)*V102*Y102*VLOOKUP('Données projet'!$B$9,Paramètres!$A$1:$I$89,3,0)*0.475*44/12</f>
        <v>3.3781871746014853</v>
      </c>
      <c r="AC102" s="22">
        <f t="shared" si="57"/>
        <v>80.98567613396564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504.03</v>
      </c>
      <c r="AG102" s="12">
        <f>VLOOKUP(A102,'Données projet'!$A$61:$I$81,9,0)</f>
        <v>13.305555555555555</v>
      </c>
      <c r="AH102" s="12">
        <f t="array" ref="AH102">INDEX(AG:AG,MIN(IF(ISNUMBER(AG102:AG298),ROW(AG102:AG298),"")))</f>
        <v>13.305555555555555</v>
      </c>
      <c r="AI102" s="13">
        <f>IF('Données projet'!$A$62&gt;35,AI101+AH102-AQ101,IF(A102&lt;'Données projet'!$A$62,$AF$205^A102,IF(A102='Données projet'!$A$62,'Données projet'!$B$62,AI101+AH102-AQ101)))</f>
        <v>504.02999999999992</v>
      </c>
      <c r="AJ102" s="13">
        <f>AI102*VLOOKUP('Données projet'!$B$10,Paramètres!$A$1:$I$89,3,0)*VLOOKUP('Données projet'!$B$10,Paramètres!$A$1:$I$89,5,0)</f>
        <v>248.99081999999996</v>
      </c>
      <c r="AK102" s="13">
        <f t="shared" si="89"/>
        <v>60.369789297656645</v>
      </c>
      <c r="AL102" s="20">
        <f t="shared" si="58"/>
        <v>538.80306119341856</v>
      </c>
      <c r="AM102" s="59">
        <f t="shared" si="59"/>
        <v>832.13639452675193</v>
      </c>
      <c r="AN102" s="59">
        <f ca="1">AVERAGE(OFFSET($AM$3,0,0,'Données projet'!$E$10+1,1))-AVERAGE(OFFSET($H$3,0,0,'Données projet'!$E$10+1,1))</f>
        <v>265.57710796453807</v>
      </c>
      <c r="AO102" s="59">
        <f t="shared" si="90"/>
        <v>171.29436297508141</v>
      </c>
      <c r="AP102" s="15">
        <f>IF(ISNA(VLOOKUP(A102,'Données projet'!$A$61:$I$81,3,0)),0,VLOOKUP(A102,'Données projet'!$A$61:$I$81,3,0))</f>
        <v>6</v>
      </c>
      <c r="AQ102" s="15">
        <f>IF(ISNA(VLOOKUP(A102,'Données projet'!$A$61:$I$81,4,0)),0,VLOOKUP(A102,'Données projet'!$A$61:$I$81,4,0))</f>
        <v>88.269999999999982</v>
      </c>
      <c r="AR102" s="16">
        <f>IF(ISNA(VLOOKUP(A102,'Données projet'!$A$61:$I$81,5,0)),0%,VLOOKUP(A102,'Données projet'!$A$61:$I$81,5,0)*VLOOKUP('Données projet'!$B$10,Paramètres!$A$1:$I$89,7,0))</f>
        <v>0.22000000000000003</v>
      </c>
      <c r="AS102" s="16">
        <f>IF(ISNA(VLOOKUP(A102,'Données projet'!$A$61:$I$81,6,0)),0%,VLOOKUP(A102,'Données projet'!$A$61:$I$81,6,0)*VLOOKUP('Données projet'!$B$10,Paramètres!$A$1:$I$89,7,0))</f>
        <v>5.5000000000000007E-2</v>
      </c>
      <c r="AT102" s="16">
        <f>IF(ISNA(VLOOKUP(A102,'Données projet'!$A$61:$I$81,7,0)),0%,VLOOKUP(A102,'Données projet'!$A$61:$I$81,7,0))</f>
        <v>0.1</v>
      </c>
      <c r="AU102" s="21">
        <f>EXP(-LN(2)/35)*AU101+(1-EXP(-LN(2)/35))/(LN(2)/35)*AQ102*AR102*VLOOKUP('Données projet'!$B$10,Paramètres!$A$1:$I$89,3,0)*0.475*44/12</f>
        <v>41.710683954188021</v>
      </c>
      <c r="AV102" s="21">
        <f>EXP(-LN(2)/25)*AV101+(1-EXP(-LN(2)/25))/(LN(2)/25)*Calculateur!AQ102*Calculateur!AS102*VLOOKUP('Données projet'!$B$10,Paramètres!$A$1:$I$89,3,0)*0.475*44/12</f>
        <v>21.283880878205832</v>
      </c>
      <c r="AW102" s="21">
        <f>EXP(-LN(2)/2)*AW101+(1-EXP(-LN(2)/2))/(LN(2)/2)*AQ102*AT102*VLOOKUP('Données projet'!$B$10,Paramètres!$A$1:$I$89,3,0)*0.475*44/12</f>
        <v>5.165603307728813</v>
      </c>
      <c r="AX102" s="21">
        <f t="shared" si="60"/>
        <v>68.160168140122664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175.05987582828078</v>
      </c>
      <c r="BJ102" s="59">
        <f t="shared" si="92"/>
        <v>268.54782308462387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66.694890196737049</v>
      </c>
      <c r="BQ102" s="21">
        <f>EXP(-LN(2)/25)*BQ101+(1-EXP(-LN(2)/25))/(LN(2)/25)*Calculateur!BL102*Calculateur!BN102*VLOOKUP('Données projet'!$B$11,Paramètres!$A$1:$I$89,3,0)*0.475*44/12</f>
        <v>16.571913712083383</v>
      </c>
      <c r="BR102" s="21">
        <f>EXP(-LN(2)/2)*BR101+(1-EXP(-LN(2)/2))/(LN(2)/2)*BL102*BO102*VLOOKUP('Données projet'!$B$11,Paramètres!$A$1:$I$89,3,0)*0.475*44/12</f>
        <v>5.8156444062575269E-5</v>
      </c>
      <c r="BS102" s="22">
        <f t="shared" si="63"/>
        <v>83.266862065264505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5.6049999999999995</v>
      </c>
      <c r="N103" s="13">
        <f>IF('Données projet'!$A$36&gt;35,N102+M103-V102,IF(A103&lt;'Données projet'!$A$36,$K$205^A103,IF(A103='Données projet'!$A$36,'Données projet'!$B$36,N102+M103-V102)))</f>
        <v>457.99999999999977</v>
      </c>
      <c r="O103" s="13">
        <f>N103*VLOOKUP('Données projet'!$B$9,Paramètres!$A$1:$I$89,3,0)*VLOOKUP('Données projet'!$B$9,Paramètres!$A$1:$I$89,5,0)</f>
        <v>256.02199999999988</v>
      </c>
      <c r="P103" s="13">
        <f t="shared" si="87"/>
        <v>61.873669712051253</v>
      </c>
      <c r="Q103" s="20">
        <f t="shared" si="107"/>
        <v>553.66829141515575</v>
      </c>
      <c r="R103" s="59">
        <f t="shared" si="55"/>
        <v>847.00162474848912</v>
      </c>
      <c r="S103" s="59">
        <f ca="1">AVERAGE(OFFSET($R$3,0,0,'Données projet'!$E$9+1,1))-AVERAGE(OFFSET($H$3,0,0,'Données projet'!$E$9+1,1))</f>
        <v>293.82673322742102</v>
      </c>
      <c r="T103" s="59">
        <f t="shared" si="88"/>
        <v>138.78566015867693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56.757144851748272</v>
      </c>
      <c r="AA103" s="21">
        <f>EXP(-LN(2)/25)*AA102+(1-EXP(-LN(2)/25))/(LN(2)/25)*Calculateur!V103*Calculateur!X103*VLOOKUP('Données projet'!$B$9,Paramètres!$A$1:$I$89,3,0)*0.475*44/12</f>
        <v>19.175999148413432</v>
      </c>
      <c r="AB103" s="21">
        <f>EXP(-LN(2)/2)*AB102+(1-EXP(-LN(2)/2))/(LN(2)/2)*V103*Y103*VLOOKUP('Données projet'!$B$9,Paramètres!$A$1:$I$89,3,0)*0.475*44/12</f>
        <v>2.3887390592781337</v>
      </c>
      <c r="AC103" s="22">
        <f t="shared" si="57"/>
        <v>78.321883059439841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12.365555555555552</v>
      </c>
      <c r="AI103" s="13">
        <f>IF('Données projet'!$A$62&gt;35,AI102+AH103-AQ102,IF(A103&lt;'Données projet'!$A$62,$AF$205^A103,IF(A103='Données projet'!$A$62,'Données projet'!$B$62,AI102+AH103-AQ102)))</f>
        <v>428.12555555555548</v>
      </c>
      <c r="AJ103" s="13">
        <f>AI103*VLOOKUP('Données projet'!$B$10,Paramètres!$A$1:$I$89,3,0)*VLOOKUP('Données projet'!$B$10,Paramètres!$A$1:$I$89,5,0)</f>
        <v>211.49402444444439</v>
      </c>
      <c r="AK103" s="13">
        <f t="shared" si="89"/>
        <v>52.261932802553318</v>
      </c>
      <c r="AL103" s="20">
        <f t="shared" si="58"/>
        <v>459.37495887185429</v>
      </c>
      <c r="AM103" s="59">
        <f t="shared" si="59"/>
        <v>752.7082922051876</v>
      </c>
      <c r="AN103" s="59">
        <f ca="1">AVERAGE(OFFSET($AM$3,0,0,'Données projet'!$E$10+1,1))-AVERAGE(OFFSET($H$3,0,0,'Données projet'!$E$10+1,1))</f>
        <v>265.57710796453807</v>
      </c>
      <c r="AO103" s="59">
        <f t="shared" si="90"/>
        <v>171.29436297508141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40.892762882851514</v>
      </c>
      <c r="AV103" s="21">
        <f>EXP(-LN(2)/25)*AV102+(1-EXP(-LN(2)/25))/(LN(2)/25)*Calculateur!AQ103*Calculateur!AS103*VLOOKUP('Données projet'!$B$10,Paramètres!$A$1:$I$89,3,0)*0.475*44/12</f>
        <v>20.701872036320644</v>
      </c>
      <c r="AW103" s="21">
        <f>EXP(-LN(2)/2)*AW102+(1-EXP(-LN(2)/2))/(LN(2)/2)*AQ103*AT103*VLOOKUP('Données projet'!$B$10,Paramètres!$A$1:$I$89,3,0)*0.475*44/12</f>
        <v>3.652633127814704</v>
      </c>
      <c r="AX103" s="21">
        <f t="shared" si="60"/>
        <v>65.247268046986861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175.05987582828078</v>
      </c>
      <c r="BJ103" s="59">
        <f t="shared" si="92"/>
        <v>268.54782308462387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65.387044079845253</v>
      </c>
      <c r="BQ103" s="21">
        <f>EXP(-LN(2)/25)*BQ102+(1-EXP(-LN(2)/25))/(LN(2)/25)*Calculateur!BL103*Calculateur!BN103*VLOOKUP('Données projet'!$B$11,Paramètres!$A$1:$I$89,3,0)*0.475*44/12</f>
        <v>16.118753860147397</v>
      </c>
      <c r="BR103" s="21">
        <f>EXP(-LN(2)/2)*BR102+(1-EXP(-LN(2)/2))/(LN(2)/2)*BL103*BO103*VLOOKUP('Données projet'!$B$11,Paramètres!$A$1:$I$89,3,0)*0.475*44/12</f>
        <v>4.1122815966343101E-5</v>
      </c>
      <c r="BS103" s="22">
        <f t="shared" si="63"/>
        <v>81.505839062808619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5.6049999999999995</v>
      </c>
      <c r="N104" s="13">
        <f>IF('Données projet'!$A$36&gt;35,N103+M104-V103,IF(A104&lt;'Données projet'!$A$36,$K$205^A104,IF(A104='Données projet'!$A$36,'Données projet'!$B$36,N103+M104-V103)))</f>
        <v>463.60499999999979</v>
      </c>
      <c r="O104" s="13">
        <f>N104*VLOOKUP('Données projet'!$B$9,Paramètres!$A$1:$I$89,3,0)*VLOOKUP('Données projet'!$B$9,Paramètres!$A$1:$I$89,5,0)</f>
        <v>259.15519499999988</v>
      </c>
      <c r="P104" s="13">
        <f t="shared" si="87"/>
        <v>62.542265574310946</v>
      </c>
      <c r="Q104" s="20">
        <f t="shared" si="107"/>
        <v>560.28974383359127</v>
      </c>
      <c r="R104" s="59">
        <f t="shared" si="55"/>
        <v>853.62307716692453</v>
      </c>
      <c r="S104" s="59">
        <f ca="1">AVERAGE(OFFSET($R$3,0,0,'Données projet'!$E$9+1,1))-AVERAGE(OFFSET($H$3,0,0,'Données projet'!$E$9+1,1))</f>
        <v>293.82673322742102</v>
      </c>
      <c r="T104" s="59">
        <f t="shared" si="88"/>
        <v>138.78566015867693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55.64417185964556</v>
      </c>
      <c r="AA104" s="21">
        <f>EXP(-LN(2)/25)*AA103+(1-EXP(-LN(2)/25))/(LN(2)/25)*Calculateur!V104*Calculateur!X104*VLOOKUP('Données projet'!$B$9,Paramètres!$A$1:$I$89,3,0)*0.475*44/12</f>
        <v>18.651630443278098</v>
      </c>
      <c r="AB104" s="21">
        <f>EXP(-LN(2)/2)*AB103+(1-EXP(-LN(2)/2))/(LN(2)/2)*V104*Y104*VLOOKUP('Données projet'!$B$9,Paramètres!$A$1:$I$89,3,0)*0.475*44/12</f>
        <v>1.6890935873007427</v>
      </c>
      <c r="AC104" s="22">
        <f t="shared" si="57"/>
        <v>75.984895890224408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12.365555555555552</v>
      </c>
      <c r="AI104" s="13">
        <f>IF('Données projet'!$A$62&gt;35,AI103+AH104-AQ103,IF(A104&lt;'Données projet'!$A$62,$AF$205^A104,IF(A104='Données projet'!$A$62,'Données projet'!$B$62,AI103+AH104-AQ103)))</f>
        <v>440.49111111111102</v>
      </c>
      <c r="AJ104" s="13">
        <f>AI104*VLOOKUP('Données projet'!$B$10,Paramètres!$A$1:$I$89,3,0)*VLOOKUP('Données projet'!$B$10,Paramètres!$A$1:$I$89,5,0)</f>
        <v>217.60260888888888</v>
      </c>
      <c r="AK104" s="13">
        <f t="shared" si="89"/>
        <v>53.593492792926654</v>
      </c>
      <c r="AL104" s="20">
        <f t="shared" si="58"/>
        <v>472.33321042916208</v>
      </c>
      <c r="AM104" s="59">
        <f t="shared" si="59"/>
        <v>765.66654376249539</v>
      </c>
      <c r="AN104" s="59">
        <f ca="1">AVERAGE(OFFSET($AM$3,0,0,'Données projet'!$E$10+1,1))-AVERAGE(OFFSET($H$3,0,0,'Données projet'!$E$10+1,1))</f>
        <v>265.57710796453807</v>
      </c>
      <c r="AO104" s="59">
        <f t="shared" si="90"/>
        <v>171.29436297508141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40.090880744841321</v>
      </c>
      <c r="AV104" s="21">
        <f>EXP(-LN(2)/25)*AV103+(1-EXP(-LN(2)/25))/(LN(2)/25)*Calculateur!AQ104*Calculateur!AS104*VLOOKUP('Données projet'!$B$10,Paramètres!$A$1:$I$89,3,0)*0.475*44/12</f>
        <v>20.135778256823322</v>
      </c>
      <c r="AW104" s="21">
        <f>EXP(-LN(2)/2)*AW103+(1-EXP(-LN(2)/2))/(LN(2)/2)*AQ104*AT104*VLOOKUP('Données projet'!$B$10,Paramètres!$A$1:$I$89,3,0)*0.475*44/12</f>
        <v>2.5828016538644065</v>
      </c>
      <c r="AX104" s="21">
        <f t="shared" si="60"/>
        <v>62.809460655529051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175.05987582828078</v>
      </c>
      <c r="BJ104" s="59">
        <f t="shared" si="92"/>
        <v>268.54782308462387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64.104844027598347</v>
      </c>
      <c r="BQ104" s="21">
        <f>EXP(-LN(2)/25)*BQ103+(1-EXP(-LN(2)/25))/(LN(2)/25)*Calculateur!BL104*Calculateur!BN104*VLOOKUP('Données projet'!$B$11,Paramètres!$A$1:$I$89,3,0)*0.475*44/12</f>
        <v>15.677985688193241</v>
      </c>
      <c r="BR104" s="21">
        <f>EXP(-LN(2)/2)*BR103+(1-EXP(-LN(2)/2))/(LN(2)/2)*BL104*BO104*VLOOKUP('Données projet'!$B$11,Paramètres!$A$1:$I$89,3,0)*0.475*44/12</f>
        <v>2.9078222031287634E-5</v>
      </c>
      <c r="BS104" s="22">
        <f t="shared" si="63"/>
        <v>79.78285879401362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5.6049999999999995</v>
      </c>
      <c r="N105" s="13">
        <f>IF('Données projet'!$A$36&gt;35,N104+M105-V104,IF(A105&lt;'Données projet'!$A$36,$K$205^A105,IF(A105='Données projet'!$A$36,'Données projet'!$B$36,N104+M105-V104)))</f>
        <v>469.20999999999981</v>
      </c>
      <c r="O105" s="13">
        <f>N105*VLOOKUP('Données projet'!$B$9,Paramètres!$A$1:$I$89,3,0)*VLOOKUP('Données projet'!$B$9,Paramètres!$A$1:$I$89,5,0)</f>
        <v>262.28838999999988</v>
      </c>
      <c r="P105" s="13">
        <f t="shared" si="87"/>
        <v>63.209921172571796</v>
      </c>
      <c r="Q105" s="20">
        <f t="shared" si="107"/>
        <v>566.90955862556223</v>
      </c>
      <c r="R105" s="59">
        <f t="shared" si="55"/>
        <v>860.2428919588956</v>
      </c>
      <c r="S105" s="59">
        <f ca="1">AVERAGE(OFFSET($R$3,0,0,'Données projet'!$E$9+1,1))-AVERAGE(OFFSET($H$3,0,0,'Données projet'!$E$9+1,1))</f>
        <v>293.82673322742102</v>
      </c>
      <c r="T105" s="59">
        <f t="shared" si="88"/>
        <v>138.78566015867693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54.553023589071486</v>
      </c>
      <c r="AA105" s="21">
        <f>EXP(-LN(2)/25)*AA104+(1-EXP(-LN(2)/25))/(LN(2)/25)*Calculateur!V105*Calculateur!X105*VLOOKUP('Données projet'!$B$9,Paramètres!$A$1:$I$89,3,0)*0.475*44/12</f>
        <v>18.141600627960042</v>
      </c>
      <c r="AB105" s="21">
        <f>EXP(-LN(2)/2)*AB104+(1-EXP(-LN(2)/2))/(LN(2)/2)*V105*Y105*VLOOKUP('Données projet'!$B$9,Paramètres!$A$1:$I$89,3,0)*0.475*44/12</f>
        <v>1.1943695296390668</v>
      </c>
      <c r="AC105" s="22">
        <f t="shared" si="57"/>
        <v>73.888993746670593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12.365555555555552</v>
      </c>
      <c r="AI105" s="13">
        <f>IF('Données projet'!$A$62&gt;35,AI104+AH105-AQ104,IF(A105&lt;'Données projet'!$A$62,$AF$205^A105,IF(A105='Données projet'!$A$62,'Données projet'!$B$62,AI104+AH105-AQ104)))</f>
        <v>452.85666666666657</v>
      </c>
      <c r="AJ105" s="13">
        <f>AI105*VLOOKUP('Données projet'!$B$10,Paramètres!$A$1:$I$89,3,0)*VLOOKUP('Données projet'!$B$10,Paramètres!$A$1:$I$89,5,0)</f>
        <v>223.71119333333331</v>
      </c>
      <c r="AK105" s="13">
        <f t="shared" si="89"/>
        <v>54.920708270097194</v>
      </c>
      <c r="AL105" s="20">
        <f t="shared" si="58"/>
        <v>485.28389529264149</v>
      </c>
      <c r="AM105" s="59">
        <f t="shared" si="59"/>
        <v>778.6172286259748</v>
      </c>
      <c r="AN105" s="59">
        <f ca="1">AVERAGE(OFFSET($AM$3,0,0,'Données projet'!$E$10+1,1))-AVERAGE(OFFSET($H$3,0,0,'Données projet'!$E$10+1,1))</f>
        <v>265.57710796453807</v>
      </c>
      <c r="AO105" s="59">
        <f t="shared" si="90"/>
        <v>171.29436297508141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39.304723026457701</v>
      </c>
      <c r="AV105" s="21">
        <f>EXP(-LN(2)/25)*AV104+(1-EXP(-LN(2)/25))/(LN(2)/25)*Calculateur!AQ105*Calculateur!AS105*VLOOKUP('Données projet'!$B$10,Paramètres!$A$1:$I$89,3,0)*0.475*44/12</f>
        <v>19.585164341495929</v>
      </c>
      <c r="AW105" s="21">
        <f>EXP(-LN(2)/2)*AW104+(1-EXP(-LN(2)/2))/(LN(2)/2)*AQ105*AT105*VLOOKUP('Données projet'!$B$10,Paramètres!$A$1:$I$89,3,0)*0.475*44/12</f>
        <v>1.826316563907352</v>
      </c>
      <c r="AX105" s="21">
        <f t="shared" si="60"/>
        <v>60.716203931860989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175.05987582828078</v>
      </c>
      <c r="BJ105" s="59">
        <f t="shared" si="92"/>
        <v>268.54782308462387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62.847787136311183</v>
      </c>
      <c r="BQ105" s="21">
        <f>EXP(-LN(2)/25)*BQ104+(1-EXP(-LN(2)/25))/(LN(2)/25)*Calculateur!BL105*Calculateur!BN105*VLOOKUP('Données projet'!$B$11,Paramètres!$A$1:$I$89,3,0)*0.475*44/12</f>
        <v>15.249270345080161</v>
      </c>
      <c r="BR105" s="21">
        <f>EXP(-LN(2)/2)*BR104+(1-EXP(-LN(2)/2))/(LN(2)/2)*BL105*BO105*VLOOKUP('Données projet'!$B$11,Paramètres!$A$1:$I$89,3,0)*0.475*44/12</f>
        <v>2.056140798317155E-5</v>
      </c>
      <c r="BS105" s="22">
        <f t="shared" si="63"/>
        <v>78.097078042799325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5.6049999999999995</v>
      </c>
      <c r="N106" s="13">
        <f>IF('Données projet'!$A$36&gt;35,N105+M106-V105,IF(A106&lt;'Données projet'!$A$36,$K$205^A106,IF(A106='Données projet'!$A$36,'Données projet'!$B$36,N105+M106-V105)))</f>
        <v>474.81499999999983</v>
      </c>
      <c r="O106" s="13">
        <f>N106*VLOOKUP('Données projet'!$B$9,Paramètres!$A$1:$I$89,3,0)*VLOOKUP('Données projet'!$B$9,Paramètres!$A$1:$I$89,5,0)</f>
        <v>265.42158499999994</v>
      </c>
      <c r="P106" s="13">
        <f t="shared" si="87"/>
        <v>63.876649038155144</v>
      </c>
      <c r="Q106" s="20">
        <f t="shared" si="107"/>
        <v>573.52775761645341</v>
      </c>
      <c r="R106" s="59">
        <f t="shared" si="55"/>
        <v>866.86109094978679</v>
      </c>
      <c r="S106" s="59">
        <f ca="1">AVERAGE(OFFSET($R$3,0,0,'Données projet'!$E$9+1,1))-AVERAGE(OFFSET($H$3,0,0,'Données projet'!$E$9+1,1))</f>
        <v>293.82673322742102</v>
      </c>
      <c r="T106" s="59">
        <f t="shared" si="88"/>
        <v>138.78566015867693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53.483272070548644</v>
      </c>
      <c r="AA106" s="21">
        <f>EXP(-LN(2)/25)*AA105+(1-EXP(-LN(2)/25))/(LN(2)/25)*Calculateur!V106*Calculateur!X106*VLOOKUP('Données projet'!$B$9,Paramètres!$A$1:$I$89,3,0)*0.475*44/12</f>
        <v>17.64551760476316</v>
      </c>
      <c r="AB106" s="21">
        <f>EXP(-LN(2)/2)*AB105+(1-EXP(-LN(2)/2))/(LN(2)/2)*V106*Y106*VLOOKUP('Données projet'!$B$9,Paramètres!$A$1:$I$89,3,0)*0.475*44/12</f>
        <v>0.84454679365037133</v>
      </c>
      <c r="AC106" s="22">
        <f t="shared" si="57"/>
        <v>71.973336468962174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12.365555555555552</v>
      </c>
      <c r="AI106" s="13">
        <f>IF('Données projet'!$A$62&gt;35,AI105+AH106-AQ105,IF(A106&lt;'Données projet'!$A$62,$AF$205^A106,IF(A106='Données projet'!$A$62,'Données projet'!$B$62,AI105+AH106-AQ105)))</f>
        <v>465.22222222222211</v>
      </c>
      <c r="AJ106" s="13">
        <f>AI106*VLOOKUP('Données projet'!$B$10,Paramètres!$A$1:$I$89,3,0)*VLOOKUP('Données projet'!$B$10,Paramètres!$A$1:$I$89,5,0)</f>
        <v>229.81977777777774</v>
      </c>
      <c r="AK106" s="13">
        <f t="shared" si="89"/>
        <v>56.243711495471167</v>
      </c>
      <c r="AL106" s="20">
        <f t="shared" si="58"/>
        <v>498.22724381757524</v>
      </c>
      <c r="AM106" s="59">
        <f t="shared" si="59"/>
        <v>791.56057715090856</v>
      </c>
      <c r="AN106" s="59">
        <f ca="1">AVERAGE(OFFSET($AM$3,0,0,'Données projet'!$E$10+1,1))-AVERAGE(OFFSET($H$3,0,0,'Données projet'!$E$10+1,1))</f>
        <v>265.57710796453807</v>
      </c>
      <c r="AO106" s="59">
        <f t="shared" si="90"/>
        <v>171.29436297508141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38.533981381422727</v>
      </c>
      <c r="AV106" s="21">
        <f>EXP(-LN(2)/25)*AV105+(1-EXP(-LN(2)/25))/(LN(2)/25)*Calculateur!AQ106*Calculateur!AS106*VLOOKUP('Données projet'!$B$10,Paramètres!$A$1:$I$89,3,0)*0.475*44/12</f>
        <v>19.049606992638694</v>
      </c>
      <c r="AW106" s="21">
        <f>EXP(-LN(2)/2)*AW105+(1-EXP(-LN(2)/2))/(LN(2)/2)*AQ106*AT106*VLOOKUP('Données projet'!$B$10,Paramètres!$A$1:$I$89,3,0)*0.475*44/12</f>
        <v>1.2914008269322033</v>
      </c>
      <c r="AX106" s="21">
        <f t="shared" si="60"/>
        <v>58.874989200993625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175.05987582828078</v>
      </c>
      <c r="BJ106" s="59">
        <f t="shared" si="92"/>
        <v>268.54782308462387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61.61538036393317</v>
      </c>
      <c r="BQ106" s="21">
        <f>EXP(-LN(2)/25)*BQ105+(1-EXP(-LN(2)/25))/(LN(2)/25)*Calculateur!BL106*Calculateur!BN106*VLOOKUP('Données projet'!$B$11,Paramètres!$A$1:$I$89,3,0)*0.475*44/12</f>
        <v>14.83227824556967</v>
      </c>
      <c r="BR106" s="21">
        <f>EXP(-LN(2)/2)*BR105+(1-EXP(-LN(2)/2))/(LN(2)/2)*BL106*BO106*VLOOKUP('Données projet'!$B$11,Paramètres!$A$1:$I$89,3,0)*0.475*44/12</f>
        <v>1.4539111015643817E-5</v>
      </c>
      <c r="BS106" s="22">
        <f t="shared" si="63"/>
        <v>76.447673148613859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5.6049999999999995</v>
      </c>
      <c r="N107" s="13">
        <f>IF('Données projet'!$A$36&gt;35,N106+M107-V106,IF(A107&lt;'Données projet'!$A$36,$K$205^A107,IF(A107='Données projet'!$A$36,'Données projet'!$B$36,N106+M107-V106)))</f>
        <v>480.41999999999985</v>
      </c>
      <c r="O107" s="13">
        <f>N107*VLOOKUP('Données projet'!$B$9,Paramètres!$A$1:$I$89,3,0)*VLOOKUP('Données projet'!$B$9,Paramètres!$A$1:$I$89,5,0)</f>
        <v>268.55477999999988</v>
      </c>
      <c r="P107" s="13">
        <f t="shared" si="87"/>
        <v>64.542461389502265</v>
      </c>
      <c r="Q107" s="20">
        <f t="shared" si="107"/>
        <v>580.14436208671611</v>
      </c>
      <c r="R107" s="59">
        <f t="shared" si="55"/>
        <v>873.47769542004949</v>
      </c>
      <c r="S107" s="59">
        <f ca="1">AVERAGE(OFFSET($R$3,0,0,'Données projet'!$E$9+1,1))-AVERAGE(OFFSET($H$3,0,0,'Données projet'!$E$9+1,1))</f>
        <v>293.82673322742102</v>
      </c>
      <c r="T107" s="59">
        <f t="shared" si="88"/>
        <v>138.78566015867693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52.434497726820034</v>
      </c>
      <c r="AA107" s="21">
        <f>EXP(-LN(2)/25)*AA106+(1-EXP(-LN(2)/25))/(LN(2)/25)*Calculateur!V107*Calculateur!X107*VLOOKUP('Données projet'!$B$9,Paramètres!$A$1:$I$89,3,0)*0.475*44/12</f>
        <v>17.162999997923471</v>
      </c>
      <c r="AB107" s="21">
        <f>EXP(-LN(2)/2)*AB106+(1-EXP(-LN(2)/2))/(LN(2)/2)*V107*Y107*VLOOKUP('Données projet'!$B$9,Paramètres!$A$1:$I$89,3,0)*0.475*44/12</f>
        <v>0.59718476481953342</v>
      </c>
      <c r="AC107" s="22">
        <f t="shared" si="57"/>
        <v>70.194682489563036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12.365555555555552</v>
      </c>
      <c r="AI107" s="13">
        <f>IF('Données projet'!$A$62&gt;35,AI106+AH107-AQ106,IF(A107&lt;'Données projet'!$A$62,$AF$205^A107,IF(A107='Données projet'!$A$62,'Données projet'!$B$62,AI106+AH107-AQ106)))</f>
        <v>477.58777777777766</v>
      </c>
      <c r="AJ107" s="13">
        <f>AI107*VLOOKUP('Données projet'!$B$10,Paramètres!$A$1:$I$89,3,0)*VLOOKUP('Données projet'!$B$10,Paramètres!$A$1:$I$89,5,0)</f>
        <v>235.92836222222218</v>
      </c>
      <c r="AK107" s="13">
        <f t="shared" si="89"/>
        <v>57.562627299119555</v>
      </c>
      <c r="AL107" s="20">
        <f t="shared" si="58"/>
        <v>511.16347341633673</v>
      </c>
      <c r="AM107" s="59">
        <f t="shared" si="59"/>
        <v>804.49680674966999</v>
      </c>
      <c r="AN107" s="59">
        <f ca="1">AVERAGE(OFFSET($AM$3,0,0,'Données projet'!$E$10+1,1))-AVERAGE(OFFSET($H$3,0,0,'Données projet'!$E$10+1,1))</f>
        <v>265.57710796453807</v>
      </c>
      <c r="AO107" s="59">
        <f t="shared" si="90"/>
        <v>171.29436297508141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37.778353509940899</v>
      </c>
      <c r="AV107" s="21">
        <f>EXP(-LN(2)/25)*AV106+(1-EXP(-LN(2)/25))/(LN(2)/25)*Calculateur!AQ107*Calculateur!AS107*VLOOKUP('Données projet'!$B$10,Paramètres!$A$1:$I$89,3,0)*0.475*44/12</f>
        <v>18.528694487649695</v>
      </c>
      <c r="AW107" s="21">
        <f>EXP(-LN(2)/2)*AW106+(1-EXP(-LN(2)/2))/(LN(2)/2)*AQ107*AT107*VLOOKUP('Données projet'!$B$10,Paramètres!$A$1:$I$89,3,0)*0.475*44/12</f>
        <v>0.91315828195367599</v>
      </c>
      <c r="AX107" s="21">
        <f t="shared" si="60"/>
        <v>57.220206279544271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175.05987582828078</v>
      </c>
      <c r="BJ107" s="59">
        <f t="shared" si="92"/>
        <v>268.54782308462387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60.407140336667581</v>
      </c>
      <c r="BQ107" s="21">
        <f>EXP(-LN(2)/25)*BQ106+(1-EXP(-LN(2)/25))/(LN(2)/25)*Calculateur!BL107*Calculateur!BN107*VLOOKUP('Données projet'!$B$11,Paramètres!$A$1:$I$89,3,0)*0.475*44/12</f>
        <v>14.426688816948953</v>
      </c>
      <c r="BR107" s="21">
        <f>EXP(-LN(2)/2)*BR106+(1-EXP(-LN(2)/2))/(LN(2)/2)*BL107*BO107*VLOOKUP('Données projet'!$B$11,Paramètres!$A$1:$I$89,3,0)*0.475*44/12</f>
        <v>1.0280703991585775E-5</v>
      </c>
      <c r="BS107" s="22">
        <f t="shared" si="63"/>
        <v>74.833839434320524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5.6049999999999995</v>
      </c>
      <c r="N108" s="13">
        <f>IF('Données projet'!$A$36&gt;35,N107+M108-V107,IF(A108&lt;'Données projet'!$A$36,$K$205^A108,IF(A108='Données projet'!$A$36,'Données projet'!$B$36,N107+M108-V107)))</f>
        <v>486.02499999999986</v>
      </c>
      <c r="O108" s="13">
        <f>N108*VLOOKUP('Données projet'!$B$9,Paramètres!$A$1:$I$89,3,0)*VLOOKUP('Données projet'!$B$9,Paramètres!$A$1:$I$89,5,0)</f>
        <v>271.68797499999994</v>
      </c>
      <c r="P108" s="13">
        <f t="shared" si="87"/>
        <v>65.207370143544097</v>
      </c>
      <c r="Q108" s="20">
        <f t="shared" si="107"/>
        <v>586.75939279167244</v>
      </c>
      <c r="R108" s="59">
        <f t="shared" si="55"/>
        <v>880.09272612500581</v>
      </c>
      <c r="S108" s="59">
        <f ca="1">AVERAGE(OFFSET($R$3,0,0,'Données projet'!$E$9+1,1))-AVERAGE(OFFSET($H$3,0,0,'Données projet'!$E$9+1,1))</f>
        <v>293.82673322742102</v>
      </c>
      <c r="T108" s="59">
        <f t="shared" si="88"/>
        <v>138.78566015867693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51.406289208282757</v>
      </c>
      <c r="AA108" s="21">
        <f>EXP(-LN(2)/25)*AA107+(1-EXP(-LN(2)/25))/(LN(2)/25)*Calculateur!V108*Calculateur!X108*VLOOKUP('Données projet'!$B$9,Paramètres!$A$1:$I$89,3,0)*0.475*44/12</f>
        <v>16.693676860417309</v>
      </c>
      <c r="AB108" s="21">
        <f>EXP(-LN(2)/2)*AB107+(1-EXP(-LN(2)/2))/(LN(2)/2)*V108*Y108*VLOOKUP('Données projet'!$B$9,Paramètres!$A$1:$I$89,3,0)*0.475*44/12</f>
        <v>0.42227339682518567</v>
      </c>
      <c r="AC108" s="22">
        <f t="shared" si="57"/>
        <v>68.52223946552526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12.365555555555552</v>
      </c>
      <c r="AI108" s="13">
        <f>IF('Données projet'!$A$62&gt;35,AI107+AH108-AQ107,IF(A108&lt;'Données projet'!$A$62,$AF$205^A108,IF(A108='Données projet'!$A$62,'Données projet'!$B$62,AI107+AH108-AQ107)))</f>
        <v>489.95333333333321</v>
      </c>
      <c r="AJ108" s="13">
        <f>AI108*VLOOKUP('Données projet'!$B$10,Paramètres!$A$1:$I$89,3,0)*VLOOKUP('Données projet'!$B$10,Paramètres!$A$1:$I$89,5,0)</f>
        <v>242.03694666666661</v>
      </c>
      <c r="AK108" s="13">
        <f t="shared" si="89"/>
        <v>58.87757367877181</v>
      </c>
      <c r="AL108" s="20">
        <f t="shared" si="58"/>
        <v>524.09278960163851</v>
      </c>
      <c r="AM108" s="59">
        <f t="shared" si="59"/>
        <v>817.42612293497177</v>
      </c>
      <c r="AN108" s="59">
        <f ca="1">AVERAGE(OFFSET($AM$3,0,0,'Données projet'!$E$10+1,1))-AVERAGE(OFFSET($H$3,0,0,'Données projet'!$E$10+1,1))</f>
        <v>265.57710796453807</v>
      </c>
      <c r="AO108" s="59">
        <f t="shared" si="90"/>
        <v>171.29436297508141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37.037543040131339</v>
      </c>
      <c r="AV108" s="21">
        <f>EXP(-LN(2)/25)*AV107+(1-EXP(-LN(2)/25))/(LN(2)/25)*Calculateur!AQ108*Calculateur!AS108*VLOOKUP('Données projet'!$B$10,Paramètres!$A$1:$I$89,3,0)*0.475*44/12</f>
        <v>18.022026362503219</v>
      </c>
      <c r="AW108" s="21">
        <f>EXP(-LN(2)/2)*AW107+(1-EXP(-LN(2)/2))/(LN(2)/2)*AQ108*AT108*VLOOKUP('Données projet'!$B$10,Paramètres!$A$1:$I$89,3,0)*0.475*44/12</f>
        <v>0.64570041346610163</v>
      </c>
      <c r="AX108" s="21">
        <f t="shared" si="60"/>
        <v>55.70526981610066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175.05987582828078</v>
      </c>
      <c r="BJ108" s="59">
        <f t="shared" si="92"/>
        <v>268.54782308462387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59.222593159383024</v>
      </c>
      <c r="BQ108" s="21">
        <f>EXP(-LN(2)/25)*BQ107+(1-EXP(-LN(2)/25))/(LN(2)/25)*Calculateur!BL108*Calculateur!BN108*VLOOKUP('Données projet'!$B$11,Paramètres!$A$1:$I$89,3,0)*0.475*44/12</f>
        <v>14.032190252582891</v>
      </c>
      <c r="BR108" s="21">
        <f>EXP(-LN(2)/2)*BR107+(1-EXP(-LN(2)/2))/(LN(2)/2)*BL108*BO108*VLOOKUP('Données projet'!$B$11,Paramètres!$A$1:$I$89,3,0)*0.475*44/12</f>
        <v>7.2695555078219086E-6</v>
      </c>
      <c r="BS108" s="22">
        <f t="shared" si="63"/>
        <v>73.254790681521428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5.6049999999999995</v>
      </c>
      <c r="N109" s="13">
        <f>IF('Données projet'!$A$36&gt;35,N108+M109-V108,IF(A109&lt;'Données projet'!$A$36,$K$205^A109,IF(A109='Données projet'!$A$36,'Données projet'!$B$36,N108+M109-V108)))</f>
        <v>491.62999999999988</v>
      </c>
      <c r="O109" s="13">
        <f>N109*VLOOKUP('Données projet'!$B$9,Paramètres!$A$1:$I$89,3,0)*VLOOKUP('Données projet'!$B$9,Paramètres!$A$1:$I$89,5,0)</f>
        <v>274.82116999999994</v>
      </c>
      <c r="P109" s="13">
        <f t="shared" si="87"/>
        <v>65.871386926530604</v>
      </c>
      <c r="Q109" s="20">
        <f t="shared" si="107"/>
        <v>593.37286998037405</v>
      </c>
      <c r="R109" s="59">
        <f t="shared" si="55"/>
        <v>886.70620331370742</v>
      </c>
      <c r="S109" s="59">
        <f ca="1">AVERAGE(OFFSET($R$3,0,0,'Données projet'!$E$9+1,1))-AVERAGE(OFFSET($H$3,0,0,'Données projet'!$E$9+1,1))</f>
        <v>293.82673322742102</v>
      </c>
      <c r="T109" s="59">
        <f t="shared" si="88"/>
        <v>138.78566015867693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50.398243231648728</v>
      </c>
      <c r="AA109" s="21">
        <f>EXP(-LN(2)/25)*AA108+(1-EXP(-LN(2)/25))/(LN(2)/25)*Calculateur!V109*Calculateur!X109*VLOOKUP('Données projet'!$B$9,Paramètres!$A$1:$I$89,3,0)*0.475*44/12</f>
        <v>16.237187388786886</v>
      </c>
      <c r="AB109" s="21">
        <f>EXP(-LN(2)/2)*AB108+(1-EXP(-LN(2)/2))/(LN(2)/2)*V109*Y109*VLOOKUP('Données projet'!$B$9,Paramètres!$A$1:$I$89,3,0)*0.475*44/12</f>
        <v>0.29859238240976671</v>
      </c>
      <c r="AC109" s="22">
        <f t="shared" si="57"/>
        <v>66.934023002845379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12.365555555555552</v>
      </c>
      <c r="AI109" s="13">
        <f>IF('Données projet'!$A$62&gt;35,AI108+AH109-AQ108,IF(A109&lt;'Données projet'!$A$62,$AF$205^A109,IF(A109='Données projet'!$A$62,'Données projet'!$B$62,AI108+AH109-AQ108)))</f>
        <v>502.31888888888875</v>
      </c>
      <c r="AJ109" s="13">
        <f>AI109*VLOOKUP('Données projet'!$B$10,Paramètres!$A$1:$I$89,3,0)*VLOOKUP('Données projet'!$B$10,Paramètres!$A$1:$I$89,5,0)</f>
        <v>248.14553111111107</v>
      </c>
      <c r="AK109" s="13">
        <f t="shared" si="89"/>
        <v>60.188662336637286</v>
      </c>
      <c r="AL109" s="20">
        <f t="shared" si="58"/>
        <v>537.01538692149506</v>
      </c>
      <c r="AM109" s="59">
        <f t="shared" si="59"/>
        <v>830.34872025482832</v>
      </c>
      <c r="AN109" s="59">
        <f ca="1">AVERAGE(OFFSET($AM$3,0,0,'Données projet'!$E$10+1,1))-AVERAGE(OFFSET($H$3,0,0,'Données projet'!$E$10+1,1))</f>
        <v>265.57710796453807</v>
      </c>
      <c r="AO109" s="59">
        <f t="shared" si="90"/>
        <v>171.29436297508141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36.311259411784974</v>
      </c>
      <c r="AV109" s="21">
        <f>EXP(-LN(2)/25)*AV108+(1-EXP(-LN(2)/25))/(LN(2)/25)*Calculateur!AQ109*Calculateur!AS109*VLOOKUP('Données projet'!$B$10,Paramètres!$A$1:$I$89,3,0)*0.475*44/12</f>
        <v>17.529213103883393</v>
      </c>
      <c r="AW109" s="21">
        <f>EXP(-LN(2)/2)*AW108+(1-EXP(-LN(2)/2))/(LN(2)/2)*AQ109*AT109*VLOOKUP('Données projet'!$B$10,Paramètres!$A$1:$I$89,3,0)*0.475*44/12</f>
        <v>0.45657914097683799</v>
      </c>
      <c r="AX109" s="21">
        <f t="shared" si="60"/>
        <v>54.297051656645202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175.05987582828078</v>
      </c>
      <c r="BJ109" s="59">
        <f t="shared" si="92"/>
        <v>268.54782308462387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58.06127422974258</v>
      </c>
      <c r="BQ109" s="21">
        <f>EXP(-LN(2)/25)*BQ108+(1-EXP(-LN(2)/25))/(LN(2)/25)*Calculateur!BL109*Calculateur!BN109*VLOOKUP('Données projet'!$B$11,Paramètres!$A$1:$I$89,3,0)*0.475*44/12</f>
        <v>13.648479272205197</v>
      </c>
      <c r="BR109" s="21">
        <f>EXP(-LN(2)/2)*BR108+(1-EXP(-LN(2)/2))/(LN(2)/2)*BL109*BO109*VLOOKUP('Données projet'!$B$11,Paramètres!$A$1:$I$89,3,0)*0.475*44/12</f>
        <v>5.1403519957928876E-6</v>
      </c>
      <c r="BS109" s="22">
        <f t="shared" si="63"/>
        <v>71.709758642299775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5.6049999999999995</v>
      </c>
      <c r="N110" s="13">
        <f>IF('Données projet'!$A$36&gt;35,N109+M110-V109,IF(A110&lt;'Données projet'!$A$36,$K$205^A110,IF(A110='Données projet'!$A$36,'Données projet'!$B$36,N109+M110-V109)))</f>
        <v>497.2349999999999</v>
      </c>
      <c r="O110" s="13">
        <f>N110*VLOOKUP('Données projet'!$B$9,Paramètres!$A$1:$I$89,3,0)*VLOOKUP('Données projet'!$B$9,Paramètres!$A$1:$I$89,5,0)</f>
        <v>277.95436499999994</v>
      </c>
      <c r="P110" s="13">
        <f t="shared" si="87"/>
        <v>66.53452308435287</v>
      </c>
      <c r="Q110" s="20">
        <f t="shared" si="107"/>
        <v>599.98481341358115</v>
      </c>
      <c r="R110" s="59">
        <f t="shared" si="55"/>
        <v>893.31814674691441</v>
      </c>
      <c r="S110" s="59">
        <f ca="1">AVERAGE(OFFSET($R$3,0,0,'Données projet'!$E$9+1,1))-AVERAGE(OFFSET($H$3,0,0,'Données projet'!$E$9+1,1))</f>
        <v>293.82673322742102</v>
      </c>
      <c r="T110" s="59">
        <f t="shared" si="88"/>
        <v>138.78566015867693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49.409964421769153</v>
      </c>
      <c r="AA110" s="21">
        <f>EXP(-LN(2)/25)*AA109+(1-EXP(-LN(2)/25))/(LN(2)/25)*Calculateur!V110*Calculateur!X110*VLOOKUP('Données projet'!$B$9,Paramètres!$A$1:$I$89,3,0)*0.475*44/12</f>
        <v>15.793180645763934</v>
      </c>
      <c r="AB110" s="21">
        <f>EXP(-LN(2)/2)*AB109+(1-EXP(-LN(2)/2))/(LN(2)/2)*V110*Y110*VLOOKUP('Données projet'!$B$9,Paramètres!$A$1:$I$89,3,0)*0.475*44/12</f>
        <v>0.21113669841259283</v>
      </c>
      <c r="AC110" s="22">
        <f t="shared" si="57"/>
        <v>65.414281765945674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12.365555555555552</v>
      </c>
      <c r="AI110" s="13">
        <f>IF('Données projet'!$A$62&gt;35,AI109+AH110-AQ109,IF(A110&lt;'Données projet'!$A$62,$AF$205^A110,IF(A110='Données projet'!$A$62,'Données projet'!$B$62,AI109+AH110-AQ109)))</f>
        <v>514.68444444444435</v>
      </c>
      <c r="AJ110" s="13">
        <f>AI110*VLOOKUP('Données projet'!$B$10,Paramètres!$A$1:$I$89,3,0)*VLOOKUP('Données projet'!$B$10,Paramètres!$A$1:$I$89,5,0)</f>
        <v>254.25411555555553</v>
      </c>
      <c r="AK110" s="13">
        <f t="shared" si="89"/>
        <v>61.495999161879304</v>
      </c>
      <c r="AL110" s="20">
        <f t="shared" si="58"/>
        <v>549.93144979953229</v>
      </c>
      <c r="AM110" s="59">
        <f t="shared" si="59"/>
        <v>843.26478313286566</v>
      </c>
      <c r="AN110" s="59">
        <f ca="1">AVERAGE(OFFSET($AM$3,0,0,'Données projet'!$E$10+1,1))-AVERAGE(OFFSET($H$3,0,0,'Données projet'!$E$10+1,1))</f>
        <v>265.57710796453807</v>
      </c>
      <c r="AO110" s="59">
        <f t="shared" si="90"/>
        <v>171.29436297508141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35.59921776240121</v>
      </c>
      <c r="AV110" s="21">
        <f>EXP(-LN(2)/25)*AV109+(1-EXP(-LN(2)/25))/(LN(2)/25)*Calculateur!AQ110*Calculateur!AS110*VLOOKUP('Données projet'!$B$10,Paramètres!$A$1:$I$89,3,0)*0.475*44/12</f>
        <v>17.049875849736448</v>
      </c>
      <c r="AW110" s="21">
        <f>EXP(-LN(2)/2)*AW109+(1-EXP(-LN(2)/2))/(LN(2)/2)*AQ110*AT110*VLOOKUP('Données projet'!$B$10,Paramètres!$A$1:$I$89,3,0)*0.475*44/12</f>
        <v>0.32285020673305082</v>
      </c>
      <c r="AX110" s="21">
        <f t="shared" si="60"/>
        <v>52.971943818870713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175.05987582828078</v>
      </c>
      <c r="BJ110" s="59">
        <f t="shared" si="92"/>
        <v>268.54782308462387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56.922728055977778</v>
      </c>
      <c r="BQ110" s="21">
        <f>EXP(-LN(2)/25)*BQ109+(1-EXP(-LN(2)/25))/(LN(2)/25)*Calculateur!BL110*Calculateur!BN110*VLOOKUP('Données projet'!$B$11,Paramètres!$A$1:$I$89,3,0)*0.475*44/12</f>
        <v>13.275260888764414</v>
      </c>
      <c r="BR110" s="21">
        <f>EXP(-LN(2)/2)*BR109+(1-EXP(-LN(2)/2))/(LN(2)/2)*BL110*BO110*VLOOKUP('Données projet'!$B$11,Paramètres!$A$1:$I$89,3,0)*0.475*44/12</f>
        <v>3.6347777539109543E-6</v>
      </c>
      <c r="BS110" s="22">
        <f t="shared" si="63"/>
        <v>70.197992579519948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>
        <f>VLOOKUP(A111,'Données projet'!$A$35:$I$55,2,0)</f>
        <v>502.84</v>
      </c>
      <c r="L111" s="12">
        <f>VLOOKUP(A111,'Données projet'!$A$35:$I$55,9,0)</f>
        <v>5.6049999999999995</v>
      </c>
      <c r="M111" s="12">
        <f t="array" ref="M111">INDEX(L:L,MIN(IF(ISNUMBER(L111:L307),ROW(L111:L307),"")))</f>
        <v>5.6049999999999995</v>
      </c>
      <c r="N111" s="13">
        <f>IF('Données projet'!$A$36&gt;35,N110+M111-V110,IF(A111&lt;'Données projet'!$A$36,$K$205^A111,IF(A111='Données projet'!$A$36,'Données projet'!$B$36,N110+M111-V110)))</f>
        <v>502.83999999999992</v>
      </c>
      <c r="O111" s="13">
        <f>N111*VLOOKUP('Données projet'!$B$9,Paramètres!$A$1:$I$89,3,0)*VLOOKUP('Données projet'!$B$9,Paramètres!$A$1:$I$89,5,0)</f>
        <v>281.08755999999994</v>
      </c>
      <c r="P111" s="13">
        <f t="shared" si="87"/>
        <v>67.19678969238592</v>
      </c>
      <c r="Q111" s="20">
        <f t="shared" si="107"/>
        <v>606.59524238090523</v>
      </c>
      <c r="R111" s="59">
        <f t="shared" si="55"/>
        <v>899.9285757142386</v>
      </c>
      <c r="S111" s="59">
        <f ca="1">AVERAGE(OFFSET($R$3,0,0,'Données projet'!$E$9+1,1))-AVERAGE(OFFSET($H$3,0,0,'Données projet'!$E$9+1,1))</f>
        <v>293.82673322742102</v>
      </c>
      <c r="T111" s="59">
        <f t="shared" si="88"/>
        <v>138.78566015867693</v>
      </c>
      <c r="U111" s="15">
        <f>IF(ISNA(VLOOKUP(A111,'Données projet'!$A$35:$I$55,3,0)),0,VLOOKUP(A111,'Données projet'!$A$35:$I$55,3,0))</f>
        <v>8</v>
      </c>
      <c r="V111" s="15">
        <f>IF(ISNA(VLOOKUP(A111,'Données projet'!$A$35:$I$55,4,0)),0,VLOOKUP(A111,'Données projet'!$A$35:$I$55,4,0))</f>
        <v>65.25</v>
      </c>
      <c r="W111" s="16">
        <f>IF(ISNA(VLOOKUP(A111,'Données projet'!$A$35:$I$55,5,0)),0%,VLOOKUP(A111,'Données projet'!$A$35:$I$55,5,0)*VLOOKUP('Données projet'!$B$9,Paramètres!$A$1:$I$89,7,0))</f>
        <v>0.33</v>
      </c>
      <c r="X111" s="16">
        <f>IF(ISNA(VLOOKUP(A111,'Données projet'!$A$35:$I$55,6,0)),0%,VLOOKUP(A111,'Données projet'!$A$35:$I$55,6,0)*VLOOKUP('Données projet'!$B$9,Paramètres!$A$1:$I$89,7,0))</f>
        <v>0.11000000000000001</v>
      </c>
      <c r="Y111" s="16">
        <f>IF(ISNA(VLOOKUP(A111,'Données projet'!$A$35:$I$55,7,0)),0%,VLOOKUP(A111,'Données projet'!$A$35:$I$55,7,0))</f>
        <v>0.2</v>
      </c>
      <c r="Z111" s="21">
        <f>EXP(-LN(2)/35)*Z110+(1-EXP(-LN(2)/35))/(LN(2)/35)*V111*W111*VLOOKUP('Données projet'!$B$9,Paramètres!$A$1:$I$89,3,0)*0.475*44/12</f>
        <v>64.408480424005077</v>
      </c>
      <c r="AA111" s="21">
        <f>EXP(-LN(2)/25)*AA110+(1-EXP(-LN(2)/25))/(LN(2)/25)*Calculateur!V111*Calculateur!X111*VLOOKUP('Données projet'!$B$9,Paramètres!$A$1:$I$89,3,0)*0.475*44/12</f>
        <v>20.662830446969643</v>
      </c>
      <c r="AB111" s="21">
        <f>EXP(-LN(2)/2)*AB110+(1-EXP(-LN(2)/2))/(LN(2)/2)*V111*Y111*VLOOKUP('Données projet'!$B$9,Paramètres!$A$1:$I$89,3,0)*0.475*44/12</f>
        <v>8.4088741900455748</v>
      </c>
      <c r="AC111" s="22">
        <f t="shared" si="57"/>
        <v>93.480185061020293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>
        <f>VLOOKUP(A111,'Données projet'!$A$61:$I$81,2,0)</f>
        <v>527.04999999999995</v>
      </c>
      <c r="AG111" s="12">
        <f>VLOOKUP(A111,'Données projet'!$A$61:$I$81,9,0)</f>
        <v>12.365555555555552</v>
      </c>
      <c r="AH111" s="12">
        <f t="array" ref="AH111">INDEX(AG:AG,MIN(IF(ISNUMBER(AG111:AG307),ROW(AG111:AG307),"")))</f>
        <v>12.365555555555552</v>
      </c>
      <c r="AI111" s="13">
        <f>IF('Données projet'!$A$62&gt;35,AI110+AH111-AQ110,IF(A111&lt;'Données projet'!$A$62,$AF$205^A111,IF(A111='Données projet'!$A$62,'Données projet'!$B$62,AI110+AH111-AQ110)))</f>
        <v>527.04999999999995</v>
      </c>
      <c r="AJ111" s="13">
        <f>AI111*VLOOKUP('Données projet'!$B$10,Paramètres!$A$1:$I$89,3,0)*VLOOKUP('Données projet'!$B$10,Paramètres!$A$1:$I$89,5,0)</f>
        <v>260.36270000000002</v>
      </c>
      <c r="AK111" s="13">
        <f t="shared" si="89"/>
        <v>62.799684665416081</v>
      </c>
      <c r="AL111" s="20">
        <f t="shared" si="58"/>
        <v>562.84115329226631</v>
      </c>
      <c r="AM111" s="59">
        <f t="shared" si="59"/>
        <v>856.17448662559968</v>
      </c>
      <c r="AN111" s="59">
        <f ca="1">AVERAGE(OFFSET($AM$3,0,0,'Données projet'!$E$10+1,1))-AVERAGE(OFFSET($H$3,0,0,'Données projet'!$E$10+1,1))</f>
        <v>265.57710796453807</v>
      </c>
      <c r="AO111" s="59">
        <f t="shared" si="90"/>
        <v>171.29436297508141</v>
      </c>
      <c r="AP111" s="15">
        <f>IF(ISNA(VLOOKUP(A111,'Données projet'!$A$61:$I$81,3,0)),0,VLOOKUP(A111,'Données projet'!$A$61:$I$81,3,0))</f>
        <v>7</v>
      </c>
      <c r="AQ111" s="15">
        <f>IF(ISNA(VLOOKUP(A111,'Données projet'!$A$61:$I$81,4,0)),0,VLOOKUP(A111,'Données projet'!$A$61:$I$81,4,0))</f>
        <v>81.70999999999998</v>
      </c>
      <c r="AR111" s="16">
        <f>IF(ISNA(VLOOKUP(A111,'Données projet'!$A$61:$I$81,5,0)),0%,VLOOKUP(A111,'Données projet'!$A$61:$I$81,5,0)*VLOOKUP('Données projet'!$B$10,Paramètres!$A$1:$I$89,7,0))</f>
        <v>0.22000000000000003</v>
      </c>
      <c r="AS111" s="16">
        <f>IF(ISNA(VLOOKUP(A111,'Données projet'!$A$61:$I$81,6,0)),0%,VLOOKUP(A111,'Données projet'!$A$61:$I$81,6,0)*VLOOKUP('Données projet'!$B$10,Paramètres!$A$1:$I$89,7,0))</f>
        <v>5.5000000000000007E-2</v>
      </c>
      <c r="AT111" s="16">
        <f>IF(ISNA(VLOOKUP(A111,'Données projet'!$A$61:$I$81,7,0)),0%,VLOOKUP(A111,'Données projet'!$A$61:$I$81,7,0))</f>
        <v>0.1</v>
      </c>
      <c r="AU111" s="21">
        <f>EXP(-LN(2)/35)*AU110+(1-EXP(-LN(2)/35))/(LN(2)/35)*AQ111*AR111*VLOOKUP('Données projet'!$B$10,Paramètres!$A$1:$I$89,3,0)*0.475*44/12</f>
        <v>46.681353269612238</v>
      </c>
      <c r="AV111" s="21">
        <f>EXP(-LN(2)/25)*AV110+(1-EXP(-LN(2)/25))/(LN(2)/25)*Calculateur!AQ111*Calculateur!AS111*VLOOKUP('Données projet'!$B$10,Paramètres!$A$1:$I$89,3,0)*0.475*44/12</f>
        <v>19.517103913319726</v>
      </c>
      <c r="AW111" s="21">
        <f>EXP(-LN(2)/2)*AW110+(1-EXP(-LN(2)/2))/(LN(2)/2)*AQ111*AT111*VLOOKUP('Données projet'!$B$10,Paramètres!$A$1:$I$89,3,0)*0.475*44/12</f>
        <v>4.7985158014142621</v>
      </c>
      <c r="AX111" s="21">
        <f t="shared" si="60"/>
        <v>70.996972984346229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175.05987582828078</v>
      </c>
      <c r="BJ111" s="59">
        <f t="shared" si="92"/>
        <v>268.54782308462387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55.806508078235908</v>
      </c>
      <c r="BQ111" s="21">
        <f>EXP(-LN(2)/25)*BQ110+(1-EXP(-LN(2)/25))/(LN(2)/25)*Calculateur!BL111*Calculateur!BN111*VLOOKUP('Données projet'!$B$11,Paramètres!$A$1:$I$89,3,0)*0.475*44/12</f>
        <v>12.912248181645522</v>
      </c>
      <c r="BR111" s="21">
        <f>EXP(-LN(2)/2)*BR110+(1-EXP(-LN(2)/2))/(LN(2)/2)*BL111*BO111*VLOOKUP('Données projet'!$B$11,Paramètres!$A$1:$I$89,3,0)*0.475*44/12</f>
        <v>2.5701759978964438E-6</v>
      </c>
      <c r="BS111" s="22">
        <f t="shared" si="63"/>
        <v>68.718758830057425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4.3516666666666692</v>
      </c>
      <c r="N112" s="13">
        <f>IF('Données projet'!$A$36&gt;35,N111+M112-V111,IF(A112&lt;'Données projet'!$A$36,$K$205^A112,IF(A112='Données projet'!$A$36,'Données projet'!$B$36,N111+M112-V111)))</f>
        <v>441.94166666666661</v>
      </c>
      <c r="O112" s="13">
        <f>N112*VLOOKUP('Données projet'!$B$9,Paramètres!$A$1:$I$89,3,0)*VLOOKUP('Données projet'!$B$9,Paramètres!$A$1:$I$89,5,0)</f>
        <v>247.04539166666666</v>
      </c>
      <c r="P112" s="13">
        <f t="shared" si="87"/>
        <v>59.952818839099436</v>
      </c>
      <c r="Q112" s="20">
        <f t="shared" si="107"/>
        <v>534.6885499642093</v>
      </c>
      <c r="R112" s="59">
        <f t="shared" si="55"/>
        <v>828.02188329754267</v>
      </c>
      <c r="S112" s="59">
        <f ca="1">AVERAGE(OFFSET($R$3,0,0,'Données projet'!$E$9+1,1))-AVERAGE(OFFSET($H$3,0,0,'Données projet'!$E$9+1,1))</f>
        <v>293.82673322742102</v>
      </c>
      <c r="T112" s="59">
        <f t="shared" si="88"/>
        <v>138.78566015867693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63.145469408184297</v>
      </c>
      <c r="AA112" s="21">
        <f>EXP(-LN(2)/25)*AA111+(1-EXP(-LN(2)/25))/(LN(2)/25)*Calculateur!V112*Calculateur!X112*VLOOKUP('Données projet'!$B$9,Paramètres!$A$1:$I$89,3,0)*0.475*44/12</f>
        <v>20.09780426178623</v>
      </c>
      <c r="AB112" s="21">
        <f>EXP(-LN(2)/2)*AB111+(1-EXP(-LN(2)/2))/(LN(2)/2)*V112*Y112*VLOOKUP('Données projet'!$B$9,Paramètres!$A$1:$I$89,3,0)*0.475*44/12</f>
        <v>5.945971961925764</v>
      </c>
      <c r="AC112" s="22">
        <f t="shared" si="57"/>
        <v>89.189245631896299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11.343</v>
      </c>
      <c r="AI112" s="13">
        <f>IF('Données projet'!$A$62&gt;35,AI111+AH112-AQ111,IF(A112&lt;'Données projet'!$A$62,$AF$205^A112,IF(A112='Données projet'!$A$62,'Données projet'!$B$62,AI111+AH112-AQ111)))</f>
        <v>456.68299999999994</v>
      </c>
      <c r="AJ112" s="13">
        <f>AI112*VLOOKUP('Données projet'!$B$10,Paramètres!$A$1:$I$89,3,0)*VLOOKUP('Données projet'!$B$10,Paramètres!$A$1:$I$89,5,0)</f>
        <v>225.60140199999998</v>
      </c>
      <c r="AK112" s="13">
        <f t="shared" si="89"/>
        <v>55.330535606911212</v>
      </c>
      <c r="AL112" s="20">
        <f t="shared" si="58"/>
        <v>489.28979133203694</v>
      </c>
      <c r="AM112" s="59">
        <f t="shared" si="59"/>
        <v>782.62312466537026</v>
      </c>
      <c r="AN112" s="59">
        <f ca="1">AVERAGE(OFFSET($AM$3,0,0,'Données projet'!$E$10+1,1))-AVERAGE(OFFSET($H$3,0,0,'Données projet'!$E$10+1,1))</f>
        <v>265.57710796453807</v>
      </c>
      <c r="AO112" s="59">
        <f t="shared" si="90"/>
        <v>171.29436297508141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45.765960404809178</v>
      </c>
      <c r="AV112" s="21">
        <f>EXP(-LN(2)/25)*AV111+(1-EXP(-LN(2)/25))/(LN(2)/25)*Calculateur!AQ112*Calculateur!AS112*VLOOKUP('Données projet'!$B$10,Paramètres!$A$1:$I$89,3,0)*0.475*44/12</f>
        <v>18.98340768045011</v>
      </c>
      <c r="AW112" s="21">
        <f>EXP(-LN(2)/2)*AW111+(1-EXP(-LN(2)/2))/(LN(2)/2)*AQ112*AT112*VLOOKUP('Données projet'!$B$10,Paramètres!$A$1:$I$89,3,0)*0.475*44/12</f>
        <v>3.3930630628108256</v>
      </c>
      <c r="AX112" s="21">
        <f t="shared" si="60"/>
        <v>68.142431148070116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175.05987582828078</v>
      </c>
      <c r="BJ112" s="59">
        <f t="shared" si="92"/>
        <v>268.54782308462387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54.712176493430597</v>
      </c>
      <c r="BQ112" s="21">
        <f>EXP(-LN(2)/25)*BQ111+(1-EXP(-LN(2)/25))/(LN(2)/25)*Calculateur!BL112*Calculateur!BN112*VLOOKUP('Données projet'!$B$11,Paramètres!$A$1:$I$89,3,0)*0.475*44/12</f>
        <v>12.559162076092804</v>
      </c>
      <c r="BR112" s="21">
        <f>EXP(-LN(2)/2)*BR111+(1-EXP(-LN(2)/2))/(LN(2)/2)*BL112*BO112*VLOOKUP('Données projet'!$B$11,Paramètres!$A$1:$I$89,3,0)*0.475*44/12</f>
        <v>1.8173888769554771E-6</v>
      </c>
      <c r="BS112" s="22">
        <f t="shared" si="63"/>
        <v>67.271340386912286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4.3516666666666692</v>
      </c>
      <c r="N113" s="13">
        <f>IF('Données projet'!$A$36&gt;35,N112+M113-V112,IF(A113&lt;'Données projet'!$A$36,$K$205^A113,IF(A113='Données projet'!$A$36,'Données projet'!$B$36,N112+M113-V112)))</f>
        <v>446.29333333333329</v>
      </c>
      <c r="O113" s="13">
        <f>N113*VLOOKUP('Données projet'!$B$9,Paramètres!$A$1:$I$89,3,0)*VLOOKUP('Données projet'!$B$9,Paramètres!$A$1:$I$89,5,0)</f>
        <v>249.47797333333332</v>
      </c>
      <c r="P113" s="13">
        <f t="shared" si="87"/>
        <v>60.474143103068428</v>
      </c>
      <c r="Q113" s="20">
        <f t="shared" si="107"/>
        <v>539.83326946006639</v>
      </c>
      <c r="R113" s="59">
        <f t="shared" si="55"/>
        <v>833.16660279339976</v>
      </c>
      <c r="S113" s="59">
        <f ca="1">AVERAGE(OFFSET($R$3,0,0,'Données projet'!$E$9+1,1))-AVERAGE(OFFSET($H$3,0,0,'Données projet'!$E$9+1,1))</f>
        <v>293.82673322742102</v>
      </c>
      <c r="T113" s="59">
        <f t="shared" si="88"/>
        <v>138.78566015867693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61.907225268023112</v>
      </c>
      <c r="AA113" s="21">
        <f>EXP(-LN(2)/25)*AA112+(1-EXP(-LN(2)/25))/(LN(2)/25)*Calculateur!V113*Calculateur!X113*VLOOKUP('Données projet'!$B$9,Paramètres!$A$1:$I$89,3,0)*0.475*44/12</f>
        <v>19.548228747350095</v>
      </c>
      <c r="AB113" s="21">
        <f>EXP(-LN(2)/2)*AB112+(1-EXP(-LN(2)/2))/(LN(2)/2)*V113*Y113*VLOOKUP('Données projet'!$B$9,Paramètres!$A$1:$I$89,3,0)*0.475*44/12</f>
        <v>4.2044370950227883</v>
      </c>
      <c r="AC113" s="22">
        <f t="shared" si="57"/>
        <v>85.659891110395989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11.343</v>
      </c>
      <c r="AI113" s="13">
        <f>IF('Données projet'!$A$62&gt;35,AI112+AH113-AQ112,IF(A113&lt;'Données projet'!$A$62,$AF$205^A113,IF(A113='Données projet'!$A$62,'Données projet'!$B$62,AI112+AH113-AQ112)))</f>
        <v>468.02599999999995</v>
      </c>
      <c r="AJ113" s="13">
        <f>AI113*VLOOKUP('Données projet'!$B$10,Paramètres!$A$1:$I$89,3,0)*VLOOKUP('Données projet'!$B$10,Paramètres!$A$1:$I$89,5,0)</f>
        <v>231.20484399999998</v>
      </c>
      <c r="AK113" s="13">
        <f t="shared" si="89"/>
        <v>56.543117702197705</v>
      </c>
      <c r="AL113" s="20">
        <f t="shared" si="58"/>
        <v>501.16103329799427</v>
      </c>
      <c r="AM113" s="59">
        <f t="shared" si="59"/>
        <v>794.49436663132758</v>
      </c>
      <c r="AN113" s="59">
        <f ca="1">AVERAGE(OFFSET($AM$3,0,0,'Données projet'!$E$10+1,1))-AVERAGE(OFFSET($H$3,0,0,'Données projet'!$E$10+1,1))</f>
        <v>265.57710796453807</v>
      </c>
      <c r="AO113" s="59">
        <f t="shared" si="90"/>
        <v>171.29436297508141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44.868517835750389</v>
      </c>
      <c r="AV113" s="21">
        <f>EXP(-LN(2)/25)*AV112+(1-EXP(-LN(2)/25))/(LN(2)/25)*Calculateur!AQ113*Calculateur!AS113*VLOOKUP('Données projet'!$B$10,Paramètres!$A$1:$I$89,3,0)*0.475*44/12</f>
        <v>18.464305399134179</v>
      </c>
      <c r="AW113" s="21">
        <f>EXP(-LN(2)/2)*AW112+(1-EXP(-LN(2)/2))/(LN(2)/2)*AQ113*AT113*VLOOKUP('Données projet'!$B$10,Paramètres!$A$1:$I$89,3,0)*0.475*44/12</f>
        <v>2.3992579007071315</v>
      </c>
      <c r="AX113" s="21">
        <f t="shared" si="60"/>
        <v>65.732081135591699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175.05987582828078</v>
      </c>
      <c r="BJ113" s="59">
        <f t="shared" si="92"/>
        <v>268.54782308462387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53.639304083526959</v>
      </c>
      <c r="BQ113" s="21">
        <f>EXP(-LN(2)/25)*BQ112+(1-EXP(-LN(2)/25))/(LN(2)/25)*Calculateur!BL113*Calculateur!BN113*VLOOKUP('Données projet'!$B$11,Paramètres!$A$1:$I$89,3,0)*0.475*44/12</f>
        <v>12.215731128664418</v>
      </c>
      <c r="BR113" s="21">
        <f>EXP(-LN(2)/2)*BR112+(1-EXP(-LN(2)/2))/(LN(2)/2)*BL113*BO113*VLOOKUP('Données projet'!$B$11,Paramètres!$A$1:$I$89,3,0)*0.475*44/12</f>
        <v>1.2850879989482219E-6</v>
      </c>
      <c r="BS113" s="22">
        <f t="shared" si="63"/>
        <v>65.855036497279386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4.3516666666666692</v>
      </c>
      <c r="N114" s="13">
        <f>IF('Données projet'!$A$36&gt;35,N113+M114-V113,IF(A114&lt;'Données projet'!$A$36,$K$205^A114,IF(A114='Données projet'!$A$36,'Données projet'!$B$36,N113+M114-V113)))</f>
        <v>450.64499999999998</v>
      </c>
      <c r="O114" s="13">
        <f>N114*VLOOKUP('Données projet'!$B$9,Paramètres!$A$1:$I$89,3,0)*VLOOKUP('Données projet'!$B$9,Paramètres!$A$1:$I$89,5,0)</f>
        <v>251.91055499999999</v>
      </c>
      <c r="P114" s="13">
        <f t="shared" si="87"/>
        <v>60.994876000174997</v>
      </c>
      <c r="Q114" s="20">
        <f t="shared" si="107"/>
        <v>544.9769589919714</v>
      </c>
      <c r="R114" s="59">
        <f t="shared" si="55"/>
        <v>838.31029232530477</v>
      </c>
      <c r="S114" s="59">
        <f ca="1">AVERAGE(OFFSET($R$3,0,0,'Données projet'!$E$9+1,1))-AVERAGE(OFFSET($H$3,0,0,'Données projet'!$E$9+1,1))</f>
        <v>293.82673322742102</v>
      </c>
      <c r="T114" s="59">
        <f t="shared" si="88"/>
        <v>138.78566015867693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60.693262340196135</v>
      </c>
      <c r="AA114" s="21">
        <f>EXP(-LN(2)/25)*AA113+(1-EXP(-LN(2)/25))/(LN(2)/25)*Calculateur!V114*Calculateur!X114*VLOOKUP('Données projet'!$B$9,Paramètres!$A$1:$I$89,3,0)*0.475*44/12</f>
        <v>19.013681404257134</v>
      </c>
      <c r="AB114" s="21">
        <f>EXP(-LN(2)/2)*AB113+(1-EXP(-LN(2)/2))/(LN(2)/2)*V114*Y114*VLOOKUP('Données projet'!$B$9,Paramètres!$A$1:$I$89,3,0)*0.475*44/12</f>
        <v>2.9729859809628825</v>
      </c>
      <c r="AC114" s="22">
        <f t="shared" si="57"/>
        <v>82.679929725416159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11.343</v>
      </c>
      <c r="AI114" s="13">
        <f>IF('Données projet'!$A$62&gt;35,AI113+AH114-AQ113,IF(A114&lt;'Données projet'!$A$62,$AF$205^A114,IF(A114='Données projet'!$A$62,'Données projet'!$B$62,AI113+AH114-AQ113)))</f>
        <v>479.36899999999997</v>
      </c>
      <c r="AJ114" s="13">
        <f>AI114*VLOOKUP('Données projet'!$B$10,Paramètres!$A$1:$I$89,3,0)*VLOOKUP('Données projet'!$B$10,Paramètres!$A$1:$I$89,5,0)</f>
        <v>236.80828599999998</v>
      </c>
      <c r="AK114" s="13">
        <f t="shared" si="89"/>
        <v>57.752283508664057</v>
      </c>
      <c r="AL114" s="20">
        <f t="shared" si="58"/>
        <v>513.02632522758984</v>
      </c>
      <c r="AM114" s="59">
        <f t="shared" si="59"/>
        <v>806.35965856092321</v>
      </c>
      <c r="AN114" s="59">
        <f ca="1">AVERAGE(OFFSET($AM$3,0,0,'Données projet'!$E$10+1,1))-AVERAGE(OFFSET($H$3,0,0,'Données projet'!$E$10+1,1))</f>
        <v>265.57710796453807</v>
      </c>
      <c r="AO114" s="59">
        <f t="shared" si="90"/>
        <v>171.29436297508141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43.988673568084927</v>
      </c>
      <c r="AV114" s="21">
        <f>EXP(-LN(2)/25)*AV113+(1-EXP(-LN(2)/25))/(LN(2)/25)*Calculateur!AQ114*Calculateur!AS114*VLOOKUP('Données projet'!$B$10,Paramètres!$A$1:$I$89,3,0)*0.475*44/12</f>
        <v>17.959397996999236</v>
      </c>
      <c r="AW114" s="21">
        <f>EXP(-LN(2)/2)*AW113+(1-EXP(-LN(2)/2))/(LN(2)/2)*AQ114*AT114*VLOOKUP('Données projet'!$B$10,Paramètres!$A$1:$I$89,3,0)*0.475*44/12</f>
        <v>1.6965315314054132</v>
      </c>
      <c r="AX114" s="21">
        <f t="shared" si="60"/>
        <v>63.644603096489575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175.05987582828078</v>
      </c>
      <c r="BJ114" s="59">
        <f t="shared" si="92"/>
        <v>268.54782308462387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52.587470047193975</v>
      </c>
      <c r="BQ114" s="21">
        <f>EXP(-LN(2)/25)*BQ113+(1-EXP(-LN(2)/25))/(LN(2)/25)*Calculateur!BL114*Calculateur!BN114*VLOOKUP('Données projet'!$B$11,Paramètres!$A$1:$I$89,3,0)*0.475*44/12</f>
        <v>11.881691318553708</v>
      </c>
      <c r="BR114" s="21">
        <f>EXP(-LN(2)/2)*BR113+(1-EXP(-LN(2)/2))/(LN(2)/2)*BL114*BO114*VLOOKUP('Données projet'!$B$11,Paramètres!$A$1:$I$89,3,0)*0.475*44/12</f>
        <v>9.0869443847773857E-7</v>
      </c>
      <c r="BS114" s="22">
        <f t="shared" si="63"/>
        <v>64.469162274442112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4.3516666666666692</v>
      </c>
      <c r="N115" s="13">
        <f>IF('Données projet'!$A$36&gt;35,N114+M115-V114,IF(A115&lt;'Données projet'!$A$36,$K$205^A115,IF(A115='Données projet'!$A$36,'Données projet'!$B$36,N114+M115-V114)))</f>
        <v>454.99666666666667</v>
      </c>
      <c r="O115" s="13">
        <f>N115*VLOOKUP('Données projet'!$B$9,Paramètres!$A$1:$I$89,3,0)*VLOOKUP('Données projet'!$B$9,Paramètres!$A$1:$I$89,5,0)</f>
        <v>254.34313666666665</v>
      </c>
      <c r="P115" s="13">
        <f t="shared" si="87"/>
        <v>61.51502390229593</v>
      </c>
      <c r="Q115" s="20">
        <f t="shared" si="107"/>
        <v>550.11962965760983</v>
      </c>
      <c r="R115" s="59">
        <f t="shared" si="55"/>
        <v>843.45296299094321</v>
      </c>
      <c r="S115" s="59">
        <f ca="1">AVERAGE(OFFSET($R$3,0,0,'Données projet'!$E$9+1,1))-AVERAGE(OFFSET($H$3,0,0,'Données projet'!$E$9+1,1))</f>
        <v>293.82673322742102</v>
      </c>
      <c r="T115" s="59">
        <f t="shared" si="88"/>
        <v>138.78566015867693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59.50310448493957</v>
      </c>
      <c r="AA115" s="21">
        <f>EXP(-LN(2)/25)*AA114+(1-EXP(-LN(2)/25))/(LN(2)/25)*Calculateur!V115*Calculateur!X115*VLOOKUP('Données projet'!$B$9,Paramètres!$A$1:$I$89,3,0)*0.475*44/12</f>
        <v>18.493751286371676</v>
      </c>
      <c r="AB115" s="21">
        <f>EXP(-LN(2)/2)*AB114+(1-EXP(-LN(2)/2))/(LN(2)/2)*V115*Y115*VLOOKUP('Données projet'!$B$9,Paramètres!$A$1:$I$89,3,0)*0.475*44/12</f>
        <v>2.1022185475113946</v>
      </c>
      <c r="AC115" s="22">
        <f t="shared" si="57"/>
        <v>80.099074318822645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11.343</v>
      </c>
      <c r="AI115" s="13">
        <f>IF('Données projet'!$A$62&gt;35,AI114+AH115-AQ114,IF(A115&lt;'Données projet'!$A$62,$AF$205^A115,IF(A115='Données projet'!$A$62,'Données projet'!$B$62,AI114+AH115-AQ114)))</f>
        <v>490.71199999999999</v>
      </c>
      <c r="AJ115" s="13">
        <f>AI115*VLOOKUP('Données projet'!$B$10,Paramètres!$A$1:$I$89,3,0)*VLOOKUP('Données projet'!$B$10,Paramètres!$A$1:$I$89,5,0)</f>
        <v>242.41172800000001</v>
      </c>
      <c r="AK115" s="13">
        <f t="shared" si="89"/>
        <v>58.958123166068056</v>
      </c>
      <c r="AL115" s="20">
        <f t="shared" si="58"/>
        <v>524.88582411423522</v>
      </c>
      <c r="AM115" s="59">
        <f t="shared" si="59"/>
        <v>818.21915744756848</v>
      </c>
      <c r="AN115" s="59">
        <f ca="1">AVERAGE(OFFSET($AM$3,0,0,'Données projet'!$E$10+1,1))-AVERAGE(OFFSET($H$3,0,0,'Données projet'!$E$10+1,1))</f>
        <v>265.57710796453807</v>
      </c>
      <c r="AO115" s="59">
        <f t="shared" si="90"/>
        <v>171.29436297508141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43.126082509856374</v>
      </c>
      <c r="AV115" s="21">
        <f>EXP(-LN(2)/25)*AV114+(1-EXP(-LN(2)/25))/(LN(2)/25)*Calculateur!AQ115*Calculateur!AS115*VLOOKUP('Données projet'!$B$10,Paramètres!$A$1:$I$89,3,0)*0.475*44/12</f>
        <v>17.468297314327597</v>
      </c>
      <c r="AW115" s="21">
        <f>EXP(-LN(2)/2)*AW114+(1-EXP(-LN(2)/2))/(LN(2)/2)*AQ115*AT115*VLOOKUP('Données projet'!$B$10,Paramètres!$A$1:$I$89,3,0)*0.475*44/12</f>
        <v>1.199628950353566</v>
      </c>
      <c r="AX115" s="21">
        <f t="shared" si="60"/>
        <v>61.794008774537538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175.05987582828078</v>
      </c>
      <c r="BJ115" s="59">
        <f t="shared" si="92"/>
        <v>268.54782308462387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51.556261834758068</v>
      </c>
      <c r="BQ115" s="21">
        <f>EXP(-LN(2)/25)*BQ114+(1-EXP(-LN(2)/25))/(LN(2)/25)*Calculateur!BL115*Calculateur!BN115*VLOOKUP('Données projet'!$B$11,Paramètres!$A$1:$I$89,3,0)*0.475*44/12</f>
        <v>11.556785844616867</v>
      </c>
      <c r="BR115" s="21">
        <f>EXP(-LN(2)/2)*BR114+(1-EXP(-LN(2)/2))/(LN(2)/2)*BL115*BO115*VLOOKUP('Données projet'!$B$11,Paramètres!$A$1:$I$89,3,0)*0.475*44/12</f>
        <v>6.4254399947411095E-7</v>
      </c>
      <c r="BS115" s="22">
        <f t="shared" si="63"/>
        <v>63.113048321918939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4.3516666666666692</v>
      </c>
      <c r="N116" s="13">
        <f>IF('Données projet'!$A$36&gt;35,N115+M116-V115,IF(A116&lt;'Données projet'!$A$36,$K$205^A116,IF(A116='Données projet'!$A$36,'Données projet'!$B$36,N115+M116-V115)))</f>
        <v>459.34833333333336</v>
      </c>
      <c r="O116" s="13">
        <f>N116*VLOOKUP('Données projet'!$B$9,Paramètres!$A$1:$I$89,3,0)*VLOOKUP('Données projet'!$B$9,Paramètres!$A$1:$I$89,5,0)</f>
        <v>256.77571833333337</v>
      </c>
      <c r="P116" s="13">
        <f t="shared" si="87"/>
        <v>62.034593052397071</v>
      </c>
      <c r="Q116" s="20">
        <f t="shared" si="107"/>
        <v>555.26129233014706</v>
      </c>
      <c r="R116" s="59">
        <f t="shared" si="55"/>
        <v>848.59462566348043</v>
      </c>
      <c r="S116" s="59">
        <f ca="1">AVERAGE(OFFSET($R$3,0,0,'Données projet'!$E$9+1,1))-AVERAGE(OFFSET($H$3,0,0,'Données projet'!$E$9+1,1))</f>
        <v>293.82673322742102</v>
      </c>
      <c r="T116" s="59">
        <f t="shared" si="88"/>
        <v>138.78566015867693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58.336284899299976</v>
      </c>
      <c r="AA116" s="21">
        <f>EXP(-LN(2)/25)*AA115+(1-EXP(-LN(2)/25))/(LN(2)/25)*Calculateur!V116*Calculateur!X116*VLOOKUP('Données projet'!$B$9,Paramètres!$A$1:$I$89,3,0)*0.475*44/12</f>
        <v>17.988038684901731</v>
      </c>
      <c r="AB116" s="21">
        <f>EXP(-LN(2)/2)*AB115+(1-EXP(-LN(2)/2))/(LN(2)/2)*V116*Y116*VLOOKUP('Données projet'!$B$9,Paramètres!$A$1:$I$89,3,0)*0.475*44/12</f>
        <v>1.4864929904814415</v>
      </c>
      <c r="AC116" s="22">
        <f t="shared" si="57"/>
        <v>77.810816574683145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11.343</v>
      </c>
      <c r="AI116" s="13">
        <f>IF('Données projet'!$A$62&gt;35,AI115+AH116-AQ115,IF(A116&lt;'Données projet'!$A$62,$AF$205^A116,IF(A116='Données projet'!$A$62,'Données projet'!$B$62,AI115+AH116-AQ115)))</f>
        <v>502.05500000000001</v>
      </c>
      <c r="AJ116" s="13">
        <f>AI116*VLOOKUP('Données projet'!$B$10,Paramètres!$A$1:$I$89,3,0)*VLOOKUP('Données projet'!$B$10,Paramètres!$A$1:$I$89,5,0)</f>
        <v>248.01517000000001</v>
      </c>
      <c r="AK116" s="13">
        <f t="shared" si="89"/>
        <v>60.160722409149834</v>
      </c>
      <c r="AL116" s="20">
        <f t="shared" si="58"/>
        <v>536.73967927926935</v>
      </c>
      <c r="AM116" s="59">
        <f t="shared" si="59"/>
        <v>830.07301261260272</v>
      </c>
      <c r="AN116" s="59">
        <f ca="1">AVERAGE(OFFSET($AM$3,0,0,'Données projet'!$E$10+1,1))-AVERAGE(OFFSET($H$3,0,0,'Données projet'!$E$10+1,1))</f>
        <v>265.57710796453807</v>
      </c>
      <c r="AO116" s="59">
        <f t="shared" si="90"/>
        <v>171.29436297508141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42.280406336151088</v>
      </c>
      <c r="AV116" s="21">
        <f>EXP(-LN(2)/25)*AV115+(1-EXP(-LN(2)/25))/(LN(2)/25)*Calculateur!AQ116*Calculateur!AS116*VLOOKUP('Données projet'!$B$10,Paramètres!$A$1:$I$89,3,0)*0.475*44/12</f>
        <v>16.990625805649476</v>
      </c>
      <c r="AW116" s="21">
        <f>EXP(-LN(2)/2)*AW115+(1-EXP(-LN(2)/2))/(LN(2)/2)*AQ116*AT116*VLOOKUP('Données projet'!$B$10,Paramètres!$A$1:$I$89,3,0)*0.475*44/12</f>
        <v>0.84826576570270673</v>
      </c>
      <c r="AX116" s="21">
        <f t="shared" si="60"/>
        <v>60.119297907503267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175.05987582828078</v>
      </c>
      <c r="BJ116" s="59">
        <f t="shared" si="92"/>
        <v>268.54782308462387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50.545274986393125</v>
      </c>
      <c r="BQ116" s="21">
        <f>EXP(-LN(2)/25)*BQ115+(1-EXP(-LN(2)/25))/(LN(2)/25)*Calculateur!BL116*Calculateur!BN116*VLOOKUP('Données projet'!$B$11,Paramètres!$A$1:$I$89,3,0)*0.475*44/12</f>
        <v>11.240764927950865</v>
      </c>
      <c r="BR116" s="21">
        <f>EXP(-LN(2)/2)*BR115+(1-EXP(-LN(2)/2))/(LN(2)/2)*BL116*BO116*VLOOKUP('Données projet'!$B$11,Paramètres!$A$1:$I$89,3,0)*0.475*44/12</f>
        <v>4.5434721923886929E-7</v>
      </c>
      <c r="BS116" s="22">
        <f t="shared" si="63"/>
        <v>61.786040368691204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4.3516666666666692</v>
      </c>
      <c r="N117" s="13">
        <f>IF('Données projet'!$A$36&gt;35,N116+M117-V116,IF(A117&lt;'Données projet'!$A$36,$K$205^A117,IF(A117='Données projet'!$A$36,'Données projet'!$B$36,N116+M117-V116)))</f>
        <v>463.70000000000005</v>
      </c>
      <c r="O117" s="13">
        <f>N117*VLOOKUP('Données projet'!$B$9,Paramètres!$A$1:$I$89,3,0)*VLOOKUP('Données projet'!$B$9,Paramètres!$A$1:$I$89,5,0)</f>
        <v>259.20830000000001</v>
      </c>
      <c r="P117" s="13">
        <f t="shared" si="87"/>
        <v>62.553589568337109</v>
      </c>
      <c r="Q117" s="20">
        <f t="shared" si="107"/>
        <v>560.40195766485374</v>
      </c>
      <c r="R117" s="59">
        <f t="shared" si="55"/>
        <v>853.73529099818711</v>
      </c>
      <c r="S117" s="59">
        <f ca="1">AVERAGE(OFFSET($R$3,0,0,'Données projet'!$E$9+1,1))-AVERAGE(OFFSET($H$3,0,0,'Données projet'!$E$9+1,1))</f>
        <v>293.82673322742102</v>
      </c>
      <c r="T117" s="59">
        <f t="shared" si="88"/>
        <v>138.78566015867693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57.1923459340451</v>
      </c>
      <c r="AA117" s="21">
        <f>EXP(-LN(2)/25)*AA116+(1-EXP(-LN(2)/25))/(LN(2)/25)*Calculateur!V117*Calculateur!X117*VLOOKUP('Données projet'!$B$9,Paramètres!$A$1:$I$89,3,0)*0.475*44/12</f>
        <v>17.496154821113251</v>
      </c>
      <c r="AB117" s="21">
        <f>EXP(-LN(2)/2)*AB116+(1-EXP(-LN(2)/2))/(LN(2)/2)*V117*Y117*VLOOKUP('Données projet'!$B$9,Paramètres!$A$1:$I$89,3,0)*0.475*44/12</f>
        <v>1.0511092737556973</v>
      </c>
      <c r="AC117" s="22">
        <f t="shared" si="57"/>
        <v>75.739610028914043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11.343</v>
      </c>
      <c r="AI117" s="13">
        <f>IF('Données projet'!$A$62&gt;35,AI116+AH117-AQ116,IF(A117&lt;'Données projet'!$A$62,$AF$205^A117,IF(A117='Données projet'!$A$62,'Données projet'!$B$62,AI116+AH117-AQ116)))</f>
        <v>513.39800000000002</v>
      </c>
      <c r="AJ117" s="13">
        <f>AI117*VLOOKUP('Données projet'!$B$10,Paramètres!$A$1:$I$89,3,0)*VLOOKUP('Données projet'!$B$10,Paramètres!$A$1:$I$89,5,0)</f>
        <v>253.61861200000001</v>
      </c>
      <c r="AK117" s="13">
        <f t="shared" si="89"/>
        <v>61.360162877484477</v>
      </c>
      <c r="AL117" s="20">
        <f t="shared" si="58"/>
        <v>548.58803291161882</v>
      </c>
      <c r="AM117" s="59">
        <f t="shared" si="59"/>
        <v>841.9213662449522</v>
      </c>
      <c r="AN117" s="59">
        <f ca="1">AVERAGE(OFFSET($AM$3,0,0,'Données projet'!$E$10+1,1))-AVERAGE(OFFSET($H$3,0,0,'Données projet'!$E$10+1,1))</f>
        <v>265.57710796453807</v>
      </c>
      <c r="AO117" s="59">
        <f t="shared" si="90"/>
        <v>171.29436297508141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41.451313356400625</v>
      </c>
      <c r="AV117" s="21">
        <f>EXP(-LN(2)/25)*AV116+(1-EXP(-LN(2)/25))/(LN(2)/25)*Calculateur!AQ117*Calculateur!AS117*VLOOKUP('Données projet'!$B$10,Paramètres!$A$1:$I$89,3,0)*0.475*44/12</f>
        <v>16.526016249495811</v>
      </c>
      <c r="AW117" s="21">
        <f>EXP(-LN(2)/2)*AW116+(1-EXP(-LN(2)/2))/(LN(2)/2)*AQ117*AT117*VLOOKUP('Données projet'!$B$10,Paramètres!$A$1:$I$89,3,0)*0.475*44/12</f>
        <v>0.5998144751767831</v>
      </c>
      <c r="AX117" s="21">
        <f t="shared" si="60"/>
        <v>58.577144081073222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175.05987582828078</v>
      </c>
      <c r="BJ117" s="59">
        <f t="shared" si="92"/>
        <v>268.54782308462387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49.554112973483527</v>
      </c>
      <c r="BQ117" s="21">
        <f>EXP(-LN(2)/25)*BQ116+(1-EXP(-LN(2)/25))/(LN(2)/25)*Calculateur!BL117*Calculateur!BN117*VLOOKUP('Données projet'!$B$11,Paramètres!$A$1:$I$89,3,0)*0.475*44/12</f>
        <v>10.933385619869911</v>
      </c>
      <c r="BR117" s="21">
        <f>EXP(-LN(2)/2)*BR116+(1-EXP(-LN(2)/2))/(LN(2)/2)*BL117*BO117*VLOOKUP('Données projet'!$B$11,Paramètres!$A$1:$I$89,3,0)*0.475*44/12</f>
        <v>3.2127199973705548E-7</v>
      </c>
      <c r="BS117" s="22">
        <f t="shared" si="63"/>
        <v>60.487498914625434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4.3516666666666692</v>
      </c>
      <c r="N118" s="13">
        <f>IF('Données projet'!$A$36&gt;35,N117+M118-V117,IF(A118&lt;'Données projet'!$A$36,$K$205^A118,IF(A118='Données projet'!$A$36,'Données projet'!$B$36,N117+M118-V117)))</f>
        <v>468.05166666666673</v>
      </c>
      <c r="O118" s="13">
        <f>N118*VLOOKUP('Données projet'!$B$9,Paramètres!$A$1:$I$89,3,0)*VLOOKUP('Données projet'!$B$9,Paramètres!$A$1:$I$89,5,0)</f>
        <v>261.6408816666667</v>
      </c>
      <c r="P118" s="13">
        <f t="shared" si="87"/>
        <v>63.072019446524735</v>
      </c>
      <c r="Q118" s="20">
        <f t="shared" si="107"/>
        <v>565.54163610547505</v>
      </c>
      <c r="R118" s="59">
        <f t="shared" si="55"/>
        <v>858.87496943880842</v>
      </c>
      <c r="S118" s="59">
        <f ca="1">AVERAGE(OFFSET($R$3,0,0,'Données projet'!$E$9+1,1))-AVERAGE(OFFSET($H$3,0,0,'Données projet'!$E$9+1,1))</f>
        <v>293.82673322742102</v>
      </c>
      <c r="T118" s="59">
        <f t="shared" si="88"/>
        <v>138.78566015867693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56.070838914164995</v>
      </c>
      <c r="AA118" s="21">
        <f>EXP(-LN(2)/25)*AA117+(1-EXP(-LN(2)/25))/(LN(2)/25)*Calculateur!V118*Calculateur!X118*VLOOKUP('Données projet'!$B$9,Paramètres!$A$1:$I$89,3,0)*0.475*44/12</f>
        <v>17.017721547447113</v>
      </c>
      <c r="AB118" s="21">
        <f>EXP(-LN(2)/2)*AB117+(1-EXP(-LN(2)/2))/(LN(2)/2)*V118*Y118*VLOOKUP('Données projet'!$B$9,Paramètres!$A$1:$I$89,3,0)*0.475*44/12</f>
        <v>0.74324649524072073</v>
      </c>
      <c r="AC118" s="22">
        <f t="shared" si="57"/>
        <v>73.83180695685283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11.343</v>
      </c>
      <c r="AI118" s="13">
        <f>IF('Données projet'!$A$62&gt;35,AI117+AH118-AQ117,IF(A118&lt;'Données projet'!$A$62,$AF$205^A118,IF(A118='Données projet'!$A$62,'Données projet'!$B$62,AI117+AH118-AQ117)))</f>
        <v>524.74099999999999</v>
      </c>
      <c r="AJ118" s="13">
        <f>AI118*VLOOKUP('Données projet'!$B$10,Paramètres!$A$1:$I$89,3,0)*VLOOKUP('Données projet'!$B$10,Paramètres!$A$1:$I$89,5,0)</f>
        <v>259.22205400000001</v>
      </c>
      <c r="AK118" s="13">
        <f t="shared" si="89"/>
        <v>62.556522397178718</v>
      </c>
      <c r="AL118" s="20">
        <f t="shared" si="58"/>
        <v>560.43102055841962</v>
      </c>
      <c r="AM118" s="59">
        <f t="shared" si="59"/>
        <v>853.76435389175299</v>
      </c>
      <c r="AN118" s="59">
        <f ca="1">AVERAGE(OFFSET($AM$3,0,0,'Données projet'!$E$10+1,1))-AVERAGE(OFFSET($H$3,0,0,'Données projet'!$E$10+1,1))</f>
        <v>265.57710796453807</v>
      </c>
      <c r="AO118" s="59">
        <f t="shared" si="90"/>
        <v>171.29436297508141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40.638478384286287</v>
      </c>
      <c r="AV118" s="21">
        <f>EXP(-LN(2)/25)*AV117+(1-EXP(-LN(2)/25))/(LN(2)/25)*Calculateur!AQ118*Calculateur!AS118*VLOOKUP('Données projet'!$B$10,Paramètres!$A$1:$I$89,3,0)*0.475*44/12</f>
        <v>16.074111466087924</v>
      </c>
      <c r="AW118" s="21">
        <f>EXP(-LN(2)/2)*AW117+(1-EXP(-LN(2)/2))/(LN(2)/2)*AQ118*AT118*VLOOKUP('Données projet'!$B$10,Paramètres!$A$1:$I$89,3,0)*0.475*44/12</f>
        <v>0.42413288285135342</v>
      </c>
      <c r="AX118" s="21">
        <f t="shared" si="60"/>
        <v>57.136722733225568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175.05987582828078</v>
      </c>
      <c r="BJ118" s="59">
        <f t="shared" si="92"/>
        <v>268.54782308462387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48.582387043097953</v>
      </c>
      <c r="BQ118" s="21">
        <f>EXP(-LN(2)/25)*BQ117+(1-EXP(-LN(2)/25))/(LN(2)/25)*Calculateur!BL118*Calculateur!BN118*VLOOKUP('Données projet'!$B$11,Paramètres!$A$1:$I$89,3,0)*0.475*44/12</f>
        <v>10.634411615132807</v>
      </c>
      <c r="BR118" s="21">
        <f>EXP(-LN(2)/2)*BR117+(1-EXP(-LN(2)/2))/(LN(2)/2)*BL118*BO118*VLOOKUP('Données projet'!$B$11,Paramètres!$A$1:$I$89,3,0)*0.475*44/12</f>
        <v>2.2717360961943464E-7</v>
      </c>
      <c r="BS118" s="22">
        <f t="shared" si="63"/>
        <v>59.216798885404366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4.3516666666666692</v>
      </c>
      <c r="N119" s="13">
        <f>IF('Données projet'!$A$36&gt;35,N118+M119-V118,IF(A119&lt;'Données projet'!$A$36,$K$205^A119,IF(A119='Données projet'!$A$36,'Données projet'!$B$36,N118+M119-V118)))</f>
        <v>472.40333333333342</v>
      </c>
      <c r="O119" s="13">
        <f>N119*VLOOKUP('Données projet'!$B$9,Paramètres!$A$1:$I$89,3,0)*VLOOKUP('Données projet'!$B$9,Paramètres!$A$1:$I$89,5,0)</f>
        <v>264.07346333333339</v>
      </c>
      <c r="P119" s="13">
        <f t="shared" si="87"/>
        <v>63.589888565435864</v>
      </c>
      <c r="Q119" s="20">
        <f t="shared" si="107"/>
        <v>570.68033789035644</v>
      </c>
      <c r="R119" s="59">
        <f t="shared" si="55"/>
        <v>864.0136712236897</v>
      </c>
      <c r="S119" s="59">
        <f ca="1">AVERAGE(OFFSET($R$3,0,0,'Données projet'!$E$9+1,1))-AVERAGE(OFFSET($H$3,0,0,'Données projet'!$E$9+1,1))</f>
        <v>293.82673322742102</v>
      </c>
      <c r="T119" s="59">
        <f t="shared" si="88"/>
        <v>138.78566015867693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54.971323962893003</v>
      </c>
      <c r="AA119" s="21">
        <f>EXP(-LN(2)/25)*AA118+(1-EXP(-LN(2)/25))/(LN(2)/25)*Calculateur!V119*Calculateur!X119*VLOOKUP('Données projet'!$B$9,Paramètres!$A$1:$I$89,3,0)*0.475*44/12</f>
        <v>16.55237105680909</v>
      </c>
      <c r="AB119" s="21">
        <f>EXP(-LN(2)/2)*AB118+(1-EXP(-LN(2)/2))/(LN(2)/2)*V119*Y119*VLOOKUP('Données projet'!$B$9,Paramètres!$A$1:$I$89,3,0)*0.475*44/12</f>
        <v>0.52555463687784865</v>
      </c>
      <c r="AC119" s="22">
        <f t="shared" si="57"/>
        <v>72.049249656579931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11.343</v>
      </c>
      <c r="AI119" s="13">
        <f>IF('Données projet'!$A$62&gt;35,AI118+AH119-AQ118,IF(A119&lt;'Données projet'!$A$62,$AF$205^A119,IF(A119='Données projet'!$A$62,'Données projet'!$B$62,AI118+AH119-AQ118)))</f>
        <v>536.08399999999995</v>
      </c>
      <c r="AJ119" s="13">
        <f>AI119*VLOOKUP('Données projet'!$B$10,Paramètres!$A$1:$I$89,3,0)*VLOOKUP('Données projet'!$B$10,Paramètres!$A$1:$I$89,5,0)</f>
        <v>264.82549599999999</v>
      </c>
      <c r="AK119" s="13">
        <f t="shared" si="89"/>
        <v>63.749875237523646</v>
      </c>
      <c r="AL119" s="20">
        <f t="shared" si="58"/>
        <v>572.26877157202034</v>
      </c>
      <c r="AM119" s="59">
        <f t="shared" si="59"/>
        <v>865.6021049053536</v>
      </c>
      <c r="AN119" s="59">
        <f ca="1">AVERAGE(OFFSET($AM$3,0,0,'Données projet'!$E$10+1,1))-AVERAGE(OFFSET($H$3,0,0,'Données projet'!$E$10+1,1))</f>
        <v>265.57710796453807</v>
      </c>
      <c r="AO119" s="59">
        <f t="shared" si="90"/>
        <v>171.29436297508141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39.841582610194735</v>
      </c>
      <c r="AV119" s="21">
        <f>EXP(-LN(2)/25)*AV118+(1-EXP(-LN(2)/25))/(LN(2)/25)*Calculateur!AQ119*Calculateur!AS119*VLOOKUP('Données projet'!$B$10,Paramètres!$A$1:$I$89,3,0)*0.475*44/12</f>
        <v>15.634564042746966</v>
      </c>
      <c r="AW119" s="21">
        <f>EXP(-LN(2)/2)*AW118+(1-EXP(-LN(2)/2))/(LN(2)/2)*AQ119*AT119*VLOOKUP('Données projet'!$B$10,Paramètres!$A$1:$I$89,3,0)*0.475*44/12</f>
        <v>0.29990723758839161</v>
      </c>
      <c r="AX119" s="21">
        <f t="shared" si="60"/>
        <v>55.776053890530093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175.05987582828078</v>
      </c>
      <c r="BJ119" s="59">
        <f t="shared" si="92"/>
        <v>268.54782308462387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47.629716065512952</v>
      </c>
      <c r="BQ119" s="21">
        <f>EXP(-LN(2)/25)*BQ118+(1-EXP(-LN(2)/25))/(LN(2)/25)*Calculateur!BL119*Calculateur!BN119*VLOOKUP('Données projet'!$B$11,Paramètres!$A$1:$I$89,3,0)*0.475*44/12</f>
        <v>10.343613070277598</v>
      </c>
      <c r="BR119" s="21">
        <f>EXP(-LN(2)/2)*BR118+(1-EXP(-LN(2)/2))/(LN(2)/2)*BL119*BO119*VLOOKUP('Données projet'!$B$11,Paramètres!$A$1:$I$89,3,0)*0.475*44/12</f>
        <v>1.6063599986852774E-7</v>
      </c>
      <c r="BS119" s="22">
        <f t="shared" si="63"/>
        <v>57.973329296426549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4.3516666666666692</v>
      </c>
      <c r="N120" s="13">
        <f>IF('Données projet'!$A$36&gt;35,N119+M120-V119,IF(A120&lt;'Données projet'!$A$36,$K$205^A120,IF(A120='Données projet'!$A$36,'Données projet'!$B$36,N119+M120-V119)))</f>
        <v>476.75500000000011</v>
      </c>
      <c r="O120" s="13">
        <f>N120*VLOOKUP('Données projet'!$B$9,Paramètres!$A$1:$I$89,3,0)*VLOOKUP('Données projet'!$B$9,Paramètres!$A$1:$I$89,5,0)</f>
        <v>266.50604500000009</v>
      </c>
      <c r="P120" s="13">
        <f t="shared" si="87"/>
        <v>64.10720268899766</v>
      </c>
      <c r="Q120" s="20">
        <f t="shared" si="107"/>
        <v>575.81807305833763</v>
      </c>
      <c r="R120" s="59">
        <f t="shared" si="55"/>
        <v>869.15140639167089</v>
      </c>
      <c r="S120" s="59">
        <f ca="1">AVERAGE(OFFSET($R$3,0,0,'Données projet'!$E$9+1,1))-AVERAGE(OFFSET($H$3,0,0,'Données projet'!$E$9+1,1))</f>
        <v>293.82673322742102</v>
      </c>
      <c r="T120" s="59">
        <f t="shared" si="88"/>
        <v>138.78566015867693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53.893369829177558</v>
      </c>
      <c r="AA120" s="21">
        <f>EXP(-LN(2)/25)*AA119+(1-EXP(-LN(2)/25))/(LN(2)/25)*Calculateur!V120*Calculateur!X120*VLOOKUP('Données projet'!$B$9,Paramètres!$A$1:$I$89,3,0)*0.475*44/12</f>
        <v>16.099745599809282</v>
      </c>
      <c r="AB120" s="21">
        <f>EXP(-LN(2)/2)*AB119+(1-EXP(-LN(2)/2))/(LN(2)/2)*V120*Y120*VLOOKUP('Données projet'!$B$9,Paramètres!$A$1:$I$89,3,0)*0.475*44/12</f>
        <v>0.37162324762036036</v>
      </c>
      <c r="AC120" s="22">
        <f t="shared" si="57"/>
        <v>70.364738676607203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11.343</v>
      </c>
      <c r="AI120" s="13">
        <f>IF('Données projet'!$A$62&gt;35,AI119+AH120-AQ119,IF(A120&lt;'Données projet'!$A$62,$AF$205^A120,IF(A120='Données projet'!$A$62,'Données projet'!$B$62,AI119+AH120-AQ119)))</f>
        <v>547.42699999999991</v>
      </c>
      <c r="AJ120" s="13">
        <f>AI120*VLOOKUP('Données projet'!$B$10,Paramètres!$A$1:$I$89,3,0)*VLOOKUP('Données projet'!$B$10,Paramètres!$A$1:$I$89,5,0)</f>
        <v>270.42893799999996</v>
      </c>
      <c r="AK120" s="13">
        <f t="shared" si="89"/>
        <v>64.940292345312301</v>
      </c>
      <c r="AL120" s="20">
        <f t="shared" si="58"/>
        <v>584.10140951808546</v>
      </c>
      <c r="AM120" s="59">
        <f t="shared" si="59"/>
        <v>877.43474285141883</v>
      </c>
      <c r="AN120" s="59">
        <f ca="1">AVERAGE(OFFSET($AM$3,0,0,'Données projet'!$E$10+1,1))-AVERAGE(OFFSET($H$3,0,0,'Données projet'!$E$10+1,1))</f>
        <v>265.57710796453807</v>
      </c>
      <c r="AO120" s="59">
        <f t="shared" si="90"/>
        <v>171.29436297508141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39.060313476174684</v>
      </c>
      <c r="AV120" s="21">
        <f>EXP(-LN(2)/25)*AV119+(1-EXP(-LN(2)/25))/(LN(2)/25)*Calculateur!AQ120*Calculateur!AS120*VLOOKUP('Données projet'!$B$10,Paramètres!$A$1:$I$89,3,0)*0.475*44/12</f>
        <v>15.20703606681206</v>
      </c>
      <c r="AW120" s="21">
        <f>EXP(-LN(2)/2)*AW119+(1-EXP(-LN(2)/2))/(LN(2)/2)*AQ120*AT120*VLOOKUP('Données projet'!$B$10,Paramètres!$A$1:$I$89,3,0)*0.475*44/12</f>
        <v>0.21206644142567677</v>
      </c>
      <c r="AX120" s="21">
        <f t="shared" si="60"/>
        <v>54.47941598441242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175.05987582828078</v>
      </c>
      <c r="BJ120" s="59">
        <f t="shared" si="92"/>
        <v>268.54782308462387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46.69572638472647</v>
      </c>
      <c r="BQ120" s="21">
        <f>EXP(-LN(2)/25)*BQ119+(1-EXP(-LN(2)/25))/(LN(2)/25)*Calculateur!BL120*Calculateur!BN120*VLOOKUP('Données projet'!$B$11,Paramètres!$A$1:$I$89,3,0)*0.475*44/12</f>
        <v>10.060766426923887</v>
      </c>
      <c r="BR120" s="21">
        <f>EXP(-LN(2)/2)*BR119+(1-EXP(-LN(2)/2))/(LN(2)/2)*BL120*BO120*VLOOKUP('Données projet'!$B$11,Paramètres!$A$1:$I$89,3,0)*0.475*44/12</f>
        <v>1.1358680480971732E-7</v>
      </c>
      <c r="BS120" s="22">
        <f t="shared" si="63"/>
        <v>56.756492925237168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4.3516666666666692</v>
      </c>
      <c r="N121" s="13">
        <f>IF('Données projet'!$A$36&gt;35,N120+M121-V120,IF(A121&lt;'Données projet'!$A$36,$K$205^A121,IF(A121='Données projet'!$A$36,'Données projet'!$B$36,N120+M121-V120)))</f>
        <v>481.1066666666668</v>
      </c>
      <c r="O121" s="13">
        <f>N121*VLOOKUP('Données projet'!$B$9,Paramètres!$A$1:$I$89,3,0)*VLOOKUP('Données projet'!$B$9,Paramètres!$A$1:$I$89,5,0)</f>
        <v>268.93862666666678</v>
      </c>
      <c r="P121" s="13">
        <f t="shared" si="87"/>
        <v>64.623967469845283</v>
      </c>
      <c r="Q121" s="20">
        <f t="shared" si="107"/>
        <v>580.95485145442512</v>
      </c>
      <c r="R121" s="59">
        <f t="shared" si="55"/>
        <v>874.28818478775838</v>
      </c>
      <c r="S121" s="59">
        <f ca="1">AVERAGE(OFFSET($R$3,0,0,'Données projet'!$E$9+1,1))-AVERAGE(OFFSET($H$3,0,0,'Données projet'!$E$9+1,1))</f>
        <v>293.82673322742102</v>
      </c>
      <c r="T121" s="59">
        <f t="shared" si="88"/>
        <v>138.78566015867693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52.836553718537168</v>
      </c>
      <c r="AA121" s="21">
        <f>EXP(-LN(2)/25)*AA120+(1-EXP(-LN(2)/25))/(LN(2)/25)*Calculateur!V121*Calculateur!X121*VLOOKUP('Données projet'!$B$9,Paramètres!$A$1:$I$89,3,0)*0.475*44/12</f>
        <v>15.659497209733672</v>
      </c>
      <c r="AB121" s="21">
        <f>EXP(-LN(2)/2)*AB120+(1-EXP(-LN(2)/2))/(LN(2)/2)*V121*Y121*VLOOKUP('Données projet'!$B$9,Paramètres!$A$1:$I$89,3,0)*0.475*44/12</f>
        <v>0.26277731843892432</v>
      </c>
      <c r="AC121" s="22">
        <f t="shared" si="57"/>
        <v>68.758828246709768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>
        <f>VLOOKUP(A121,'Données projet'!$A$61:$I$81,2,0)</f>
        <v>558.77</v>
      </c>
      <c r="AG121" s="12">
        <f>VLOOKUP(A121,'Données projet'!$A$61:$I$81,9,0)</f>
        <v>11.343</v>
      </c>
      <c r="AH121" s="12">
        <f t="array" ref="AH121">INDEX(AG:AG,MIN(IF(ISNUMBER(AG121:AG317),ROW(AG121:AG317),"")))</f>
        <v>11.343</v>
      </c>
      <c r="AI121" s="13">
        <f>IF('Données projet'!$A$62&gt;35,AI120+AH121-AQ120,IF(A121&lt;'Données projet'!$A$62,$AF$205^A121,IF(A121='Données projet'!$A$62,'Données projet'!$B$62,AI120+AH121-AQ120)))</f>
        <v>558.76999999999987</v>
      </c>
      <c r="AJ121" s="13">
        <f>AI121*VLOOKUP('Données projet'!$B$10,Paramètres!$A$1:$I$89,3,0)*VLOOKUP('Données projet'!$B$10,Paramètres!$A$1:$I$89,5,0)</f>
        <v>276.03237999999993</v>
      </c>
      <c r="AK121" s="13">
        <f t="shared" si="89"/>
        <v>66.127841559188212</v>
      </c>
      <c r="AL121" s="20">
        <f t="shared" si="58"/>
        <v>595.92905254891923</v>
      </c>
      <c r="AM121" s="59">
        <f t="shared" si="59"/>
        <v>889.2623858822526</v>
      </c>
      <c r="AN121" s="59">
        <f ca="1">AVERAGE(OFFSET($AM$3,0,0,'Données projet'!$E$10+1,1))-AVERAGE(OFFSET($H$3,0,0,'Données projet'!$E$10+1,1))</f>
        <v>265.57710796453807</v>
      </c>
      <c r="AO121" s="59">
        <f t="shared" si="90"/>
        <v>171.29436297508141</v>
      </c>
      <c r="AP121" s="15">
        <f>IF(ISNA(VLOOKUP(A121,'Données projet'!$A$61:$I$81,3,0)),0,VLOOKUP(A121,'Données projet'!$A$61:$I$81,3,0))</f>
        <v>8</v>
      </c>
      <c r="AQ121" s="15">
        <f>IF(ISNA(VLOOKUP(A121,'Données projet'!$A$61:$I$81,4,0)),0,VLOOKUP(A121,'Données projet'!$A$61:$I$81,4,0))</f>
        <v>81.81</v>
      </c>
      <c r="AR121" s="16">
        <f>IF(ISNA(VLOOKUP(A121,'Données projet'!$A$61:$I$81,5,0)),0%,VLOOKUP(A121,'Données projet'!$A$61:$I$81,5,0)*VLOOKUP('Données projet'!$B$10,Paramètres!$A$1:$I$89,7,0))</f>
        <v>0.22000000000000003</v>
      </c>
      <c r="AS121" s="16">
        <f>IF(ISNA(VLOOKUP(A121,'Données projet'!$A$61:$I$81,6,0)),0%,VLOOKUP(A121,'Données projet'!$A$61:$I$81,6,0)*VLOOKUP('Données projet'!$B$10,Paramètres!$A$1:$I$89,7,0))</f>
        <v>5.5000000000000007E-2</v>
      </c>
      <c r="AT121" s="16">
        <f>IF(ISNA(VLOOKUP(A121,'Données projet'!$A$61:$I$81,7,0)),0%,VLOOKUP(A121,'Données projet'!$A$61:$I$81,7,0))</f>
        <v>0.1</v>
      </c>
      <c r="AU121" s="21">
        <f>EXP(-LN(2)/35)*AU120+(1-EXP(-LN(2)/35))/(LN(2)/35)*AQ121*AR121*VLOOKUP('Données projet'!$B$10,Paramètres!$A$1:$I$89,3,0)*0.475*44/12</f>
        <v>50.088996110000267</v>
      </c>
      <c r="AV121" s="21">
        <f>EXP(-LN(2)/25)*AV120+(1-EXP(-LN(2)/25))/(LN(2)/25)*Calculateur!AQ121*Calculateur!AS121*VLOOKUP('Données projet'!$B$10,Paramètres!$A$1:$I$89,3,0)*0.475*44/12</f>
        <v>17.728246765389091</v>
      </c>
      <c r="AW121" s="21">
        <f>EXP(-LN(2)/2)*AW120+(1-EXP(-LN(2)/2))/(LN(2)/2)*AQ121*AT121*VLOOKUP('Données projet'!$B$10,Paramètres!$A$1:$I$89,3,0)*0.475*44/12</f>
        <v>4.7257730772698192</v>
      </c>
      <c r="AX121" s="21">
        <f t="shared" si="60"/>
        <v>72.543015952659175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175.05987582828078</v>
      </c>
      <c r="BJ121" s="59">
        <f t="shared" si="92"/>
        <v>268.54782308462387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45.780051671902754</v>
      </c>
      <c r="BQ121" s="21">
        <f>EXP(-LN(2)/25)*BQ120+(1-EXP(-LN(2)/25))/(LN(2)/25)*Calculateur!BL121*Calculateur!BN121*VLOOKUP('Données projet'!$B$11,Paramètres!$A$1:$I$89,3,0)*0.475*44/12</f>
        <v>9.7856542399069415</v>
      </c>
      <c r="BR121" s="21">
        <f>EXP(-LN(2)/2)*BR120+(1-EXP(-LN(2)/2))/(LN(2)/2)*BL121*BO121*VLOOKUP('Données projet'!$B$11,Paramètres!$A$1:$I$89,3,0)*0.475*44/12</f>
        <v>8.0317999934263869E-8</v>
      </c>
      <c r="BS121" s="22">
        <f t="shared" si="63"/>
        <v>55.565705992127697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4.3516666666666692</v>
      </c>
      <c r="N122" s="13">
        <f>IF('Données projet'!$A$36&gt;35,N121+M122-V121,IF(A122&lt;'Données projet'!$A$36,$K$205^A122,IF(A122='Données projet'!$A$36,'Données projet'!$B$36,N121+M122-V121)))</f>
        <v>485.45833333333348</v>
      </c>
      <c r="O122" s="13">
        <f>N122*VLOOKUP('Données projet'!$B$9,Paramètres!$A$1:$I$89,3,0)*VLOOKUP('Données projet'!$B$9,Paramètres!$A$1:$I$89,5,0)</f>
        <v>271.37120833333341</v>
      </c>
      <c r="P122" s="13">
        <f t="shared" si="87"/>
        <v>65.140188452457693</v>
      </c>
      <c r="Q122" s="20">
        <f t="shared" si="107"/>
        <v>586.09068273525281</v>
      </c>
      <c r="R122" s="59">
        <f t="shared" si="55"/>
        <v>879.42401606858607</v>
      </c>
      <c r="S122" s="59">
        <f ca="1">AVERAGE(OFFSET($R$3,0,0,'Données projet'!$E$9+1,1))-AVERAGE(OFFSET($H$3,0,0,'Données projet'!$E$9+1,1))</f>
        <v>293.82673322742102</v>
      </c>
      <c r="T122" s="59">
        <f t="shared" si="88"/>
        <v>138.78566015867693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51.800461127232261</v>
      </c>
      <c r="AA122" s="21">
        <f>EXP(-LN(2)/25)*AA121+(1-EXP(-LN(2)/25))/(LN(2)/25)*Calculateur!V122*Calculateur!X122*VLOOKUP('Données projet'!$B$9,Paramètres!$A$1:$I$89,3,0)*0.475*44/12</f>
        <v>15.231287435036338</v>
      </c>
      <c r="AB122" s="21">
        <f>EXP(-LN(2)/2)*AB121+(1-EXP(-LN(2)/2))/(LN(2)/2)*V122*Y122*VLOOKUP('Données projet'!$B$9,Paramètres!$A$1:$I$89,3,0)*0.475*44/12</f>
        <v>0.18581162381018018</v>
      </c>
      <c r="AC122" s="22">
        <f t="shared" si="57"/>
        <v>67.217560186078785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10.501000000000005</v>
      </c>
      <c r="AI122" s="13">
        <f>IF('Données projet'!$A$62&gt;35,AI121+AH122-AQ121,IF(A122&lt;'Données projet'!$A$62,$AF$205^A122,IF(A122='Données projet'!$A$62,'Données projet'!$B$62,AI121+AH122-AQ121)))</f>
        <v>487.46099999999984</v>
      </c>
      <c r="AJ122" s="13">
        <f>AI122*VLOOKUP('Données projet'!$B$10,Paramètres!$A$1:$I$89,3,0)*VLOOKUP('Données projet'!$B$10,Paramètres!$A$1:$I$89,5,0)</f>
        <v>240.80573399999992</v>
      </c>
      <c r="AK122" s="13">
        <f t="shared" si="89"/>
        <v>58.612854247177353</v>
      </c>
      <c r="AL122" s="20">
        <f t="shared" si="58"/>
        <v>521.48737453050035</v>
      </c>
      <c r="AM122" s="59">
        <f t="shared" si="59"/>
        <v>814.8207078638336</v>
      </c>
      <c r="AN122" s="59">
        <f ca="1">AVERAGE(OFFSET($AM$3,0,0,'Données projet'!$E$10+1,1))-AVERAGE(OFFSET($H$3,0,0,'Données projet'!$E$10+1,1))</f>
        <v>265.57710796453807</v>
      </c>
      <c r="AO122" s="59">
        <f t="shared" si="90"/>
        <v>171.29436297508141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49.106781447554098</v>
      </c>
      <c r="AV122" s="21">
        <f>EXP(-LN(2)/25)*AV121+(1-EXP(-LN(2)/25))/(LN(2)/25)*Calculateur!AQ122*Calculateur!AS122*VLOOKUP('Données projet'!$B$10,Paramètres!$A$1:$I$89,3,0)*0.475*44/12</f>
        <v>17.243466925301547</v>
      </c>
      <c r="AW122" s="21">
        <f>EXP(-LN(2)/2)*AW121+(1-EXP(-LN(2)/2))/(LN(2)/2)*AQ122*AT122*VLOOKUP('Données projet'!$B$10,Paramètres!$A$1:$I$89,3,0)*0.475*44/12</f>
        <v>3.3416261892863077</v>
      </c>
      <c r="AX122" s="21">
        <f t="shared" si="60"/>
        <v>69.691874562141948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175.05987582828078</v>
      </c>
      <c r="BJ122" s="59">
        <f t="shared" si="92"/>
        <v>268.54782308462387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44.882332781691083</v>
      </c>
      <c r="BQ122" s="21">
        <f>EXP(-LN(2)/25)*BQ121+(1-EXP(-LN(2)/25))/(LN(2)/25)*Calculateur!BL122*Calculateur!BN122*VLOOKUP('Données projet'!$B$11,Paramètres!$A$1:$I$89,3,0)*0.475*44/12</f>
        <v>9.5180650101114956</v>
      </c>
      <c r="BR122" s="21">
        <f>EXP(-LN(2)/2)*BR121+(1-EXP(-LN(2)/2))/(LN(2)/2)*BL122*BO122*VLOOKUP('Données projet'!$B$11,Paramètres!$A$1:$I$89,3,0)*0.475*44/12</f>
        <v>5.6793402404858661E-8</v>
      </c>
      <c r="BS122" s="22">
        <f t="shared" si="63"/>
        <v>54.400397848595979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489.81</v>
      </c>
      <c r="L123" s="12">
        <f>VLOOKUP(A123,'Données projet'!$A$35:$I$55,9,0)</f>
        <v>4.3516666666666692</v>
      </c>
      <c r="M123" s="12">
        <f t="array" ref="M123">INDEX(L:L,MIN(IF(ISNUMBER(L123:L319),ROW(L123:L319),"")))</f>
        <v>4.3516666666666692</v>
      </c>
      <c r="N123" s="13">
        <f>IF('Données projet'!$A$36&gt;35,N122+M123-V122,IF(A123&lt;'Données projet'!$A$36,$K$205^A123,IF(A123='Données projet'!$A$36,'Données projet'!$B$36,N122+M123-V122)))</f>
        <v>489.81000000000017</v>
      </c>
      <c r="O123" s="13">
        <f>N123*VLOOKUP('Données projet'!$B$9,Paramètres!$A$1:$I$89,3,0)*VLOOKUP('Données projet'!$B$9,Paramètres!$A$1:$I$89,5,0)</f>
        <v>273.80379000000011</v>
      </c>
      <c r="P123" s="13">
        <f t="shared" si="87"/>
        <v>65.655871076177263</v>
      </c>
      <c r="Q123" s="20">
        <f t="shared" si="107"/>
        <v>591.22557637434227</v>
      </c>
      <c r="R123" s="59">
        <f t="shared" si="55"/>
        <v>884.55890970767564</v>
      </c>
      <c r="S123" s="59">
        <f ca="1">AVERAGE(OFFSET($R$3,0,0,'Données projet'!$E$9+1,1))-AVERAGE(OFFSET($H$3,0,0,'Données projet'!$E$9+1,1))</f>
        <v>293.82673322742102</v>
      </c>
      <c r="T123" s="59">
        <f t="shared" si="88"/>
        <v>138.78566015867693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489.81</v>
      </c>
      <c r="W123" s="16">
        <f>IF(ISNA(VLOOKUP(A123,'Données projet'!$A$35:$I$55,5,0)),0%,VLOOKUP(A123,'Données projet'!$A$35:$I$55,5,0)*VLOOKUP('Données projet'!$B$9,Paramètres!$A$1:$I$89,7,0))</f>
        <v>0.33</v>
      </c>
      <c r="X123" s="16">
        <f>IF(ISNA(VLOOKUP(A123,'Données projet'!$A$35:$I$55,6,0)),0%,VLOOKUP(A123,'Données projet'!$A$35:$I$55,6,0)*VLOOKUP('Données projet'!$B$9,Paramètres!$A$1:$I$89,7,0))</f>
        <v>0.11000000000000001</v>
      </c>
      <c r="Y123" s="16">
        <f>IF(ISNA(VLOOKUP(A123,'Données projet'!$A$35:$I$55,7,0)),0%,VLOOKUP(A123,'Données projet'!$A$35:$I$55,7,0))</f>
        <v>0.2</v>
      </c>
      <c r="Z123" s="21">
        <f>EXP(-LN(2)/35)*Z122+(1-EXP(-LN(2)/35))/(LN(2)/35)*V123*W123*VLOOKUP('Données projet'!$B$9,Paramètres!$A$1:$I$89,3,0)*0.475*44/12</f>
        <v>170.64674962063742</v>
      </c>
      <c r="AA123" s="21">
        <f>EXP(-LN(2)/25)*AA122+(1-EXP(-LN(2)/25))/(LN(2)/25)*Calculateur!V123*Calculateur!X123*VLOOKUP('Données projet'!$B$9,Paramètres!$A$1:$I$89,3,0)*0.475*44/12</f>
        <v>54.611494187208748</v>
      </c>
      <c r="AB123" s="21">
        <f>EXP(-LN(2)/2)*AB122+(1-EXP(-LN(2)/2))/(LN(2)/2)*V123*Y123*VLOOKUP('Données projet'!$B$9,Paramètres!$A$1:$I$89,3,0)*0.475*44/12</f>
        <v>62.133287503850255</v>
      </c>
      <c r="AC123" s="22">
        <f t="shared" si="57"/>
        <v>287.39153131169644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10.501000000000005</v>
      </c>
      <c r="AI123" s="13">
        <f>IF('Données projet'!$A$62&gt;35,AI122+AH123-AQ122,IF(A123&lt;'Données projet'!$A$62,$AF$205^A123,IF(A123='Données projet'!$A$62,'Données projet'!$B$62,AI122+AH123-AQ122)))</f>
        <v>497.96199999999988</v>
      </c>
      <c r="AJ123" s="13">
        <f>AI123*VLOOKUP('Données projet'!$B$10,Paramètres!$A$1:$I$89,3,0)*VLOOKUP('Données projet'!$B$10,Paramètres!$A$1:$I$89,5,0)</f>
        <v>245.99322799999993</v>
      </c>
      <c r="AK123" s="13">
        <f t="shared" si="89"/>
        <v>59.727145806098768</v>
      </c>
      <c r="AL123" s="20">
        <f t="shared" si="58"/>
        <v>532.46298437895518</v>
      </c>
      <c r="AM123" s="59">
        <f t="shared" si="59"/>
        <v>825.79631771228856</v>
      </c>
      <c r="AN123" s="59">
        <f ca="1">AVERAGE(OFFSET($AM$3,0,0,'Données projet'!$E$10+1,1))-AVERAGE(OFFSET($H$3,0,0,'Données projet'!$E$10+1,1))</f>
        <v>265.57710796453807</v>
      </c>
      <c r="AO123" s="59">
        <f t="shared" si="90"/>
        <v>171.29436297508141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48.143827415546717</v>
      </c>
      <c r="AV123" s="21">
        <f>EXP(-LN(2)/25)*AV122+(1-EXP(-LN(2)/25))/(LN(2)/25)*Calculateur!AQ123*Calculateur!AS123*VLOOKUP('Données projet'!$B$10,Paramètres!$A$1:$I$89,3,0)*0.475*44/12</f>
        <v>16.771943415434663</v>
      </c>
      <c r="AW123" s="21">
        <f>EXP(-LN(2)/2)*AW122+(1-EXP(-LN(2)/2))/(LN(2)/2)*AQ123*AT123*VLOOKUP('Données projet'!$B$10,Paramètres!$A$1:$I$89,3,0)*0.475*44/12</f>
        <v>2.36288653863491</v>
      </c>
      <c r="AX123" s="21">
        <f t="shared" si="60"/>
        <v>67.278657369616298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175.05987582828078</v>
      </c>
      <c r="BJ123" s="59">
        <f t="shared" si="92"/>
        <v>268.54782308462387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44.002217611362013</v>
      </c>
      <c r="BQ123" s="21">
        <f>EXP(-LN(2)/25)*BQ122+(1-EXP(-LN(2)/25))/(LN(2)/25)*Calculateur!BL123*Calculateur!BN123*VLOOKUP('Données projet'!$B$11,Paramètres!$A$1:$I$89,3,0)*0.475*44/12</f>
        <v>9.2577930218767115</v>
      </c>
      <c r="BR123" s="21">
        <f>EXP(-LN(2)/2)*BR122+(1-EXP(-LN(2)/2))/(LN(2)/2)*BL123*BO123*VLOOKUP('Données projet'!$B$11,Paramètres!$A$1:$I$89,3,0)*0.475*44/12</f>
        <v>4.0158999967131934E-8</v>
      </c>
      <c r="BS123" s="22">
        <f t="shared" si="63"/>
        <v>53.260010673397723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1.7053025658242404E-13</v>
      </c>
      <c r="O124" s="13">
        <f>N124*VLOOKUP('Données projet'!$B$9,Paramètres!$A$1:$I$89,3,0)*VLOOKUP('Données projet'!$B$9,Paramètres!$A$1:$I$89,5,0)</f>
        <v>9.5326413429575044E-14</v>
      </c>
      <c r="P124" s="13">
        <f t="shared" si="87"/>
        <v>1.4400742856080346E-12</v>
      </c>
      <c r="Q124" s="20">
        <f t="shared" si="107"/>
        <v>2.6741562174905032E-12</v>
      </c>
      <c r="R124" s="59">
        <f t="shared" si="55"/>
        <v>293.33333333333599</v>
      </c>
      <c r="S124" s="59">
        <f ca="1">AVERAGE(OFFSET($R$3,0,0,'Données projet'!$E$9+1,1))-AVERAGE(OFFSET($H$3,0,0,'Données projet'!$E$9+1,1))</f>
        <v>293.82673322742102</v>
      </c>
      <c r="T124" s="59">
        <f t="shared" si="88"/>
        <v>138.78566015867693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167.30047094481654</v>
      </c>
      <c r="AA124" s="21">
        <f>EXP(-LN(2)/25)*AA123+(1-EXP(-LN(2)/25))/(LN(2)/25)*Calculateur!V124*Calculateur!X124*VLOOKUP('Données projet'!$B$9,Paramètres!$A$1:$I$89,3,0)*0.475*44/12</f>
        <v>53.118140006765863</v>
      </c>
      <c r="AB124" s="21">
        <f>EXP(-LN(2)/2)*AB123+(1-EXP(-LN(2)/2))/(LN(2)/2)*V124*Y124*VLOOKUP('Données projet'!$B$9,Paramètres!$A$1:$I$89,3,0)*0.475*44/12</f>
        <v>43.934868931385893</v>
      </c>
      <c r="AC124" s="22">
        <f t="shared" si="57"/>
        <v>264.35347988296826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10.501000000000005</v>
      </c>
      <c r="AI124" s="13">
        <f>IF('Données projet'!$A$62&gt;35,AI123+AH124-AQ123,IF(A124&lt;'Données projet'!$A$62,$AF$205^A124,IF(A124='Données projet'!$A$62,'Données projet'!$B$62,AI123+AH124-AQ123)))</f>
        <v>508.46299999999985</v>
      </c>
      <c r="AJ124" s="13">
        <f>AI124*VLOOKUP('Données projet'!$B$10,Paramètres!$A$1:$I$89,3,0)*VLOOKUP('Données projet'!$B$10,Paramètres!$A$1:$I$89,5,0)</f>
        <v>251.18072199999992</v>
      </c>
      <c r="AK124" s="13">
        <f t="shared" si="89"/>
        <v>60.838705322883627</v>
      </c>
      <c r="AL124" s="20">
        <f t="shared" si="58"/>
        <v>543.43383592068881</v>
      </c>
      <c r="AM124" s="59">
        <f t="shared" si="59"/>
        <v>836.76716925402206</v>
      </c>
      <c r="AN124" s="59">
        <f ca="1">AVERAGE(OFFSET($AM$3,0,0,'Données projet'!$E$10+1,1))-AVERAGE(OFFSET($H$3,0,0,'Données projet'!$E$10+1,1))</f>
        <v>265.57710796453807</v>
      </c>
      <c r="AO124" s="59">
        <f t="shared" si="90"/>
        <v>171.29436297508141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47.19975632476303</v>
      </c>
      <c r="AV124" s="21">
        <f>EXP(-LN(2)/25)*AV123+(1-EXP(-LN(2)/25))/(LN(2)/25)*Calculateur!AQ124*Calculateur!AS124*VLOOKUP('Données projet'!$B$10,Paramètres!$A$1:$I$89,3,0)*0.475*44/12</f>
        <v>16.313313740741432</v>
      </c>
      <c r="AW124" s="21">
        <f>EXP(-LN(2)/2)*AW123+(1-EXP(-LN(2)/2))/(LN(2)/2)*AQ124*AT124*VLOOKUP('Données projet'!$B$10,Paramètres!$A$1:$I$89,3,0)*0.475*44/12</f>
        <v>1.6708130946431541</v>
      </c>
      <c r="AX124" s="21">
        <f t="shared" si="60"/>
        <v>65.183883160147616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175.05987582828078</v>
      </c>
      <c r="BJ124" s="59">
        <f t="shared" si="92"/>
        <v>268.54782308462387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43.139360962705844</v>
      </c>
      <c r="BQ124" s="21">
        <f>EXP(-LN(2)/25)*BQ123+(1-EXP(-LN(2)/25))/(LN(2)/25)*Calculateur!BL124*Calculateur!BN124*VLOOKUP('Données projet'!$B$11,Paramètres!$A$1:$I$89,3,0)*0.475*44/12</f>
        <v>9.004638184847316</v>
      </c>
      <c r="BR124" s="21">
        <f>EXP(-LN(2)/2)*BR123+(1-EXP(-LN(2)/2))/(LN(2)/2)*BL124*BO124*VLOOKUP('Données projet'!$B$11,Paramètres!$A$1:$I$89,3,0)*0.475*44/12</f>
        <v>2.839670120242933E-8</v>
      </c>
      <c r="BS124" s="22">
        <f t="shared" si="63"/>
        <v>52.143999175949858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1.7053025658242404E-13</v>
      </c>
      <c r="O125" s="13">
        <f>N125*VLOOKUP('Données projet'!$B$9,Paramètres!$A$1:$I$89,3,0)*VLOOKUP('Données projet'!$B$9,Paramètres!$A$1:$I$89,5,0)</f>
        <v>9.5326413429575044E-14</v>
      </c>
      <c r="P125" s="13">
        <f t="shared" si="87"/>
        <v>1.4400742856080346E-12</v>
      </c>
      <c r="Q125" s="20">
        <f t="shared" si="107"/>
        <v>2.6741562174905032E-12</v>
      </c>
      <c r="R125" s="59">
        <f t="shared" si="55"/>
        <v>293.33333333333599</v>
      </c>
      <c r="S125" s="59">
        <f ca="1">AVERAGE(OFFSET($R$3,0,0,'Données projet'!$E$9+1,1))-AVERAGE(OFFSET($H$3,0,0,'Données projet'!$E$9+1,1))</f>
        <v>293.82673322742102</v>
      </c>
      <c r="T125" s="59">
        <f t="shared" si="88"/>
        <v>138.78566015867693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164.01981075280003</v>
      </c>
      <c r="AA125" s="21">
        <f>EXP(-LN(2)/25)*AA124+(1-EXP(-LN(2)/25))/(LN(2)/25)*Calculateur!V125*Calculateur!X125*VLOOKUP('Données projet'!$B$9,Paramètres!$A$1:$I$89,3,0)*0.475*44/12</f>
        <v>51.665621674919272</v>
      </c>
      <c r="AB125" s="21">
        <f>EXP(-LN(2)/2)*AB124+(1-EXP(-LN(2)/2))/(LN(2)/2)*V125*Y125*VLOOKUP('Données projet'!$B$9,Paramètres!$A$1:$I$89,3,0)*0.475*44/12</f>
        <v>31.066643751925131</v>
      </c>
      <c r="AC125" s="22">
        <f t="shared" si="57"/>
        <v>246.75207617964443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10.501000000000005</v>
      </c>
      <c r="AI125" s="13">
        <f>IF('Données projet'!$A$62&gt;35,AI124+AH125-AQ124,IF(A125&lt;'Données projet'!$A$62,$AF$205^A125,IF(A125='Données projet'!$A$62,'Données projet'!$B$62,AI124+AH125-AQ124)))</f>
        <v>518.96399999999983</v>
      </c>
      <c r="AJ125" s="13">
        <f>AI125*VLOOKUP('Données projet'!$B$10,Paramètres!$A$1:$I$89,3,0)*VLOOKUP('Données projet'!$B$10,Paramètres!$A$1:$I$89,5,0)</f>
        <v>256.36821599999996</v>
      </c>
      <c r="AK125" s="13">
        <f t="shared" si="89"/>
        <v>61.947595721912883</v>
      </c>
      <c r="AL125" s="20">
        <f t="shared" si="58"/>
        <v>554.4000387489981</v>
      </c>
      <c r="AM125" s="59">
        <f t="shared" si="59"/>
        <v>847.73337208233147</v>
      </c>
      <c r="AN125" s="59">
        <f ca="1">AVERAGE(OFFSET($AM$3,0,0,'Données projet'!$E$10+1,1))-AVERAGE(OFFSET($H$3,0,0,'Données projet'!$E$10+1,1))</f>
        <v>265.57710796453807</v>
      </c>
      <c r="AO125" s="59">
        <f t="shared" si="90"/>
        <v>171.29436297508141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46.274197892243109</v>
      </c>
      <c r="AV125" s="21">
        <f>EXP(-LN(2)/25)*AV124+(1-EXP(-LN(2)/25))/(LN(2)/25)*Calculateur!AQ125*Calculateur!AS125*VLOOKUP('Données projet'!$B$10,Paramètres!$A$1:$I$89,3,0)*0.475*44/12</f>
        <v>15.867225318620973</v>
      </c>
      <c r="AW125" s="21">
        <f>EXP(-LN(2)/2)*AW124+(1-EXP(-LN(2)/2))/(LN(2)/2)*AQ125*AT125*VLOOKUP('Données projet'!$B$10,Paramètres!$A$1:$I$89,3,0)*0.475*44/12</f>
        <v>1.1814432693174552</v>
      </c>
      <c r="AX125" s="21">
        <f t="shared" si="60"/>
        <v>63.322866480181538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175.05987582828078</v>
      </c>
      <c r="BJ125" s="59">
        <f t="shared" si="92"/>
        <v>268.54782308462387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42.293424406639232</v>
      </c>
      <c r="BQ125" s="21">
        <f>EXP(-LN(2)/25)*BQ124+(1-EXP(-LN(2)/25))/(LN(2)/25)*Calculateur!BL125*Calculateur!BN125*VLOOKUP('Données projet'!$B$11,Paramètres!$A$1:$I$89,3,0)*0.475*44/12</f>
        <v>8.7584058801493239</v>
      </c>
      <c r="BR125" s="21">
        <f>EXP(-LN(2)/2)*BR124+(1-EXP(-LN(2)/2))/(LN(2)/2)*BL125*BO125*VLOOKUP('Données projet'!$B$11,Paramètres!$A$1:$I$89,3,0)*0.475*44/12</f>
        <v>2.0079499983565967E-8</v>
      </c>
      <c r="BS125" s="22">
        <f t="shared" si="63"/>
        <v>51.051830306868055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1.7053025658242404E-13</v>
      </c>
      <c r="O126" s="13">
        <f>N126*VLOOKUP('Données projet'!$B$9,Paramètres!$A$1:$I$89,3,0)*VLOOKUP('Données projet'!$B$9,Paramètres!$A$1:$I$89,5,0)</f>
        <v>9.5326413429575044E-14</v>
      </c>
      <c r="P126" s="13">
        <f t="shared" si="87"/>
        <v>1.4400742856080346E-12</v>
      </c>
      <c r="Q126" s="20">
        <f t="shared" si="107"/>
        <v>2.6741562174905032E-12</v>
      </c>
      <c r="R126" s="59">
        <f t="shared" si="55"/>
        <v>293.33333333333599</v>
      </c>
      <c r="S126" s="59">
        <f ca="1">AVERAGE(OFFSET($R$3,0,0,'Données projet'!$E$9+1,1))-AVERAGE(OFFSET($H$3,0,0,'Données projet'!$E$9+1,1))</f>
        <v>293.82673322742102</v>
      </c>
      <c r="T126" s="59">
        <f t="shared" si="88"/>
        <v>138.78566015867693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160.80348230614382</v>
      </c>
      <c r="AA126" s="21">
        <f>EXP(-LN(2)/25)*AA125+(1-EXP(-LN(2)/25))/(LN(2)/25)*Calculateur!V126*Calculateur!X126*VLOOKUP('Données projet'!$B$9,Paramètres!$A$1:$I$89,3,0)*0.475*44/12</f>
        <v>50.252822533241641</v>
      </c>
      <c r="AB126" s="21">
        <f>EXP(-LN(2)/2)*AB125+(1-EXP(-LN(2)/2))/(LN(2)/2)*V126*Y126*VLOOKUP('Données projet'!$B$9,Paramètres!$A$1:$I$89,3,0)*0.475*44/12</f>
        <v>21.96743446569295</v>
      </c>
      <c r="AC126" s="22">
        <f t="shared" si="57"/>
        <v>233.02373930507841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10.501000000000005</v>
      </c>
      <c r="AI126" s="13">
        <f>IF('Données projet'!$A$62&gt;35,AI125+AH126-AQ125,IF(A126&lt;'Données projet'!$A$62,$AF$205^A126,IF(A126='Données projet'!$A$62,'Données projet'!$B$62,AI125+AH126-AQ125)))</f>
        <v>529.4649999999998</v>
      </c>
      <c r="AJ126" s="13">
        <f>AI126*VLOOKUP('Données projet'!$B$10,Paramètres!$A$1:$I$89,3,0)*VLOOKUP('Données projet'!$B$10,Paramètres!$A$1:$I$89,5,0)</f>
        <v>261.55570999999992</v>
      </c>
      <c r="AK126" s="13">
        <f t="shared" si="89"/>
        <v>63.053877235488947</v>
      </c>
      <c r="AL126" s="20">
        <f t="shared" si="58"/>
        <v>565.36169776847635</v>
      </c>
      <c r="AM126" s="59">
        <f t="shared" si="59"/>
        <v>858.69503110180972</v>
      </c>
      <c r="AN126" s="59">
        <f ca="1">AVERAGE(OFFSET($AM$3,0,0,'Données projet'!$E$10+1,1))-AVERAGE(OFFSET($H$3,0,0,'Données projet'!$E$10+1,1))</f>
        <v>265.57710796453807</v>
      </c>
      <c r="AO126" s="59">
        <f t="shared" si="90"/>
        <v>171.29436297508141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45.366789096049999</v>
      </c>
      <c r="AV126" s="21">
        <f>EXP(-LN(2)/25)*AV125+(1-EXP(-LN(2)/25))/(LN(2)/25)*Calculateur!AQ126*Calculateur!AS126*VLOOKUP('Données projet'!$B$10,Paramètres!$A$1:$I$89,3,0)*0.475*44/12</f>
        <v>15.433335207862168</v>
      </c>
      <c r="AW126" s="21">
        <f>EXP(-LN(2)/2)*AW125+(1-EXP(-LN(2)/2))/(LN(2)/2)*AQ126*AT126*VLOOKUP('Données projet'!$B$10,Paramètres!$A$1:$I$89,3,0)*0.475*44/12</f>
        <v>0.83540654732157726</v>
      </c>
      <c r="AX126" s="21">
        <f t="shared" si="60"/>
        <v>61.635530851233746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175.05987582828078</v>
      </c>
      <c r="BJ126" s="59">
        <f t="shared" si="92"/>
        <v>268.54782308462387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41.464076150466738</v>
      </c>
      <c r="BQ126" s="21">
        <f>EXP(-LN(2)/25)*BQ125+(1-EXP(-LN(2)/25))/(LN(2)/25)*Calculateur!BL126*Calculateur!BN126*VLOOKUP('Données projet'!$B$11,Paramètres!$A$1:$I$89,3,0)*0.475*44/12</f>
        <v>8.5189068107720924</v>
      </c>
      <c r="BR126" s="21">
        <f>EXP(-LN(2)/2)*BR125+(1-EXP(-LN(2)/2))/(LN(2)/2)*BL126*BO126*VLOOKUP('Données projet'!$B$11,Paramètres!$A$1:$I$89,3,0)*0.475*44/12</f>
        <v>1.4198350601214665E-8</v>
      </c>
      <c r="BS126" s="22">
        <f t="shared" si="63"/>
        <v>49.982982975437181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1.7053025658242404E-13</v>
      </c>
      <c r="O127" s="13">
        <f>N127*VLOOKUP('Données projet'!$B$9,Paramètres!$A$1:$I$89,3,0)*VLOOKUP('Données projet'!$B$9,Paramètres!$A$1:$I$89,5,0)</f>
        <v>9.5326413429575044E-14</v>
      </c>
      <c r="P127" s="13">
        <f t="shared" si="87"/>
        <v>1.4400742856080346E-12</v>
      </c>
      <c r="Q127" s="20">
        <f t="shared" si="107"/>
        <v>2.6741562174905032E-12</v>
      </c>
      <c r="R127" s="59">
        <f t="shared" si="55"/>
        <v>293.33333333333599</v>
      </c>
      <c r="S127" s="59">
        <f ca="1">AVERAGE(OFFSET($R$3,0,0,'Données projet'!$E$9+1,1))-AVERAGE(OFFSET($H$3,0,0,'Données projet'!$E$9+1,1))</f>
        <v>293.82673322742102</v>
      </c>
      <c r="T127" s="59">
        <f t="shared" si="88"/>
        <v>138.78566015867693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157.6502240985599</v>
      </c>
      <c r="AA127" s="21">
        <f>EXP(-LN(2)/25)*AA126+(1-EXP(-LN(2)/25))/(LN(2)/25)*Calculateur!V127*Calculateur!X127*VLOOKUP('Données projet'!$B$9,Paramètres!$A$1:$I$89,3,0)*0.475*44/12</f>
        <v>48.878656458389067</v>
      </c>
      <c r="AB127" s="21">
        <f>EXP(-LN(2)/2)*AB126+(1-EXP(-LN(2)/2))/(LN(2)/2)*V127*Y127*VLOOKUP('Données projet'!$B$9,Paramètres!$A$1:$I$89,3,0)*0.475*44/12</f>
        <v>15.533321875962569</v>
      </c>
      <c r="AC127" s="22">
        <f t="shared" si="57"/>
        <v>222.06220243291153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10.501000000000005</v>
      </c>
      <c r="AI127" s="13">
        <f>IF('Données projet'!$A$62&gt;35,AI126+AH127-AQ126,IF(A127&lt;'Données projet'!$A$62,$AF$205^A127,IF(A127='Données projet'!$A$62,'Données projet'!$B$62,AI126+AH127-AQ126)))</f>
        <v>539.96599999999978</v>
      </c>
      <c r="AJ127" s="13">
        <f>AI127*VLOOKUP('Données projet'!$B$10,Paramètres!$A$1:$I$89,3,0)*VLOOKUP('Données projet'!$B$10,Paramètres!$A$1:$I$89,5,0)</f>
        <v>266.74320399999993</v>
      </c>
      <c r="AK127" s="13">
        <f t="shared" si="89"/>
        <v>64.157607570080387</v>
      </c>
      <c r="AL127" s="20">
        <f t="shared" si="58"/>
        <v>576.31891348455656</v>
      </c>
      <c r="AM127" s="59">
        <f t="shared" si="59"/>
        <v>869.65224681788982</v>
      </c>
      <c r="AN127" s="59">
        <f ca="1">AVERAGE(OFFSET($AM$3,0,0,'Données projet'!$E$10+1,1))-AVERAGE(OFFSET($H$3,0,0,'Données projet'!$E$10+1,1))</f>
        <v>265.57710796453807</v>
      </c>
      <c r="AO127" s="59">
        <f t="shared" si="90"/>
        <v>171.29436297508141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44.477174032885522</v>
      </c>
      <c r="AV127" s="21">
        <f>EXP(-LN(2)/25)*AV126+(1-EXP(-LN(2)/25))/(LN(2)/25)*Calculateur!AQ127*Calculateur!AS127*VLOOKUP('Données projet'!$B$10,Paramètres!$A$1:$I$89,3,0)*0.475*44/12</f>
        <v>15.011309844999351</v>
      </c>
      <c r="AW127" s="21">
        <f>EXP(-LN(2)/2)*AW126+(1-EXP(-LN(2)/2))/(LN(2)/2)*AQ127*AT127*VLOOKUP('Données projet'!$B$10,Paramètres!$A$1:$I$89,3,0)*0.475*44/12</f>
        <v>0.59072163465872773</v>
      </c>
      <c r="AX127" s="21">
        <f t="shared" si="60"/>
        <v>60.079205512543602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175.05987582828078</v>
      </c>
      <c r="BJ127" s="59">
        <f t="shared" si="92"/>
        <v>268.54782308462387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40.650990907745296</v>
      </c>
      <c r="BQ127" s="21">
        <f>EXP(-LN(2)/25)*BQ126+(1-EXP(-LN(2)/25))/(LN(2)/25)*Calculateur!BL127*Calculateur!BN127*VLOOKUP('Données projet'!$B$11,Paramètres!$A$1:$I$89,3,0)*0.475*44/12</f>
        <v>8.2859568560416914</v>
      </c>
      <c r="BR127" s="21">
        <f>EXP(-LN(2)/2)*BR126+(1-EXP(-LN(2)/2))/(LN(2)/2)*BL127*BO127*VLOOKUP('Données projet'!$B$11,Paramètres!$A$1:$I$89,3,0)*0.475*44/12</f>
        <v>1.0039749991782984E-8</v>
      </c>
      <c r="BS127" s="22">
        <f t="shared" si="63"/>
        <v>48.936947773826738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1.7053025658242404E-13</v>
      </c>
      <c r="O128" s="13">
        <f>N128*VLOOKUP('Données projet'!$B$9,Paramètres!$A$1:$I$89,3,0)*VLOOKUP('Données projet'!$B$9,Paramètres!$A$1:$I$89,5,0)</f>
        <v>9.5326413429575044E-14</v>
      </c>
      <c r="P128" s="13">
        <f t="shared" si="87"/>
        <v>1.4400742856080346E-12</v>
      </c>
      <c r="Q128" s="20">
        <f t="shared" si="107"/>
        <v>2.6741562174905032E-12</v>
      </c>
      <c r="R128" s="59">
        <f t="shared" si="55"/>
        <v>293.33333333333599</v>
      </c>
      <c r="S128" s="59">
        <f ca="1">AVERAGE(OFFSET($R$3,0,0,'Données projet'!$E$9+1,1))-AVERAGE(OFFSET($H$3,0,0,'Données projet'!$E$9+1,1))</f>
        <v>293.82673322742102</v>
      </c>
      <c r="T128" s="59">
        <f t="shared" si="88"/>
        <v>138.78566015867693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154.5587993611291</v>
      </c>
      <c r="AA128" s="21">
        <f>EXP(-LN(2)/25)*AA127+(1-EXP(-LN(2)/25))/(LN(2)/25)*Calculateur!V128*Calculateur!X128*VLOOKUP('Données projet'!$B$9,Paramètres!$A$1:$I$89,3,0)*0.475*44/12</f>
        <v>47.542067027117589</v>
      </c>
      <c r="AB128" s="21">
        <f>EXP(-LN(2)/2)*AB127+(1-EXP(-LN(2)/2))/(LN(2)/2)*V128*Y128*VLOOKUP('Données projet'!$B$9,Paramètres!$A$1:$I$89,3,0)*0.475*44/12</f>
        <v>10.983717232846477</v>
      </c>
      <c r="AC128" s="22">
        <f t="shared" si="57"/>
        <v>213.08458362109317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10.501000000000005</v>
      </c>
      <c r="AI128" s="13">
        <f>IF('Données projet'!$A$62&gt;35,AI127+AH128-AQ127,IF(A128&lt;'Données projet'!$A$62,$AF$205^A128,IF(A128='Données projet'!$A$62,'Données projet'!$B$62,AI127+AH128-AQ127)))</f>
        <v>550.46699999999976</v>
      </c>
      <c r="AJ128" s="13">
        <f>AI128*VLOOKUP('Données projet'!$B$10,Paramètres!$A$1:$I$89,3,0)*VLOOKUP('Données projet'!$B$10,Paramètres!$A$1:$I$89,5,0)</f>
        <v>271.93069799999989</v>
      </c>
      <c r="AK128" s="13">
        <f t="shared" si="89"/>
        <v>65.258842059268332</v>
      </c>
      <c r="AL128" s="20">
        <f t="shared" si="58"/>
        <v>587.27178226989201</v>
      </c>
      <c r="AM128" s="59">
        <f t="shared" si="59"/>
        <v>880.60511560322539</v>
      </c>
      <c r="AN128" s="59">
        <f ca="1">AVERAGE(OFFSET($AM$3,0,0,'Données projet'!$E$10+1,1))-AVERAGE(OFFSET($H$3,0,0,'Données projet'!$E$10+1,1))</f>
        <v>265.57710796453807</v>
      </c>
      <c r="AO128" s="59">
        <f t="shared" si="90"/>
        <v>171.29436297508141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43.605003778498087</v>
      </c>
      <c r="AV128" s="21">
        <f>EXP(-LN(2)/25)*AV127+(1-EXP(-LN(2)/25))/(LN(2)/25)*Calculateur!AQ128*Calculateur!AS128*VLOOKUP('Données projet'!$B$10,Paramètres!$A$1:$I$89,3,0)*0.475*44/12</f>
        <v>14.600824787877368</v>
      </c>
      <c r="AW128" s="21">
        <f>EXP(-LN(2)/2)*AW127+(1-EXP(-LN(2)/2))/(LN(2)/2)*AQ128*AT128*VLOOKUP('Données projet'!$B$10,Paramètres!$A$1:$I$89,3,0)*0.475*44/12</f>
        <v>0.41770327366078869</v>
      </c>
      <c r="AX128" s="21">
        <f t="shared" si="60"/>
        <v>58.62353184003625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175.05987582828078</v>
      </c>
      <c r="BJ128" s="59">
        <f t="shared" si="92"/>
        <v>268.54782308462387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39.853849770700599</v>
      </c>
      <c r="BQ128" s="21">
        <f>EXP(-LN(2)/25)*BQ127+(1-EXP(-LN(2)/25))/(LN(2)/25)*Calculateur!BL128*Calculateur!BN128*VLOOKUP('Données projet'!$B$11,Paramètres!$A$1:$I$89,3,0)*0.475*44/12</f>
        <v>8.0593769300736984</v>
      </c>
      <c r="BR128" s="21">
        <f>EXP(-LN(2)/2)*BR127+(1-EXP(-LN(2)/2))/(LN(2)/2)*BL128*BO128*VLOOKUP('Données projet'!$B$11,Paramètres!$A$1:$I$89,3,0)*0.475*44/12</f>
        <v>7.0991753006073326E-9</v>
      </c>
      <c r="BS128" s="22">
        <f t="shared" si="63"/>
        <v>47.91322670787347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1.7053025658242404E-13</v>
      </c>
      <c r="O129" s="13">
        <f>N129*VLOOKUP('Données projet'!$B$9,Paramètres!$A$1:$I$89,3,0)*VLOOKUP('Données projet'!$B$9,Paramètres!$A$1:$I$89,5,0)</f>
        <v>9.5326413429575044E-14</v>
      </c>
      <c r="P129" s="13">
        <f t="shared" si="87"/>
        <v>1.4400742856080346E-12</v>
      </c>
      <c r="Q129" s="20">
        <f t="shared" si="107"/>
        <v>2.6741562174905032E-12</v>
      </c>
      <c r="R129" s="59">
        <f t="shared" si="55"/>
        <v>293.33333333333599</v>
      </c>
      <c r="S129" s="59">
        <f ca="1">AVERAGE(OFFSET($R$3,0,0,'Données projet'!$E$9+1,1))-AVERAGE(OFFSET($H$3,0,0,'Données projet'!$E$9+1,1))</f>
        <v>293.82673322742102</v>
      </c>
      <c r="T129" s="59">
        <f t="shared" si="88"/>
        <v>138.78566015867693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151.52799557721642</v>
      </c>
      <c r="AA129" s="21">
        <f>EXP(-LN(2)/25)*AA128+(1-EXP(-LN(2)/25))/(LN(2)/25)*Calculateur!V129*Calculateur!X129*VLOOKUP('Données projet'!$B$9,Paramètres!$A$1:$I$89,3,0)*0.475*44/12</f>
        <v>46.242026704132414</v>
      </c>
      <c r="AB129" s="21">
        <f>EXP(-LN(2)/2)*AB128+(1-EXP(-LN(2)/2))/(LN(2)/2)*V129*Y129*VLOOKUP('Données projet'!$B$9,Paramètres!$A$1:$I$89,3,0)*0.475*44/12</f>
        <v>7.7666609379812854</v>
      </c>
      <c r="AC129" s="22">
        <f t="shared" si="57"/>
        <v>205.53668321933009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10.501000000000005</v>
      </c>
      <c r="AI129" s="13">
        <f>IF('Données projet'!$A$62&gt;35,AI128+AH129-AQ128,IF(A129&lt;'Données projet'!$A$62,$AF$205^A129,IF(A129='Données projet'!$A$62,'Données projet'!$B$62,AI128+AH129-AQ128)))</f>
        <v>560.96799999999973</v>
      </c>
      <c r="AJ129" s="13">
        <f>AI129*VLOOKUP('Données projet'!$B$10,Paramètres!$A$1:$I$89,3,0)*VLOOKUP('Données projet'!$B$10,Paramètres!$A$1:$I$89,5,0)</f>
        <v>277.11819199999985</v>
      </c>
      <c r="AK129" s="13">
        <f t="shared" si="89"/>
        <v>66.357633804692696</v>
      </c>
      <c r="AL129" s="20">
        <f t="shared" si="58"/>
        <v>598.22039660983944</v>
      </c>
      <c r="AM129" s="59">
        <f t="shared" si="59"/>
        <v>891.55372994317281</v>
      </c>
      <c r="AN129" s="59">
        <f ca="1">AVERAGE(OFFSET($AM$3,0,0,'Données projet'!$E$10+1,1))-AVERAGE(OFFSET($H$3,0,0,'Données projet'!$E$10+1,1))</f>
        <v>265.57710796453807</v>
      </c>
      <c r="AO129" s="59">
        <f t="shared" si="90"/>
        <v>171.29436297508141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42.749936250827865</v>
      </c>
      <c r="AV129" s="21">
        <f>EXP(-LN(2)/25)*AV128+(1-EXP(-LN(2)/25))/(LN(2)/25)*Calculateur!AQ129*Calculateur!AS129*VLOOKUP('Données projet'!$B$10,Paramètres!$A$1:$I$89,3,0)*0.475*44/12</f>
        <v>14.201564466228856</v>
      </c>
      <c r="AW129" s="21">
        <f>EXP(-LN(2)/2)*AW128+(1-EXP(-LN(2)/2))/(LN(2)/2)*AQ129*AT129*VLOOKUP('Données projet'!$B$10,Paramètres!$A$1:$I$89,3,0)*0.475*44/12</f>
        <v>0.29536081732936392</v>
      </c>
      <c r="AX129" s="21">
        <f t="shared" si="60"/>
        <v>57.246861534386085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175.05987582828078</v>
      </c>
      <c r="BJ129" s="59">
        <f t="shared" si="92"/>
        <v>268.54782308462387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39.072340085145264</v>
      </c>
      <c r="BQ129" s="21">
        <f>EXP(-LN(2)/25)*BQ128+(1-EXP(-LN(2)/25))/(LN(2)/25)*Calculateur!BL129*Calculateur!BN129*VLOOKUP('Données projet'!$B$11,Paramètres!$A$1:$I$89,3,0)*0.475*44/12</f>
        <v>7.8389928440966203</v>
      </c>
      <c r="BR129" s="21">
        <f>EXP(-LN(2)/2)*BR128+(1-EXP(-LN(2)/2))/(LN(2)/2)*BL129*BO129*VLOOKUP('Données projet'!$B$11,Paramètres!$A$1:$I$89,3,0)*0.475*44/12</f>
        <v>5.0198749958914918E-9</v>
      </c>
      <c r="BS129" s="22">
        <f t="shared" si="63"/>
        <v>46.911332934261765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1.7053025658242404E-13</v>
      </c>
      <c r="O130" s="13">
        <f>N130*VLOOKUP('Données projet'!$B$9,Paramètres!$A$1:$I$89,3,0)*VLOOKUP('Données projet'!$B$9,Paramètres!$A$1:$I$89,5,0)</f>
        <v>9.5326413429575044E-14</v>
      </c>
      <c r="P130" s="13">
        <f t="shared" si="87"/>
        <v>1.4400742856080346E-12</v>
      </c>
      <c r="Q130" s="20">
        <f t="shared" si="107"/>
        <v>2.6741562174905032E-12</v>
      </c>
      <c r="R130" s="59">
        <f t="shared" si="55"/>
        <v>293.33333333333599</v>
      </c>
      <c r="S130" s="59">
        <f ca="1">AVERAGE(OFFSET($R$3,0,0,'Données projet'!$E$9+1,1))-AVERAGE(OFFSET($H$3,0,0,'Données projet'!$E$9+1,1))</f>
        <v>293.82673322742102</v>
      </c>
      <c r="T130" s="59">
        <f t="shared" si="88"/>
        <v>138.78566015867693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148.55662400689849</v>
      </c>
      <c r="AA130" s="21">
        <f>EXP(-LN(2)/25)*AA129+(1-EXP(-LN(2)/25))/(LN(2)/25)*Calculateur!V130*Calculateur!X130*VLOOKUP('Données projet'!$B$9,Paramètres!$A$1:$I$89,3,0)*0.475*44/12</f>
        <v>44.977536052145418</v>
      </c>
      <c r="AB130" s="21">
        <f>EXP(-LN(2)/2)*AB129+(1-EXP(-LN(2)/2))/(LN(2)/2)*V130*Y130*VLOOKUP('Données projet'!$B$9,Paramètres!$A$1:$I$89,3,0)*0.475*44/12</f>
        <v>5.4918586164232392</v>
      </c>
      <c r="AC130" s="22">
        <f t="shared" si="57"/>
        <v>199.02601867546713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10.501000000000005</v>
      </c>
      <c r="AI130" s="13">
        <f>IF('Données projet'!$A$62&gt;35,AI129+AH130-AQ129,IF(A130&lt;'Données projet'!$A$62,$AF$205^A130,IF(A130='Données projet'!$A$62,'Données projet'!$B$62,AI129+AH130-AQ129)))</f>
        <v>571.46899999999971</v>
      </c>
      <c r="AJ130" s="13">
        <f>AI130*VLOOKUP('Données projet'!$B$10,Paramètres!$A$1:$I$89,3,0)*VLOOKUP('Données projet'!$B$10,Paramètres!$A$1:$I$89,5,0)</f>
        <v>282.30568599999987</v>
      </c>
      <c r="AK130" s="13">
        <f t="shared" si="89"/>
        <v>67.4540338061461</v>
      </c>
      <c r="AL130" s="20">
        <f t="shared" si="58"/>
        <v>609.16484532903758</v>
      </c>
      <c r="AM130" s="59">
        <f t="shared" si="59"/>
        <v>902.49817866237095</v>
      </c>
      <c r="AN130" s="59">
        <f ca="1">AVERAGE(OFFSET($AM$3,0,0,'Données projet'!$E$10+1,1))-AVERAGE(OFFSET($H$3,0,0,'Données projet'!$E$10+1,1))</f>
        <v>265.57710796453807</v>
      </c>
      <c r="AO130" s="59">
        <f t="shared" si="90"/>
        <v>171.29436297508141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41.91163607583556</v>
      </c>
      <c r="AV130" s="21">
        <f>EXP(-LN(2)/25)*AV129+(1-EXP(-LN(2)/25))/(LN(2)/25)*Calculateur!AQ130*Calculateur!AS130*VLOOKUP('Données projet'!$B$10,Paramètres!$A$1:$I$89,3,0)*0.475*44/12</f>
        <v>13.81322193907201</v>
      </c>
      <c r="AW130" s="21">
        <f>EXP(-LN(2)/2)*AW129+(1-EXP(-LN(2)/2))/(LN(2)/2)*AQ130*AT130*VLOOKUP('Données projet'!$B$10,Paramètres!$A$1:$I$89,3,0)*0.475*44/12</f>
        <v>0.20885163683039437</v>
      </c>
      <c r="AX130" s="21">
        <f t="shared" si="60"/>
        <v>55.933709651737963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175.05987582828078</v>
      </c>
      <c r="BJ130" s="59">
        <f t="shared" si="92"/>
        <v>268.54782308462387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38.306155327849822</v>
      </c>
      <c r="BQ130" s="21">
        <f>EXP(-LN(2)/25)*BQ129+(1-EXP(-LN(2)/25))/(LN(2)/25)*Calculateur!BL130*Calculateur!BN130*VLOOKUP('Données projet'!$B$11,Paramètres!$A$1:$I$89,3,0)*0.475*44/12</f>
        <v>7.6246351725400805</v>
      </c>
      <c r="BR130" s="21">
        <f>EXP(-LN(2)/2)*BR129+(1-EXP(-LN(2)/2))/(LN(2)/2)*BL130*BO130*VLOOKUP('Données projet'!$B$11,Paramètres!$A$1:$I$89,3,0)*0.475*44/12</f>
        <v>3.5495876503036663E-9</v>
      </c>
      <c r="BS130" s="22">
        <f t="shared" si="63"/>
        <v>45.930790503939491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1.7053025658242404E-13</v>
      </c>
      <c r="O131" s="13">
        <f>N131*VLOOKUP('Données projet'!$B$9,Paramètres!$A$1:$I$89,3,0)*VLOOKUP('Données projet'!$B$9,Paramètres!$A$1:$I$89,5,0)</f>
        <v>9.5326413429575044E-14</v>
      </c>
      <c r="P131" s="13">
        <f t="shared" si="87"/>
        <v>1.4400742856080346E-12</v>
      </c>
      <c r="Q131" s="20">
        <f t="shared" ref="Q131:Q153" si="108">(O131+P131)*0.475*44/12</f>
        <v>2.6741562174905032E-12</v>
      </c>
      <c r="R131" s="59">
        <f t="shared" ref="R131:R194" si="109">Q131+(I131+J131)*44/12</f>
        <v>293.33333333333599</v>
      </c>
      <c r="S131" s="59">
        <f ca="1">AVERAGE(OFFSET($R$3,0,0,'Données projet'!$E$9+1,1))-AVERAGE(OFFSET($H$3,0,0,'Données projet'!$E$9+1,1))</f>
        <v>293.82673322742102</v>
      </c>
      <c r="T131" s="59">
        <f t="shared" si="88"/>
        <v>138.78566015867693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145.6435192207168</v>
      </c>
      <c r="AA131" s="21">
        <f>EXP(-LN(2)/25)*AA130+(1-EXP(-LN(2)/25))/(LN(2)/25)*Calculateur!V131*Calculateur!X131*VLOOKUP('Données projet'!$B$9,Paramètres!$A$1:$I$89,3,0)*0.475*44/12</f>
        <v>43.747622963533679</v>
      </c>
      <c r="AB131" s="21">
        <f>EXP(-LN(2)/2)*AB130+(1-EXP(-LN(2)/2))/(LN(2)/2)*V131*Y131*VLOOKUP('Données projet'!$B$9,Paramètres!$A$1:$I$89,3,0)*0.475*44/12</f>
        <v>3.8833304689906432</v>
      </c>
      <c r="AC131" s="22">
        <f t="shared" si="57"/>
        <v>193.27447265324111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>
        <f>VLOOKUP(A131,'Données projet'!$A$61:$I$81,2,0)</f>
        <v>581.97</v>
      </c>
      <c r="AG131" s="12">
        <f>VLOOKUP(A131,'Données projet'!$A$61:$I$81,9,0)</f>
        <v>10.501000000000005</v>
      </c>
      <c r="AH131" s="12">
        <f t="array" ref="AH131">INDEX(AG:AG,MIN(IF(ISNUMBER(AG131:AG327),ROW(AG131:AG327),"")))</f>
        <v>10.501000000000005</v>
      </c>
      <c r="AI131" s="13">
        <f>IF('Données projet'!$A$62&gt;35,AI130+AH131-AQ130,IF(A131&lt;'Données projet'!$A$62,$AF$205^A131,IF(A131='Données projet'!$A$62,'Données projet'!$B$62,AI130+AH131-AQ130)))</f>
        <v>581.96999999999969</v>
      </c>
      <c r="AJ131" s="13">
        <f>AI131*VLOOKUP('Données projet'!$B$10,Paramètres!$A$1:$I$89,3,0)*VLOOKUP('Données projet'!$B$10,Paramètres!$A$1:$I$89,5,0)</f>
        <v>287.49317999999982</v>
      </c>
      <c r="AK131" s="13">
        <f t="shared" si="89"/>
        <v>68.548091081834798</v>
      </c>
      <c r="AL131" s="20">
        <f t="shared" si="58"/>
        <v>620.10521380086186</v>
      </c>
      <c r="AM131" s="59">
        <f t="shared" si="59"/>
        <v>913.43854713419523</v>
      </c>
      <c r="AN131" s="59">
        <f ca="1">AVERAGE(OFFSET($AM$3,0,0,'Données projet'!$E$10+1,1))-AVERAGE(OFFSET($H$3,0,0,'Données projet'!$E$10+1,1))</f>
        <v>265.57710796453807</v>
      </c>
      <c r="AO131" s="59">
        <f t="shared" si="90"/>
        <v>171.29436297508141</v>
      </c>
      <c r="AP131" s="15">
        <f>IF(ISNA(VLOOKUP(A131,'Données projet'!$A$61:$I$81,3,0)),0,VLOOKUP(A131,'Données projet'!$A$61:$I$81,3,0))</f>
        <v>9</v>
      </c>
      <c r="AQ131" s="15">
        <f>IF(ISNA(VLOOKUP(A131,'Données projet'!$A$61:$I$81,4,0)),0,VLOOKUP(A131,'Données projet'!$A$61:$I$81,4,0))</f>
        <v>581.97</v>
      </c>
      <c r="AR131" s="16">
        <f>IF(ISNA(VLOOKUP(A131,'Données projet'!$A$61:$I$81,5,0)),0%,VLOOKUP(A131,'Données projet'!$A$61:$I$81,5,0)*VLOOKUP('Données projet'!$B$10,Paramètres!$A$1:$I$89,7,0))</f>
        <v>0.22000000000000003</v>
      </c>
      <c r="AS131" s="16">
        <f>IF(ISNA(VLOOKUP(A131,'Données projet'!$A$61:$I$81,6,0)),0%,VLOOKUP(A131,'Données projet'!$A$61:$I$81,6,0)*VLOOKUP('Données projet'!$B$10,Paramètres!$A$1:$I$89,7,0))</f>
        <v>5.5000000000000007E-2</v>
      </c>
      <c r="AT131" s="16">
        <f>IF(ISNA(VLOOKUP(A131,'Données projet'!$A$61:$I$81,7,0)),0%,VLOOKUP(A131,'Données projet'!$A$61:$I$81,7,0))</f>
        <v>0.1</v>
      </c>
      <c r="AU131" s="21">
        <f>EXP(-LN(2)/35)*AU130+(1-EXP(-LN(2)/35))/(LN(2)/35)*AQ131*AR131*VLOOKUP('Données projet'!$B$10,Paramètres!$A$1:$I$89,3,0)*0.475*44/12</f>
        <v>124.99298588520423</v>
      </c>
      <c r="AV131" s="21">
        <f>EXP(-LN(2)/25)*AV130+(1-EXP(-LN(2)/25))/(LN(2)/25)*Calculateur!AQ131*Calculateur!AS131*VLOOKUP('Données projet'!$B$10,Paramètres!$A$1:$I$89,3,0)*0.475*44/12</f>
        <v>34.328711787796095</v>
      </c>
      <c r="AW131" s="21">
        <f>EXP(-LN(2)/2)*AW130+(1-EXP(-LN(2)/2))/(LN(2)/2)*AQ131*AT131*VLOOKUP('Données projet'!$B$10,Paramètres!$A$1:$I$89,3,0)*0.475*44/12</f>
        <v>32.698586780123669</v>
      </c>
      <c r="AX131" s="21">
        <f t="shared" si="60"/>
        <v>192.02028445312399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175.05987582828078</v>
      </c>
      <c r="BJ131" s="59">
        <f t="shared" si="92"/>
        <v>268.54782308462387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37.554994986318391</v>
      </c>
      <c r="BQ131" s="21">
        <f>EXP(-LN(2)/25)*BQ130+(1-EXP(-LN(2)/25))/(LN(2)/25)*Calculateur!BL131*Calculateur!BN131*VLOOKUP('Données projet'!$B$11,Paramètres!$A$1:$I$89,3,0)*0.475*44/12</f>
        <v>7.416139122784835</v>
      </c>
      <c r="BR131" s="21">
        <f>EXP(-LN(2)/2)*BR130+(1-EXP(-LN(2)/2))/(LN(2)/2)*BL131*BO131*VLOOKUP('Données projet'!$B$11,Paramètres!$A$1:$I$89,3,0)*0.475*44/12</f>
        <v>2.5099374979457459E-9</v>
      </c>
      <c r="BS131" s="22">
        <f t="shared" si="63"/>
        <v>44.971134111613161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1.7053025658242404E-13</v>
      </c>
      <c r="O132" s="13">
        <f>N132*VLOOKUP('Données projet'!$B$9,Paramètres!$A$1:$I$89,3,0)*VLOOKUP('Données projet'!$B$9,Paramètres!$A$1:$I$89,5,0)</f>
        <v>9.5326413429575044E-14</v>
      </c>
      <c r="P132" s="13">
        <f t="shared" si="87"/>
        <v>1.4400742856080346E-12</v>
      </c>
      <c r="Q132" s="20">
        <f t="shared" si="108"/>
        <v>2.6741562174905032E-12</v>
      </c>
      <c r="R132" s="59">
        <f t="shared" si="109"/>
        <v>293.33333333333599</v>
      </c>
      <c r="S132" s="59">
        <f ca="1">AVERAGE(OFFSET($R$3,0,0,'Données projet'!$E$9+1,1))-AVERAGE(OFFSET($H$3,0,0,'Données projet'!$E$9+1,1))</f>
        <v>293.82673322742102</v>
      </c>
      <c r="T132" s="59">
        <f t="shared" si="88"/>
        <v>138.78566015867693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142.78753864257365</v>
      </c>
      <c r="AA132" s="21">
        <f>EXP(-LN(2)/25)*AA131+(1-EXP(-LN(2)/25))/(LN(2)/25)*Calculateur!V132*Calculateur!X132*VLOOKUP('Données projet'!$B$9,Paramètres!$A$1:$I$89,3,0)*0.475*44/12</f>
        <v>42.551341913008343</v>
      </c>
      <c r="AB132" s="21">
        <f>EXP(-LN(2)/2)*AB131+(1-EXP(-LN(2)/2))/(LN(2)/2)*V132*Y132*VLOOKUP('Données projet'!$B$9,Paramètres!$A$1:$I$89,3,0)*0.475*44/12</f>
        <v>2.7459293082116201</v>
      </c>
      <c r="AC132" s="22">
        <f t="shared" ref="AC132:AC153" si="111">SUM(Z132:AB132)</f>
        <v>188.08480986379362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-1.6848389350343498E-13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265.57710796453807</v>
      </c>
      <c r="AO132" s="59">
        <f t="shared" si="90"/>
        <v>171.29436297508141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122.54194967018887</v>
      </c>
      <c r="AV132" s="21">
        <f>EXP(-LN(2)/25)*AV131+(1-EXP(-LN(2)/25))/(LN(2)/25)*Calculateur!AQ132*Calculateur!AS132*VLOOKUP('Données projet'!$B$10,Paramètres!$A$1:$I$89,3,0)*0.475*44/12</f>
        <v>33.389991358690317</v>
      </c>
      <c r="AW132" s="21">
        <f>EXP(-LN(2)/2)*AW131+(1-EXP(-LN(2)/2))/(LN(2)/2)*AQ132*AT132*VLOOKUP('Données projet'!$B$10,Paramètres!$A$1:$I$89,3,0)*0.475*44/12</f>
        <v>23.121392447442243</v>
      </c>
      <c r="AX132" s="21">
        <f t="shared" ref="AX132:AX153" si="114">SUM(AU132:AW132)</f>
        <v>179.05333347632143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175.05987582828078</v>
      </c>
      <c r="BJ132" s="59">
        <f t="shared" si="92"/>
        <v>268.54782308462387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36.818564440921818</v>
      </c>
      <c r="BQ132" s="21">
        <f>EXP(-LN(2)/25)*BQ131+(1-EXP(-LN(2)/25))/(LN(2)/25)*Calculateur!BL132*Calculateur!BN132*VLOOKUP('Données projet'!$B$11,Paramètres!$A$1:$I$89,3,0)*0.475*44/12</f>
        <v>7.2133444084744767</v>
      </c>
      <c r="BR132" s="21">
        <f>EXP(-LN(2)/2)*BR131+(1-EXP(-LN(2)/2))/(LN(2)/2)*BL132*BO132*VLOOKUP('Données projet'!$B$11,Paramètres!$A$1:$I$89,3,0)*0.475*44/12</f>
        <v>1.7747938251518331E-9</v>
      </c>
      <c r="BS132" s="22">
        <f t="shared" ref="BS132:BS153" si="117">SUM(BP132:BR132)</f>
        <v>44.031908851171089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1.7053025658242404E-13</v>
      </c>
      <c r="O133" s="13">
        <f>N133*VLOOKUP('Données projet'!$B$9,Paramètres!$A$1:$I$89,3,0)*VLOOKUP('Données projet'!$B$9,Paramètres!$A$1:$I$89,5,0)</f>
        <v>9.5326413429575044E-14</v>
      </c>
      <c r="P133" s="13">
        <f t="shared" ref="P133:P196" si="141">EXP(-1.0587+0.8836*LN(O133)+0.284)</f>
        <v>1.4400742856080346E-12</v>
      </c>
      <c r="Q133" s="20">
        <f t="shared" si="108"/>
        <v>2.6741562174905032E-12</v>
      </c>
      <c r="R133" s="59">
        <f t="shared" si="109"/>
        <v>293.33333333333599</v>
      </c>
      <c r="S133" s="59">
        <f ca="1">AVERAGE(OFFSET($R$3,0,0,'Données projet'!$E$9+1,1))-AVERAGE(OFFSET($H$3,0,0,'Données projet'!$E$9+1,1))</f>
        <v>293.82673322742102</v>
      </c>
      <c r="T133" s="59">
        <f t="shared" ref="T133:T196" si="142">$T$3</f>
        <v>138.78566015867693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139.98756210159175</v>
      </c>
      <c r="AA133" s="21">
        <f>EXP(-LN(2)/25)*AA132+(1-EXP(-LN(2)/25))/(LN(2)/25)*Calculateur!V133*Calculateur!X133*VLOOKUP('Données projet'!$B$9,Paramètres!$A$1:$I$89,3,0)*0.475*44/12</f>
        <v>41.387773230719311</v>
      </c>
      <c r="AB133" s="21">
        <f>EXP(-LN(2)/2)*AB132+(1-EXP(-LN(2)/2))/(LN(2)/2)*V133*Y133*VLOOKUP('Données projet'!$B$9,Paramètres!$A$1:$I$89,3,0)*0.475*44/12</f>
        <v>1.941665234495322</v>
      </c>
      <c r="AC133" s="22">
        <f t="shared" si="111"/>
        <v>183.3170005668064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-1.6848389350343498E-13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265.57710796453807</v>
      </c>
      <c r="AO133" s="59">
        <f t="shared" ref="AO133:AO196" si="144">$AO$3</f>
        <v>171.29436297508141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120.13897678036548</v>
      </c>
      <c r="AV133" s="21">
        <f>EXP(-LN(2)/25)*AV132+(1-EXP(-LN(2)/25))/(LN(2)/25)*Calculateur!AQ133*Calculateur!AS133*VLOOKUP('Données projet'!$B$10,Paramètres!$A$1:$I$89,3,0)*0.475*44/12</f>
        <v>32.476940289083601</v>
      </c>
      <c r="AW133" s="21">
        <f>EXP(-LN(2)/2)*AW132+(1-EXP(-LN(2)/2))/(LN(2)/2)*AQ133*AT133*VLOOKUP('Données projet'!$B$10,Paramètres!$A$1:$I$89,3,0)*0.475*44/12</f>
        <v>16.349293390061835</v>
      </c>
      <c r="AX133" s="21">
        <f t="shared" si="114"/>
        <v>168.96521045951093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175.05987582828078</v>
      </c>
      <c r="BJ133" s="59">
        <f t="shared" ref="BJ133:BJ196" si="146">$BJ$3</f>
        <v>268.54782308462387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36.096574849342197</v>
      </c>
      <c r="BQ133" s="21">
        <f>EXP(-LN(2)/25)*BQ132+(1-EXP(-LN(2)/25))/(LN(2)/25)*Calculateur!BL133*Calculateur!BN133*VLOOKUP('Données projet'!$B$11,Paramètres!$A$1:$I$89,3,0)*0.475*44/12</f>
        <v>7.0160951262914457</v>
      </c>
      <c r="BR133" s="21">
        <f>EXP(-LN(2)/2)*BR132+(1-EXP(-LN(2)/2))/(LN(2)/2)*BL133*BO133*VLOOKUP('Données projet'!$B$11,Paramètres!$A$1:$I$89,3,0)*0.475*44/12</f>
        <v>1.254968748972873E-9</v>
      </c>
      <c r="BS133" s="22">
        <f t="shared" si="117"/>
        <v>43.112669976888611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1.7053025658242404E-13</v>
      </c>
      <c r="O134" s="13">
        <f>N134*VLOOKUP('Données projet'!$B$9,Paramètres!$A$1:$I$89,3,0)*VLOOKUP('Données projet'!$B$9,Paramètres!$A$1:$I$89,5,0)</f>
        <v>9.5326413429575044E-14</v>
      </c>
      <c r="P134" s="13">
        <f t="shared" si="141"/>
        <v>1.4400742856080346E-12</v>
      </c>
      <c r="Q134" s="20">
        <f t="shared" si="108"/>
        <v>2.6741562174905032E-12</v>
      </c>
      <c r="R134" s="59">
        <f t="shared" si="109"/>
        <v>293.33333333333599</v>
      </c>
      <c r="S134" s="59">
        <f ca="1">AVERAGE(OFFSET($R$3,0,0,'Données projet'!$E$9+1,1))-AVERAGE(OFFSET($H$3,0,0,'Données projet'!$E$9+1,1))</f>
        <v>293.82673322742102</v>
      </c>
      <c r="T134" s="59">
        <f t="shared" si="142"/>
        <v>138.78566015867693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137.24249139276145</v>
      </c>
      <c r="AA134" s="21">
        <f>EXP(-LN(2)/25)*AA133+(1-EXP(-LN(2)/25))/(LN(2)/25)*Calculateur!V134*Calculateur!X134*VLOOKUP('Données projet'!$B$9,Paramètres!$A$1:$I$89,3,0)*0.475*44/12</f>
        <v>40.25602239523689</v>
      </c>
      <c r="AB134" s="21">
        <f>EXP(-LN(2)/2)*AB133+(1-EXP(-LN(2)/2))/(LN(2)/2)*V134*Y134*VLOOKUP('Données projet'!$B$9,Paramètres!$A$1:$I$89,3,0)*0.475*44/12</f>
        <v>1.3729646541058103</v>
      </c>
      <c r="AC134" s="22">
        <f t="shared" si="111"/>
        <v>178.87147844210415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-1.6848389350343498E-13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265.57710796453807</v>
      </c>
      <c r="AO134" s="59">
        <f t="shared" si="144"/>
        <v>171.29436297508141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117.78312472324279</v>
      </c>
      <c r="AV134" s="21">
        <f>EXP(-LN(2)/25)*AV133+(1-EXP(-LN(2)/25))/(LN(2)/25)*Calculateur!AQ134*Calculateur!AS134*VLOOKUP('Données projet'!$B$10,Paramètres!$A$1:$I$89,3,0)*0.475*44/12</f>
        <v>31.588856648990546</v>
      </c>
      <c r="AW134" s="21">
        <f>EXP(-LN(2)/2)*AW133+(1-EXP(-LN(2)/2))/(LN(2)/2)*AQ134*AT134*VLOOKUP('Données projet'!$B$10,Paramètres!$A$1:$I$89,3,0)*0.475*44/12</f>
        <v>11.560696223721122</v>
      </c>
      <c r="AX134" s="21">
        <f t="shared" si="114"/>
        <v>160.93267759595446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175.05987582828078</v>
      </c>
      <c r="BJ134" s="59">
        <f t="shared" si="146"/>
        <v>268.54782308462387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35.388743033283284</v>
      </c>
      <c r="BQ134" s="21">
        <f>EXP(-LN(2)/25)*BQ133+(1-EXP(-LN(2)/25))/(LN(2)/25)*Calculateur!BL134*Calculateur!BN134*VLOOKUP('Données projet'!$B$11,Paramètres!$A$1:$I$89,3,0)*0.475*44/12</f>
        <v>6.8242396361025985</v>
      </c>
      <c r="BR134" s="21">
        <f>EXP(-LN(2)/2)*BR133+(1-EXP(-LN(2)/2))/(LN(2)/2)*BL134*BO134*VLOOKUP('Données projet'!$B$11,Paramètres!$A$1:$I$89,3,0)*0.475*44/12</f>
        <v>8.8739691257591657E-10</v>
      </c>
      <c r="BS134" s="22">
        <f t="shared" si="117"/>
        <v>42.212982670273277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1.7053025658242404E-13</v>
      </c>
      <c r="O135" s="13">
        <f>N135*VLOOKUP('Données projet'!$B$9,Paramètres!$A$1:$I$89,3,0)*VLOOKUP('Données projet'!$B$9,Paramètres!$A$1:$I$89,5,0)</f>
        <v>9.5326413429575044E-14</v>
      </c>
      <c r="P135" s="13">
        <f t="shared" si="141"/>
        <v>1.4400742856080346E-12</v>
      </c>
      <c r="Q135" s="20">
        <f t="shared" si="108"/>
        <v>2.6741562174905032E-12</v>
      </c>
      <c r="R135" s="59">
        <f t="shared" si="109"/>
        <v>293.33333333333599</v>
      </c>
      <c r="S135" s="59">
        <f ca="1">AVERAGE(OFFSET($R$3,0,0,'Données projet'!$E$9+1,1))-AVERAGE(OFFSET($H$3,0,0,'Données projet'!$E$9+1,1))</f>
        <v>293.82673322742102</v>
      </c>
      <c r="T135" s="59">
        <f t="shared" si="142"/>
        <v>138.78566015867693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134.55124984620352</v>
      </c>
      <c r="AA135" s="21">
        <f>EXP(-LN(2)/25)*AA134+(1-EXP(-LN(2)/25))/(LN(2)/25)*Calculateur!V135*Calculateur!X135*VLOOKUP('Données projet'!$B$9,Paramètres!$A$1:$I$89,3,0)*0.475*44/12</f>
        <v>39.155219345866925</v>
      </c>
      <c r="AB135" s="21">
        <f>EXP(-LN(2)/2)*AB134+(1-EXP(-LN(2)/2))/(LN(2)/2)*V135*Y135*VLOOKUP('Données projet'!$B$9,Paramètres!$A$1:$I$89,3,0)*0.475*44/12</f>
        <v>0.97083261724766112</v>
      </c>
      <c r="AC135" s="22">
        <f t="shared" si="111"/>
        <v>174.6773018093181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-1.6848389350343498E-13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265.57710796453807</v>
      </c>
      <c r="AO135" s="59">
        <f t="shared" si="144"/>
        <v>171.29436297508141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115.47346948803241</v>
      </c>
      <c r="AV135" s="21">
        <f>EXP(-LN(2)/25)*AV134+(1-EXP(-LN(2)/25))/(LN(2)/25)*Calculateur!AQ135*Calculateur!AS135*VLOOKUP('Données projet'!$B$10,Paramètres!$A$1:$I$89,3,0)*0.475*44/12</f>
        <v>30.725057702738127</v>
      </c>
      <c r="AW135" s="21">
        <f>EXP(-LN(2)/2)*AW134+(1-EXP(-LN(2)/2))/(LN(2)/2)*AQ135*AT135*VLOOKUP('Données projet'!$B$10,Paramètres!$A$1:$I$89,3,0)*0.475*44/12</f>
        <v>8.1746466950309173</v>
      </c>
      <c r="AX135" s="21">
        <f t="shared" si="114"/>
        <v>154.37317388580146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175.05987582828078</v>
      </c>
      <c r="BJ135" s="59">
        <f t="shared" si="146"/>
        <v>268.54782308462387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34.694791367402509</v>
      </c>
      <c r="BQ135" s="21">
        <f>EXP(-LN(2)/25)*BQ134+(1-EXP(-LN(2)/25))/(LN(2)/25)*Calculateur!BL135*Calculateur!BN135*VLOOKUP('Données projet'!$B$11,Paramètres!$A$1:$I$89,3,0)*0.475*44/12</f>
        <v>6.6376304443822072</v>
      </c>
      <c r="BR135" s="21">
        <f>EXP(-LN(2)/2)*BR134+(1-EXP(-LN(2)/2))/(LN(2)/2)*BL135*BO135*VLOOKUP('Données projet'!$B$11,Paramètres!$A$1:$I$89,3,0)*0.475*44/12</f>
        <v>6.2748437448643648E-10</v>
      </c>
      <c r="BS135" s="22">
        <f t="shared" si="117"/>
        <v>41.3324218124122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1.7053025658242404E-13</v>
      </c>
      <c r="O136" s="13">
        <f>N136*VLOOKUP('Données projet'!$B$9,Paramètres!$A$1:$I$89,3,0)*VLOOKUP('Données projet'!$B$9,Paramètres!$A$1:$I$89,5,0)</f>
        <v>9.5326413429575044E-14</v>
      </c>
      <c r="P136" s="13">
        <f t="shared" si="141"/>
        <v>1.4400742856080346E-12</v>
      </c>
      <c r="Q136" s="20">
        <f t="shared" si="108"/>
        <v>2.6741562174905032E-12</v>
      </c>
      <c r="R136" s="59">
        <f t="shared" si="109"/>
        <v>293.33333333333599</v>
      </c>
      <c r="S136" s="59">
        <f ca="1">AVERAGE(OFFSET($R$3,0,0,'Données projet'!$E$9+1,1))-AVERAGE(OFFSET($H$3,0,0,'Données projet'!$E$9+1,1))</f>
        <v>293.82673322742102</v>
      </c>
      <c r="T136" s="59">
        <f t="shared" si="142"/>
        <v>138.78566015867693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131.91278190487833</v>
      </c>
      <c r="AA136" s="21">
        <f>EXP(-LN(2)/25)*AA135+(1-EXP(-LN(2)/25))/(LN(2)/25)*Calculateur!V136*Calculateur!X136*VLOOKUP('Données projet'!$B$9,Paramètres!$A$1:$I$89,3,0)*0.475*44/12</f>
        <v>38.084517813770702</v>
      </c>
      <c r="AB136" s="21">
        <f>EXP(-LN(2)/2)*AB135+(1-EXP(-LN(2)/2))/(LN(2)/2)*V136*Y136*VLOOKUP('Données projet'!$B$9,Paramètres!$A$1:$I$89,3,0)*0.475*44/12</f>
        <v>0.68648232705290524</v>
      </c>
      <c r="AC136" s="22">
        <f t="shared" si="111"/>
        <v>170.68378204570195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-1.6848389350343498E-13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265.57710796453807</v>
      </c>
      <c r="AO136" s="59">
        <f t="shared" si="144"/>
        <v>171.29436297508141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113.20910518323392</v>
      </c>
      <c r="AV136" s="21">
        <f>EXP(-LN(2)/25)*AV135+(1-EXP(-LN(2)/25))/(LN(2)/25)*Calculateur!AQ136*Calculateur!AS136*VLOOKUP('Données projet'!$B$10,Paramètres!$A$1:$I$89,3,0)*0.475*44/12</f>
        <v>29.884879384096191</v>
      </c>
      <c r="AW136" s="21">
        <f>EXP(-LN(2)/2)*AW135+(1-EXP(-LN(2)/2))/(LN(2)/2)*AQ136*AT136*VLOOKUP('Données projet'!$B$10,Paramètres!$A$1:$I$89,3,0)*0.475*44/12</f>
        <v>5.7803481118605609</v>
      </c>
      <c r="AX136" s="21">
        <f t="shared" si="114"/>
        <v>148.87433267919064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175.05987582828078</v>
      </c>
      <c r="BJ136" s="59">
        <f t="shared" si="146"/>
        <v>268.54782308462387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34.014447670420935</v>
      </c>
      <c r="BQ136" s="21">
        <f>EXP(-LN(2)/25)*BQ135+(1-EXP(-LN(2)/25))/(LN(2)/25)*Calculateur!BL136*Calculateur!BN136*VLOOKUP('Données projet'!$B$11,Paramètres!$A$1:$I$89,3,0)*0.475*44/12</f>
        <v>6.4561240908227608</v>
      </c>
      <c r="BR136" s="21">
        <f>EXP(-LN(2)/2)*BR135+(1-EXP(-LN(2)/2))/(LN(2)/2)*BL136*BO136*VLOOKUP('Données projet'!$B$11,Paramètres!$A$1:$I$89,3,0)*0.475*44/12</f>
        <v>4.4369845628795829E-10</v>
      </c>
      <c r="BS136" s="22">
        <f t="shared" si="117"/>
        <v>40.470571761687395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1.7053025658242404E-13</v>
      </c>
      <c r="O137" s="13">
        <f>N137*VLOOKUP('Données projet'!$B$9,Paramètres!$A$1:$I$89,3,0)*VLOOKUP('Données projet'!$B$9,Paramètres!$A$1:$I$89,5,0)</f>
        <v>9.5326413429575044E-14</v>
      </c>
      <c r="P137" s="13">
        <f t="shared" si="141"/>
        <v>1.4400742856080346E-12</v>
      </c>
      <c r="Q137" s="20">
        <f t="shared" si="108"/>
        <v>2.6741562174905032E-12</v>
      </c>
      <c r="R137" s="59">
        <f t="shared" si="109"/>
        <v>293.33333333333599</v>
      </c>
      <c r="S137" s="59">
        <f ca="1">AVERAGE(OFFSET($R$3,0,0,'Données projet'!$E$9+1,1))-AVERAGE(OFFSET($H$3,0,0,'Données projet'!$E$9+1,1))</f>
        <v>293.82673322742102</v>
      </c>
      <c r="T137" s="59">
        <f t="shared" si="142"/>
        <v>138.78566015867693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129.32605271057596</v>
      </c>
      <c r="AA137" s="21">
        <f>EXP(-LN(2)/25)*AA136+(1-EXP(-LN(2)/25))/(LN(2)/25)*Calculateur!V137*Calculateur!X137*VLOOKUP('Données projet'!$B$9,Paramètres!$A$1:$I$89,3,0)*0.475*44/12</f>
        <v>37.043094671375393</v>
      </c>
      <c r="AB137" s="21">
        <f>EXP(-LN(2)/2)*AB136+(1-EXP(-LN(2)/2))/(LN(2)/2)*V137*Y137*VLOOKUP('Données projet'!$B$9,Paramètres!$A$1:$I$89,3,0)*0.475*44/12</f>
        <v>0.48541630862383067</v>
      </c>
      <c r="AC137" s="22">
        <f t="shared" si="111"/>
        <v>166.85456369057519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-1.6848389350343498E-13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265.57710796453807</v>
      </c>
      <c r="AO137" s="59">
        <f t="shared" si="144"/>
        <v>171.29436297508141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110.98914368132667</v>
      </c>
      <c r="AV137" s="21">
        <f>EXP(-LN(2)/25)*AV136+(1-EXP(-LN(2)/25))/(LN(2)/25)*Calculateur!AQ137*Calculateur!AS137*VLOOKUP('Données projet'!$B$10,Paramètres!$A$1:$I$89,3,0)*0.475*44/12</f>
        <v>29.067675785760578</v>
      </c>
      <c r="AW137" s="21">
        <f>EXP(-LN(2)/2)*AW136+(1-EXP(-LN(2)/2))/(LN(2)/2)*AQ137*AT137*VLOOKUP('Données projet'!$B$10,Paramètres!$A$1:$I$89,3,0)*0.475*44/12</f>
        <v>4.0873233475154587</v>
      </c>
      <c r="AX137" s="21">
        <f t="shared" si="114"/>
        <v>144.1441428146027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175.05987582828078</v>
      </c>
      <c r="BJ137" s="59">
        <f t="shared" si="146"/>
        <v>268.54782308462387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33.347445098368489</v>
      </c>
      <c r="BQ137" s="21">
        <f>EXP(-LN(2)/25)*BQ136+(1-EXP(-LN(2)/25))/(LN(2)/25)*Calculateur!BL137*Calculateur!BN137*VLOOKUP('Données projet'!$B$11,Paramètres!$A$1:$I$89,3,0)*0.475*44/12</f>
        <v>6.2795810380464019</v>
      </c>
      <c r="BR137" s="21">
        <f>EXP(-LN(2)/2)*BR136+(1-EXP(-LN(2)/2))/(LN(2)/2)*BL137*BO137*VLOOKUP('Données projet'!$B$11,Paramètres!$A$1:$I$89,3,0)*0.475*44/12</f>
        <v>3.1374218724321824E-10</v>
      </c>
      <c r="BS137" s="22">
        <f t="shared" si="117"/>
        <v>39.627026136728631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1.7053025658242404E-13</v>
      </c>
      <c r="O138" s="13">
        <f>N138*VLOOKUP('Données projet'!$B$9,Paramètres!$A$1:$I$89,3,0)*VLOOKUP('Données projet'!$B$9,Paramètres!$A$1:$I$89,5,0)</f>
        <v>9.5326413429575044E-14</v>
      </c>
      <c r="P138" s="13">
        <f t="shared" si="141"/>
        <v>1.4400742856080346E-12</v>
      </c>
      <c r="Q138" s="20">
        <f t="shared" si="108"/>
        <v>2.6741562174905032E-12</v>
      </c>
      <c r="R138" s="59">
        <f t="shared" si="109"/>
        <v>293.33333333333599</v>
      </c>
      <c r="S138" s="59">
        <f ca="1">AVERAGE(OFFSET($R$3,0,0,'Données projet'!$E$9+1,1))-AVERAGE(OFFSET($H$3,0,0,'Données projet'!$E$9+1,1))</f>
        <v>293.82673322742102</v>
      </c>
      <c r="T138" s="59">
        <f t="shared" si="142"/>
        <v>138.78566015867693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126.79004769802486</v>
      </c>
      <c r="AA138" s="21">
        <f>EXP(-LN(2)/25)*AA137+(1-EXP(-LN(2)/25))/(LN(2)/25)*Calculateur!V138*Calculateur!X138*VLOOKUP('Données projet'!$B$9,Paramètres!$A$1:$I$89,3,0)*0.475*44/12</f>
        <v>36.030149299574944</v>
      </c>
      <c r="AB138" s="21">
        <f>EXP(-LN(2)/2)*AB137+(1-EXP(-LN(2)/2))/(LN(2)/2)*V138*Y138*VLOOKUP('Données projet'!$B$9,Paramètres!$A$1:$I$89,3,0)*0.475*44/12</f>
        <v>0.34324116352645268</v>
      </c>
      <c r="AC138" s="22">
        <f t="shared" si="111"/>
        <v>163.16343816112624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-1.6848389350343498E-13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265.57710796453807</v>
      </c>
      <c r="AO138" s="59">
        <f t="shared" si="144"/>
        <v>171.29436297508141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108.812714270429</v>
      </c>
      <c r="AV138" s="21">
        <f>EXP(-LN(2)/25)*AV137+(1-EXP(-LN(2)/25))/(LN(2)/25)*Calculateur!AQ138*Calculateur!AS138*VLOOKUP('Données projet'!$B$10,Paramètres!$A$1:$I$89,3,0)*0.475*44/12</f>
        <v>28.272818662796322</v>
      </c>
      <c r="AW138" s="21">
        <f>EXP(-LN(2)/2)*AW137+(1-EXP(-LN(2)/2))/(LN(2)/2)*AQ138*AT138*VLOOKUP('Données projet'!$B$10,Paramètres!$A$1:$I$89,3,0)*0.475*44/12</f>
        <v>2.8901740559302804</v>
      </c>
      <c r="AX138" s="21">
        <f t="shared" si="114"/>
        <v>139.97570698915561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175.05987582828078</v>
      </c>
      <c r="BJ138" s="59">
        <f t="shared" si="146"/>
        <v>268.54782308462387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32.693522039922591</v>
      </c>
      <c r="BQ138" s="21">
        <f>EXP(-LN(2)/25)*BQ137+(1-EXP(-LN(2)/25))/(LN(2)/25)*Calculateur!BL138*Calculateur!BN138*VLOOKUP('Données projet'!$B$11,Paramètres!$A$1:$I$89,3,0)*0.475*44/12</f>
        <v>6.1078655643322088</v>
      </c>
      <c r="BR138" s="21">
        <f>EXP(-LN(2)/2)*BR137+(1-EXP(-LN(2)/2))/(LN(2)/2)*BL138*BO138*VLOOKUP('Données projet'!$B$11,Paramètres!$A$1:$I$89,3,0)*0.475*44/12</f>
        <v>2.2184922814397914E-10</v>
      </c>
      <c r="BS138" s="22">
        <f t="shared" si="117"/>
        <v>38.801387604476652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1.7053025658242404E-13</v>
      </c>
      <c r="O139" s="13">
        <f>N139*VLOOKUP('Données projet'!$B$9,Paramètres!$A$1:$I$89,3,0)*VLOOKUP('Données projet'!$B$9,Paramètres!$A$1:$I$89,5,0)</f>
        <v>9.5326413429575044E-14</v>
      </c>
      <c r="P139" s="13">
        <f t="shared" si="141"/>
        <v>1.4400742856080346E-12</v>
      </c>
      <c r="Q139" s="20">
        <f t="shared" si="108"/>
        <v>2.6741562174905032E-12</v>
      </c>
      <c r="R139" s="59">
        <f t="shared" si="109"/>
        <v>293.33333333333599</v>
      </c>
      <c r="S139" s="59">
        <f ca="1">AVERAGE(OFFSET($R$3,0,0,'Données projet'!$E$9+1,1))-AVERAGE(OFFSET($H$3,0,0,'Données projet'!$E$9+1,1))</f>
        <v>293.82673322742102</v>
      </c>
      <c r="T139" s="59">
        <f t="shared" si="142"/>
        <v>138.78566015867693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124.30377219695957</v>
      </c>
      <c r="AA139" s="21">
        <f>EXP(-LN(2)/25)*AA138+(1-EXP(-LN(2)/25))/(LN(2)/25)*Calculateur!V139*Calculateur!X139*VLOOKUP('Données projet'!$B$9,Paramètres!$A$1:$I$89,3,0)*0.475*44/12</f>
        <v>35.044902972234866</v>
      </c>
      <c r="AB139" s="21">
        <f>EXP(-LN(2)/2)*AB138+(1-EXP(-LN(2)/2))/(LN(2)/2)*V139*Y139*VLOOKUP('Données projet'!$B$9,Paramètres!$A$1:$I$89,3,0)*0.475*44/12</f>
        <v>0.24270815431191536</v>
      </c>
      <c r="AC139" s="22">
        <f t="shared" si="111"/>
        <v>159.59138332350636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-1.6848389350343498E-13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265.57710796453807</v>
      </c>
      <c r="AO139" s="59">
        <f t="shared" si="144"/>
        <v>171.29436297508141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106.67896331278817</v>
      </c>
      <c r="AV139" s="21">
        <f>EXP(-LN(2)/25)*AV138+(1-EXP(-LN(2)/25))/(LN(2)/25)*Calculateur!AQ139*Calculateur!AS139*VLOOKUP('Données projet'!$B$10,Paramètres!$A$1:$I$89,3,0)*0.475*44/12</f>
        <v>27.499696949659242</v>
      </c>
      <c r="AW139" s="21">
        <f>EXP(-LN(2)/2)*AW138+(1-EXP(-LN(2)/2))/(LN(2)/2)*AQ139*AT139*VLOOKUP('Données projet'!$B$10,Paramètres!$A$1:$I$89,3,0)*0.475*44/12</f>
        <v>2.0436616737577293</v>
      </c>
      <c r="AX139" s="21">
        <f t="shared" si="114"/>
        <v>136.22232193620513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175.05987582828078</v>
      </c>
      <c r="BJ139" s="59">
        <f t="shared" si="146"/>
        <v>268.54782308462387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32.052422013799138</v>
      </c>
      <c r="BQ139" s="21">
        <f>EXP(-LN(2)/25)*BQ138+(1-EXP(-LN(2)/25))/(LN(2)/25)*Calculateur!BL139*Calculateur!BN139*VLOOKUP('Données projet'!$B$11,Paramètres!$A$1:$I$89,3,0)*0.475*44/12</f>
        <v>5.9408456592768539</v>
      </c>
      <c r="BR139" s="21">
        <f>EXP(-LN(2)/2)*BR138+(1-EXP(-LN(2)/2))/(LN(2)/2)*BL139*BO139*VLOOKUP('Données projet'!$B$11,Paramètres!$A$1:$I$89,3,0)*0.475*44/12</f>
        <v>1.5687109362160912E-10</v>
      </c>
      <c r="BS139" s="22">
        <f t="shared" si="117"/>
        <v>37.993267673232864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1.7053025658242404E-13</v>
      </c>
      <c r="O140" s="13">
        <f>N140*VLOOKUP('Données projet'!$B$9,Paramètres!$A$1:$I$89,3,0)*VLOOKUP('Données projet'!$B$9,Paramètres!$A$1:$I$89,5,0)</f>
        <v>9.5326413429575044E-14</v>
      </c>
      <c r="P140" s="13">
        <f t="shared" si="141"/>
        <v>1.4400742856080346E-12</v>
      </c>
      <c r="Q140" s="20">
        <f t="shared" si="108"/>
        <v>2.6741562174905032E-12</v>
      </c>
      <c r="R140" s="59">
        <f t="shared" si="109"/>
        <v>293.33333333333599</v>
      </c>
      <c r="S140" s="59">
        <f ca="1">AVERAGE(OFFSET($R$3,0,0,'Données projet'!$E$9+1,1))-AVERAGE(OFFSET($H$3,0,0,'Données projet'!$E$9+1,1))</f>
        <v>293.82673322742102</v>
      </c>
      <c r="T140" s="59">
        <f t="shared" si="142"/>
        <v>138.78566015867693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121.86625104199184</v>
      </c>
      <c r="AA140" s="21">
        <f>EXP(-LN(2)/25)*AA139+(1-EXP(-LN(2)/25))/(LN(2)/25)*Calculateur!V140*Calculateur!X140*VLOOKUP('Données projet'!$B$9,Paramètres!$A$1:$I$89,3,0)*0.475*44/12</f>
        <v>34.086598257527754</v>
      </c>
      <c r="AB140" s="21">
        <f>EXP(-LN(2)/2)*AB139+(1-EXP(-LN(2)/2))/(LN(2)/2)*V140*Y140*VLOOKUP('Données projet'!$B$9,Paramètres!$A$1:$I$89,3,0)*0.475*44/12</f>
        <v>0.17162058176322637</v>
      </c>
      <c r="AC140" s="22">
        <f t="shared" si="111"/>
        <v>156.12446988128281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-1.6848389350343498E-13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265.57710796453807</v>
      </c>
      <c r="AO140" s="59">
        <f t="shared" si="144"/>
        <v>171.29436297508141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104.58705390996711</v>
      </c>
      <c r="AV140" s="21">
        <f>EXP(-LN(2)/25)*AV139+(1-EXP(-LN(2)/25))/(LN(2)/25)*Calculateur!AQ140*Calculateur!AS140*VLOOKUP('Données projet'!$B$10,Paramètres!$A$1:$I$89,3,0)*0.475*44/12</f>
        <v>26.747716290424599</v>
      </c>
      <c r="AW140" s="21">
        <f>EXP(-LN(2)/2)*AW139+(1-EXP(-LN(2)/2))/(LN(2)/2)*AQ140*AT140*VLOOKUP('Données projet'!$B$10,Paramètres!$A$1:$I$89,3,0)*0.475*44/12</f>
        <v>1.4450870279651402</v>
      </c>
      <c r="AX140" s="21">
        <f t="shared" si="114"/>
        <v>132.77985722835686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175.05987582828078</v>
      </c>
      <c r="BJ140" s="59">
        <f t="shared" si="146"/>
        <v>268.54782308462387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31.42389356815556</v>
      </c>
      <c r="BQ140" s="21">
        <f>EXP(-LN(2)/25)*BQ139+(1-EXP(-LN(2)/25))/(LN(2)/25)*Calculateur!BL140*Calculateur!BN140*VLOOKUP('Données projet'!$B$11,Paramètres!$A$1:$I$89,3,0)*0.475*44/12</f>
        <v>5.7783929223084334</v>
      </c>
      <c r="BR140" s="21">
        <f>EXP(-LN(2)/2)*BR139+(1-EXP(-LN(2)/2))/(LN(2)/2)*BL140*BO140*VLOOKUP('Données projet'!$B$11,Paramètres!$A$1:$I$89,3,0)*0.475*44/12</f>
        <v>1.1092461407198957E-10</v>
      </c>
      <c r="BS140" s="22">
        <f t="shared" si="117"/>
        <v>37.202286490574913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1.7053025658242404E-13</v>
      </c>
      <c r="O141" s="13">
        <f>N141*VLOOKUP('Données projet'!$B$9,Paramètres!$A$1:$I$89,3,0)*VLOOKUP('Données projet'!$B$9,Paramètres!$A$1:$I$89,5,0)</f>
        <v>9.5326413429575044E-14</v>
      </c>
      <c r="P141" s="13">
        <f t="shared" si="141"/>
        <v>1.4400742856080346E-12</v>
      </c>
      <c r="Q141" s="20">
        <f t="shared" si="108"/>
        <v>2.6741562174905032E-12</v>
      </c>
      <c r="R141" s="59">
        <f t="shared" si="109"/>
        <v>293.33333333333599</v>
      </c>
      <c r="S141" s="59">
        <f ca="1">AVERAGE(OFFSET($R$3,0,0,'Données projet'!$E$9+1,1))-AVERAGE(OFFSET($H$3,0,0,'Données projet'!$E$9+1,1))</f>
        <v>293.82673322742102</v>
      </c>
      <c r="T141" s="59">
        <f t="shared" si="142"/>
        <v>138.78566015867693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119.47652819013193</v>
      </c>
      <c r="AA141" s="21">
        <f>EXP(-LN(2)/25)*AA140+(1-EXP(-LN(2)/25))/(LN(2)/25)*Calculateur!V141*Calculateur!X141*VLOOKUP('Données projet'!$B$9,Paramètres!$A$1:$I$89,3,0)*0.475*44/12</f>
        <v>33.154498435639361</v>
      </c>
      <c r="AB141" s="21">
        <f>EXP(-LN(2)/2)*AB140+(1-EXP(-LN(2)/2))/(LN(2)/2)*V141*Y141*VLOOKUP('Données projet'!$B$9,Paramètres!$A$1:$I$89,3,0)*0.475*44/12</f>
        <v>0.1213540771559577</v>
      </c>
      <c r="AC141" s="22">
        <f t="shared" si="111"/>
        <v>152.75238070292724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-1.6848389350343498E-13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265.57710796453807</v>
      </c>
      <c r="AO141" s="59">
        <f t="shared" si="144"/>
        <v>171.29436297508141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102.53616557459662</v>
      </c>
      <c r="AV141" s="21">
        <f>EXP(-LN(2)/25)*AV140+(1-EXP(-LN(2)/25))/(LN(2)/25)*Calculateur!AQ141*Calculateur!AS141*VLOOKUP('Données projet'!$B$10,Paramètres!$A$1:$I$89,3,0)*0.475*44/12</f>
        <v>26.016298581861673</v>
      </c>
      <c r="AW141" s="21">
        <f>EXP(-LN(2)/2)*AW140+(1-EXP(-LN(2)/2))/(LN(2)/2)*AQ141*AT141*VLOOKUP('Données projet'!$B$10,Paramètres!$A$1:$I$89,3,0)*0.475*44/12</f>
        <v>1.0218308368788647</v>
      </c>
      <c r="AX141" s="21">
        <f t="shared" si="114"/>
        <v>129.57429499333716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175.05987582828078</v>
      </c>
      <c r="BJ141" s="59">
        <f t="shared" si="146"/>
        <v>268.54782308462387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30.807690181966553</v>
      </c>
      <c r="BQ141" s="21">
        <f>EXP(-LN(2)/25)*BQ140+(1-EXP(-LN(2)/25))/(LN(2)/25)*Calculateur!BL141*Calculateur!BN141*VLOOKUP('Données projet'!$B$11,Paramètres!$A$1:$I$89,3,0)*0.475*44/12</f>
        <v>5.6203824639754325</v>
      </c>
      <c r="BR141" s="21">
        <f>EXP(-LN(2)/2)*BR140+(1-EXP(-LN(2)/2))/(LN(2)/2)*BL141*BO141*VLOOKUP('Données projet'!$B$11,Paramètres!$A$1:$I$89,3,0)*0.475*44/12</f>
        <v>7.843554681080456E-11</v>
      </c>
      <c r="BS141" s="22">
        <f t="shared" si="117"/>
        <v>36.428072646020425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1.7053025658242404E-13</v>
      </c>
      <c r="O142" s="13">
        <f>N142*VLOOKUP('Données projet'!$B$9,Paramètres!$A$1:$I$89,3,0)*VLOOKUP('Données projet'!$B$9,Paramètres!$A$1:$I$89,5,0)</f>
        <v>9.5326413429575044E-14</v>
      </c>
      <c r="P142" s="13">
        <f t="shared" si="141"/>
        <v>1.4400742856080346E-12</v>
      </c>
      <c r="Q142" s="20">
        <f t="shared" si="108"/>
        <v>2.6741562174905032E-12</v>
      </c>
      <c r="R142" s="59">
        <f t="shared" si="109"/>
        <v>293.33333333333599</v>
      </c>
      <c r="S142" s="59">
        <f ca="1">AVERAGE(OFFSET($R$3,0,0,'Données projet'!$E$9+1,1))-AVERAGE(OFFSET($H$3,0,0,'Données projet'!$E$9+1,1))</f>
        <v>293.82673322742102</v>
      </c>
      <c r="T142" s="59">
        <f t="shared" si="142"/>
        <v>138.78566015867693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117.13366634580998</v>
      </c>
      <c r="AA142" s="21">
        <f>EXP(-LN(2)/25)*AA141+(1-EXP(-LN(2)/25))/(LN(2)/25)*Calculateur!V142*Calculateur!X142*VLOOKUP('Données projet'!$B$9,Paramètres!$A$1:$I$89,3,0)*0.475*44/12</f>
        <v>32.247886932397506</v>
      </c>
      <c r="AB142" s="21">
        <f>EXP(-LN(2)/2)*AB141+(1-EXP(-LN(2)/2))/(LN(2)/2)*V142*Y142*VLOOKUP('Données projet'!$B$9,Paramètres!$A$1:$I$89,3,0)*0.475*44/12</f>
        <v>8.5810290881613197E-2</v>
      </c>
      <c r="AC142" s="22">
        <f t="shared" si="111"/>
        <v>149.46736356908912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-1.6848389350343498E-13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265.57710796453807</v>
      </c>
      <c r="AO142" s="59">
        <f t="shared" si="144"/>
        <v>171.29436297508141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100.52549390856439</v>
      </c>
      <c r="AV142" s="21">
        <f>EXP(-LN(2)/25)*AV141+(1-EXP(-LN(2)/25))/(LN(2)/25)*Calculateur!AQ142*Calculateur!AS142*VLOOKUP('Données projet'!$B$10,Paramètres!$A$1:$I$89,3,0)*0.475*44/12</f>
        <v>25.304881529002984</v>
      </c>
      <c r="AW142" s="21">
        <f>EXP(-LN(2)/2)*AW141+(1-EXP(-LN(2)/2))/(LN(2)/2)*AQ142*AT142*VLOOKUP('Données projet'!$B$10,Paramètres!$A$1:$I$89,3,0)*0.475*44/12</f>
        <v>0.72254351398257011</v>
      </c>
      <c r="AX142" s="21">
        <f t="shared" si="114"/>
        <v>126.55291895154994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175.05987582828078</v>
      </c>
      <c r="BJ142" s="59">
        <f t="shared" si="146"/>
        <v>268.54782308462387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30.203570168333759</v>
      </c>
      <c r="BQ142" s="21">
        <f>EXP(-LN(2)/25)*BQ141+(1-EXP(-LN(2)/25))/(LN(2)/25)*Calculateur!BL142*Calculateur!BN142*VLOOKUP('Données projet'!$B$11,Paramètres!$A$1:$I$89,3,0)*0.475*44/12</f>
        <v>5.4666928099349557</v>
      </c>
      <c r="BR142" s="21">
        <f>EXP(-LN(2)/2)*BR141+(1-EXP(-LN(2)/2))/(LN(2)/2)*BL142*BO142*VLOOKUP('Données projet'!$B$11,Paramètres!$A$1:$I$89,3,0)*0.475*44/12</f>
        <v>5.5462307035994786E-11</v>
      </c>
      <c r="BS142" s="22">
        <f t="shared" si="117"/>
        <v>35.670262978324182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1.7053025658242404E-13</v>
      </c>
      <c r="O143" s="13">
        <f>N143*VLOOKUP('Données projet'!$B$9,Paramètres!$A$1:$I$89,3,0)*VLOOKUP('Données projet'!$B$9,Paramètres!$A$1:$I$89,5,0)</f>
        <v>9.5326413429575044E-14</v>
      </c>
      <c r="P143" s="13">
        <f t="shared" si="141"/>
        <v>1.4400742856080346E-12</v>
      </c>
      <c r="Q143" s="20">
        <f t="shared" si="108"/>
        <v>2.6741562174905032E-12</v>
      </c>
      <c r="R143" s="59">
        <f t="shared" si="109"/>
        <v>293.33333333333599</v>
      </c>
      <c r="S143" s="59">
        <f ca="1">AVERAGE(OFFSET($R$3,0,0,'Données projet'!$E$9+1,1))-AVERAGE(OFFSET($H$3,0,0,'Données projet'!$E$9+1,1))</f>
        <v>293.82673322742102</v>
      </c>
      <c r="T143" s="59">
        <f t="shared" si="142"/>
        <v>138.78566015867693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114.83674659325057</v>
      </c>
      <c r="AA143" s="21">
        <f>EXP(-LN(2)/25)*AA142+(1-EXP(-LN(2)/25))/(LN(2)/25)*Calculateur!V143*Calculateur!X143*VLOOKUP('Données projet'!$B$9,Paramètres!$A$1:$I$89,3,0)*0.475*44/12</f>
        <v>31.366066768388425</v>
      </c>
      <c r="AB143" s="21">
        <f>EXP(-LN(2)/2)*AB142+(1-EXP(-LN(2)/2))/(LN(2)/2)*V143*Y143*VLOOKUP('Données projet'!$B$9,Paramètres!$A$1:$I$89,3,0)*0.475*44/12</f>
        <v>6.0677038577978862E-2</v>
      </c>
      <c r="AC143" s="22">
        <f t="shared" si="111"/>
        <v>146.26349040021697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-1.6848389350343498E-13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265.57710796453807</v>
      </c>
      <c r="AO143" s="59">
        <f t="shared" si="144"/>
        <v>171.29436297508141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98.554250287514421</v>
      </c>
      <c r="AV143" s="21">
        <f>EXP(-LN(2)/25)*AV142+(1-EXP(-LN(2)/25))/(LN(2)/25)*Calculateur!AQ143*Calculateur!AS143*VLOOKUP('Données projet'!$B$10,Paramètres!$A$1:$I$89,3,0)*0.475*44/12</f>
        <v>24.612918212866514</v>
      </c>
      <c r="AW143" s="21">
        <f>EXP(-LN(2)/2)*AW142+(1-EXP(-LN(2)/2))/(LN(2)/2)*AQ143*AT143*VLOOKUP('Données projet'!$B$10,Paramètres!$A$1:$I$89,3,0)*0.475*44/12</f>
        <v>0.51091541843943233</v>
      </c>
      <c r="AX143" s="21">
        <f t="shared" si="114"/>
        <v>123.67808391882038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175.05987582828078</v>
      </c>
      <c r="BJ143" s="59">
        <f t="shared" si="146"/>
        <v>268.54782308462387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29.61129657969148</v>
      </c>
      <c r="BQ143" s="21">
        <f>EXP(-LN(2)/25)*BQ142+(1-EXP(-LN(2)/25))/(LN(2)/25)*Calculateur!BL143*Calculateur!BN143*VLOOKUP('Données projet'!$B$11,Paramètres!$A$1:$I$89,3,0)*0.475*44/12</f>
        <v>5.3172058075664035</v>
      </c>
      <c r="BR143" s="21">
        <f>EXP(-LN(2)/2)*BR142+(1-EXP(-LN(2)/2))/(LN(2)/2)*BL143*BO143*VLOOKUP('Données projet'!$B$11,Paramètres!$A$1:$I$89,3,0)*0.475*44/12</f>
        <v>3.921777340540228E-11</v>
      </c>
      <c r="BS143" s="22">
        <f t="shared" si="117"/>
        <v>34.928502387297101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1.7053025658242404E-13</v>
      </c>
      <c r="O144" s="13">
        <f>N144*VLOOKUP('Données projet'!$B$9,Paramètres!$A$1:$I$89,3,0)*VLOOKUP('Données projet'!$B$9,Paramètres!$A$1:$I$89,5,0)</f>
        <v>9.5326413429575044E-14</v>
      </c>
      <c r="P144" s="13">
        <f t="shared" si="141"/>
        <v>1.4400742856080346E-12</v>
      </c>
      <c r="Q144" s="20">
        <f t="shared" si="108"/>
        <v>2.6741562174905032E-12</v>
      </c>
      <c r="R144" s="59">
        <f t="shared" si="109"/>
        <v>293.33333333333599</v>
      </c>
      <c r="S144" s="59">
        <f ca="1">AVERAGE(OFFSET($R$3,0,0,'Données projet'!$E$9+1,1))-AVERAGE(OFFSET($H$3,0,0,'Données projet'!$E$9+1,1))</f>
        <v>293.82673322742102</v>
      </c>
      <c r="T144" s="59">
        <f t="shared" si="142"/>
        <v>138.78566015867693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112.58486803605612</v>
      </c>
      <c r="AA144" s="21">
        <f>EXP(-LN(2)/25)*AA143+(1-EXP(-LN(2)/25))/(LN(2)/25)*Calculateur!V144*Calculateur!X144*VLOOKUP('Données projet'!$B$9,Paramètres!$A$1:$I$89,3,0)*0.475*44/12</f>
        <v>30.50836002313708</v>
      </c>
      <c r="AB144" s="21">
        <f>EXP(-LN(2)/2)*AB143+(1-EXP(-LN(2)/2))/(LN(2)/2)*V144*Y144*VLOOKUP('Données projet'!$B$9,Paramètres!$A$1:$I$89,3,0)*0.475*44/12</f>
        <v>4.2905145440806605E-2</v>
      </c>
      <c r="AC144" s="22">
        <f t="shared" si="111"/>
        <v>143.13613320463401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-1.6848389350343498E-13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265.57710796453807</v>
      </c>
      <c r="AO144" s="59">
        <f t="shared" si="144"/>
        <v>171.29436297508141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96.62166155153335</v>
      </c>
      <c r="AV144" s="21">
        <f>EXP(-LN(2)/25)*AV143+(1-EXP(-LN(2)/25))/(LN(2)/25)*Calculateur!AQ144*Calculateur!AS144*VLOOKUP('Données projet'!$B$10,Paramètres!$A$1:$I$89,3,0)*0.475*44/12</f>
        <v>23.939876669998565</v>
      </c>
      <c r="AW144" s="21">
        <f>EXP(-LN(2)/2)*AW143+(1-EXP(-LN(2)/2))/(LN(2)/2)*AQ144*AT144*VLOOKUP('Données projet'!$B$10,Paramètres!$A$1:$I$89,3,0)*0.475*44/12</f>
        <v>0.36127175699128505</v>
      </c>
      <c r="AX144" s="21">
        <f t="shared" si="114"/>
        <v>120.9228099785232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175.05987582828078</v>
      </c>
      <c r="BJ144" s="59">
        <f t="shared" si="146"/>
        <v>268.54782308462387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29.030637114871258</v>
      </c>
      <c r="BQ144" s="21">
        <f>EXP(-LN(2)/25)*BQ143+(1-EXP(-LN(2)/25))/(LN(2)/25)*Calculateur!BL144*Calculateur!BN144*VLOOKUP('Données projet'!$B$11,Paramètres!$A$1:$I$89,3,0)*0.475*44/12</f>
        <v>5.1718065351387992</v>
      </c>
      <c r="BR144" s="21">
        <f>EXP(-LN(2)/2)*BR143+(1-EXP(-LN(2)/2))/(LN(2)/2)*BL144*BO144*VLOOKUP('Données projet'!$B$11,Paramètres!$A$1:$I$89,3,0)*0.475*44/12</f>
        <v>2.7731153517997393E-11</v>
      </c>
      <c r="BS144" s="22">
        <f t="shared" si="117"/>
        <v>34.202443650037786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1.7053025658242404E-13</v>
      </c>
      <c r="O145" s="13">
        <f>N145*VLOOKUP('Données projet'!$B$9,Paramètres!$A$1:$I$89,3,0)*VLOOKUP('Données projet'!$B$9,Paramètres!$A$1:$I$89,5,0)</f>
        <v>9.5326413429575044E-14</v>
      </c>
      <c r="P145" s="13">
        <f t="shared" si="141"/>
        <v>1.4400742856080346E-12</v>
      </c>
      <c r="Q145" s="20">
        <f t="shared" si="108"/>
        <v>2.6741562174905032E-12</v>
      </c>
      <c r="R145" s="59">
        <f t="shared" si="109"/>
        <v>293.33333333333599</v>
      </c>
      <c r="S145" s="59">
        <f ca="1">AVERAGE(OFFSET($R$3,0,0,'Données projet'!$E$9+1,1))-AVERAGE(OFFSET($H$3,0,0,'Données projet'!$E$9+1,1))</f>
        <v>293.82673322742102</v>
      </c>
      <c r="T145" s="59">
        <f t="shared" si="142"/>
        <v>138.78566015867693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110.37714744385796</v>
      </c>
      <c r="AA145" s="21">
        <f>EXP(-LN(2)/25)*AA144+(1-EXP(-LN(2)/25))/(LN(2)/25)*Calculateur!V145*Calculateur!X145*VLOOKUP('Données projet'!$B$9,Paramètres!$A$1:$I$89,3,0)*0.475*44/12</f>
        <v>29.674107313939469</v>
      </c>
      <c r="AB145" s="21">
        <f>EXP(-LN(2)/2)*AB144+(1-EXP(-LN(2)/2))/(LN(2)/2)*V145*Y145*VLOOKUP('Données projet'!$B$9,Paramètres!$A$1:$I$89,3,0)*0.475*44/12</f>
        <v>3.0338519288989434E-2</v>
      </c>
      <c r="AC145" s="22">
        <f t="shared" si="111"/>
        <v>140.08159327708643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-1.6848389350343498E-13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265.57710796453807</v>
      </c>
      <c r="AO145" s="59">
        <f t="shared" si="144"/>
        <v>171.29436297508141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94.726969701902135</v>
      </c>
      <c r="AV145" s="21">
        <f>EXP(-LN(2)/25)*AV144+(1-EXP(-LN(2)/25))/(LN(2)/25)*Calculateur!AQ145*Calculateur!AS145*VLOOKUP('Données projet'!$B$10,Paramètres!$A$1:$I$89,3,0)*0.475*44/12</f>
        <v>23.285239483514054</v>
      </c>
      <c r="AW145" s="21">
        <f>EXP(-LN(2)/2)*AW144+(1-EXP(-LN(2)/2))/(LN(2)/2)*AQ145*AT145*VLOOKUP('Données projet'!$B$10,Paramètres!$A$1:$I$89,3,0)*0.475*44/12</f>
        <v>0.25545770921971617</v>
      </c>
      <c r="AX145" s="21">
        <f t="shared" si="114"/>
        <v>118.26766689463591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175.05987582828078</v>
      </c>
      <c r="BJ145" s="59">
        <f t="shared" si="146"/>
        <v>268.54782308462387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28.461364027988857</v>
      </c>
      <c r="BQ145" s="21">
        <f>EXP(-LN(2)/25)*BQ144+(1-EXP(-LN(2)/25))/(LN(2)/25)*Calculateur!BL145*Calculateur!BN145*VLOOKUP('Données projet'!$B$11,Paramètres!$A$1:$I$89,3,0)*0.475*44/12</f>
        <v>5.0303832134619437</v>
      </c>
      <c r="BR145" s="21">
        <f>EXP(-LN(2)/2)*BR144+(1-EXP(-LN(2)/2))/(LN(2)/2)*BL145*BO145*VLOOKUP('Données projet'!$B$11,Paramètres!$A$1:$I$89,3,0)*0.475*44/12</f>
        <v>1.960888670270114E-11</v>
      </c>
      <c r="BS145" s="22">
        <f t="shared" si="117"/>
        <v>33.491747241470414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1.7053025658242404E-13</v>
      </c>
      <c r="O146" s="13">
        <f>N146*VLOOKUP('Données projet'!$B$9,Paramètres!$A$1:$I$89,3,0)*VLOOKUP('Données projet'!$B$9,Paramètres!$A$1:$I$89,5,0)</f>
        <v>9.5326413429575044E-14</v>
      </c>
      <c r="P146" s="13">
        <f t="shared" si="141"/>
        <v>1.4400742856080346E-12</v>
      </c>
      <c r="Q146" s="20">
        <f t="shared" si="108"/>
        <v>2.6741562174905032E-12</v>
      </c>
      <c r="R146" s="59">
        <f t="shared" si="109"/>
        <v>293.33333333333599</v>
      </c>
      <c r="S146" s="59">
        <f ca="1">AVERAGE(OFFSET($R$3,0,0,'Données projet'!$E$9+1,1))-AVERAGE(OFFSET($H$3,0,0,'Données projet'!$E$9+1,1))</f>
        <v>293.82673322742102</v>
      </c>
      <c r="T146" s="59">
        <f t="shared" si="142"/>
        <v>138.78566015867693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108.21271890589621</v>
      </c>
      <c r="AA146" s="21">
        <f>EXP(-LN(2)/25)*AA145+(1-EXP(-LN(2)/25))/(LN(2)/25)*Calculateur!V146*Calculateur!X146*VLOOKUP('Données projet'!$B$9,Paramètres!$A$1:$I$89,3,0)*0.475*44/12</f>
        <v>28.862667288946312</v>
      </c>
      <c r="AB146" s="21">
        <f>EXP(-LN(2)/2)*AB145+(1-EXP(-LN(2)/2))/(LN(2)/2)*V146*Y146*VLOOKUP('Données projet'!$B$9,Paramètres!$A$1:$I$89,3,0)*0.475*44/12</f>
        <v>2.1452572720403306E-2</v>
      </c>
      <c r="AC146" s="22">
        <f t="shared" si="111"/>
        <v>137.0968387675629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-1.6848389350343498E-13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265.57710796453807</v>
      </c>
      <c r="AO146" s="59">
        <f t="shared" si="144"/>
        <v>171.29436297508141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92.869431603794268</v>
      </c>
      <c r="AV146" s="21">
        <f>EXP(-LN(2)/25)*AV145+(1-EXP(-LN(2)/25))/(LN(2)/25)*Calculateur!AQ146*Calculateur!AS146*VLOOKUP('Données projet'!$B$10,Paramètres!$A$1:$I$89,3,0)*0.475*44/12</f>
        <v>22.648503385319838</v>
      </c>
      <c r="AW146" s="21">
        <f>EXP(-LN(2)/2)*AW145+(1-EXP(-LN(2)/2))/(LN(2)/2)*AQ146*AT146*VLOOKUP('Données projet'!$B$10,Paramètres!$A$1:$I$89,3,0)*0.475*44/12</f>
        <v>0.18063587849564253</v>
      </c>
      <c r="AX146" s="21">
        <f t="shared" si="114"/>
        <v>115.69857086760975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175.05987582828078</v>
      </c>
      <c r="BJ146" s="59">
        <f t="shared" si="146"/>
        <v>268.54782308462387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27.903254039117922</v>
      </c>
      <c r="BQ146" s="21">
        <f>EXP(-LN(2)/25)*BQ145+(1-EXP(-LN(2)/25))/(LN(2)/25)*Calculateur!BL146*Calculateur!BN146*VLOOKUP('Données projet'!$B$11,Paramètres!$A$1:$I$89,3,0)*0.475*44/12</f>
        <v>4.8928271199534707</v>
      </c>
      <c r="BR146" s="21">
        <f>EXP(-LN(2)/2)*BR145+(1-EXP(-LN(2)/2))/(LN(2)/2)*BL146*BO146*VLOOKUP('Données projet'!$B$11,Paramètres!$A$1:$I$89,3,0)*0.475*44/12</f>
        <v>1.3865576758998696E-11</v>
      </c>
      <c r="BS146" s="22">
        <f t="shared" si="117"/>
        <v>32.796081159085254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1.7053025658242404E-13</v>
      </c>
      <c r="O147" s="13">
        <f>N147*VLOOKUP('Données projet'!$B$9,Paramètres!$A$1:$I$89,3,0)*VLOOKUP('Données projet'!$B$9,Paramètres!$A$1:$I$89,5,0)</f>
        <v>9.5326413429575044E-14</v>
      </c>
      <c r="P147" s="13">
        <f t="shared" si="141"/>
        <v>1.4400742856080346E-12</v>
      </c>
      <c r="Q147" s="20">
        <f t="shared" si="108"/>
        <v>2.6741562174905032E-12</v>
      </c>
      <c r="R147" s="59">
        <f t="shared" si="109"/>
        <v>293.33333333333599</v>
      </c>
      <c r="S147" s="59">
        <f ca="1">AVERAGE(OFFSET($R$3,0,0,'Données projet'!$E$9+1,1))-AVERAGE(OFFSET($H$3,0,0,'Données projet'!$E$9+1,1))</f>
        <v>293.82673322742102</v>
      </c>
      <c r="T147" s="59">
        <f t="shared" si="142"/>
        <v>138.78566015867693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106.09073349139284</v>
      </c>
      <c r="AA147" s="21">
        <f>EXP(-LN(2)/25)*AA146+(1-EXP(-LN(2)/25))/(LN(2)/25)*Calculateur!V147*Calculateur!X147*VLOOKUP('Données projet'!$B$9,Paramètres!$A$1:$I$89,3,0)*0.475*44/12</f>
        <v>28.073416134108371</v>
      </c>
      <c r="AB147" s="21">
        <f>EXP(-LN(2)/2)*AB146+(1-EXP(-LN(2)/2))/(LN(2)/2)*V147*Y147*VLOOKUP('Données projet'!$B$9,Paramètres!$A$1:$I$89,3,0)*0.475*44/12</f>
        <v>1.5169259644494721E-2</v>
      </c>
      <c r="AC147" s="22">
        <f t="shared" si="111"/>
        <v>134.1793188851457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-1.6848389350343498E-13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265.57710796453807</v>
      </c>
      <c r="AO147" s="59">
        <f t="shared" si="144"/>
        <v>171.29436297508141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91.048318694803939</v>
      </c>
      <c r="AV147" s="21">
        <f>EXP(-LN(2)/25)*AV146+(1-EXP(-LN(2)/25))/(LN(2)/25)*Calculateur!AQ147*Calculateur!AS147*VLOOKUP('Données projet'!$B$10,Paramètres!$A$1:$I$89,3,0)*0.475*44/12</f>
        <v>22.029178869215237</v>
      </c>
      <c r="AW147" s="21">
        <f>EXP(-LN(2)/2)*AW146+(1-EXP(-LN(2)/2))/(LN(2)/2)*AQ147*AT147*VLOOKUP('Données projet'!$B$10,Paramètres!$A$1:$I$89,3,0)*0.475*44/12</f>
        <v>0.12772885460985808</v>
      </c>
      <c r="AX147" s="21">
        <f t="shared" si="114"/>
        <v>113.20522641862904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175.05987582828078</v>
      </c>
      <c r="BJ147" s="59">
        <f t="shared" si="146"/>
        <v>268.54782308462387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27.356088246715267</v>
      </c>
      <c r="BQ147" s="21">
        <f>EXP(-LN(2)/25)*BQ146+(1-EXP(-LN(2)/25))/(LN(2)/25)*Calculateur!BL147*Calculateur!BN147*VLOOKUP('Données projet'!$B$11,Paramètres!$A$1:$I$89,3,0)*0.475*44/12</f>
        <v>4.7590325050557478</v>
      </c>
      <c r="BR147" s="21">
        <f>EXP(-LN(2)/2)*BR146+(1-EXP(-LN(2)/2))/(LN(2)/2)*BL147*BO147*VLOOKUP('Données projet'!$B$11,Paramètres!$A$1:$I$89,3,0)*0.475*44/12</f>
        <v>9.8044433513505699E-12</v>
      </c>
      <c r="BS147" s="22">
        <f t="shared" si="117"/>
        <v>32.115120751780822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1.7053025658242404E-13</v>
      </c>
      <c r="O148" s="13">
        <f>N148*VLOOKUP('Données projet'!$B$9,Paramètres!$A$1:$I$89,3,0)*VLOOKUP('Données projet'!$B$9,Paramètres!$A$1:$I$89,5,0)</f>
        <v>9.5326413429575044E-14</v>
      </c>
      <c r="P148" s="13">
        <f t="shared" si="141"/>
        <v>1.4400742856080346E-12</v>
      </c>
      <c r="Q148" s="20">
        <f t="shared" si="108"/>
        <v>2.6741562174905032E-12</v>
      </c>
      <c r="R148" s="59">
        <f t="shared" si="109"/>
        <v>293.33333333333599</v>
      </c>
      <c r="S148" s="59">
        <f ca="1">AVERAGE(OFFSET($R$3,0,0,'Données projet'!$E$9+1,1))-AVERAGE(OFFSET($H$3,0,0,'Données projet'!$E$9+1,1))</f>
        <v>293.82673322742102</v>
      </c>
      <c r="T148" s="59">
        <f t="shared" si="142"/>
        <v>138.78566015867693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104.01035891658458</v>
      </c>
      <c r="AA148" s="21">
        <f>EXP(-LN(2)/25)*AA147+(1-EXP(-LN(2)/25))/(LN(2)/25)*Calculateur!V148*Calculateur!X148*VLOOKUP('Données projet'!$B$9,Paramètres!$A$1:$I$89,3,0)*0.475*44/12</f>
        <v>27.305747093604385</v>
      </c>
      <c r="AB148" s="21">
        <f>EXP(-LN(2)/2)*AB147+(1-EXP(-LN(2)/2))/(LN(2)/2)*V148*Y148*VLOOKUP('Données projet'!$B$9,Paramètres!$A$1:$I$89,3,0)*0.475*44/12</f>
        <v>1.0726286360201655E-2</v>
      </c>
      <c r="AC148" s="22">
        <f t="shared" si="111"/>
        <v>131.32683229654918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-1.6848389350343498E-13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265.57710796453807</v>
      </c>
      <c r="AO148" s="59">
        <f t="shared" si="144"/>
        <v>171.29436297508141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89.262916699189716</v>
      </c>
      <c r="AV148" s="21">
        <f>EXP(-LN(2)/25)*AV147+(1-EXP(-LN(2)/25))/(LN(2)/25)*Calculateur!AQ148*Calculateur!AS148*VLOOKUP('Données projet'!$B$10,Paramètres!$A$1:$I$89,3,0)*0.475*44/12</f>
        <v>21.426789814572377</v>
      </c>
      <c r="AW148" s="21">
        <f>EXP(-LN(2)/2)*AW147+(1-EXP(-LN(2)/2))/(LN(2)/2)*AQ148*AT148*VLOOKUP('Données projet'!$B$10,Paramètres!$A$1:$I$89,3,0)*0.475*44/12</f>
        <v>9.0317939247821263E-2</v>
      </c>
      <c r="AX148" s="21">
        <f t="shared" si="114"/>
        <v>110.78002445300991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175.05987582828078</v>
      </c>
      <c r="BJ148" s="59">
        <f t="shared" si="146"/>
        <v>268.54782308462387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26.819652041763447</v>
      </c>
      <c r="BQ148" s="21">
        <f>EXP(-LN(2)/25)*BQ147+(1-EXP(-LN(2)/25))/(LN(2)/25)*Calculateur!BL148*Calculateur!BN148*VLOOKUP('Données projet'!$B$11,Paramètres!$A$1:$I$89,3,0)*0.475*44/12</f>
        <v>4.6288965109383557</v>
      </c>
      <c r="BR148" s="21">
        <f>EXP(-LN(2)/2)*BR147+(1-EXP(-LN(2)/2))/(LN(2)/2)*BL148*BO148*VLOOKUP('Données projet'!$B$11,Paramètres!$A$1:$I$89,3,0)*0.475*44/12</f>
        <v>6.9327883794993482E-12</v>
      </c>
      <c r="BS148" s="22">
        <f t="shared" si="117"/>
        <v>31.448548552708733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1.7053025658242404E-13</v>
      </c>
      <c r="O149" s="13">
        <f>N149*VLOOKUP('Données projet'!$B$9,Paramètres!$A$1:$I$89,3,0)*VLOOKUP('Données projet'!$B$9,Paramètres!$A$1:$I$89,5,0)</f>
        <v>9.5326413429575044E-14</v>
      </c>
      <c r="P149" s="13">
        <f t="shared" si="141"/>
        <v>1.4400742856080346E-12</v>
      </c>
      <c r="Q149" s="20">
        <f t="shared" si="108"/>
        <v>2.6741562174905032E-12</v>
      </c>
      <c r="R149" s="59">
        <f t="shared" si="109"/>
        <v>293.33333333333599</v>
      </c>
      <c r="S149" s="59">
        <f ca="1">AVERAGE(OFFSET($R$3,0,0,'Données projet'!$E$9+1,1))-AVERAGE(OFFSET($H$3,0,0,'Données projet'!$E$9+1,1))</f>
        <v>293.82673322742102</v>
      </c>
      <c r="T149" s="59">
        <f t="shared" si="142"/>
        <v>138.78566015867693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101.97077921828512</v>
      </c>
      <c r="AA149" s="21">
        <f>EXP(-LN(2)/25)*AA148+(1-EXP(-LN(2)/25))/(LN(2)/25)*Calculateur!V149*Calculateur!X149*VLOOKUP('Données projet'!$B$9,Paramètres!$A$1:$I$89,3,0)*0.475*44/12</f>
        <v>26.559070003382942</v>
      </c>
      <c r="AB149" s="21">
        <f>EXP(-LN(2)/2)*AB148+(1-EXP(-LN(2)/2))/(LN(2)/2)*V149*Y149*VLOOKUP('Données projet'!$B$9,Paramètres!$A$1:$I$89,3,0)*0.475*44/12</f>
        <v>7.5846298222473612E-3</v>
      </c>
      <c r="AC149" s="22">
        <f t="shared" si="111"/>
        <v>128.53743385149031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-1.6848389350343498E-13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265.57710796453807</v>
      </c>
      <c r="AO149" s="59">
        <f t="shared" si="144"/>
        <v>171.29436297508141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87.512525347721791</v>
      </c>
      <c r="AV149" s="21">
        <f>EXP(-LN(2)/25)*AV148+(1-EXP(-LN(2)/25))/(LN(2)/25)*Calculateur!AQ149*Calculateur!AS149*VLOOKUP('Données projet'!$B$10,Paramètres!$A$1:$I$89,3,0)*0.475*44/12</f>
        <v>20.840873120306991</v>
      </c>
      <c r="AW149" s="21">
        <f>EXP(-LN(2)/2)*AW148+(1-EXP(-LN(2)/2))/(LN(2)/2)*AQ149*AT149*VLOOKUP('Données projet'!$B$10,Paramètres!$A$1:$I$89,3,0)*0.475*44/12</f>
        <v>6.3864427304929042E-2</v>
      </c>
      <c r="AX149" s="21">
        <f t="shared" si="114"/>
        <v>108.41726289533372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175.05987582828078</v>
      </c>
      <c r="BJ149" s="59">
        <f t="shared" si="146"/>
        <v>268.54782308462387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26.293735023596955</v>
      </c>
      <c r="BQ149" s="21">
        <f>EXP(-LN(2)/25)*BQ148+(1-EXP(-LN(2)/25))/(LN(2)/25)*Calculateur!BL149*Calculateur!BN149*VLOOKUP('Données projet'!$B$11,Paramètres!$A$1:$I$89,3,0)*0.475*44/12</f>
        <v>4.502319092423658</v>
      </c>
      <c r="BR149" s="21">
        <f>EXP(-LN(2)/2)*BR148+(1-EXP(-LN(2)/2))/(LN(2)/2)*BL149*BO149*VLOOKUP('Données projet'!$B$11,Paramètres!$A$1:$I$89,3,0)*0.475*44/12</f>
        <v>4.902221675675285E-12</v>
      </c>
      <c r="BS149" s="22">
        <f t="shared" si="117"/>
        <v>30.796054116025516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1.7053025658242404E-13</v>
      </c>
      <c r="O150" s="13">
        <f>N150*VLOOKUP('Données projet'!$B$9,Paramètres!$A$1:$I$89,3,0)*VLOOKUP('Données projet'!$B$9,Paramètres!$A$1:$I$89,5,0)</f>
        <v>9.5326413429575044E-14</v>
      </c>
      <c r="P150" s="13">
        <f t="shared" si="141"/>
        <v>1.4400742856080346E-12</v>
      </c>
      <c r="Q150" s="20">
        <f t="shared" si="108"/>
        <v>2.6741562174905032E-12</v>
      </c>
      <c r="R150" s="59">
        <f t="shared" si="109"/>
        <v>293.33333333333599</v>
      </c>
      <c r="S150" s="59">
        <f ca="1">AVERAGE(OFFSET($R$3,0,0,'Données projet'!$E$9+1,1))-AVERAGE(OFFSET($H$3,0,0,'Données projet'!$E$9+1,1))</f>
        <v>293.82673322742102</v>
      </c>
      <c r="T150" s="59">
        <f t="shared" si="142"/>
        <v>138.78566015867693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99.971194433848524</v>
      </c>
      <c r="AA150" s="21">
        <f>EXP(-LN(2)/25)*AA149+(1-EXP(-LN(2)/25))/(LN(2)/25)*Calculateur!V150*Calculateur!X150*VLOOKUP('Données projet'!$B$9,Paramètres!$A$1:$I$89,3,0)*0.475*44/12</f>
        <v>25.832810837459647</v>
      </c>
      <c r="AB150" s="21">
        <f>EXP(-LN(2)/2)*AB149+(1-EXP(-LN(2)/2))/(LN(2)/2)*V150*Y150*VLOOKUP('Données projet'!$B$9,Paramètres!$A$1:$I$89,3,0)*0.475*44/12</f>
        <v>5.3631431801008283E-3</v>
      </c>
      <c r="AC150" s="22">
        <f t="shared" si="111"/>
        <v>125.80936841448828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-1.6848389350343498E-13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265.57710796453807</v>
      </c>
      <c r="AO150" s="59">
        <f t="shared" si="144"/>
        <v>171.29436297508141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85.796458103022857</v>
      </c>
      <c r="AV150" s="21">
        <f>EXP(-LN(2)/25)*AV149+(1-EXP(-LN(2)/25))/(LN(2)/25)*Calculateur!AQ150*Calculateur!AS150*VLOOKUP('Données projet'!$B$10,Paramètres!$A$1:$I$89,3,0)*0.475*44/12</f>
        <v>20.270978348858311</v>
      </c>
      <c r="AW150" s="21">
        <f>EXP(-LN(2)/2)*AW149+(1-EXP(-LN(2)/2))/(LN(2)/2)*AQ150*AT150*VLOOKUP('Données projet'!$B$10,Paramètres!$A$1:$I$89,3,0)*0.475*44/12</f>
        <v>4.5158969623910632E-2</v>
      </c>
      <c r="AX150" s="21">
        <f t="shared" si="114"/>
        <v>106.11259542150508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175.05987582828078</v>
      </c>
      <c r="BJ150" s="59">
        <f t="shared" si="146"/>
        <v>268.54782308462387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25.778130917379002</v>
      </c>
      <c r="BQ150" s="21">
        <f>EXP(-LN(2)/25)*BQ149+(1-EXP(-LN(2)/25))/(LN(2)/25)*Calculateur!BL150*Calculateur!BN150*VLOOKUP('Données projet'!$B$11,Paramètres!$A$1:$I$89,3,0)*0.475*44/12</f>
        <v>4.3792029400746619</v>
      </c>
      <c r="BR150" s="21">
        <f>EXP(-LN(2)/2)*BR149+(1-EXP(-LN(2)/2))/(LN(2)/2)*BL150*BO150*VLOOKUP('Données projet'!$B$11,Paramètres!$A$1:$I$89,3,0)*0.475*44/12</f>
        <v>3.4663941897496741E-12</v>
      </c>
      <c r="BS150" s="22">
        <f t="shared" si="117"/>
        <v>30.157333857457132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1.7053025658242404E-13</v>
      </c>
      <c r="O151" s="13">
        <f>N151*VLOOKUP('Données projet'!$B$9,Paramètres!$A$1:$I$89,3,0)*VLOOKUP('Données projet'!$B$9,Paramètres!$A$1:$I$89,5,0)</f>
        <v>9.5326413429575044E-14</v>
      </c>
      <c r="P151" s="13">
        <f t="shared" si="141"/>
        <v>1.4400742856080346E-12</v>
      </c>
      <c r="Q151" s="20">
        <f t="shared" si="108"/>
        <v>2.6741562174905032E-12</v>
      </c>
      <c r="R151" s="59">
        <f t="shared" si="109"/>
        <v>293.33333333333599</v>
      </c>
      <c r="S151" s="59">
        <f ca="1">AVERAGE(OFFSET($R$3,0,0,'Données projet'!$E$9+1,1))-AVERAGE(OFFSET($H$3,0,0,'Données projet'!$E$9+1,1))</f>
        <v>293.82673322742102</v>
      </c>
      <c r="T151" s="59">
        <f t="shared" si="142"/>
        <v>138.78566015867693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98.010820287408436</v>
      </c>
      <c r="AA151" s="21">
        <f>EXP(-LN(2)/25)*AA150+(1-EXP(-LN(2)/25))/(LN(2)/25)*Calculateur!V151*Calculateur!X151*VLOOKUP('Données projet'!$B$9,Paramètres!$A$1:$I$89,3,0)*0.475*44/12</f>
        <v>25.126411266620831</v>
      </c>
      <c r="AB151" s="21">
        <f>EXP(-LN(2)/2)*AB150+(1-EXP(-LN(2)/2))/(LN(2)/2)*V151*Y151*VLOOKUP('Données projet'!$B$9,Paramètres!$A$1:$I$89,3,0)*0.475*44/12</f>
        <v>3.7923149111236815E-3</v>
      </c>
      <c r="AC151" s="22">
        <f t="shared" si="111"/>
        <v>123.14102386894039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-1.6848389350343498E-13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265.57710796453807</v>
      </c>
      <c r="AO151" s="59">
        <f t="shared" si="144"/>
        <v>171.29436297508141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84.1140418902948</v>
      </c>
      <c r="AV151" s="21">
        <f>EXP(-LN(2)/25)*AV150+(1-EXP(-LN(2)/25))/(LN(2)/25)*Calculateur!AQ151*Calculateur!AS151*VLOOKUP('Données projet'!$B$10,Paramètres!$A$1:$I$89,3,0)*0.475*44/12</f>
        <v>19.716667379904358</v>
      </c>
      <c r="AW151" s="21">
        <f>EXP(-LN(2)/2)*AW150+(1-EXP(-LN(2)/2))/(LN(2)/2)*AQ151*AT151*VLOOKUP('Données projet'!$B$10,Paramètres!$A$1:$I$89,3,0)*0.475*44/12</f>
        <v>3.1932213652464521E-2</v>
      </c>
      <c r="AX151" s="21">
        <f t="shared" si="114"/>
        <v>103.86264148385162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175.05987582828078</v>
      </c>
      <c r="BJ151" s="59">
        <f t="shared" si="146"/>
        <v>268.54782308462387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25.27263749319653</v>
      </c>
      <c r="BQ151" s="21">
        <f>EXP(-LN(2)/25)*BQ150+(1-EXP(-LN(2)/25))/(LN(2)/25)*Calculateur!BL151*Calculateur!BN151*VLOOKUP('Données projet'!$B$11,Paramètres!$A$1:$I$89,3,0)*0.475*44/12</f>
        <v>4.2594534053860462</v>
      </c>
      <c r="BR151" s="21">
        <f>EXP(-LN(2)/2)*BR150+(1-EXP(-LN(2)/2))/(LN(2)/2)*BL151*BO151*VLOOKUP('Données projet'!$B$11,Paramètres!$A$1:$I$89,3,0)*0.475*44/12</f>
        <v>2.4511108378376425E-12</v>
      </c>
      <c r="BS151" s="22">
        <f t="shared" si="117"/>
        <v>29.532090898585029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1.7053025658242404E-13</v>
      </c>
      <c r="O152" s="13">
        <f>N152*VLOOKUP('Données projet'!$B$9,Paramètres!$A$1:$I$89,3,0)*VLOOKUP('Données projet'!$B$9,Paramètres!$A$1:$I$89,5,0)</f>
        <v>9.5326413429575044E-14</v>
      </c>
      <c r="P152" s="13">
        <f t="shared" si="141"/>
        <v>1.4400742856080346E-12</v>
      </c>
      <c r="Q152" s="20">
        <f t="shared" si="108"/>
        <v>2.6741562174905032E-12</v>
      </c>
      <c r="R152" s="59">
        <f t="shared" si="109"/>
        <v>293.33333333333599</v>
      </c>
      <c r="S152" s="59">
        <f ca="1">AVERAGE(OFFSET($R$3,0,0,'Données projet'!$E$9+1,1))-AVERAGE(OFFSET($H$3,0,0,'Données projet'!$E$9+1,1))</f>
        <v>293.82673322742102</v>
      </c>
      <c r="T152" s="59">
        <f t="shared" si="142"/>
        <v>138.78566015867693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96.088887882269873</v>
      </c>
      <c r="AA152" s="21">
        <f>EXP(-LN(2)/25)*AA151+(1-EXP(-LN(2)/25))/(LN(2)/25)*Calculateur!V152*Calculateur!X152*VLOOKUP('Données projet'!$B$9,Paramètres!$A$1:$I$89,3,0)*0.475*44/12</f>
        <v>24.439328229194544</v>
      </c>
      <c r="AB152" s="21">
        <f>EXP(-LN(2)/2)*AB151+(1-EXP(-LN(2)/2))/(LN(2)/2)*V152*Y152*VLOOKUP('Données projet'!$B$9,Paramètres!$A$1:$I$89,3,0)*0.475*44/12</f>
        <v>2.6815715900504146E-3</v>
      </c>
      <c r="AC152" s="22">
        <f t="shared" si="111"/>
        <v>120.53089768305446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-1.6848389350343498E-13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265.57710796453807</v>
      </c>
      <c r="AO152" s="59">
        <f t="shared" si="144"/>
        <v>171.29436297508141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82.464616833325778</v>
      </c>
      <c r="AV152" s="21">
        <f>EXP(-LN(2)/25)*AV151+(1-EXP(-LN(2)/25))/(LN(2)/25)*Calculateur!AQ152*Calculateur!AS152*VLOOKUP('Données projet'!$B$10,Paramètres!$A$1:$I$89,3,0)*0.475*44/12</f>
        <v>19.177514073546398</v>
      </c>
      <c r="AW152" s="21">
        <f>EXP(-LN(2)/2)*AW151+(1-EXP(-LN(2)/2))/(LN(2)/2)*AQ152*AT152*VLOOKUP('Données projet'!$B$10,Paramètres!$A$1:$I$89,3,0)*0.475*44/12</f>
        <v>2.2579484811955316E-2</v>
      </c>
      <c r="AX152" s="21">
        <f t="shared" si="114"/>
        <v>101.66471039168414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175.05987582828078</v>
      </c>
      <c r="BJ152" s="59">
        <f t="shared" si="146"/>
        <v>268.54782308462387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24.777056486741735</v>
      </c>
      <c r="BQ152" s="21">
        <f>EXP(-LN(2)/25)*BQ151+(1-EXP(-LN(2)/25))/(LN(2)/25)*Calculateur!BL152*Calculateur!BN152*VLOOKUP('Données projet'!$B$11,Paramètres!$A$1:$I$89,3,0)*0.475*44/12</f>
        <v>4.1429784280208457</v>
      </c>
      <c r="BR152" s="21">
        <f>EXP(-LN(2)/2)*BR151+(1-EXP(-LN(2)/2))/(LN(2)/2)*BL152*BO152*VLOOKUP('Données projet'!$B$11,Paramètres!$A$1:$I$89,3,0)*0.475*44/12</f>
        <v>1.7331970948748371E-12</v>
      </c>
      <c r="BS152" s="22">
        <f t="shared" si="117"/>
        <v>28.920034914764315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1.7053025658242404E-13</v>
      </c>
      <c r="O153" s="13">
        <f>N153*VLOOKUP('Données projet'!$B$9,Paramètres!$A$1:$I$89,3,0)*VLOOKUP('Données projet'!$B$9,Paramètres!$A$1:$I$89,5,0)</f>
        <v>9.5326413429575044E-14</v>
      </c>
      <c r="P153" s="13">
        <f t="shared" si="141"/>
        <v>1.4400742856080346E-12</v>
      </c>
      <c r="Q153" s="20">
        <f t="shared" si="108"/>
        <v>2.6741562174905032E-12</v>
      </c>
      <c r="R153" s="59">
        <f t="shared" si="109"/>
        <v>293.33333333333599</v>
      </c>
      <c r="S153" s="59">
        <f ca="1">AVERAGE(OFFSET($R$3,0,0,'Données projet'!$E$9+1,1))-AVERAGE(OFFSET($H$3,0,0,'Données projet'!$E$9+1,1))</f>
        <v>293.82673322742102</v>
      </c>
      <c r="T153" s="59">
        <f t="shared" si="142"/>
        <v>138.78566015867693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94.204643399333065</v>
      </c>
      <c r="AA153" s="21">
        <f>EXP(-LN(2)/25)*AA152+(1-EXP(-LN(2)/25))/(LN(2)/25)*Calculateur!V153*Calculateur!X153*VLOOKUP('Données projet'!$B$9,Paramètres!$A$1:$I$89,3,0)*0.475*44/12</f>
        <v>23.771033513558805</v>
      </c>
      <c r="AB153" s="21">
        <f>EXP(-LN(2)/2)*AB152+(1-EXP(-LN(2)/2))/(LN(2)/2)*V153*Y153*VLOOKUP('Données projet'!$B$9,Paramètres!$A$1:$I$89,3,0)*0.475*44/12</f>
        <v>1.8961574555618409E-3</v>
      </c>
      <c r="AC153" s="22">
        <f t="shared" si="111"/>
        <v>117.97757307034743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-1.6848389350343498E-13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265.57710796453807</v>
      </c>
      <c r="AO153" s="59">
        <f t="shared" si="144"/>
        <v>171.29436297508141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80.847535995673965</v>
      </c>
      <c r="AV153" s="21">
        <f>EXP(-LN(2)/25)*AV152+(1-EXP(-LN(2)/25))/(LN(2)/25)*Calculateur!AQ153*Calculateur!AS153*VLOOKUP('Données projet'!$B$10,Paramètres!$A$1:$I$89,3,0)*0.475*44/12</f>
        <v>18.653103942703638</v>
      </c>
      <c r="AW153" s="21">
        <f>EXP(-LN(2)/2)*AW152+(1-EXP(-LN(2)/2))/(LN(2)/2)*AQ153*AT153*VLOOKUP('Données projet'!$B$10,Paramètres!$A$1:$I$89,3,0)*0.475*44/12</f>
        <v>1.596610682623226E-2</v>
      </c>
      <c r="AX153" s="21">
        <f t="shared" si="114"/>
        <v>99.516606045203829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175.05987582828078</v>
      </c>
      <c r="BJ153" s="59">
        <f t="shared" si="146"/>
        <v>268.54782308462387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24.291193521548951</v>
      </c>
      <c r="BQ153" s="21">
        <f>EXP(-LN(2)/25)*BQ152+(1-EXP(-LN(2)/25))/(LN(2)/25)*Calculateur!BL153*Calculateur!BN153*VLOOKUP('Données projet'!$B$11,Paramètres!$A$1:$I$89,3,0)*0.475*44/12</f>
        <v>4.0296884650368492</v>
      </c>
      <c r="BR153" s="21">
        <f>EXP(-LN(2)/2)*BR152+(1-EXP(-LN(2)/2))/(LN(2)/2)*BL153*BO153*VLOOKUP('Données projet'!$B$11,Paramètres!$A$1:$I$89,3,0)*0.475*44/12</f>
        <v>1.2255554189188212E-12</v>
      </c>
      <c r="BS153" s="22">
        <f t="shared" si="117"/>
        <v>28.320881986587025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1.7053025658242404E-13</v>
      </c>
      <c r="O154" s="13">
        <f>N154*VLOOKUP('Données projet'!$B$9,Paramètres!$A$1:$I$89,3,0)*VLOOKUP('Données projet'!$B$9,Paramètres!$A$1:$I$89,5,0)</f>
        <v>9.5326413429575044E-14</v>
      </c>
      <c r="P154" s="13">
        <f t="shared" si="141"/>
        <v>1.4400742856080346E-12</v>
      </c>
      <c r="Q154" s="20">
        <f t="shared" ref="Q154:Q203" si="162">(O154+P154)*0.475*44/12</f>
        <v>2.6741562174905032E-12</v>
      </c>
      <c r="R154" s="59">
        <f t="shared" si="109"/>
        <v>293.33333333333599</v>
      </c>
      <c r="S154" s="59">
        <f ca="1">AVERAGE(OFFSET($R$3,0,0,'Données projet'!$E$9+1,1))-AVERAGE(OFFSET($H$3,0,0,'Données projet'!$E$9+1,1))</f>
        <v>293.82673322742102</v>
      </c>
      <c r="T154" s="59">
        <f t="shared" si="142"/>
        <v>138.78566015867693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92.35734780143099</v>
      </c>
      <c r="AA154" s="21">
        <f>EXP(-LN(2)/25)*AA153+(1-EXP(-LN(2)/25))/(LN(2)/25)*Calculateur!V154*Calculateur!X154*VLOOKUP('Données projet'!$B$9,Paramètres!$A$1:$I$89,3,0)*0.475*44/12</f>
        <v>23.121013352066218</v>
      </c>
      <c r="AB154" s="21">
        <f>EXP(-LN(2)/2)*AB153+(1-EXP(-LN(2)/2))/(LN(2)/2)*V154*Y154*VLOOKUP('Données projet'!$B$9,Paramètres!$A$1:$I$89,3,0)*0.475*44/12</f>
        <v>1.3407857950252075E-3</v>
      </c>
      <c r="AC154" s="22">
        <f t="shared" ref="AC154:AC203" si="163">SUM(Z154:AB154)</f>
        <v>115.47970193929223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-1.6848389350343498E-13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265.57710796453807</v>
      </c>
      <c r="AO154" s="59">
        <f t="shared" si="144"/>
        <v>171.29436297508141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79.26216512692659</v>
      </c>
      <c r="AV154" s="21">
        <f>EXP(-LN(2)/25)*AV153+(1-EXP(-LN(2)/25))/(LN(2)/25)*Calculateur!AQ154*Calculateur!AS154*VLOOKUP('Données projet'!$B$10,Paramètres!$A$1:$I$89,3,0)*0.475*44/12</f>
        <v>18.143033834466301</v>
      </c>
      <c r="AW154" s="21">
        <f>EXP(-LN(2)/2)*AW153+(1-EXP(-LN(2)/2))/(LN(2)/2)*AQ154*AT154*VLOOKUP('Données projet'!$B$10,Paramètres!$A$1:$I$89,3,0)*0.475*44/12</f>
        <v>1.1289742405977658E-2</v>
      </c>
      <c r="AX154" s="21">
        <f t="shared" ref="AX154:AX203" si="166">SUM(AU154:AW154)</f>
        <v>97.416488703798876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175.05987582828078</v>
      </c>
      <c r="BJ154" s="59">
        <f t="shared" si="146"/>
        <v>268.54782308462387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23.814858032756451</v>
      </c>
      <c r="BQ154" s="21">
        <f>EXP(-LN(2)/25)*BQ153+(1-EXP(-LN(2)/25))/(LN(2)/25)*Calculateur!BL154*Calculateur!BN154*VLOOKUP('Données projet'!$B$11,Paramètres!$A$1:$I$89,3,0)*0.475*44/12</f>
        <v>3.9194964220483102</v>
      </c>
      <c r="BR154" s="21">
        <f>EXP(-LN(2)/2)*BR153+(1-EXP(-LN(2)/2))/(LN(2)/2)*BL154*BO154*VLOOKUP('Données projet'!$B$11,Paramètres!$A$1:$I$89,3,0)*0.475*44/12</f>
        <v>8.6659854743741853E-13</v>
      </c>
      <c r="BS154" s="22">
        <f t="shared" ref="BS154:BS203" si="169">SUM(BP154:BR154)</f>
        <v>27.734354454805629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1.7053025658242404E-13</v>
      </c>
      <c r="O155" s="13">
        <f>N155*VLOOKUP('Données projet'!$B$9,Paramètres!$A$1:$I$89,3,0)*VLOOKUP('Données projet'!$B$9,Paramètres!$A$1:$I$89,5,0)</f>
        <v>9.5326413429575044E-14</v>
      </c>
      <c r="P155" s="13">
        <f t="shared" si="141"/>
        <v>1.4400742856080346E-12</v>
      </c>
      <c r="Q155" s="20">
        <f t="shared" si="162"/>
        <v>2.6741562174905032E-12</v>
      </c>
      <c r="R155" s="59">
        <f t="shared" si="109"/>
        <v>293.33333333333599</v>
      </c>
      <c r="S155" s="59">
        <f ca="1">AVERAGE(OFFSET($R$3,0,0,'Données projet'!$E$9+1,1))-AVERAGE(OFFSET($H$3,0,0,'Données projet'!$E$9+1,1))</f>
        <v>293.82673322742102</v>
      </c>
      <c r="T155" s="59">
        <f t="shared" si="142"/>
        <v>138.78566015867693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90.546276543464728</v>
      </c>
      <c r="AA155" s="21">
        <f>EXP(-LN(2)/25)*AA154+(1-EXP(-LN(2)/25))/(LN(2)/25)*Calculateur!V155*Calculateur!X155*VLOOKUP('Données projet'!$B$9,Paramètres!$A$1:$I$89,3,0)*0.475*44/12</f>
        <v>22.488768026072719</v>
      </c>
      <c r="AB155" s="21">
        <f>EXP(-LN(2)/2)*AB154+(1-EXP(-LN(2)/2))/(LN(2)/2)*V155*Y155*VLOOKUP('Données projet'!$B$9,Paramètres!$A$1:$I$89,3,0)*0.475*44/12</f>
        <v>9.4807872778092058E-4</v>
      </c>
      <c r="AC155" s="22">
        <f t="shared" si="163"/>
        <v>113.03599264826524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-1.6848389350343498E-13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265.57710796453807</v>
      </c>
      <c r="AO155" s="59">
        <f t="shared" si="144"/>
        <v>171.29436297508141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77.707882413934598</v>
      </c>
      <c r="AV155" s="21">
        <f>EXP(-LN(2)/25)*AV154+(1-EXP(-LN(2)/25))/(LN(2)/25)*Calculateur!AQ155*Calculateur!AS155*VLOOKUP('Données projet'!$B$10,Paramètres!$A$1:$I$89,3,0)*0.475*44/12</f>
        <v>17.646911620162136</v>
      </c>
      <c r="AW155" s="21">
        <f>EXP(-LN(2)/2)*AW154+(1-EXP(-LN(2)/2))/(LN(2)/2)*AQ155*AT155*VLOOKUP('Données projet'!$B$10,Paramètres!$A$1:$I$89,3,0)*0.475*44/12</f>
        <v>7.9830534131161302E-3</v>
      </c>
      <c r="AX155" s="21">
        <f t="shared" si="166"/>
        <v>95.362777087509841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175.05987582828078</v>
      </c>
      <c r="BJ155" s="59">
        <f t="shared" si="146"/>
        <v>268.54782308462387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23.34786319236321</v>
      </c>
      <c r="BQ155" s="21">
        <f>EXP(-LN(2)/25)*BQ154+(1-EXP(-LN(2)/25))/(LN(2)/25)*Calculateur!BL155*Calculateur!BN155*VLOOKUP('Données projet'!$B$11,Paramètres!$A$1:$I$89,3,0)*0.475*44/12</f>
        <v>3.8123175862700402</v>
      </c>
      <c r="BR155" s="21">
        <f>EXP(-LN(2)/2)*BR154+(1-EXP(-LN(2)/2))/(LN(2)/2)*BL155*BO155*VLOOKUP('Données projet'!$B$11,Paramètres!$A$1:$I$89,3,0)*0.475*44/12</f>
        <v>6.1277770945941062E-13</v>
      </c>
      <c r="BS155" s="22">
        <f t="shared" si="169"/>
        <v>27.160180778633862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1.7053025658242404E-13</v>
      </c>
      <c r="O156" s="13">
        <f>N156*VLOOKUP('Données projet'!$B$9,Paramètres!$A$1:$I$89,3,0)*VLOOKUP('Données projet'!$B$9,Paramètres!$A$1:$I$89,5,0)</f>
        <v>9.5326413429575044E-14</v>
      </c>
      <c r="P156" s="13">
        <f t="shared" si="141"/>
        <v>1.4400742856080346E-12</v>
      </c>
      <c r="Q156" s="20">
        <f t="shared" si="162"/>
        <v>2.6741562174905032E-12</v>
      </c>
      <c r="R156" s="59">
        <f t="shared" si="109"/>
        <v>293.33333333333599</v>
      </c>
      <c r="S156" s="59">
        <f ca="1">AVERAGE(OFFSET($R$3,0,0,'Données projet'!$E$9+1,1))-AVERAGE(OFFSET($H$3,0,0,'Données projet'!$E$9+1,1))</f>
        <v>293.82673322742102</v>
      </c>
      <c r="T156" s="59">
        <f t="shared" si="142"/>
        <v>138.78566015867693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88.770719288222793</v>
      </c>
      <c r="AA156" s="21">
        <f>EXP(-LN(2)/25)*AA155+(1-EXP(-LN(2)/25))/(LN(2)/25)*Calculateur!V156*Calculateur!X156*VLOOKUP('Données projet'!$B$9,Paramètres!$A$1:$I$89,3,0)*0.475*44/12</f>
        <v>21.87381148176685</v>
      </c>
      <c r="AB156" s="21">
        <f>EXP(-LN(2)/2)*AB155+(1-EXP(-LN(2)/2))/(LN(2)/2)*V156*Y156*VLOOKUP('Données projet'!$B$9,Paramètres!$A$1:$I$89,3,0)*0.475*44/12</f>
        <v>6.7039289751260386E-4</v>
      </c>
      <c r="AC156" s="22">
        <f t="shared" si="163"/>
        <v>110.64520116288716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-1.6848389350343498E-13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265.57710796453807</v>
      </c>
      <c r="AO156" s="59">
        <f t="shared" si="144"/>
        <v>171.29436297508141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76.184078236925529</v>
      </c>
      <c r="AV156" s="21">
        <f>EXP(-LN(2)/25)*AV155+(1-EXP(-LN(2)/25))/(LN(2)/25)*Calculateur!AQ156*Calculateur!AS156*VLOOKUP('Données projet'!$B$10,Paramètres!$A$1:$I$89,3,0)*0.475*44/12</f>
        <v>17.164355893898055</v>
      </c>
      <c r="AW156" s="21">
        <f>EXP(-LN(2)/2)*AW155+(1-EXP(-LN(2)/2))/(LN(2)/2)*AQ156*AT156*VLOOKUP('Données projet'!$B$10,Paramètres!$A$1:$I$89,3,0)*0.475*44/12</f>
        <v>5.644871202988829E-3</v>
      </c>
      <c r="AX156" s="21">
        <f t="shared" si="166"/>
        <v>93.35407900202658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175.05987582828078</v>
      </c>
      <c r="BJ156" s="59">
        <f t="shared" si="146"/>
        <v>268.54782308462387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22.890025835951352</v>
      </c>
      <c r="BQ156" s="21">
        <f>EXP(-LN(2)/25)*BQ155+(1-EXP(-LN(2)/25))/(LN(2)/25)*Calculateur!BL156*Calculateur!BN156*VLOOKUP('Données projet'!$B$11,Paramètres!$A$1:$I$89,3,0)*0.475*44/12</f>
        <v>3.7080695613924175</v>
      </c>
      <c r="BR156" s="21">
        <f>EXP(-LN(2)/2)*BR155+(1-EXP(-LN(2)/2))/(LN(2)/2)*BL156*BO156*VLOOKUP('Données projet'!$B$11,Paramètres!$A$1:$I$89,3,0)*0.475*44/12</f>
        <v>4.3329927371870926E-13</v>
      </c>
      <c r="BS156" s="22">
        <f t="shared" si="169"/>
        <v>26.598095397344203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1.7053025658242404E-13</v>
      </c>
      <c r="O157" s="13">
        <f>N157*VLOOKUP('Données projet'!$B$9,Paramètres!$A$1:$I$89,3,0)*VLOOKUP('Données projet'!$B$9,Paramètres!$A$1:$I$89,5,0)</f>
        <v>9.5326413429575044E-14</v>
      </c>
      <c r="P157" s="13">
        <f t="shared" si="141"/>
        <v>1.4400742856080346E-12</v>
      </c>
      <c r="Q157" s="20">
        <f t="shared" si="162"/>
        <v>2.6741562174905032E-12</v>
      </c>
      <c r="R157" s="59">
        <f t="shared" si="109"/>
        <v>293.33333333333599</v>
      </c>
      <c r="S157" s="59">
        <f ca="1">AVERAGE(OFFSET($R$3,0,0,'Données projet'!$E$9+1,1))-AVERAGE(OFFSET($H$3,0,0,'Données projet'!$E$9+1,1))</f>
        <v>293.82673322742102</v>
      </c>
      <c r="T157" s="59">
        <f t="shared" si="142"/>
        <v>138.78566015867693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87.029979627773159</v>
      </c>
      <c r="AA157" s="21">
        <f>EXP(-LN(2)/25)*AA156+(1-EXP(-LN(2)/25))/(LN(2)/25)*Calculateur!V157*Calculateur!X157*VLOOKUP('Données projet'!$B$9,Paramètres!$A$1:$I$89,3,0)*0.475*44/12</f>
        <v>21.275670956504182</v>
      </c>
      <c r="AB157" s="21">
        <f>EXP(-LN(2)/2)*AB156+(1-EXP(-LN(2)/2))/(LN(2)/2)*V157*Y157*VLOOKUP('Données projet'!$B$9,Paramètres!$A$1:$I$89,3,0)*0.475*44/12</f>
        <v>4.740393638904604E-4</v>
      </c>
      <c r="AC157" s="22">
        <f t="shared" si="163"/>
        <v>108.30612462364124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-1.6848389350343498E-13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265.57710796453807</v>
      </c>
      <c r="AO157" s="59">
        <f t="shared" si="144"/>
        <v>171.29436297508141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74.690154930398833</v>
      </c>
      <c r="AV157" s="21">
        <f>EXP(-LN(2)/25)*AV156+(1-EXP(-LN(2)/25))/(LN(2)/25)*Calculateur!AQ157*Calculateur!AS157*VLOOKUP('Données projet'!$B$10,Paramètres!$A$1:$I$89,3,0)*0.475*44/12</f>
        <v>16.694995679345165</v>
      </c>
      <c r="AW157" s="21">
        <f>EXP(-LN(2)/2)*AW156+(1-EXP(-LN(2)/2))/(LN(2)/2)*AQ157*AT157*VLOOKUP('Données projet'!$B$10,Paramètres!$A$1:$I$89,3,0)*0.475*44/12</f>
        <v>3.9915267065580651E-3</v>
      </c>
      <c r="AX157" s="21">
        <f t="shared" si="166"/>
        <v>91.389142136450559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175.05987582828078</v>
      </c>
      <c r="BJ157" s="59">
        <f t="shared" si="146"/>
        <v>268.54782308462387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22.44116639084552</v>
      </c>
      <c r="BQ157" s="21">
        <f>EXP(-LN(2)/25)*BQ156+(1-EXP(-LN(2)/25))/(LN(2)/25)*Calculateur!BL157*Calculateur!BN157*VLOOKUP('Données projet'!$B$11,Paramètres!$A$1:$I$89,3,0)*0.475*44/12</f>
        <v>3.6066722042372383</v>
      </c>
      <c r="BR157" s="21">
        <f>EXP(-LN(2)/2)*BR156+(1-EXP(-LN(2)/2))/(LN(2)/2)*BL157*BO157*VLOOKUP('Données projet'!$B$11,Paramètres!$A$1:$I$89,3,0)*0.475*44/12</f>
        <v>3.0638885472970531E-13</v>
      </c>
      <c r="BS157" s="22">
        <f t="shared" si="169"/>
        <v>26.047838595083064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1.7053025658242404E-13</v>
      </c>
      <c r="O158" s="13">
        <f>N158*VLOOKUP('Données projet'!$B$9,Paramètres!$A$1:$I$89,3,0)*VLOOKUP('Données projet'!$B$9,Paramètres!$A$1:$I$89,5,0)</f>
        <v>9.5326413429575044E-14</v>
      </c>
      <c r="P158" s="13">
        <f t="shared" si="141"/>
        <v>1.4400742856080346E-12</v>
      </c>
      <c r="Q158" s="20">
        <f t="shared" si="162"/>
        <v>2.6741562174905032E-12</v>
      </c>
      <c r="R158" s="59">
        <f t="shared" si="109"/>
        <v>293.33333333333599</v>
      </c>
      <c r="S158" s="59">
        <f ca="1">AVERAGE(OFFSET($R$3,0,0,'Données projet'!$E$9+1,1))-AVERAGE(OFFSET($H$3,0,0,'Données projet'!$E$9+1,1))</f>
        <v>293.82673322742102</v>
      </c>
      <c r="T158" s="59">
        <f t="shared" si="142"/>
        <v>138.78566015867693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85.323374810318583</v>
      </c>
      <c r="AA158" s="21">
        <f>EXP(-LN(2)/25)*AA157+(1-EXP(-LN(2)/25))/(LN(2)/25)*Calculateur!V158*Calculateur!X158*VLOOKUP('Données projet'!$B$9,Paramètres!$A$1:$I$89,3,0)*0.475*44/12</f>
        <v>20.693886615359666</v>
      </c>
      <c r="AB158" s="21">
        <f>EXP(-LN(2)/2)*AB157+(1-EXP(-LN(2)/2))/(LN(2)/2)*V158*Y158*VLOOKUP('Données projet'!$B$9,Paramètres!$A$1:$I$89,3,0)*0.475*44/12</f>
        <v>3.3519644875630198E-4</v>
      </c>
      <c r="AC158" s="22">
        <f t="shared" si="163"/>
        <v>106.017596622127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-1.6848389350343498E-13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265.57710796453807</v>
      </c>
      <c r="AO158" s="59">
        <f t="shared" si="144"/>
        <v>171.29436297508141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73.225526548709894</v>
      </c>
      <c r="AV158" s="21">
        <f>EXP(-LN(2)/25)*AV157+(1-EXP(-LN(2)/25))/(LN(2)/25)*Calculateur!AQ158*Calculateur!AS158*VLOOKUP('Données projet'!$B$10,Paramètres!$A$1:$I$89,3,0)*0.475*44/12</f>
        <v>16.238470144541807</v>
      </c>
      <c r="AW158" s="21">
        <f>EXP(-LN(2)/2)*AW157+(1-EXP(-LN(2)/2))/(LN(2)/2)*AQ158*AT158*VLOOKUP('Données projet'!$B$10,Paramètres!$A$1:$I$89,3,0)*0.475*44/12</f>
        <v>2.8224356014944145E-3</v>
      </c>
      <c r="AX158" s="21">
        <f t="shared" si="166"/>
        <v>89.466819128853189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175.05987582828078</v>
      </c>
      <c r="BJ158" s="59">
        <f t="shared" si="146"/>
        <v>268.54782308462387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22.001108805680985</v>
      </c>
      <c r="BQ158" s="21">
        <f>EXP(-LN(2)/25)*BQ157+(1-EXP(-LN(2)/25))/(LN(2)/25)*Calculateur!BL158*Calculateur!BN158*VLOOKUP('Données projet'!$B$11,Paramètres!$A$1:$I$89,3,0)*0.475*44/12</f>
        <v>3.5080475631457229</v>
      </c>
      <c r="BR158" s="21">
        <f>EXP(-LN(2)/2)*BR157+(1-EXP(-LN(2)/2))/(LN(2)/2)*BL158*BO158*VLOOKUP('Données projet'!$B$11,Paramètres!$A$1:$I$89,3,0)*0.475*44/12</f>
        <v>2.1664963685935463E-13</v>
      </c>
      <c r="BS158" s="22">
        <f t="shared" si="169"/>
        <v>25.509156368826925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1.7053025658242404E-13</v>
      </c>
      <c r="O159" s="13">
        <f>N159*VLOOKUP('Données projet'!$B$9,Paramètres!$A$1:$I$89,3,0)*VLOOKUP('Données projet'!$B$9,Paramètres!$A$1:$I$89,5,0)</f>
        <v>9.5326413429575044E-14</v>
      </c>
      <c r="P159" s="13">
        <f t="shared" si="141"/>
        <v>1.4400742856080346E-12</v>
      </c>
      <c r="Q159" s="20">
        <f t="shared" si="162"/>
        <v>2.6741562174905032E-12</v>
      </c>
      <c r="R159" s="59">
        <f t="shared" si="109"/>
        <v>293.33333333333599</v>
      </c>
      <c r="S159" s="59">
        <f ca="1">AVERAGE(OFFSET($R$3,0,0,'Données projet'!$E$9+1,1))-AVERAGE(OFFSET($H$3,0,0,'Données projet'!$E$9+1,1))</f>
        <v>293.82673322742102</v>
      </c>
      <c r="T159" s="59">
        <f t="shared" si="142"/>
        <v>138.78566015867693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83.650235472408141</v>
      </c>
      <c r="AA159" s="21">
        <f>EXP(-LN(2)/25)*AA158+(1-EXP(-LN(2)/25))/(LN(2)/25)*Calculateur!V159*Calculateur!X159*VLOOKUP('Données projet'!$B$9,Paramètres!$A$1:$I$89,3,0)*0.475*44/12</f>
        <v>20.128011197618456</v>
      </c>
      <c r="AB159" s="21">
        <f>EXP(-LN(2)/2)*AB158+(1-EXP(-LN(2)/2))/(LN(2)/2)*V159*Y159*VLOOKUP('Données projet'!$B$9,Paramètres!$A$1:$I$89,3,0)*0.475*44/12</f>
        <v>2.3701968194523023E-4</v>
      </c>
      <c r="AC159" s="22">
        <f t="shared" si="163"/>
        <v>103.77848368970854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-1.6848389350343498E-13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265.57710796453807</v>
      </c>
      <c r="AO159" s="59">
        <f t="shared" si="144"/>
        <v>171.29436297508141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71.789618636250765</v>
      </c>
      <c r="AV159" s="21">
        <f>EXP(-LN(2)/25)*AV158+(1-EXP(-LN(2)/25))/(LN(2)/25)*Calculateur!AQ159*Calculateur!AS159*VLOOKUP('Données projet'!$B$10,Paramètres!$A$1:$I$89,3,0)*0.475*44/12</f>
        <v>15.79442832449528</v>
      </c>
      <c r="AW159" s="21">
        <f>EXP(-LN(2)/2)*AW158+(1-EXP(-LN(2)/2))/(LN(2)/2)*AQ159*AT159*VLOOKUP('Données projet'!$B$10,Paramètres!$A$1:$I$89,3,0)*0.475*44/12</f>
        <v>1.9957633532790326E-3</v>
      </c>
      <c r="AX159" s="21">
        <f t="shared" si="166"/>
        <v>87.586042724099329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175.05987582828078</v>
      </c>
      <c r="BJ159" s="59">
        <f t="shared" si="146"/>
        <v>268.54782308462387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21.569680481352901</v>
      </c>
      <c r="BQ159" s="21">
        <f>EXP(-LN(2)/25)*BQ158+(1-EXP(-LN(2)/25))/(LN(2)/25)*Calculateur!BL159*Calculateur!BN159*VLOOKUP('Données projet'!$B$11,Paramètres!$A$1:$I$89,3,0)*0.475*44/12</f>
        <v>3.4121198180512993</v>
      </c>
      <c r="BR159" s="21">
        <f>EXP(-LN(2)/2)*BR158+(1-EXP(-LN(2)/2))/(LN(2)/2)*BL159*BO159*VLOOKUP('Données projet'!$B$11,Paramètres!$A$1:$I$89,3,0)*0.475*44/12</f>
        <v>1.5319442736485266E-13</v>
      </c>
      <c r="BS159" s="22">
        <f t="shared" si="169"/>
        <v>24.981800299404352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1.7053025658242404E-13</v>
      </c>
      <c r="O160" s="13">
        <f>N160*VLOOKUP('Données projet'!$B$9,Paramètres!$A$1:$I$89,3,0)*VLOOKUP('Données projet'!$B$9,Paramètres!$A$1:$I$89,5,0)</f>
        <v>9.5326413429575044E-14</v>
      </c>
      <c r="P160" s="13">
        <f t="shared" si="141"/>
        <v>1.4400742856080346E-12</v>
      </c>
      <c r="Q160" s="20">
        <f t="shared" si="162"/>
        <v>2.6741562174905032E-12</v>
      </c>
      <c r="R160" s="59">
        <f t="shared" si="109"/>
        <v>293.33333333333599</v>
      </c>
      <c r="S160" s="59">
        <f ca="1">AVERAGE(OFFSET($R$3,0,0,'Données projet'!$E$9+1,1))-AVERAGE(OFFSET($H$3,0,0,'Données projet'!$E$9+1,1))</f>
        <v>293.82673322742102</v>
      </c>
      <c r="T160" s="59">
        <f t="shared" si="142"/>
        <v>138.78566015867693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82.009905376399885</v>
      </c>
      <c r="AA160" s="21">
        <f>EXP(-LN(2)/25)*AA159+(1-EXP(-LN(2)/25))/(LN(2)/25)*Calculateur!V160*Calculateur!X160*VLOOKUP('Données projet'!$B$9,Paramètres!$A$1:$I$89,3,0)*0.475*44/12</f>
        <v>19.577609672933473</v>
      </c>
      <c r="AB160" s="21">
        <f>EXP(-LN(2)/2)*AB159+(1-EXP(-LN(2)/2))/(LN(2)/2)*V160*Y160*VLOOKUP('Données projet'!$B$9,Paramètres!$A$1:$I$89,3,0)*0.475*44/12</f>
        <v>1.6759822437815102E-4</v>
      </c>
      <c r="AC160" s="22">
        <f t="shared" si="163"/>
        <v>101.58768264755774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-1.6848389350343498E-13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265.57710796453807</v>
      </c>
      <c r="AO160" s="59">
        <f t="shared" si="144"/>
        <v>171.29436297508141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70.381868002137608</v>
      </c>
      <c r="AV160" s="21">
        <f>EXP(-LN(2)/25)*AV159+(1-EXP(-LN(2)/25))/(LN(2)/25)*Calculateur!AQ160*Calculateur!AS160*VLOOKUP('Données projet'!$B$10,Paramètres!$A$1:$I$89,3,0)*0.475*44/12</f>
        <v>15.362528851369071</v>
      </c>
      <c r="AW160" s="21">
        <f>EXP(-LN(2)/2)*AW159+(1-EXP(-LN(2)/2))/(LN(2)/2)*AQ160*AT160*VLOOKUP('Données projet'!$B$10,Paramètres!$A$1:$I$89,3,0)*0.475*44/12</f>
        <v>1.4112178007472072E-3</v>
      </c>
      <c r="AX160" s="21">
        <f t="shared" si="166"/>
        <v>85.745808071307437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175.05987582828078</v>
      </c>
      <c r="BJ160" s="59">
        <f t="shared" si="146"/>
        <v>268.54782308462387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21.146712203319595</v>
      </c>
      <c r="BQ160" s="21">
        <f>EXP(-LN(2)/25)*BQ159+(1-EXP(-LN(2)/25))/(LN(2)/25)*Calculateur!BL160*Calculateur!BN160*VLOOKUP('Données projet'!$B$11,Paramètres!$A$1:$I$89,3,0)*0.475*44/12</f>
        <v>3.3188152221911036</v>
      </c>
      <c r="BR160" s="21">
        <f>EXP(-LN(2)/2)*BR159+(1-EXP(-LN(2)/2))/(LN(2)/2)*BL160*BO160*VLOOKUP('Données projet'!$B$11,Paramètres!$A$1:$I$89,3,0)*0.475*44/12</f>
        <v>1.0832481842967732E-13</v>
      </c>
      <c r="BS160" s="22">
        <f t="shared" si="169"/>
        <v>24.465527425510807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1.7053025658242404E-13</v>
      </c>
      <c r="O161" s="13">
        <f>N161*VLOOKUP('Données projet'!$B$9,Paramètres!$A$1:$I$89,3,0)*VLOOKUP('Données projet'!$B$9,Paramètres!$A$1:$I$89,5,0)</f>
        <v>9.5326413429575044E-14</v>
      </c>
      <c r="P161" s="13">
        <f t="shared" si="141"/>
        <v>1.4400742856080346E-12</v>
      </c>
      <c r="Q161" s="20">
        <f t="shared" si="162"/>
        <v>2.6741562174905032E-12</v>
      </c>
      <c r="R161" s="59">
        <f t="shared" si="109"/>
        <v>293.33333333333599</v>
      </c>
      <c r="S161" s="59">
        <f ca="1">AVERAGE(OFFSET($R$3,0,0,'Données projet'!$E$9+1,1))-AVERAGE(OFFSET($H$3,0,0,'Données projet'!$E$9+1,1))</f>
        <v>293.82673322742102</v>
      </c>
      <c r="T161" s="59">
        <f t="shared" si="142"/>
        <v>138.78566015867693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80.401741153071796</v>
      </c>
      <c r="AA161" s="21">
        <f>EXP(-LN(2)/25)*AA160+(1-EXP(-LN(2)/25))/(LN(2)/25)*Calculateur!V161*Calculateur!X161*VLOOKUP('Données projet'!$B$9,Paramètres!$A$1:$I$89,3,0)*0.475*44/12</f>
        <v>19.042258906885358</v>
      </c>
      <c r="AB161" s="21">
        <f>EXP(-LN(2)/2)*AB160+(1-EXP(-LN(2)/2))/(LN(2)/2)*V161*Y161*VLOOKUP('Données projet'!$B$9,Paramètres!$A$1:$I$89,3,0)*0.475*44/12</f>
        <v>1.1850984097261514E-4</v>
      </c>
      <c r="AC161" s="22">
        <f t="shared" si="163"/>
        <v>99.444118569798121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-1.6848389350343498E-13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265.57710796453807</v>
      </c>
      <c r="AO161" s="59">
        <f t="shared" si="144"/>
        <v>171.29436297508141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69.001722499316315</v>
      </c>
      <c r="AV161" s="21">
        <f>EXP(-LN(2)/25)*AV160+(1-EXP(-LN(2)/25))/(LN(2)/25)*Calculateur!AQ161*Calculateur!AS161*VLOOKUP('Données projet'!$B$10,Paramètres!$A$1:$I$89,3,0)*0.475*44/12</f>
        <v>14.942439692048103</v>
      </c>
      <c r="AW161" s="21">
        <f>EXP(-LN(2)/2)*AW160+(1-EXP(-LN(2)/2))/(LN(2)/2)*AQ161*AT161*VLOOKUP('Données projet'!$B$10,Paramètres!$A$1:$I$89,3,0)*0.475*44/12</f>
        <v>9.9788167663951628E-4</v>
      </c>
      <c r="AX161" s="21">
        <f t="shared" si="166"/>
        <v>83.945160073041052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175.05987582828078</v>
      </c>
      <c r="BJ161" s="59">
        <f t="shared" si="146"/>
        <v>268.54782308462387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20.732038075233348</v>
      </c>
      <c r="BQ161" s="21">
        <f>EXP(-LN(2)/25)*BQ160+(1-EXP(-LN(2)/25))/(LN(2)/25)*Calculateur!BL161*Calculateur!BN161*VLOOKUP('Données projet'!$B$11,Paramètres!$A$1:$I$89,3,0)*0.475*44/12</f>
        <v>3.2280620454113804</v>
      </c>
      <c r="BR161" s="21">
        <f>EXP(-LN(2)/2)*BR160+(1-EXP(-LN(2)/2))/(LN(2)/2)*BL161*BO161*VLOOKUP('Données projet'!$B$11,Paramètres!$A$1:$I$89,3,0)*0.475*44/12</f>
        <v>7.6597213682426328E-14</v>
      </c>
      <c r="BS161" s="22">
        <f t="shared" si="169"/>
        <v>23.960100120644807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1.7053025658242404E-13</v>
      </c>
      <c r="O162" s="13">
        <f>N162*VLOOKUP('Données projet'!$B$9,Paramètres!$A$1:$I$89,3,0)*VLOOKUP('Données projet'!$B$9,Paramètres!$A$1:$I$89,5,0)</f>
        <v>9.5326413429575044E-14</v>
      </c>
      <c r="P162" s="13">
        <f t="shared" si="141"/>
        <v>1.4400742856080346E-12</v>
      </c>
      <c r="Q162" s="20">
        <f t="shared" si="162"/>
        <v>2.6741562174905032E-12</v>
      </c>
      <c r="R162" s="59">
        <f t="shared" si="109"/>
        <v>293.33333333333599</v>
      </c>
      <c r="S162" s="59">
        <f ca="1">AVERAGE(OFFSET($R$3,0,0,'Données projet'!$E$9+1,1))-AVERAGE(OFFSET($H$3,0,0,'Données projet'!$E$9+1,1))</f>
        <v>293.82673322742102</v>
      </c>
      <c r="T162" s="59">
        <f t="shared" si="142"/>
        <v>138.78566015867693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78.825112049279838</v>
      </c>
      <c r="AA162" s="21">
        <f>EXP(-LN(2)/25)*AA161+(1-EXP(-LN(2)/25))/(LN(2)/25)*Calculateur!V162*Calculateur!X162*VLOOKUP('Données projet'!$B$9,Paramètres!$A$1:$I$89,3,0)*0.475*44/12</f>
        <v>18.521547335687703</v>
      </c>
      <c r="AB162" s="21">
        <f>EXP(-LN(2)/2)*AB161+(1-EXP(-LN(2)/2))/(LN(2)/2)*V162*Y162*VLOOKUP('Données projet'!$B$9,Paramètres!$A$1:$I$89,3,0)*0.475*44/12</f>
        <v>8.3799112189075523E-5</v>
      </c>
      <c r="AC162" s="22">
        <f t="shared" si="163"/>
        <v>97.346743184079727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-1.6848389350343498E-13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265.57710796453807</v>
      </c>
      <c r="AO162" s="59">
        <f t="shared" si="144"/>
        <v>171.29436297508141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67.648640807999712</v>
      </c>
      <c r="AV162" s="21">
        <f>EXP(-LN(2)/25)*AV161+(1-EXP(-LN(2)/25))/(LN(2)/25)*Calculateur!AQ162*Calculateur!AS162*VLOOKUP('Données projet'!$B$10,Paramètres!$A$1:$I$89,3,0)*0.475*44/12</f>
        <v>14.533837892880296</v>
      </c>
      <c r="AW162" s="21">
        <f>EXP(-LN(2)/2)*AW161+(1-EXP(-LN(2)/2))/(LN(2)/2)*AQ162*AT162*VLOOKUP('Données projet'!$B$10,Paramètres!$A$1:$I$89,3,0)*0.475*44/12</f>
        <v>7.0560890037360362E-4</v>
      </c>
      <c r="AX162" s="21">
        <f t="shared" si="166"/>
        <v>82.183184309780387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175.05987582828078</v>
      </c>
      <c r="BJ162" s="59">
        <f t="shared" si="146"/>
        <v>268.54782308462387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20.32549545387263</v>
      </c>
      <c r="BQ162" s="21">
        <f>EXP(-LN(2)/25)*BQ161+(1-EXP(-LN(2)/25))/(LN(2)/25)*Calculateur!BL162*Calculateur!BN162*VLOOKUP('Données projet'!$B$11,Paramètres!$A$1:$I$89,3,0)*0.475*44/12</f>
        <v>3.1397905190232009</v>
      </c>
      <c r="BR162" s="21">
        <f>EXP(-LN(2)/2)*BR161+(1-EXP(-LN(2)/2))/(LN(2)/2)*BL162*BO162*VLOOKUP('Données projet'!$B$11,Paramètres!$A$1:$I$89,3,0)*0.475*44/12</f>
        <v>5.4162409214838658E-14</v>
      </c>
      <c r="BS162" s="22">
        <f t="shared" si="169"/>
        <v>23.465285972895884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1.7053025658242404E-13</v>
      </c>
      <c r="O163" s="13">
        <f>N163*VLOOKUP('Données projet'!$B$9,Paramètres!$A$1:$I$89,3,0)*VLOOKUP('Données projet'!$B$9,Paramètres!$A$1:$I$89,5,0)</f>
        <v>9.5326413429575044E-14</v>
      </c>
      <c r="P163" s="13">
        <f t="shared" si="141"/>
        <v>1.4400742856080346E-12</v>
      </c>
      <c r="Q163" s="20">
        <f t="shared" si="162"/>
        <v>2.6741562174905032E-12</v>
      </c>
      <c r="R163" s="59">
        <f t="shared" si="109"/>
        <v>293.33333333333599</v>
      </c>
      <c r="S163" s="59">
        <f ca="1">AVERAGE(OFFSET($R$3,0,0,'Données projet'!$E$9+1,1))-AVERAGE(OFFSET($H$3,0,0,'Données projet'!$E$9+1,1))</f>
        <v>293.82673322742102</v>
      </c>
      <c r="T163" s="59">
        <f t="shared" si="142"/>
        <v>138.78566015867693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77.279399680564453</v>
      </c>
      <c r="AA163" s="21">
        <f>EXP(-LN(2)/25)*AA162+(1-EXP(-LN(2)/25))/(LN(2)/25)*Calculateur!V163*Calculateur!X163*VLOOKUP('Données projet'!$B$9,Paramètres!$A$1:$I$89,3,0)*0.475*44/12</f>
        <v>18.015074649787479</v>
      </c>
      <c r="AB163" s="21">
        <f>EXP(-LN(2)/2)*AB162+(1-EXP(-LN(2)/2))/(LN(2)/2)*V163*Y163*VLOOKUP('Données projet'!$B$9,Paramètres!$A$1:$I$89,3,0)*0.475*44/12</f>
        <v>5.9254920486307577E-5</v>
      </c>
      <c r="AC163" s="22">
        <f t="shared" si="163"/>
        <v>95.294533585272418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-1.6848389350343498E-13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265.57710796453807</v>
      </c>
      <c r="AO163" s="59">
        <f t="shared" si="144"/>
        <v>171.29436297508141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66.32209222335149</v>
      </c>
      <c r="AV163" s="21">
        <f>EXP(-LN(2)/25)*AV162+(1-EXP(-LN(2)/25))/(LN(2)/25)*Calculateur!AQ163*Calculateur!AS163*VLOOKUP('Données projet'!$B$10,Paramètres!$A$1:$I$89,3,0)*0.475*44/12</f>
        <v>14.136409331398166</v>
      </c>
      <c r="AW163" s="21">
        <f>EXP(-LN(2)/2)*AW162+(1-EXP(-LN(2)/2))/(LN(2)/2)*AQ163*AT163*VLOOKUP('Données projet'!$B$10,Paramètres!$A$1:$I$89,3,0)*0.475*44/12</f>
        <v>4.9894083831975814E-4</v>
      </c>
      <c r="AX163" s="21">
        <f t="shared" si="166"/>
        <v>80.459000495587986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175.05987582828078</v>
      </c>
      <c r="BJ163" s="59">
        <f t="shared" si="146"/>
        <v>268.54782308462387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19.926924885350282</v>
      </c>
      <c r="BQ163" s="21">
        <f>EXP(-LN(2)/25)*BQ162+(1-EXP(-LN(2)/25))/(LN(2)/25)*Calculateur!BL163*Calculateur!BN163*VLOOKUP('Données projet'!$B$11,Paramètres!$A$1:$I$89,3,0)*0.475*44/12</f>
        <v>3.0539327821661044</v>
      </c>
      <c r="BR163" s="21">
        <f>EXP(-LN(2)/2)*BR162+(1-EXP(-LN(2)/2))/(LN(2)/2)*BL163*BO163*VLOOKUP('Données projet'!$B$11,Paramètres!$A$1:$I$89,3,0)*0.475*44/12</f>
        <v>3.8298606841213164E-14</v>
      </c>
      <c r="BS163" s="22">
        <f t="shared" si="169"/>
        <v>22.980857667516425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1.7053025658242404E-13</v>
      </c>
      <c r="O164" s="13">
        <f>N164*VLOOKUP('Données projet'!$B$9,Paramètres!$A$1:$I$89,3,0)*VLOOKUP('Données projet'!$B$9,Paramètres!$A$1:$I$89,5,0)</f>
        <v>9.5326413429575044E-14</v>
      </c>
      <c r="P164" s="13">
        <f t="shared" si="141"/>
        <v>1.4400742856080346E-12</v>
      </c>
      <c r="Q164" s="20">
        <f t="shared" si="162"/>
        <v>2.6741562174905032E-12</v>
      </c>
      <c r="R164" s="59">
        <f t="shared" si="109"/>
        <v>293.33333333333599</v>
      </c>
      <c r="S164" s="59">
        <f ca="1">AVERAGE(OFFSET($R$3,0,0,'Données projet'!$E$9+1,1))-AVERAGE(OFFSET($H$3,0,0,'Données projet'!$E$9+1,1))</f>
        <v>293.82673322742102</v>
      </c>
      <c r="T164" s="59">
        <f t="shared" si="142"/>
        <v>138.78566015867693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75.763997788608123</v>
      </c>
      <c r="AA164" s="21">
        <f>EXP(-LN(2)/25)*AA163+(1-EXP(-LN(2)/25))/(LN(2)/25)*Calculateur!V164*Calculateur!X164*VLOOKUP('Données projet'!$B$9,Paramètres!$A$1:$I$89,3,0)*0.475*44/12</f>
        <v>17.52245148611744</v>
      </c>
      <c r="AB164" s="21">
        <f>EXP(-LN(2)/2)*AB163+(1-EXP(-LN(2)/2))/(LN(2)/2)*V164*Y164*VLOOKUP('Données projet'!$B$9,Paramètres!$A$1:$I$89,3,0)*0.475*44/12</f>
        <v>4.1899556094537768E-5</v>
      </c>
      <c r="AC164" s="22">
        <f t="shared" si="163"/>
        <v>93.28649117428165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-1.6848389350343498E-13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265.57710796453807</v>
      </c>
      <c r="AO164" s="59">
        <f t="shared" si="144"/>
        <v>171.29436297508141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65.021556447333467</v>
      </c>
      <c r="AV164" s="21">
        <f>EXP(-LN(2)/25)*AV163+(1-EXP(-LN(2)/25))/(LN(2)/25)*Calculateur!AQ164*Calculateur!AS164*VLOOKUP('Données projet'!$B$10,Paramètres!$A$1:$I$89,3,0)*0.475*44/12</f>
        <v>13.749848474829626</v>
      </c>
      <c r="AW164" s="21">
        <f>EXP(-LN(2)/2)*AW163+(1-EXP(-LN(2)/2))/(LN(2)/2)*AQ164*AT164*VLOOKUP('Données projet'!$B$10,Paramètres!$A$1:$I$89,3,0)*0.475*44/12</f>
        <v>3.5280445018680181E-4</v>
      </c>
      <c r="AX164" s="21">
        <f t="shared" si="166"/>
        <v>78.771757726613288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175.05987582828078</v>
      </c>
      <c r="BJ164" s="59">
        <f t="shared" si="146"/>
        <v>268.54782308462387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19.536170042572614</v>
      </c>
      <c r="BQ164" s="21">
        <f>EXP(-LN(2)/25)*BQ163+(1-EXP(-LN(2)/25))/(LN(2)/25)*Calculateur!BL164*Calculateur!BN164*VLOOKUP('Données projet'!$B$11,Paramètres!$A$1:$I$89,3,0)*0.475*44/12</f>
        <v>2.970422829638427</v>
      </c>
      <c r="BR164" s="21">
        <f>EXP(-LN(2)/2)*BR163+(1-EXP(-LN(2)/2))/(LN(2)/2)*BL164*BO164*VLOOKUP('Données projet'!$B$11,Paramètres!$A$1:$I$89,3,0)*0.475*44/12</f>
        <v>2.7081204607419329E-14</v>
      </c>
      <c r="BS164" s="22">
        <f t="shared" si="169"/>
        <v>22.506592872211069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1.7053025658242404E-13</v>
      </c>
      <c r="O165" s="13">
        <f>N165*VLOOKUP('Données projet'!$B$9,Paramètres!$A$1:$I$89,3,0)*VLOOKUP('Données projet'!$B$9,Paramètres!$A$1:$I$89,5,0)</f>
        <v>9.5326413429575044E-14</v>
      </c>
      <c r="P165" s="13">
        <f t="shared" si="141"/>
        <v>1.4400742856080346E-12</v>
      </c>
      <c r="Q165" s="20">
        <f t="shared" si="162"/>
        <v>2.6741562174905032E-12</v>
      </c>
      <c r="R165" s="59">
        <f t="shared" si="109"/>
        <v>293.33333333333599</v>
      </c>
      <c r="S165" s="59">
        <f ca="1">AVERAGE(OFFSET($R$3,0,0,'Données projet'!$E$9+1,1))-AVERAGE(OFFSET($H$3,0,0,'Données projet'!$E$9+1,1))</f>
        <v>293.82673322742102</v>
      </c>
      <c r="T165" s="59">
        <f t="shared" si="142"/>
        <v>138.78566015867693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74.278312003449159</v>
      </c>
      <c r="AA165" s="21">
        <f>EXP(-LN(2)/25)*AA164+(1-EXP(-LN(2)/25))/(LN(2)/25)*Calculateur!V165*Calculateur!X165*VLOOKUP('Données projet'!$B$9,Paramètres!$A$1:$I$89,3,0)*0.475*44/12</f>
        <v>17.043299128763884</v>
      </c>
      <c r="AB165" s="21">
        <f>EXP(-LN(2)/2)*AB164+(1-EXP(-LN(2)/2))/(LN(2)/2)*V165*Y165*VLOOKUP('Données projet'!$B$9,Paramètres!$A$1:$I$89,3,0)*0.475*44/12</f>
        <v>2.9627460243153792E-5</v>
      </c>
      <c r="AC165" s="22">
        <f t="shared" si="163"/>
        <v>91.321640759673272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-1.6848389350343498E-13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265.57710796453807</v>
      </c>
      <c r="AO165" s="59">
        <f t="shared" si="144"/>
        <v>171.29436297508141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63.746523384634664</v>
      </c>
      <c r="AV165" s="21">
        <f>EXP(-LN(2)/25)*AV164+(1-EXP(-LN(2)/25))/(LN(2)/25)*Calculateur!AQ165*Calculateur!AS165*VLOOKUP('Données projet'!$B$10,Paramètres!$A$1:$I$89,3,0)*0.475*44/12</f>
        <v>13.373858145212305</v>
      </c>
      <c r="AW165" s="21">
        <f>EXP(-LN(2)/2)*AW164+(1-EXP(-LN(2)/2))/(LN(2)/2)*AQ165*AT165*VLOOKUP('Données projet'!$B$10,Paramètres!$A$1:$I$89,3,0)*0.475*44/12</f>
        <v>2.4947041915987907E-4</v>
      </c>
      <c r="AX165" s="21">
        <f t="shared" si="166"/>
        <v>77.12063100026613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175.05987582828078</v>
      </c>
      <c r="BJ165" s="59">
        <f t="shared" si="146"/>
        <v>268.54782308462387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19.153077663924893</v>
      </c>
      <c r="BQ165" s="21">
        <f>EXP(-LN(2)/25)*BQ164+(1-EXP(-LN(2)/25))/(LN(2)/25)*Calculateur!BL165*Calculateur!BN165*VLOOKUP('Données projet'!$B$11,Paramètres!$A$1:$I$89,3,0)*0.475*44/12</f>
        <v>2.8891964611542167</v>
      </c>
      <c r="BR165" s="21">
        <f>EXP(-LN(2)/2)*BR164+(1-EXP(-LN(2)/2))/(LN(2)/2)*BL165*BO165*VLOOKUP('Données projet'!$B$11,Paramètres!$A$1:$I$89,3,0)*0.475*44/12</f>
        <v>1.9149303420606582E-14</v>
      </c>
      <c r="BS165" s="22">
        <f t="shared" si="169"/>
        <v>22.042274125079128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1.7053025658242404E-13</v>
      </c>
      <c r="O166" s="13">
        <f>N166*VLOOKUP('Données projet'!$B$9,Paramètres!$A$1:$I$89,3,0)*VLOOKUP('Données projet'!$B$9,Paramètres!$A$1:$I$89,5,0)</f>
        <v>9.5326413429575044E-14</v>
      </c>
      <c r="P166" s="13">
        <f t="shared" si="141"/>
        <v>1.4400742856080346E-12</v>
      </c>
      <c r="Q166" s="20">
        <f t="shared" si="162"/>
        <v>2.6741562174905032E-12</v>
      </c>
      <c r="R166" s="59">
        <f t="shared" si="109"/>
        <v>293.33333333333599</v>
      </c>
      <c r="S166" s="59">
        <f ca="1">AVERAGE(OFFSET($R$3,0,0,'Données projet'!$E$9+1,1))-AVERAGE(OFFSET($H$3,0,0,'Données projet'!$E$9+1,1))</f>
        <v>293.82673322742102</v>
      </c>
      <c r="T166" s="59">
        <f t="shared" si="142"/>
        <v>138.78566015867693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72.821759610358313</v>
      </c>
      <c r="AA166" s="21">
        <f>EXP(-LN(2)/25)*AA165+(1-EXP(-LN(2)/25))/(LN(2)/25)*Calculateur!V166*Calculateur!X166*VLOOKUP('Données projet'!$B$9,Paramètres!$A$1:$I$89,3,0)*0.475*44/12</f>
        <v>16.577249217819688</v>
      </c>
      <c r="AB166" s="21">
        <f>EXP(-LN(2)/2)*AB165+(1-EXP(-LN(2)/2))/(LN(2)/2)*V166*Y166*VLOOKUP('Données projet'!$B$9,Paramètres!$A$1:$I$89,3,0)*0.475*44/12</f>
        <v>2.0949778047268887E-5</v>
      </c>
      <c r="AC166" s="22">
        <f t="shared" si="163"/>
        <v>89.399029777956045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-1.6848389350343498E-13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265.57710796453807</v>
      </c>
      <c r="AO166" s="59">
        <f t="shared" si="144"/>
        <v>171.29436297508141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62.496492942602011</v>
      </c>
      <c r="AV166" s="21">
        <f>EXP(-LN(2)/25)*AV165+(1-EXP(-LN(2)/25))/(LN(2)/25)*Calculateur!AQ166*Calculateur!AS166*VLOOKUP('Données projet'!$B$10,Paramètres!$A$1:$I$89,3,0)*0.475*44/12</f>
        <v>13.00814929093084</v>
      </c>
      <c r="AW166" s="21">
        <f>EXP(-LN(2)/2)*AW165+(1-EXP(-LN(2)/2))/(LN(2)/2)*AQ166*AT166*VLOOKUP('Données projet'!$B$10,Paramètres!$A$1:$I$89,3,0)*0.475*44/12</f>
        <v>1.7640222509340091E-4</v>
      </c>
      <c r="AX166" s="21">
        <f t="shared" si="166"/>
        <v>75.504818635757943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175.05987582828078</v>
      </c>
      <c r="BJ166" s="59">
        <f t="shared" si="146"/>
        <v>268.54782308462387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18.777497493159178</v>
      </c>
      <c r="BQ166" s="21">
        <f>EXP(-LN(2)/25)*BQ165+(1-EXP(-LN(2)/25))/(LN(2)/25)*Calculateur!BL166*Calculateur!BN166*VLOOKUP('Données projet'!$B$11,Paramètres!$A$1:$I$89,3,0)*0.475*44/12</f>
        <v>2.8101912319877163</v>
      </c>
      <c r="BR166" s="21">
        <f>EXP(-LN(2)/2)*BR165+(1-EXP(-LN(2)/2))/(LN(2)/2)*BL166*BO166*VLOOKUP('Données projet'!$B$11,Paramètres!$A$1:$I$89,3,0)*0.475*44/12</f>
        <v>1.3540602303709665E-14</v>
      </c>
      <c r="BS166" s="22">
        <f t="shared" si="169"/>
        <v>21.587688725146908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1.7053025658242404E-13</v>
      </c>
      <c r="O167" s="13">
        <f>N167*VLOOKUP('Données projet'!$B$9,Paramètres!$A$1:$I$89,3,0)*VLOOKUP('Données projet'!$B$9,Paramètres!$A$1:$I$89,5,0)</f>
        <v>9.5326413429575044E-14</v>
      </c>
      <c r="P167" s="13">
        <f t="shared" si="141"/>
        <v>1.4400742856080346E-12</v>
      </c>
      <c r="Q167" s="20">
        <f t="shared" si="162"/>
        <v>2.6741562174905032E-12</v>
      </c>
      <c r="R167" s="59">
        <f t="shared" si="109"/>
        <v>293.33333333333599</v>
      </c>
      <c r="S167" s="59">
        <f ca="1">AVERAGE(OFFSET($R$3,0,0,'Données projet'!$E$9+1,1))-AVERAGE(OFFSET($H$3,0,0,'Données projet'!$E$9+1,1))</f>
        <v>293.82673322742102</v>
      </c>
      <c r="T167" s="59">
        <f t="shared" si="142"/>
        <v>138.78566015867693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71.39376932128674</v>
      </c>
      <c r="AA167" s="21">
        <f>EXP(-LN(2)/25)*AA166+(1-EXP(-LN(2)/25))/(LN(2)/25)*Calculateur!V167*Calculateur!X167*VLOOKUP('Données projet'!$B$9,Paramètres!$A$1:$I$89,3,0)*0.475*44/12</f>
        <v>16.12394346619876</v>
      </c>
      <c r="AB167" s="21">
        <f>EXP(-LN(2)/2)*AB166+(1-EXP(-LN(2)/2))/(LN(2)/2)*V167*Y167*VLOOKUP('Données projet'!$B$9,Paramètres!$A$1:$I$89,3,0)*0.475*44/12</f>
        <v>1.4813730121576899E-5</v>
      </c>
      <c r="AC167" s="22">
        <f t="shared" si="163"/>
        <v>87.517727601215611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-1.6848389350343498E-13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265.57710796453807</v>
      </c>
      <c r="AO167" s="59">
        <f t="shared" si="144"/>
        <v>171.29436297508141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61.270974835094329</v>
      </c>
      <c r="AV167" s="21">
        <f>EXP(-LN(2)/25)*AV166+(1-EXP(-LN(2)/25))/(LN(2)/25)*Calculateur!AQ167*Calculateur!AS167*VLOOKUP('Données projet'!$B$10,Paramètres!$A$1:$I$89,3,0)*0.475*44/12</f>
        <v>12.652440764501495</v>
      </c>
      <c r="AW167" s="21">
        <f>EXP(-LN(2)/2)*AW166+(1-EXP(-LN(2)/2))/(LN(2)/2)*AQ167*AT167*VLOOKUP('Données projet'!$B$10,Paramètres!$A$1:$I$89,3,0)*0.475*44/12</f>
        <v>1.2473520957993953E-4</v>
      </c>
      <c r="AX167" s="21">
        <f t="shared" si="166"/>
        <v>73.923540334805409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175.05987582828078</v>
      </c>
      <c r="BJ167" s="59">
        <f t="shared" si="146"/>
        <v>268.54782308462387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18.409282220460895</v>
      </c>
      <c r="BQ167" s="21">
        <f>EXP(-LN(2)/25)*BQ166+(1-EXP(-LN(2)/25))/(LN(2)/25)*Calculateur!BL167*Calculateur!BN167*VLOOKUP('Données projet'!$B$11,Paramètres!$A$1:$I$89,3,0)*0.475*44/12</f>
        <v>2.7333464049674778</v>
      </c>
      <c r="BR167" s="21">
        <f>EXP(-LN(2)/2)*BR166+(1-EXP(-LN(2)/2))/(LN(2)/2)*BL167*BO167*VLOOKUP('Données projet'!$B$11,Paramètres!$A$1:$I$89,3,0)*0.475*44/12</f>
        <v>9.574651710303291E-15</v>
      </c>
      <c r="BS167" s="22">
        <f t="shared" si="169"/>
        <v>21.142628625428383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1.7053025658242404E-13</v>
      </c>
      <c r="O168" s="13">
        <f>N168*VLOOKUP('Données projet'!$B$9,Paramètres!$A$1:$I$89,3,0)*VLOOKUP('Données projet'!$B$9,Paramètres!$A$1:$I$89,5,0)</f>
        <v>9.5326413429575044E-14</v>
      </c>
      <c r="P168" s="13">
        <f t="shared" si="141"/>
        <v>1.4400742856080346E-12</v>
      </c>
      <c r="Q168" s="20">
        <f t="shared" si="162"/>
        <v>2.6741562174905032E-12</v>
      </c>
      <c r="R168" s="59">
        <f t="shared" si="109"/>
        <v>293.33333333333599</v>
      </c>
      <c r="S168" s="59">
        <f ca="1">AVERAGE(OFFSET($R$3,0,0,'Données projet'!$E$9+1,1))-AVERAGE(OFFSET($H$3,0,0,'Données projet'!$E$9+1,1))</f>
        <v>293.82673322742102</v>
      </c>
      <c r="T168" s="59">
        <f t="shared" si="142"/>
        <v>138.78566015867693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69.993781050795789</v>
      </c>
      <c r="AA168" s="21">
        <f>EXP(-LN(2)/25)*AA167+(1-EXP(-LN(2)/25))/(LN(2)/25)*Calculateur!V168*Calculateur!X168*VLOOKUP('Données projet'!$B$9,Paramètres!$A$1:$I$89,3,0)*0.475*44/12</f>
        <v>15.68303338419422</v>
      </c>
      <c r="AB168" s="21">
        <f>EXP(-LN(2)/2)*AB167+(1-EXP(-LN(2)/2))/(LN(2)/2)*V168*Y168*VLOOKUP('Données projet'!$B$9,Paramètres!$A$1:$I$89,3,0)*0.475*44/12</f>
        <v>1.0474889023634445E-5</v>
      </c>
      <c r="AC168" s="22">
        <f t="shared" si="163"/>
        <v>85.676824909879031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-1.6848389350343498E-13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265.57710796453807</v>
      </c>
      <c r="AO168" s="59">
        <f t="shared" si="144"/>
        <v>171.29436297508141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60.069488390182642</v>
      </c>
      <c r="AV168" s="21">
        <f>EXP(-LN(2)/25)*AV167+(1-EXP(-LN(2)/25))/(LN(2)/25)*Calculateur!AQ168*Calculateur!AS168*VLOOKUP('Données projet'!$B$10,Paramètres!$A$1:$I$89,3,0)*0.475*44/12</f>
        <v>12.306459106433259</v>
      </c>
      <c r="AW168" s="21">
        <f>EXP(-LN(2)/2)*AW167+(1-EXP(-LN(2)/2))/(LN(2)/2)*AQ168*AT168*VLOOKUP('Données projet'!$B$10,Paramètres!$A$1:$I$89,3,0)*0.475*44/12</f>
        <v>8.8201112546700453E-5</v>
      </c>
      <c r="AX168" s="21">
        <f t="shared" si="166"/>
        <v>72.376035697728454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175.05987582828078</v>
      </c>
      <c r="BJ168" s="59">
        <f t="shared" si="146"/>
        <v>268.54782308462387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18.048287424671084</v>
      </c>
      <c r="BQ168" s="21">
        <f>EXP(-LN(2)/25)*BQ167+(1-EXP(-LN(2)/25))/(LN(2)/25)*Calculateur!BL168*Calculateur!BN168*VLOOKUP('Données projet'!$B$11,Paramètres!$A$1:$I$89,3,0)*0.475*44/12</f>
        <v>2.6586029037832017</v>
      </c>
      <c r="BR168" s="21">
        <f>EXP(-LN(2)/2)*BR167+(1-EXP(-LN(2)/2))/(LN(2)/2)*BL168*BO168*VLOOKUP('Données projet'!$B$11,Paramètres!$A$1:$I$89,3,0)*0.475*44/12</f>
        <v>6.7703011518548323E-15</v>
      </c>
      <c r="BS168" s="22">
        <f t="shared" si="169"/>
        <v>20.706890328454293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1.7053025658242404E-13</v>
      </c>
      <c r="O169" s="13">
        <f>N169*VLOOKUP('Données projet'!$B$9,Paramètres!$A$1:$I$89,3,0)*VLOOKUP('Données projet'!$B$9,Paramètres!$A$1:$I$89,5,0)</f>
        <v>9.5326413429575044E-14</v>
      </c>
      <c r="P169" s="13">
        <f t="shared" si="141"/>
        <v>1.4400742856080346E-12</v>
      </c>
      <c r="Q169" s="20">
        <f t="shared" si="162"/>
        <v>2.6741562174905032E-12</v>
      </c>
      <c r="R169" s="59">
        <f t="shared" si="109"/>
        <v>293.33333333333599</v>
      </c>
      <c r="S169" s="59">
        <f ca="1">AVERAGE(OFFSET($R$3,0,0,'Données projet'!$E$9+1,1))-AVERAGE(OFFSET($H$3,0,0,'Données projet'!$E$9+1,1))</f>
        <v>293.82673322742102</v>
      </c>
      <c r="T169" s="59">
        <f t="shared" si="142"/>
        <v>138.78566015867693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68.62124569638064</v>
      </c>
      <c r="AA169" s="21">
        <f>EXP(-LN(2)/25)*AA168+(1-EXP(-LN(2)/25))/(LN(2)/25)*Calculateur!V169*Calculateur!X169*VLOOKUP('Données projet'!$B$9,Paramètres!$A$1:$I$89,3,0)*0.475*44/12</f>
        <v>15.254180011568547</v>
      </c>
      <c r="AB169" s="21">
        <f>EXP(-LN(2)/2)*AB168+(1-EXP(-LN(2)/2))/(LN(2)/2)*V169*Y169*VLOOKUP('Données projet'!$B$9,Paramètres!$A$1:$I$89,3,0)*0.475*44/12</f>
        <v>7.4068650607884505E-6</v>
      </c>
      <c r="AC169" s="22">
        <f t="shared" si="163"/>
        <v>83.875433114814257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-1.6848389350343498E-13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265.57710796453807</v>
      </c>
      <c r="AO169" s="59">
        <f t="shared" si="144"/>
        <v>171.29436297508141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58.891562361621297</v>
      </c>
      <c r="AV169" s="21">
        <f>EXP(-LN(2)/25)*AV168+(1-EXP(-LN(2)/25))/(LN(2)/25)*Calculateur!AQ169*Calculateur!AS169*VLOOKUP('Données projet'!$B$10,Paramètres!$A$1:$I$89,3,0)*0.475*44/12</f>
        <v>11.969938334999284</v>
      </c>
      <c r="AW169" s="21">
        <f>EXP(-LN(2)/2)*AW168+(1-EXP(-LN(2)/2))/(LN(2)/2)*AQ169*AT169*VLOOKUP('Données projet'!$B$10,Paramètres!$A$1:$I$89,3,0)*0.475*44/12</f>
        <v>6.2367604789969767E-5</v>
      </c>
      <c r="AX169" s="21">
        <f t="shared" si="166"/>
        <v>70.861563064225365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175.05987582828078</v>
      </c>
      <c r="BJ169" s="59">
        <f t="shared" si="146"/>
        <v>268.54782308462387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17.694371516641628</v>
      </c>
      <c r="BQ169" s="21">
        <f>EXP(-LN(2)/25)*BQ168+(1-EXP(-LN(2)/25))/(LN(2)/25)*Calculateur!BL169*Calculateur!BN169*VLOOKUP('Données projet'!$B$11,Paramètres!$A$1:$I$89,3,0)*0.475*44/12</f>
        <v>2.5859032675693996</v>
      </c>
      <c r="BR169" s="21">
        <f>EXP(-LN(2)/2)*BR168+(1-EXP(-LN(2)/2))/(LN(2)/2)*BL169*BO169*VLOOKUP('Données projet'!$B$11,Paramètres!$A$1:$I$89,3,0)*0.475*44/12</f>
        <v>4.7873258551516455E-15</v>
      </c>
      <c r="BS169" s="22">
        <f t="shared" si="169"/>
        <v>20.280274784211031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1.7053025658242404E-13</v>
      </c>
      <c r="O170" s="13">
        <f>N170*VLOOKUP('Données projet'!$B$9,Paramètres!$A$1:$I$89,3,0)*VLOOKUP('Données projet'!$B$9,Paramètres!$A$1:$I$89,5,0)</f>
        <v>9.5326413429575044E-14</v>
      </c>
      <c r="P170" s="13">
        <f t="shared" si="141"/>
        <v>1.4400742856080346E-12</v>
      </c>
      <c r="Q170" s="20">
        <f t="shared" si="162"/>
        <v>2.6741562174905032E-12</v>
      </c>
      <c r="R170" s="59">
        <f t="shared" si="109"/>
        <v>293.33333333333599</v>
      </c>
      <c r="S170" s="59">
        <f ca="1">AVERAGE(OFFSET($R$3,0,0,'Données projet'!$E$9+1,1))-AVERAGE(OFFSET($H$3,0,0,'Données projet'!$E$9+1,1))</f>
        <v>293.82673322742102</v>
      </c>
      <c r="T170" s="59">
        <f t="shared" si="142"/>
        <v>138.78566015867693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67.275624923101674</v>
      </c>
      <c r="AA170" s="21">
        <f>EXP(-LN(2)/25)*AA169+(1-EXP(-LN(2)/25))/(LN(2)/25)*Calculateur!V170*Calculateur!X170*VLOOKUP('Données projet'!$B$9,Paramètres!$A$1:$I$89,3,0)*0.475*44/12</f>
        <v>14.837053656969742</v>
      </c>
      <c r="AB170" s="21">
        <f>EXP(-LN(2)/2)*AB169+(1-EXP(-LN(2)/2))/(LN(2)/2)*V170*Y170*VLOOKUP('Données projet'!$B$9,Paramètres!$A$1:$I$89,3,0)*0.475*44/12</f>
        <v>5.2374445118172236E-6</v>
      </c>
      <c r="AC170" s="22">
        <f t="shared" si="163"/>
        <v>82.112683817515929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-1.6848389350343498E-13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265.57710796453807</v>
      </c>
      <c r="AO170" s="59">
        <f t="shared" si="144"/>
        <v>171.29436297508141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57.736734744016111</v>
      </c>
      <c r="AV170" s="21">
        <f>EXP(-LN(2)/25)*AV169+(1-EXP(-LN(2)/25))/(LN(2)/25)*Calculateur!AQ170*Calculateur!AS170*VLOOKUP('Données projet'!$B$10,Paramètres!$A$1:$I$89,3,0)*0.475*44/12</f>
        <v>11.642619741757029</v>
      </c>
      <c r="AW170" s="21">
        <f>EXP(-LN(2)/2)*AW169+(1-EXP(-LN(2)/2))/(LN(2)/2)*AQ170*AT170*VLOOKUP('Données projet'!$B$10,Paramètres!$A$1:$I$89,3,0)*0.475*44/12</f>
        <v>4.4100556273350226E-5</v>
      </c>
      <c r="AX170" s="21">
        <f t="shared" si="166"/>
        <v>69.379398586329401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175.05987582828078</v>
      </c>
      <c r="BJ170" s="59">
        <f t="shared" si="146"/>
        <v>268.54782308462387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17.34739568370124</v>
      </c>
      <c r="BQ170" s="21">
        <f>EXP(-LN(2)/25)*BQ169+(1-EXP(-LN(2)/25))/(LN(2)/25)*Calculateur!BL170*Calculateur!BN170*VLOOKUP('Données projet'!$B$11,Paramètres!$A$1:$I$89,3,0)*0.475*44/12</f>
        <v>2.5151916067309719</v>
      </c>
      <c r="BR170" s="21">
        <f>EXP(-LN(2)/2)*BR169+(1-EXP(-LN(2)/2))/(LN(2)/2)*BL170*BO170*VLOOKUP('Données projet'!$B$11,Paramètres!$A$1:$I$89,3,0)*0.475*44/12</f>
        <v>3.3851505759274161E-15</v>
      </c>
      <c r="BS170" s="22">
        <f t="shared" si="169"/>
        <v>19.862587290432216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1.7053025658242404E-13</v>
      </c>
      <c r="O171" s="13">
        <f>N171*VLOOKUP('Données projet'!$B$9,Paramètres!$A$1:$I$89,3,0)*VLOOKUP('Données projet'!$B$9,Paramètres!$A$1:$I$89,5,0)</f>
        <v>9.5326413429575044E-14</v>
      </c>
      <c r="P171" s="13">
        <f t="shared" si="141"/>
        <v>1.4400742856080346E-12</v>
      </c>
      <c r="Q171" s="20">
        <f t="shared" si="162"/>
        <v>2.6741562174905032E-12</v>
      </c>
      <c r="R171" s="59">
        <f t="shared" si="109"/>
        <v>293.33333333333599</v>
      </c>
      <c r="S171" s="59">
        <f ca="1">AVERAGE(OFFSET($R$3,0,0,'Données projet'!$E$9+1,1))-AVERAGE(OFFSET($H$3,0,0,'Données projet'!$E$9+1,1))</f>
        <v>293.82673322742102</v>
      </c>
      <c r="T171" s="59">
        <f t="shared" si="142"/>
        <v>138.78566015867693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65.956390952439079</v>
      </c>
      <c r="AA171" s="21">
        <f>EXP(-LN(2)/25)*AA170+(1-EXP(-LN(2)/25))/(LN(2)/25)*Calculateur!V171*Calculateur!X171*VLOOKUP('Données projet'!$B$9,Paramètres!$A$1:$I$89,3,0)*0.475*44/12</f>
        <v>14.431333644473163</v>
      </c>
      <c r="AB171" s="21">
        <f>EXP(-LN(2)/2)*AB170+(1-EXP(-LN(2)/2))/(LN(2)/2)*V171*Y171*VLOOKUP('Données projet'!$B$9,Paramètres!$A$1:$I$89,3,0)*0.475*44/12</f>
        <v>3.7034325303942261E-6</v>
      </c>
      <c r="AC171" s="22">
        <f t="shared" si="163"/>
        <v>80.387728300344776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-1.6848389350343498E-13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265.57710796453807</v>
      </c>
      <c r="AO171" s="59">
        <f t="shared" si="144"/>
        <v>171.29436297508141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56.604552591616866</v>
      </c>
      <c r="AV171" s="21">
        <f>EXP(-LN(2)/25)*AV170+(1-EXP(-LN(2)/25))/(LN(2)/25)*Calculateur!AQ171*Calculateur!AS171*VLOOKUP('Données projet'!$B$10,Paramètres!$A$1:$I$89,3,0)*0.475*44/12</f>
        <v>11.324251692659921</v>
      </c>
      <c r="AW171" s="21">
        <f>EXP(-LN(2)/2)*AW170+(1-EXP(-LN(2)/2))/(LN(2)/2)*AQ171*AT171*VLOOKUP('Données projet'!$B$10,Paramètres!$A$1:$I$89,3,0)*0.475*44/12</f>
        <v>3.1183802394984884E-5</v>
      </c>
      <c r="AX171" s="21">
        <f t="shared" si="166"/>
        <v>67.928835468079185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175.05987582828078</v>
      </c>
      <c r="BJ171" s="59">
        <f t="shared" si="146"/>
        <v>268.54782308462387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17.007223835210453</v>
      </c>
      <c r="BQ171" s="21">
        <f>EXP(-LN(2)/25)*BQ170+(1-EXP(-LN(2)/25))/(LN(2)/25)*Calculateur!BL171*Calculateur!BN171*VLOOKUP('Données projet'!$B$11,Paramètres!$A$1:$I$89,3,0)*0.475*44/12</f>
        <v>2.4464135599767354</v>
      </c>
      <c r="BR171" s="21">
        <f>EXP(-LN(2)/2)*BR170+(1-EXP(-LN(2)/2))/(LN(2)/2)*BL171*BO171*VLOOKUP('Données projet'!$B$11,Paramètres!$A$1:$I$89,3,0)*0.475*44/12</f>
        <v>2.3936629275758227E-15</v>
      </c>
      <c r="BS171" s="22">
        <f t="shared" si="169"/>
        <v>19.453637395187194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1.7053025658242404E-13</v>
      </c>
      <c r="O172" s="13">
        <f>N172*VLOOKUP('Données projet'!$B$9,Paramètres!$A$1:$I$89,3,0)*VLOOKUP('Données projet'!$B$9,Paramètres!$A$1:$I$89,5,0)</f>
        <v>9.5326413429575044E-14</v>
      </c>
      <c r="P172" s="13">
        <f t="shared" si="141"/>
        <v>1.4400742856080346E-12</v>
      </c>
      <c r="Q172" s="20">
        <f t="shared" si="162"/>
        <v>2.6741562174905032E-12</v>
      </c>
      <c r="R172" s="59">
        <f t="shared" si="109"/>
        <v>293.33333333333599</v>
      </c>
      <c r="S172" s="59">
        <f ca="1">AVERAGE(OFFSET($R$3,0,0,'Données projet'!$E$9+1,1))-AVERAGE(OFFSET($H$3,0,0,'Données projet'!$E$9+1,1))</f>
        <v>293.82673322742102</v>
      </c>
      <c r="T172" s="59">
        <f t="shared" si="142"/>
        <v>138.78566015867693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64.663026355287897</v>
      </c>
      <c r="AA172" s="21">
        <f>EXP(-LN(2)/25)*AA171+(1-EXP(-LN(2)/25))/(LN(2)/25)*Calculateur!V172*Calculateur!X172*VLOOKUP('Données projet'!$B$9,Paramètres!$A$1:$I$89,3,0)*0.475*44/12</f>
        <v>14.036708067054192</v>
      </c>
      <c r="AB172" s="21">
        <f>EXP(-LN(2)/2)*AB171+(1-EXP(-LN(2)/2))/(LN(2)/2)*V172*Y172*VLOOKUP('Données projet'!$B$9,Paramètres!$A$1:$I$89,3,0)*0.475*44/12</f>
        <v>2.6187222559086122E-6</v>
      </c>
      <c r="AC172" s="22">
        <f t="shared" si="163"/>
        <v>78.699737041064338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-1.6848389350343498E-13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265.57710796453807</v>
      </c>
      <c r="AO172" s="59">
        <f t="shared" si="144"/>
        <v>171.29436297508141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55.494571840663241</v>
      </c>
      <c r="AV172" s="21">
        <f>EXP(-LN(2)/25)*AV171+(1-EXP(-LN(2)/25))/(LN(2)/25)*Calculateur!AQ172*Calculateur!AS172*VLOOKUP('Données projet'!$B$10,Paramètres!$A$1:$I$89,3,0)*0.475*44/12</f>
        <v>11.01458943460762</v>
      </c>
      <c r="AW172" s="21">
        <f>EXP(-LN(2)/2)*AW171+(1-EXP(-LN(2)/2))/(LN(2)/2)*AQ172*AT172*VLOOKUP('Données projet'!$B$10,Paramètres!$A$1:$I$89,3,0)*0.475*44/12</f>
        <v>2.2050278136675113E-5</v>
      </c>
      <c r="AX172" s="21">
        <f t="shared" si="166"/>
        <v>66.509183325548989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175.05987582828078</v>
      </c>
      <c r="BJ172" s="59">
        <f t="shared" si="146"/>
        <v>268.54782308462387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16.67372254918423</v>
      </c>
      <c r="BQ172" s="21">
        <f>EXP(-LN(2)/25)*BQ171+(1-EXP(-LN(2)/25))/(LN(2)/25)*Calculateur!BL172*Calculateur!BN172*VLOOKUP('Données projet'!$B$11,Paramètres!$A$1:$I$89,3,0)*0.475*44/12</f>
        <v>2.3795162525278739</v>
      </c>
      <c r="BR172" s="21">
        <f>EXP(-LN(2)/2)*BR171+(1-EXP(-LN(2)/2))/(LN(2)/2)*BL172*BO172*VLOOKUP('Données projet'!$B$11,Paramètres!$A$1:$I$89,3,0)*0.475*44/12</f>
        <v>1.6925752879637081E-15</v>
      </c>
      <c r="BS172" s="22">
        <f t="shared" si="169"/>
        <v>19.053238801712105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1.7053025658242404E-13</v>
      </c>
      <c r="O173" s="13">
        <f>N173*VLOOKUP('Données projet'!$B$9,Paramètres!$A$1:$I$89,3,0)*VLOOKUP('Données projet'!$B$9,Paramètres!$A$1:$I$89,5,0)</f>
        <v>9.5326413429575044E-14</v>
      </c>
      <c r="P173" s="13">
        <f t="shared" si="141"/>
        <v>1.4400742856080346E-12</v>
      </c>
      <c r="Q173" s="20">
        <f t="shared" si="162"/>
        <v>2.6741562174905032E-12</v>
      </c>
      <c r="R173" s="59">
        <f t="shared" si="109"/>
        <v>293.33333333333599</v>
      </c>
      <c r="S173" s="59">
        <f ca="1">AVERAGE(OFFSET($R$3,0,0,'Données projet'!$E$9+1,1))-AVERAGE(OFFSET($H$3,0,0,'Données projet'!$E$9+1,1))</f>
        <v>293.82673322742102</v>
      </c>
      <c r="T173" s="59">
        <f t="shared" si="142"/>
        <v>138.78566015867693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63.395023849012347</v>
      </c>
      <c r="AA173" s="21">
        <f>EXP(-LN(2)/25)*AA172+(1-EXP(-LN(2)/25))/(LN(2)/25)*Calculateur!V173*Calculateur!X173*VLOOKUP('Données projet'!$B$9,Paramètres!$A$1:$I$89,3,0)*0.475*44/12</f>
        <v>13.6528735468022</v>
      </c>
      <c r="AB173" s="21">
        <f>EXP(-LN(2)/2)*AB172+(1-EXP(-LN(2)/2))/(LN(2)/2)*V173*Y173*VLOOKUP('Données projet'!$B$9,Paramètres!$A$1:$I$89,3,0)*0.475*44/12</f>
        <v>1.8517162651971133E-6</v>
      </c>
      <c r="AC173" s="22">
        <f t="shared" si="163"/>
        <v>77.047899247530808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-1.6848389350343498E-13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265.57710796453807</v>
      </c>
      <c r="AO173" s="59">
        <f t="shared" si="144"/>
        <v>171.29436297508141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54.406357135214414</v>
      </c>
      <c r="AV173" s="21">
        <f>EXP(-LN(2)/25)*AV172+(1-EXP(-LN(2)/25))/(LN(2)/25)*Calculateur!AQ173*Calculateur!AS173*VLOOKUP('Données projet'!$B$10,Paramètres!$A$1:$I$89,3,0)*0.475*44/12</f>
        <v>10.71339490728619</v>
      </c>
      <c r="AW173" s="21">
        <f>EXP(-LN(2)/2)*AW172+(1-EXP(-LN(2)/2))/(LN(2)/2)*AQ173*AT173*VLOOKUP('Données projet'!$B$10,Paramètres!$A$1:$I$89,3,0)*0.475*44/12</f>
        <v>1.5591901197492442E-5</v>
      </c>
      <c r="AX173" s="21">
        <f t="shared" si="166"/>
        <v>65.119767634401811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175.05987582828078</v>
      </c>
      <c r="BJ173" s="59">
        <f t="shared" si="146"/>
        <v>268.54782308462387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16.346761019961281</v>
      </c>
      <c r="BQ173" s="21">
        <f>EXP(-LN(2)/25)*BQ172+(1-EXP(-LN(2)/25))/(LN(2)/25)*Calculateur!BL173*Calculateur!BN173*VLOOKUP('Données projet'!$B$11,Paramètres!$A$1:$I$89,3,0)*0.475*44/12</f>
        <v>2.3144482554691779</v>
      </c>
      <c r="BR173" s="21">
        <f>EXP(-LN(2)/2)*BR172+(1-EXP(-LN(2)/2))/(LN(2)/2)*BL173*BO173*VLOOKUP('Données projet'!$B$11,Paramètres!$A$1:$I$89,3,0)*0.475*44/12</f>
        <v>1.1968314637879114E-15</v>
      </c>
      <c r="BS173" s="22">
        <f t="shared" si="169"/>
        <v>18.661209275430458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1.7053025658242404E-13</v>
      </c>
      <c r="O174" s="13">
        <f>N174*VLOOKUP('Données projet'!$B$9,Paramètres!$A$1:$I$89,3,0)*VLOOKUP('Données projet'!$B$9,Paramètres!$A$1:$I$89,5,0)</f>
        <v>9.5326413429575044E-14</v>
      </c>
      <c r="P174" s="13">
        <f t="shared" si="141"/>
        <v>1.4400742856080346E-12</v>
      </c>
      <c r="Q174" s="20">
        <f t="shared" si="162"/>
        <v>2.6741562174905032E-12</v>
      </c>
      <c r="R174" s="59">
        <f t="shared" si="109"/>
        <v>293.33333333333599</v>
      </c>
      <c r="S174" s="59">
        <f ca="1">AVERAGE(OFFSET($R$3,0,0,'Données projet'!$E$9+1,1))-AVERAGE(OFFSET($H$3,0,0,'Données projet'!$E$9+1,1))</f>
        <v>293.82673322742102</v>
      </c>
      <c r="T174" s="59">
        <f t="shared" si="142"/>
        <v>138.78566015867693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62.1518860984797</v>
      </c>
      <c r="AA174" s="21">
        <f>EXP(-LN(2)/25)*AA173+(1-EXP(-LN(2)/25))/(LN(2)/25)*Calculateur!V174*Calculateur!X174*VLOOKUP('Données projet'!$B$9,Paramètres!$A$1:$I$89,3,0)*0.475*44/12</f>
        <v>13.279535001691478</v>
      </c>
      <c r="AB174" s="21">
        <f>EXP(-LN(2)/2)*AB173+(1-EXP(-LN(2)/2))/(LN(2)/2)*V174*Y174*VLOOKUP('Données projet'!$B$9,Paramètres!$A$1:$I$89,3,0)*0.475*44/12</f>
        <v>1.3093611279543063E-6</v>
      </c>
      <c r="AC174" s="22">
        <f t="shared" si="163"/>
        <v>75.431422409532303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-1.6848389350343498E-13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265.57710796453807</v>
      </c>
      <c r="AO174" s="59">
        <f t="shared" si="144"/>
        <v>171.29436297508141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53.339481656394007</v>
      </c>
      <c r="AV174" s="21">
        <f>EXP(-LN(2)/25)*AV173+(1-EXP(-LN(2)/25))/(LN(2)/25)*Calculateur!AQ174*Calculateur!AS174*VLOOKUP('Données projet'!$B$10,Paramètres!$A$1:$I$89,3,0)*0.475*44/12</f>
        <v>10.420436560153497</v>
      </c>
      <c r="AW174" s="21">
        <f>EXP(-LN(2)/2)*AW173+(1-EXP(-LN(2)/2))/(LN(2)/2)*AQ174*AT174*VLOOKUP('Données projet'!$B$10,Paramètres!$A$1:$I$89,3,0)*0.475*44/12</f>
        <v>1.1025139068337557E-5</v>
      </c>
      <c r="AX174" s="21">
        <f t="shared" si="166"/>
        <v>63.759929241686571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175.05987582828078</v>
      </c>
      <c r="BJ174" s="59">
        <f t="shared" si="146"/>
        <v>268.54782308462387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16.026211006899555</v>
      </c>
      <c r="BQ174" s="21">
        <f>EXP(-LN(2)/25)*BQ173+(1-EXP(-LN(2)/25))/(LN(2)/25)*Calculateur!BL174*Calculateur!BN174*VLOOKUP('Données projet'!$B$11,Paramètres!$A$1:$I$89,3,0)*0.475*44/12</f>
        <v>2.251159546211829</v>
      </c>
      <c r="BR174" s="21">
        <f>EXP(-LN(2)/2)*BR173+(1-EXP(-LN(2)/2))/(LN(2)/2)*BL174*BO174*VLOOKUP('Données projet'!$B$11,Paramètres!$A$1:$I$89,3,0)*0.475*44/12</f>
        <v>8.4628764398185403E-16</v>
      </c>
      <c r="BS174" s="22">
        <f t="shared" si="169"/>
        <v>18.277370553111382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1.7053025658242404E-13</v>
      </c>
      <c r="O175" s="13">
        <f>N175*VLOOKUP('Données projet'!$B$9,Paramètres!$A$1:$I$89,3,0)*VLOOKUP('Données projet'!$B$9,Paramètres!$A$1:$I$89,5,0)</f>
        <v>9.5326413429575044E-14</v>
      </c>
      <c r="P175" s="13">
        <f t="shared" si="141"/>
        <v>1.4400742856080346E-12</v>
      </c>
      <c r="Q175" s="20">
        <f t="shared" si="162"/>
        <v>2.6741562174905032E-12</v>
      </c>
      <c r="R175" s="59">
        <f t="shared" si="109"/>
        <v>293.33333333333599</v>
      </c>
      <c r="S175" s="59">
        <f ca="1">AVERAGE(OFFSET($R$3,0,0,'Données projet'!$E$9+1,1))-AVERAGE(OFFSET($H$3,0,0,'Données projet'!$E$9+1,1))</f>
        <v>293.82673322742102</v>
      </c>
      <c r="T175" s="59">
        <f t="shared" si="142"/>
        <v>138.78566015867693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60.933125520995837</v>
      </c>
      <c r="AA175" s="21">
        <f>EXP(-LN(2)/25)*AA174+(1-EXP(-LN(2)/25))/(LN(2)/25)*Calculateur!V175*Calculateur!X175*VLOOKUP('Données projet'!$B$9,Paramètres!$A$1:$I$89,3,0)*0.475*44/12</f>
        <v>12.916405418729831</v>
      </c>
      <c r="AB175" s="21">
        <f>EXP(-LN(2)/2)*AB174+(1-EXP(-LN(2)/2))/(LN(2)/2)*V175*Y175*VLOOKUP('Données projet'!$B$9,Paramètres!$A$1:$I$89,3,0)*0.475*44/12</f>
        <v>9.2585813259855685E-7</v>
      </c>
      <c r="AC175" s="22">
        <f t="shared" si="163"/>
        <v>73.849531865583799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-1.6848389350343498E-13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265.57710796453807</v>
      </c>
      <c r="AO175" s="59">
        <f t="shared" si="144"/>
        <v>171.29436297508141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52.293526954983477</v>
      </c>
      <c r="AV175" s="21">
        <f>EXP(-LN(2)/25)*AV174+(1-EXP(-LN(2)/25))/(LN(2)/25)*Calculateur!AQ175*Calculateur!AS175*VLOOKUP('Données projet'!$B$10,Paramètres!$A$1:$I$89,3,0)*0.475*44/12</f>
        <v>10.135489174429157</v>
      </c>
      <c r="AW175" s="21">
        <f>EXP(-LN(2)/2)*AW174+(1-EXP(-LN(2)/2))/(LN(2)/2)*AQ175*AT175*VLOOKUP('Données projet'!$B$10,Paramètres!$A$1:$I$89,3,0)*0.475*44/12</f>
        <v>7.7959505987462209E-6</v>
      </c>
      <c r="AX175" s="21">
        <f t="shared" si="166"/>
        <v>62.429023925363232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175.05987582828078</v>
      </c>
      <c r="BJ175" s="59">
        <f t="shared" si="146"/>
        <v>268.54782308462387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15.711946784077766</v>
      </c>
      <c r="BQ175" s="21">
        <f>EXP(-LN(2)/25)*BQ174+(1-EXP(-LN(2)/25))/(LN(2)/25)*Calculateur!BL175*Calculateur!BN175*VLOOKUP('Données projet'!$B$11,Paramètres!$A$1:$I$89,3,0)*0.475*44/12</f>
        <v>2.189601470037331</v>
      </c>
      <c r="BR175" s="21">
        <f>EXP(-LN(2)/2)*BR174+(1-EXP(-LN(2)/2))/(LN(2)/2)*BL175*BO175*VLOOKUP('Données projet'!$B$11,Paramètres!$A$1:$I$89,3,0)*0.475*44/12</f>
        <v>5.9841573189395569E-16</v>
      </c>
      <c r="BS175" s="22">
        <f t="shared" si="169"/>
        <v>17.901548254115095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1.7053025658242404E-13</v>
      </c>
      <c r="O176" s="13">
        <f>N176*VLOOKUP('Données projet'!$B$9,Paramètres!$A$1:$I$89,3,0)*VLOOKUP('Données projet'!$B$9,Paramètres!$A$1:$I$89,5,0)</f>
        <v>9.5326413429575044E-14</v>
      </c>
      <c r="P176" s="13">
        <f t="shared" si="141"/>
        <v>1.4400742856080346E-12</v>
      </c>
      <c r="Q176" s="20">
        <f t="shared" si="162"/>
        <v>2.6741562174905032E-12</v>
      </c>
      <c r="R176" s="59">
        <f t="shared" si="109"/>
        <v>293.33333333333599</v>
      </c>
      <c r="S176" s="59">
        <f ca="1">AVERAGE(OFFSET($R$3,0,0,'Données projet'!$E$9+1,1))-AVERAGE(OFFSET($H$3,0,0,'Données projet'!$E$9+1,1))</f>
        <v>293.82673322742102</v>
      </c>
      <c r="T176" s="59">
        <f t="shared" si="142"/>
        <v>138.78566015867693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59.738264095065887</v>
      </c>
      <c r="AA176" s="21">
        <f>EXP(-LN(2)/25)*AA175+(1-EXP(-LN(2)/25))/(LN(2)/25)*Calculateur!V176*Calculateur!X176*VLOOKUP('Données projet'!$B$9,Paramètres!$A$1:$I$89,3,0)*0.475*44/12</f>
        <v>12.563205633310423</v>
      </c>
      <c r="AB176" s="21">
        <f>EXP(-LN(2)/2)*AB175+(1-EXP(-LN(2)/2))/(LN(2)/2)*V176*Y176*VLOOKUP('Données projet'!$B$9,Paramètres!$A$1:$I$89,3,0)*0.475*44/12</f>
        <v>6.5468056397715326E-7</v>
      </c>
      <c r="AC176" s="22">
        <f t="shared" si="163"/>
        <v>72.301470383056866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-1.6848389350343498E-13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265.57710796453807</v>
      </c>
      <c r="AO176" s="59">
        <f t="shared" si="144"/>
        <v>171.29436297508141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51.268082787298233</v>
      </c>
      <c r="AV176" s="21">
        <f>EXP(-LN(2)/25)*AV175+(1-EXP(-LN(2)/25))/(LN(2)/25)*Calculateur!AQ176*Calculateur!AS176*VLOOKUP('Données projet'!$B$10,Paramètres!$A$1:$I$89,3,0)*0.475*44/12</f>
        <v>9.8583336899521807</v>
      </c>
      <c r="AW176" s="21">
        <f>EXP(-LN(2)/2)*AW175+(1-EXP(-LN(2)/2))/(LN(2)/2)*AQ176*AT176*VLOOKUP('Données projet'!$B$10,Paramètres!$A$1:$I$89,3,0)*0.475*44/12</f>
        <v>5.5125695341687783E-6</v>
      </c>
      <c r="AX176" s="21">
        <f t="shared" si="166"/>
        <v>61.126421989819953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175.05987582828078</v>
      </c>
      <c r="BJ176" s="59">
        <f t="shared" si="146"/>
        <v>268.54782308462387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15.403845090983262</v>
      </c>
      <c r="BQ176" s="21">
        <f>EXP(-LN(2)/25)*BQ175+(1-EXP(-LN(2)/25))/(LN(2)/25)*Calculateur!BL176*Calculateur!BN176*VLOOKUP('Données projet'!$B$11,Paramètres!$A$1:$I$89,3,0)*0.475*44/12</f>
        <v>2.1297267026930231</v>
      </c>
      <c r="BR176" s="21">
        <f>EXP(-LN(2)/2)*BR175+(1-EXP(-LN(2)/2))/(LN(2)/2)*BL176*BO176*VLOOKUP('Données projet'!$B$11,Paramètres!$A$1:$I$89,3,0)*0.475*44/12</f>
        <v>4.2314382199092702E-16</v>
      </c>
      <c r="BS176" s="22">
        <f t="shared" si="169"/>
        <v>17.533571793676284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1.7053025658242404E-13</v>
      </c>
      <c r="O177" s="13">
        <f>N177*VLOOKUP('Données projet'!$B$9,Paramètres!$A$1:$I$89,3,0)*VLOOKUP('Données projet'!$B$9,Paramètres!$A$1:$I$89,5,0)</f>
        <v>9.5326413429575044E-14</v>
      </c>
      <c r="P177" s="13">
        <f t="shared" si="141"/>
        <v>1.4400742856080346E-12</v>
      </c>
      <c r="Q177" s="20">
        <f t="shared" si="162"/>
        <v>2.6741562174905032E-12</v>
      </c>
      <c r="R177" s="59">
        <f t="shared" si="109"/>
        <v>293.33333333333599</v>
      </c>
      <c r="S177" s="59">
        <f ca="1">AVERAGE(OFFSET($R$3,0,0,'Données projet'!$E$9+1,1))-AVERAGE(OFFSET($H$3,0,0,'Données projet'!$E$9+1,1))</f>
        <v>293.82673322742102</v>
      </c>
      <c r="T177" s="59">
        <f t="shared" si="142"/>
        <v>138.78566015867693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58.566833172904914</v>
      </c>
      <c r="AA177" s="21">
        <f>EXP(-LN(2)/25)*AA176+(1-EXP(-LN(2)/25))/(LN(2)/25)*Calculateur!V177*Calculateur!X177*VLOOKUP('Données projet'!$B$9,Paramètres!$A$1:$I$89,3,0)*0.475*44/12</f>
        <v>12.219664114597279</v>
      </c>
      <c r="AB177" s="21">
        <f>EXP(-LN(2)/2)*AB176+(1-EXP(-LN(2)/2))/(LN(2)/2)*V177*Y177*VLOOKUP('Données projet'!$B$9,Paramètres!$A$1:$I$89,3,0)*0.475*44/12</f>
        <v>4.6292906629927848E-7</v>
      </c>
      <c r="AC177" s="22">
        <f t="shared" si="163"/>
        <v>70.786497750431252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-1.6848389350343498E-13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265.57710796453807</v>
      </c>
      <c r="AO177" s="59">
        <f t="shared" si="144"/>
        <v>171.29436297508141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50.262746954282115</v>
      </c>
      <c r="AV177" s="21">
        <f>EXP(-LN(2)/25)*AV176+(1-EXP(-LN(2)/25))/(LN(2)/25)*Calculateur!AQ177*Calculateur!AS177*VLOOKUP('Données projet'!$B$10,Paramètres!$A$1:$I$89,3,0)*0.475*44/12</f>
        <v>9.5887570367732007</v>
      </c>
      <c r="AW177" s="21">
        <f>EXP(-LN(2)/2)*AW176+(1-EXP(-LN(2)/2))/(LN(2)/2)*AQ177*AT177*VLOOKUP('Données projet'!$B$10,Paramètres!$A$1:$I$89,3,0)*0.475*44/12</f>
        <v>3.8979752993731105E-6</v>
      </c>
      <c r="AX177" s="21">
        <f t="shared" si="166"/>
        <v>59.851507889030614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175.05987582828078</v>
      </c>
      <c r="BJ177" s="59">
        <f t="shared" si="146"/>
        <v>268.54782308462387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15.101785084166865</v>
      </c>
      <c r="BQ177" s="21">
        <f>EXP(-LN(2)/25)*BQ176+(1-EXP(-LN(2)/25))/(LN(2)/25)*Calculateur!BL177*Calculateur!BN177*VLOOKUP('Données projet'!$B$11,Paramètres!$A$1:$I$89,3,0)*0.475*44/12</f>
        <v>2.0714892140104229</v>
      </c>
      <c r="BR177" s="21">
        <f>EXP(-LN(2)/2)*BR176+(1-EXP(-LN(2)/2))/(LN(2)/2)*BL177*BO177*VLOOKUP('Données projet'!$B$11,Paramètres!$A$1:$I$89,3,0)*0.475*44/12</f>
        <v>2.9920786594697784E-16</v>
      </c>
      <c r="BS177" s="22">
        <f t="shared" si="169"/>
        <v>17.173274298177287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1.7053025658242404E-13</v>
      </c>
      <c r="O178" s="13">
        <f>N178*VLOOKUP('Données projet'!$B$9,Paramètres!$A$1:$I$89,3,0)*VLOOKUP('Données projet'!$B$9,Paramètres!$A$1:$I$89,5,0)</f>
        <v>9.5326413429575044E-14</v>
      </c>
      <c r="P178" s="13">
        <f t="shared" si="141"/>
        <v>1.4400742856080346E-12</v>
      </c>
      <c r="Q178" s="20">
        <f t="shared" si="162"/>
        <v>2.6741562174905032E-12</v>
      </c>
      <c r="R178" s="59">
        <f t="shared" si="109"/>
        <v>293.33333333333599</v>
      </c>
      <c r="S178" s="59">
        <f ca="1">AVERAGE(OFFSET($R$3,0,0,'Données projet'!$E$9+1,1))-AVERAGE(OFFSET($H$3,0,0,'Données projet'!$E$9+1,1))</f>
        <v>293.82673322742102</v>
      </c>
      <c r="T178" s="59">
        <f t="shared" si="142"/>
        <v>138.78566015867693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57.418373296625205</v>
      </c>
      <c r="AA178" s="21">
        <f>EXP(-LN(2)/25)*AA177+(1-EXP(-LN(2)/25))/(LN(2)/25)*Calculateur!V178*Calculateur!X178*VLOOKUP('Données projet'!$B$9,Paramètres!$A$1:$I$89,3,0)*0.475*44/12</f>
        <v>11.88551675677941</v>
      </c>
      <c r="AB178" s="21">
        <f>EXP(-LN(2)/2)*AB177+(1-EXP(-LN(2)/2))/(LN(2)/2)*V178*Y178*VLOOKUP('Données projet'!$B$9,Paramètres!$A$1:$I$89,3,0)*0.475*44/12</f>
        <v>3.2734028198857668E-7</v>
      </c>
      <c r="AC178" s="22">
        <f t="shared" si="163"/>
        <v>69.303890380744903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-1.6848389350343498E-13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265.57710796453807</v>
      </c>
      <c r="AO178" s="59">
        <f t="shared" si="144"/>
        <v>171.29436297508141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49.277125143757132</v>
      </c>
      <c r="AV178" s="21">
        <f>EXP(-LN(2)/25)*AV177+(1-EXP(-LN(2)/25))/(LN(2)/25)*Calculateur!AQ178*Calculateur!AS178*VLOOKUP('Données projet'!$B$10,Paramètres!$A$1:$I$89,3,0)*0.475*44/12</f>
        <v>9.3265519713518206</v>
      </c>
      <c r="AW178" s="21">
        <f>EXP(-LN(2)/2)*AW177+(1-EXP(-LN(2)/2))/(LN(2)/2)*AQ178*AT178*VLOOKUP('Données projet'!$B$10,Paramètres!$A$1:$I$89,3,0)*0.475*44/12</f>
        <v>2.7562847670843891E-6</v>
      </c>
      <c r="AX178" s="21">
        <f t="shared" si="166"/>
        <v>58.603679871393716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175.05987582828078</v>
      </c>
      <c r="BJ178" s="59">
        <f t="shared" si="146"/>
        <v>268.54782308462387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14.805648289845726</v>
      </c>
      <c r="BQ178" s="21">
        <f>EXP(-LN(2)/25)*BQ177+(1-EXP(-LN(2)/25))/(LN(2)/25)*Calculateur!BL178*Calculateur!BN178*VLOOKUP('Données projet'!$B$11,Paramètres!$A$1:$I$89,3,0)*0.475*44/12</f>
        <v>2.0148442325184246</v>
      </c>
      <c r="BR178" s="21">
        <f>EXP(-LN(2)/2)*BR177+(1-EXP(-LN(2)/2))/(LN(2)/2)*BL178*BO178*VLOOKUP('Données projet'!$B$11,Paramètres!$A$1:$I$89,3,0)*0.475*44/12</f>
        <v>2.1157191099546351E-16</v>
      </c>
      <c r="BS178" s="22">
        <f t="shared" si="169"/>
        <v>16.820492522364152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1.7053025658242404E-13</v>
      </c>
      <c r="O179" s="13">
        <f>N179*VLOOKUP('Données projet'!$B$9,Paramètres!$A$1:$I$89,3,0)*VLOOKUP('Données projet'!$B$9,Paramètres!$A$1:$I$89,5,0)</f>
        <v>9.5326413429575044E-14</v>
      </c>
      <c r="P179" s="13">
        <f t="shared" si="141"/>
        <v>1.4400742856080346E-12</v>
      </c>
      <c r="Q179" s="20">
        <f t="shared" si="162"/>
        <v>2.6741562174905032E-12</v>
      </c>
      <c r="R179" s="59">
        <f t="shared" si="109"/>
        <v>293.33333333333599</v>
      </c>
      <c r="S179" s="59">
        <f ca="1">AVERAGE(OFFSET($R$3,0,0,'Données projet'!$E$9+1,1))-AVERAGE(OFFSET($H$3,0,0,'Données projet'!$E$9+1,1))</f>
        <v>293.82673322742102</v>
      </c>
      <c r="T179" s="59">
        <f t="shared" si="142"/>
        <v>138.78566015867693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56.292434018027983</v>
      </c>
      <c r="AA179" s="21">
        <f>EXP(-LN(2)/25)*AA178+(1-EXP(-LN(2)/25))/(LN(2)/25)*Calculateur!V179*Calculateur!X179*VLOOKUP('Données projet'!$B$9,Paramètres!$A$1:$I$89,3,0)*0.475*44/12</f>
        <v>11.560506676033116</v>
      </c>
      <c r="AB179" s="21">
        <f>EXP(-LN(2)/2)*AB178+(1-EXP(-LN(2)/2))/(LN(2)/2)*V179*Y179*VLOOKUP('Données projet'!$B$9,Paramètres!$A$1:$I$89,3,0)*0.475*44/12</f>
        <v>2.3146453314963926E-7</v>
      </c>
      <c r="AC179" s="22">
        <f t="shared" si="163"/>
        <v>67.852940925525644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-1.6848389350343498E-13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265.57710796453807</v>
      </c>
      <c r="AO179" s="59">
        <f t="shared" si="144"/>
        <v>171.29436297508141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48.310830775766604</v>
      </c>
      <c r="AV179" s="21">
        <f>EXP(-LN(2)/25)*AV178+(1-EXP(-LN(2)/25))/(LN(2)/25)*Calculateur!AQ179*Calculateur!AS179*VLOOKUP('Données projet'!$B$10,Paramètres!$A$1:$I$89,3,0)*0.475*44/12</f>
        <v>9.0715169172331525</v>
      </c>
      <c r="AW179" s="21">
        <f>EXP(-LN(2)/2)*AW178+(1-EXP(-LN(2)/2))/(LN(2)/2)*AQ179*AT179*VLOOKUP('Données projet'!$B$10,Paramètres!$A$1:$I$89,3,0)*0.475*44/12</f>
        <v>1.9489876496865552E-6</v>
      </c>
      <c r="AX179" s="21">
        <f t="shared" si="166"/>
        <v>57.38234964198741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175.05987582828078</v>
      </c>
      <c r="BJ179" s="59">
        <f t="shared" si="146"/>
        <v>268.54782308462387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14.515318557435615</v>
      </c>
      <c r="BQ179" s="21">
        <f>EXP(-LN(2)/25)*BQ178+(1-EXP(-LN(2)/25))/(LN(2)/25)*Calculateur!BL179*Calculateur!BN179*VLOOKUP('Données projet'!$B$11,Paramètres!$A$1:$I$89,3,0)*0.475*44/12</f>
        <v>1.9597482110241551</v>
      </c>
      <c r="BR179" s="21">
        <f>EXP(-LN(2)/2)*BR178+(1-EXP(-LN(2)/2))/(LN(2)/2)*BL179*BO179*VLOOKUP('Données projet'!$B$11,Paramètres!$A$1:$I$89,3,0)*0.475*44/12</f>
        <v>1.4960393297348892E-16</v>
      </c>
      <c r="BS179" s="22">
        <f t="shared" si="169"/>
        <v>16.475066768459769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1.7053025658242404E-13</v>
      </c>
      <c r="O180" s="13">
        <f>N180*VLOOKUP('Données projet'!$B$9,Paramètres!$A$1:$I$89,3,0)*VLOOKUP('Données projet'!$B$9,Paramètres!$A$1:$I$89,5,0)</f>
        <v>9.5326413429575044E-14</v>
      </c>
      <c r="P180" s="13">
        <f t="shared" si="141"/>
        <v>1.4400742856080346E-12</v>
      </c>
      <c r="Q180" s="20">
        <f t="shared" si="162"/>
        <v>2.6741562174905032E-12</v>
      </c>
      <c r="R180" s="59">
        <f t="shared" si="109"/>
        <v>293.33333333333599</v>
      </c>
      <c r="S180" s="59">
        <f ca="1">AVERAGE(OFFSET($R$3,0,0,'Données projet'!$E$9+1,1))-AVERAGE(OFFSET($H$3,0,0,'Données projet'!$E$9+1,1))</f>
        <v>293.82673322742102</v>
      </c>
      <c r="T180" s="59">
        <f t="shared" si="142"/>
        <v>138.78566015867693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55.188573721928904</v>
      </c>
      <c r="AA180" s="21">
        <f>EXP(-LN(2)/25)*AA179+(1-EXP(-LN(2)/25))/(LN(2)/25)*Calculateur!V180*Calculateur!X180*VLOOKUP('Données projet'!$B$9,Paramètres!$A$1:$I$89,3,0)*0.475*44/12</f>
        <v>11.244384013036367</v>
      </c>
      <c r="AB180" s="21">
        <f>EXP(-LN(2)/2)*AB179+(1-EXP(-LN(2)/2))/(LN(2)/2)*V180*Y180*VLOOKUP('Données projet'!$B$9,Paramètres!$A$1:$I$89,3,0)*0.475*44/12</f>
        <v>1.6367014099428837E-7</v>
      </c>
      <c r="AC180" s="22">
        <f t="shared" si="163"/>
        <v>66.432957898635408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-1.6848389350343498E-13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265.57710796453807</v>
      </c>
      <c r="AO180" s="59">
        <f t="shared" si="144"/>
        <v>171.29436297508141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47.363484850950996</v>
      </c>
      <c r="AV180" s="21">
        <f>EXP(-LN(2)/25)*AV179+(1-EXP(-LN(2)/25))/(LN(2)/25)*Calculateur!AQ180*Calculateur!AS180*VLOOKUP('Données projet'!$B$10,Paramètres!$A$1:$I$89,3,0)*0.475*44/12</f>
        <v>8.8234558100810698</v>
      </c>
      <c r="AW180" s="21">
        <f>EXP(-LN(2)/2)*AW179+(1-EXP(-LN(2)/2))/(LN(2)/2)*AQ180*AT180*VLOOKUP('Données projet'!$B$10,Paramètres!$A$1:$I$89,3,0)*0.475*44/12</f>
        <v>1.3781423835421946E-6</v>
      </c>
      <c r="AX180" s="21">
        <f t="shared" si="166"/>
        <v>56.186942039174454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175.05987582828078</v>
      </c>
      <c r="BJ180" s="59">
        <f t="shared" si="146"/>
        <v>268.54782308462387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14.230682013994414</v>
      </c>
      <c r="BQ180" s="21">
        <f>EXP(-LN(2)/25)*BQ179+(1-EXP(-LN(2)/25))/(LN(2)/25)*Calculateur!BL180*Calculateur!BN180*VLOOKUP('Données projet'!$B$11,Paramètres!$A$1:$I$89,3,0)*0.475*44/12</f>
        <v>1.9061587931350201</v>
      </c>
      <c r="BR180" s="21">
        <f>EXP(-LN(2)/2)*BR179+(1-EXP(-LN(2)/2))/(LN(2)/2)*BL180*BO180*VLOOKUP('Données projet'!$B$11,Paramètres!$A$1:$I$89,3,0)*0.475*44/12</f>
        <v>1.0578595549773175E-16</v>
      </c>
      <c r="BS180" s="22">
        <f t="shared" si="169"/>
        <v>16.136840807129435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1.7053025658242404E-13</v>
      </c>
      <c r="O181" s="13">
        <f>N181*VLOOKUP('Données projet'!$B$9,Paramètres!$A$1:$I$89,3,0)*VLOOKUP('Données projet'!$B$9,Paramètres!$A$1:$I$89,5,0)</f>
        <v>9.5326413429575044E-14</v>
      </c>
      <c r="P181" s="13">
        <f t="shared" si="141"/>
        <v>1.4400742856080346E-12</v>
      </c>
      <c r="Q181" s="20">
        <f t="shared" si="162"/>
        <v>2.6741562174905032E-12</v>
      </c>
      <c r="R181" s="59">
        <f t="shared" si="109"/>
        <v>293.33333333333599</v>
      </c>
      <c r="S181" s="59">
        <f ca="1">AVERAGE(OFFSET($R$3,0,0,'Données projet'!$E$9+1,1))-AVERAGE(OFFSET($H$3,0,0,'Données projet'!$E$9+1,1))</f>
        <v>293.82673322742102</v>
      </c>
      <c r="T181" s="59">
        <f t="shared" si="142"/>
        <v>138.78566015867693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54.106359452948034</v>
      </c>
      <c r="AA181" s="21">
        <f>EXP(-LN(2)/25)*AA180+(1-EXP(-LN(2)/25))/(LN(2)/25)*Calculateur!V181*Calculateur!X181*VLOOKUP('Données projet'!$B$9,Paramètres!$A$1:$I$89,3,0)*0.475*44/12</f>
        <v>10.936905740883432</v>
      </c>
      <c r="AB181" s="21">
        <f>EXP(-LN(2)/2)*AB180+(1-EXP(-LN(2)/2))/(LN(2)/2)*V181*Y181*VLOOKUP('Données projet'!$B$9,Paramètres!$A$1:$I$89,3,0)*0.475*44/12</f>
        <v>1.1573226657481966E-7</v>
      </c>
      <c r="AC181" s="22">
        <f t="shared" si="163"/>
        <v>65.043265309563736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-1.6848389350343498E-13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265.57710796453807</v>
      </c>
      <c r="AO181" s="59">
        <f t="shared" si="144"/>
        <v>171.29436297508141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46.43471580189707</v>
      </c>
      <c r="AV181" s="21">
        <f>EXP(-LN(2)/25)*AV180+(1-EXP(-LN(2)/25))/(LN(2)/25)*Calculateur!AQ181*Calculateur!AS181*VLOOKUP('Données projet'!$B$10,Paramètres!$A$1:$I$89,3,0)*0.475*44/12</f>
        <v>8.5821779469490274</v>
      </c>
      <c r="AW181" s="21">
        <f>EXP(-LN(2)/2)*AW180+(1-EXP(-LN(2)/2))/(LN(2)/2)*AQ181*AT181*VLOOKUP('Données projet'!$B$10,Paramètres!$A$1:$I$89,3,0)*0.475*44/12</f>
        <v>9.7449382484327761E-7</v>
      </c>
      <c r="AX181" s="21">
        <f t="shared" si="166"/>
        <v>55.016894723339924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175.05987582828078</v>
      </c>
      <c r="BJ181" s="59">
        <f t="shared" si="146"/>
        <v>268.54782308462387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13.951627019558947</v>
      </c>
      <c r="BQ181" s="21">
        <f>EXP(-LN(2)/25)*BQ180+(1-EXP(-LN(2)/25))/(LN(2)/25)*Calculateur!BL181*Calculateur!BN181*VLOOKUP('Données projet'!$B$11,Paramètres!$A$1:$I$89,3,0)*0.475*44/12</f>
        <v>1.8540347806962088</v>
      </c>
      <c r="BR181" s="21">
        <f>EXP(-LN(2)/2)*BR180+(1-EXP(-LN(2)/2))/(LN(2)/2)*BL181*BO181*VLOOKUP('Données projet'!$B$11,Paramètres!$A$1:$I$89,3,0)*0.475*44/12</f>
        <v>7.4801966486744461E-17</v>
      </c>
      <c r="BS181" s="22">
        <f t="shared" si="169"/>
        <v>15.805661800255155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1.7053025658242404E-13</v>
      </c>
      <c r="O182" s="13">
        <f>N182*VLOOKUP('Données projet'!$B$9,Paramètres!$A$1:$I$89,3,0)*VLOOKUP('Données projet'!$B$9,Paramètres!$A$1:$I$89,5,0)</f>
        <v>9.5326413429575044E-14</v>
      </c>
      <c r="P182" s="13">
        <f t="shared" si="141"/>
        <v>1.4400742856080346E-12</v>
      </c>
      <c r="Q182" s="20">
        <f t="shared" si="162"/>
        <v>2.6741562174905032E-12</v>
      </c>
      <c r="R182" s="59">
        <f t="shared" si="109"/>
        <v>293.33333333333599</v>
      </c>
      <c r="S182" s="59">
        <f ca="1">AVERAGE(OFFSET($R$3,0,0,'Données projet'!$E$9+1,1))-AVERAGE(OFFSET($H$3,0,0,'Données projet'!$E$9+1,1))</f>
        <v>293.82673322742102</v>
      </c>
      <c r="T182" s="59">
        <f t="shared" si="142"/>
        <v>138.78566015867693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53.045366745696349</v>
      </c>
      <c r="AA182" s="21">
        <f>EXP(-LN(2)/25)*AA181+(1-EXP(-LN(2)/25))/(LN(2)/25)*Calculateur!V182*Calculateur!X182*VLOOKUP('Données projet'!$B$9,Paramètres!$A$1:$I$89,3,0)*0.475*44/12</f>
        <v>10.637835478252098</v>
      </c>
      <c r="AB182" s="21">
        <f>EXP(-LN(2)/2)*AB181+(1-EXP(-LN(2)/2))/(LN(2)/2)*V182*Y182*VLOOKUP('Données projet'!$B$9,Paramètres!$A$1:$I$89,3,0)*0.475*44/12</f>
        <v>8.1835070497144198E-8</v>
      </c>
      <c r="AC182" s="22">
        <f t="shared" si="163"/>
        <v>63.683202305783517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-1.6848389350343498E-13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265.57710796453807</v>
      </c>
      <c r="AO182" s="59">
        <f t="shared" si="144"/>
        <v>171.29436297508141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45.524159347401906</v>
      </c>
      <c r="AV182" s="21">
        <f>EXP(-LN(2)/25)*AV181+(1-EXP(-LN(2)/25))/(LN(2)/25)*Calculateur!AQ182*Calculateur!AS182*VLOOKUP('Données projet'!$B$10,Paramètres!$A$1:$I$89,3,0)*0.475*44/12</f>
        <v>8.3474978396725827</v>
      </c>
      <c r="AW182" s="21">
        <f>EXP(-LN(2)/2)*AW181+(1-EXP(-LN(2)/2))/(LN(2)/2)*AQ182*AT182*VLOOKUP('Données projet'!$B$10,Paramètres!$A$1:$I$89,3,0)*0.475*44/12</f>
        <v>6.8907119177109729E-7</v>
      </c>
      <c r="AX182" s="21">
        <f t="shared" si="166"/>
        <v>53.871657876145683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175.05987582828078</v>
      </c>
      <c r="BJ182" s="59">
        <f t="shared" si="146"/>
        <v>268.54782308462387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13.678044123357619</v>
      </c>
      <c r="BQ182" s="21">
        <f>EXP(-LN(2)/25)*BQ181+(1-EXP(-LN(2)/25))/(LN(2)/25)*Calculateur!BL182*Calculateur!BN182*VLOOKUP('Données projet'!$B$11,Paramètres!$A$1:$I$89,3,0)*0.475*44/12</f>
        <v>1.8033361021186192</v>
      </c>
      <c r="BR182" s="21">
        <f>EXP(-LN(2)/2)*BR181+(1-EXP(-LN(2)/2))/(LN(2)/2)*BL182*BO182*VLOOKUP('Données projet'!$B$11,Paramètres!$A$1:$I$89,3,0)*0.475*44/12</f>
        <v>5.2892977748865877E-17</v>
      </c>
      <c r="BS182" s="22">
        <f t="shared" si="169"/>
        <v>15.481380225476238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1.7053025658242404E-13</v>
      </c>
      <c r="O183" s="13">
        <f>N183*VLOOKUP('Données projet'!$B$9,Paramètres!$A$1:$I$89,3,0)*VLOOKUP('Données projet'!$B$9,Paramètres!$A$1:$I$89,5,0)</f>
        <v>9.5326413429575044E-14</v>
      </c>
      <c r="P183" s="13">
        <f t="shared" si="141"/>
        <v>1.4400742856080346E-12</v>
      </c>
      <c r="Q183" s="20">
        <f t="shared" si="162"/>
        <v>2.6741562174905032E-12</v>
      </c>
      <c r="R183" s="59">
        <f t="shared" si="109"/>
        <v>293.33333333333599</v>
      </c>
      <c r="S183" s="59">
        <f ca="1">AVERAGE(OFFSET($R$3,0,0,'Données projet'!$E$9+1,1))-AVERAGE(OFFSET($H$3,0,0,'Données projet'!$E$9+1,1))</f>
        <v>293.82673322742102</v>
      </c>
      <c r="T183" s="59">
        <f t="shared" si="142"/>
        <v>138.78566015867693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52.005179458292218</v>
      </c>
      <c r="AA183" s="21">
        <f>EXP(-LN(2)/25)*AA182+(1-EXP(-LN(2)/25))/(LN(2)/25)*Calculateur!V183*Calculateur!X183*VLOOKUP('Données projet'!$B$9,Paramètres!$A$1:$I$89,3,0)*0.475*44/12</f>
        <v>10.34694330767984</v>
      </c>
      <c r="AB183" s="21">
        <f>EXP(-LN(2)/2)*AB182+(1-EXP(-LN(2)/2))/(LN(2)/2)*V183*Y183*VLOOKUP('Données projet'!$B$9,Paramètres!$A$1:$I$89,3,0)*0.475*44/12</f>
        <v>5.7866133287409836E-8</v>
      </c>
      <c r="AC183" s="22">
        <f t="shared" si="163"/>
        <v>62.352122823838187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-1.6848389350343498E-13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265.57710796453807</v>
      </c>
      <c r="AO183" s="59">
        <f t="shared" si="144"/>
        <v>171.29436297508141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44.631458349594794</v>
      </c>
      <c r="AV183" s="21">
        <f>EXP(-LN(2)/25)*AV182+(1-EXP(-LN(2)/25))/(LN(2)/25)*Calculateur!AQ183*Calculateur!AS183*VLOOKUP('Données projet'!$B$10,Paramètres!$A$1:$I$89,3,0)*0.475*44/12</f>
        <v>8.1192350722709037</v>
      </c>
      <c r="AW183" s="21">
        <f>EXP(-LN(2)/2)*AW182+(1-EXP(-LN(2)/2))/(LN(2)/2)*AQ183*AT183*VLOOKUP('Données projet'!$B$10,Paramètres!$A$1:$I$89,3,0)*0.475*44/12</f>
        <v>4.8724691242163881E-7</v>
      </c>
      <c r="AX183" s="21">
        <f t="shared" si="166"/>
        <v>52.750693909112613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175.05987582828078</v>
      </c>
      <c r="BJ183" s="59">
        <f t="shared" si="146"/>
        <v>268.54782308462387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13.409826020881709</v>
      </c>
      <c r="BQ183" s="21">
        <f>EXP(-LN(2)/25)*BQ182+(1-EXP(-LN(2)/25))/(LN(2)/25)*Calculateur!BL183*Calculateur!BN183*VLOOKUP('Données projet'!$B$11,Paramètres!$A$1:$I$89,3,0)*0.475*44/12</f>
        <v>1.7540237815728614</v>
      </c>
      <c r="BR183" s="21">
        <f>EXP(-LN(2)/2)*BR182+(1-EXP(-LN(2)/2))/(LN(2)/2)*BL183*BO183*VLOOKUP('Données projet'!$B$11,Paramètres!$A$1:$I$89,3,0)*0.475*44/12</f>
        <v>3.740098324337223E-17</v>
      </c>
      <c r="BS183" s="22">
        <f t="shared" si="169"/>
        <v>15.163849802454571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1.7053025658242404E-13</v>
      </c>
      <c r="O184" s="13">
        <f>N184*VLOOKUP('Données projet'!$B$9,Paramètres!$A$1:$I$89,3,0)*VLOOKUP('Données projet'!$B$9,Paramètres!$A$1:$I$89,5,0)</f>
        <v>9.5326413429575044E-14</v>
      </c>
      <c r="P184" s="13">
        <f t="shared" si="141"/>
        <v>1.4400742856080346E-12</v>
      </c>
      <c r="Q184" s="20">
        <f t="shared" si="162"/>
        <v>2.6741562174905032E-12</v>
      </c>
      <c r="R184" s="59">
        <f t="shared" si="109"/>
        <v>293.33333333333599</v>
      </c>
      <c r="S184" s="59">
        <f ca="1">AVERAGE(OFFSET($R$3,0,0,'Données projet'!$E$9+1,1))-AVERAGE(OFFSET($H$3,0,0,'Données projet'!$E$9+1,1))</f>
        <v>293.82673322742102</v>
      </c>
      <c r="T184" s="59">
        <f t="shared" si="142"/>
        <v>138.78566015867693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50.985389609142487</v>
      </c>
      <c r="AA184" s="21">
        <f>EXP(-LN(2)/25)*AA183+(1-EXP(-LN(2)/25))/(LN(2)/25)*Calculateur!V184*Calculateur!X184*VLOOKUP('Données projet'!$B$9,Paramètres!$A$1:$I$89,3,0)*0.475*44/12</f>
        <v>10.064005598809235</v>
      </c>
      <c r="AB184" s="21">
        <f>EXP(-LN(2)/2)*AB183+(1-EXP(-LN(2)/2))/(LN(2)/2)*V184*Y184*VLOOKUP('Données projet'!$B$9,Paramètres!$A$1:$I$89,3,0)*0.475*44/12</f>
        <v>4.0917535248572105E-8</v>
      </c>
      <c r="AC184" s="22">
        <f t="shared" si="163"/>
        <v>61.049395248869253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-1.6848389350343498E-13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265.57710796453807</v>
      </c>
      <c r="AO184" s="59">
        <f t="shared" si="144"/>
        <v>171.29436297508141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43.756262673860832</v>
      </c>
      <c r="AV184" s="21">
        <f>EXP(-LN(2)/25)*AV183+(1-EXP(-LN(2)/25))/(LN(2)/25)*Calculateur!AQ184*Calculateur!AS184*VLOOKUP('Données projet'!$B$10,Paramètres!$A$1:$I$89,3,0)*0.475*44/12</f>
        <v>7.8972141622476402</v>
      </c>
      <c r="AW184" s="21">
        <f>EXP(-LN(2)/2)*AW183+(1-EXP(-LN(2)/2))/(LN(2)/2)*AQ184*AT184*VLOOKUP('Données projet'!$B$10,Paramètres!$A$1:$I$89,3,0)*0.475*44/12</f>
        <v>3.4453559588554864E-7</v>
      </c>
      <c r="AX184" s="21">
        <f t="shared" si="166"/>
        <v>51.653477180644067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175.05987582828078</v>
      </c>
      <c r="BJ184" s="59">
        <f t="shared" si="146"/>
        <v>268.54782308462387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13.146867511798463</v>
      </c>
      <c r="BQ184" s="21">
        <f>EXP(-LN(2)/25)*BQ183+(1-EXP(-LN(2)/25))/(LN(2)/25)*Calculateur!BL184*Calculateur!BN184*VLOOKUP('Données projet'!$B$11,Paramètres!$A$1:$I$89,3,0)*0.475*44/12</f>
        <v>1.7060599090256496</v>
      </c>
      <c r="BR184" s="21">
        <f>EXP(-LN(2)/2)*BR183+(1-EXP(-LN(2)/2))/(LN(2)/2)*BL184*BO184*VLOOKUP('Données projet'!$B$11,Paramètres!$A$1:$I$89,3,0)*0.475*44/12</f>
        <v>2.6446488874432938E-17</v>
      </c>
      <c r="BS184" s="22">
        <f t="shared" si="169"/>
        <v>14.852927420824113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1.7053025658242404E-13</v>
      </c>
      <c r="O185" s="13">
        <f>N185*VLOOKUP('Données projet'!$B$9,Paramètres!$A$1:$I$89,3,0)*VLOOKUP('Données projet'!$B$9,Paramètres!$A$1:$I$89,5,0)</f>
        <v>9.5326413429575044E-14</v>
      </c>
      <c r="P185" s="13">
        <f t="shared" si="141"/>
        <v>1.4400742856080346E-12</v>
      </c>
      <c r="Q185" s="20">
        <f t="shared" si="162"/>
        <v>2.6741562174905032E-12</v>
      </c>
      <c r="R185" s="59">
        <f t="shared" si="109"/>
        <v>293.33333333333599</v>
      </c>
      <c r="S185" s="59">
        <f ca="1">AVERAGE(OFFSET($R$3,0,0,'Données projet'!$E$9+1,1))-AVERAGE(OFFSET($H$3,0,0,'Données projet'!$E$9+1,1))</f>
        <v>293.82673322742102</v>
      </c>
      <c r="T185" s="59">
        <f t="shared" si="142"/>
        <v>138.78566015867693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49.985597216924191</v>
      </c>
      <c r="AA185" s="21">
        <f>EXP(-LN(2)/25)*AA184+(1-EXP(-LN(2)/25))/(LN(2)/25)*Calculateur!V185*Calculateur!X185*VLOOKUP('Données projet'!$B$9,Paramètres!$A$1:$I$89,3,0)*0.475*44/12</f>
        <v>9.7888048364667437</v>
      </c>
      <c r="AB185" s="21">
        <f>EXP(-LN(2)/2)*AB184+(1-EXP(-LN(2)/2))/(LN(2)/2)*V185*Y185*VLOOKUP('Données projet'!$B$9,Paramètres!$A$1:$I$89,3,0)*0.475*44/12</f>
        <v>2.8933066643704925E-8</v>
      </c>
      <c r="AC185" s="22">
        <f t="shared" si="163"/>
        <v>59.774402082324002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-1.6848389350343498E-13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265.57710796453807</v>
      </c>
      <c r="AO185" s="59">
        <f t="shared" si="144"/>
        <v>171.29436297508141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42.898229051511365</v>
      </c>
      <c r="AV185" s="21">
        <f>EXP(-LN(2)/25)*AV184+(1-EXP(-LN(2)/25))/(LN(2)/25)*Calculateur!AQ185*Calculateur!AS185*VLOOKUP('Données projet'!$B$10,Paramètres!$A$1:$I$89,3,0)*0.475*44/12</f>
        <v>7.6812644256845353</v>
      </c>
      <c r="AW185" s="21">
        <f>EXP(-LN(2)/2)*AW184+(1-EXP(-LN(2)/2))/(LN(2)/2)*AQ185*AT185*VLOOKUP('Données projet'!$B$10,Paramètres!$A$1:$I$89,3,0)*0.475*44/12</f>
        <v>2.436234562108194E-7</v>
      </c>
      <c r="AX185" s="21">
        <f t="shared" si="166"/>
        <v>50.57949372081935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175.05987582828078</v>
      </c>
      <c r="BJ185" s="59">
        <f t="shared" si="146"/>
        <v>268.54782308462387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12.889065458689487</v>
      </c>
      <c r="BQ185" s="21">
        <f>EXP(-LN(2)/25)*BQ184+(1-EXP(-LN(2)/25))/(LN(2)/25)*Calculateur!BL185*Calculateur!BN185*VLOOKUP('Données projet'!$B$11,Paramètres!$A$1:$I$89,3,0)*0.475*44/12</f>
        <v>1.6594076110955518</v>
      </c>
      <c r="BR185" s="21">
        <f>EXP(-LN(2)/2)*BR184+(1-EXP(-LN(2)/2))/(LN(2)/2)*BL185*BO185*VLOOKUP('Données projet'!$B$11,Paramètres!$A$1:$I$89,3,0)*0.475*44/12</f>
        <v>1.8700491621686115E-17</v>
      </c>
      <c r="BS185" s="22">
        <f t="shared" si="169"/>
        <v>14.54847306978504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1.7053025658242404E-13</v>
      </c>
      <c r="O186" s="13">
        <f>N186*VLOOKUP('Données projet'!$B$9,Paramètres!$A$1:$I$89,3,0)*VLOOKUP('Données projet'!$B$9,Paramètres!$A$1:$I$89,5,0)</f>
        <v>9.5326413429575044E-14</v>
      </c>
      <c r="P186" s="13">
        <f t="shared" si="141"/>
        <v>1.4400742856080346E-12</v>
      </c>
      <c r="Q186" s="20">
        <f t="shared" si="162"/>
        <v>2.6741562174905032E-12</v>
      </c>
      <c r="R186" s="59">
        <f t="shared" si="109"/>
        <v>293.33333333333599</v>
      </c>
      <c r="S186" s="59">
        <f ca="1">AVERAGE(OFFSET($R$3,0,0,'Données projet'!$E$9+1,1))-AVERAGE(OFFSET($H$3,0,0,'Données projet'!$E$9+1,1))</f>
        <v>293.82673322742102</v>
      </c>
      <c r="T186" s="59">
        <f t="shared" si="142"/>
        <v>138.78566015867693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49.005410143704147</v>
      </c>
      <c r="AA186" s="21">
        <f>EXP(-LN(2)/25)*AA185+(1-EXP(-LN(2)/25))/(LN(2)/25)*Calculateur!V186*Calculateur!X186*VLOOKUP('Données projet'!$B$9,Paramètres!$A$1:$I$89,3,0)*0.475*44/12</f>
        <v>9.5211294534426862</v>
      </c>
      <c r="AB186" s="21">
        <f>EXP(-LN(2)/2)*AB185+(1-EXP(-LN(2)/2))/(LN(2)/2)*V186*Y186*VLOOKUP('Données projet'!$B$9,Paramètres!$A$1:$I$89,3,0)*0.475*44/12</f>
        <v>2.0458767624286056E-8</v>
      </c>
      <c r="AC186" s="22">
        <f t="shared" si="163"/>
        <v>58.526539617605607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-1.6848389350343498E-13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265.57710796453807</v>
      </c>
      <c r="AO186" s="59">
        <f t="shared" si="144"/>
        <v>171.29436297508141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42.057020945147336</v>
      </c>
      <c r="AV186" s="21">
        <f>EXP(-LN(2)/25)*AV185+(1-EXP(-LN(2)/25))/(LN(2)/25)*Calculateur!AQ186*Calculateur!AS186*VLOOKUP('Données projet'!$B$10,Paramètres!$A$1:$I$89,3,0)*0.475*44/12</f>
        <v>7.4712198460240513</v>
      </c>
      <c r="AW186" s="21">
        <f>EXP(-LN(2)/2)*AW185+(1-EXP(-LN(2)/2))/(LN(2)/2)*AQ186*AT186*VLOOKUP('Données projet'!$B$10,Paramètres!$A$1:$I$89,3,0)*0.475*44/12</f>
        <v>1.7226779794277432E-7</v>
      </c>
      <c r="AX186" s="21">
        <f t="shared" si="166"/>
        <v>49.528240963439181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175.05987582828078</v>
      </c>
      <c r="BJ186" s="59">
        <f t="shared" si="146"/>
        <v>268.54782308462387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12.636318746598253</v>
      </c>
      <c r="BQ186" s="21">
        <f>EXP(-LN(2)/25)*BQ185+(1-EXP(-LN(2)/25))/(LN(2)/25)*Calculateur!BL186*Calculateur!BN186*VLOOKUP('Données projet'!$B$11,Paramètres!$A$1:$I$89,3,0)*0.475*44/12</f>
        <v>1.6140310227056902</v>
      </c>
      <c r="BR186" s="21">
        <f>EXP(-LN(2)/2)*BR185+(1-EXP(-LN(2)/2))/(LN(2)/2)*BL186*BO186*VLOOKUP('Données projet'!$B$11,Paramètres!$A$1:$I$89,3,0)*0.475*44/12</f>
        <v>1.3223244437216469E-17</v>
      </c>
      <c r="BS186" s="22">
        <f t="shared" si="169"/>
        <v>14.250349769303943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1.7053025658242404E-13</v>
      </c>
      <c r="O187" s="13">
        <f>N187*VLOOKUP('Données projet'!$B$9,Paramètres!$A$1:$I$89,3,0)*VLOOKUP('Données projet'!$B$9,Paramètres!$A$1:$I$89,5,0)</f>
        <v>9.5326413429575044E-14</v>
      </c>
      <c r="P187" s="13">
        <f t="shared" si="141"/>
        <v>1.4400742856080346E-12</v>
      </c>
      <c r="Q187" s="20">
        <f t="shared" si="162"/>
        <v>2.6741562174905032E-12</v>
      </c>
      <c r="R187" s="59">
        <f t="shared" si="109"/>
        <v>293.33333333333599</v>
      </c>
      <c r="S187" s="59">
        <f ca="1">AVERAGE(OFFSET($R$3,0,0,'Données projet'!$E$9+1,1))-AVERAGE(OFFSET($H$3,0,0,'Données projet'!$E$9+1,1))</f>
        <v>293.82673322742102</v>
      </c>
      <c r="T187" s="59">
        <f t="shared" si="142"/>
        <v>138.78566015867693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48.044443941134872</v>
      </c>
      <c r="AA187" s="21">
        <f>EXP(-LN(2)/25)*AA186+(1-EXP(-LN(2)/25))/(LN(2)/25)*Calculateur!V187*Calculateur!X187*VLOOKUP('Données projet'!$B$9,Paramètres!$A$1:$I$89,3,0)*0.475*44/12</f>
        <v>9.2607736678438588</v>
      </c>
      <c r="AB187" s="21">
        <f>EXP(-LN(2)/2)*AB186+(1-EXP(-LN(2)/2))/(LN(2)/2)*V187*Y187*VLOOKUP('Données projet'!$B$9,Paramètres!$A$1:$I$89,3,0)*0.475*44/12</f>
        <v>1.4466533321852464E-8</v>
      </c>
      <c r="AC187" s="22">
        <f t="shared" si="163"/>
        <v>57.305217623445266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-1.6848389350343498E-13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265.57710796453807</v>
      </c>
      <c r="AO187" s="59">
        <f t="shared" si="144"/>
        <v>171.29436297508141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41.232308416662825</v>
      </c>
      <c r="AV187" s="21">
        <f>EXP(-LN(2)/25)*AV186+(1-EXP(-LN(2)/25))/(LN(2)/25)*Calculateur!AQ187*Calculateur!AS187*VLOOKUP('Données projet'!$B$10,Paramètres!$A$1:$I$89,3,0)*0.475*44/12</f>
        <v>7.266918946440148</v>
      </c>
      <c r="AW187" s="21">
        <f>EXP(-LN(2)/2)*AW186+(1-EXP(-LN(2)/2))/(LN(2)/2)*AQ187*AT187*VLOOKUP('Données projet'!$B$10,Paramètres!$A$1:$I$89,3,0)*0.475*44/12</f>
        <v>1.218117281054097E-7</v>
      </c>
      <c r="AX187" s="21">
        <f t="shared" si="166"/>
        <v>48.499227484914705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175.05987582828078</v>
      </c>
      <c r="BJ187" s="59">
        <f t="shared" si="146"/>
        <v>268.54782308462387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12.388528243370855</v>
      </c>
      <c r="BQ187" s="21">
        <f>EXP(-LN(2)/25)*BQ186+(1-EXP(-LN(2)/25))/(LN(2)/25)*Calculateur!BL187*Calculateur!BN187*VLOOKUP('Données projet'!$B$11,Paramètres!$A$1:$I$89,3,0)*0.475*44/12</f>
        <v>1.5698952595116005</v>
      </c>
      <c r="BR187" s="21">
        <f>EXP(-LN(2)/2)*BR186+(1-EXP(-LN(2)/2))/(LN(2)/2)*BL187*BO187*VLOOKUP('Données projet'!$B$11,Paramètres!$A$1:$I$89,3,0)*0.475*44/12</f>
        <v>9.3502458108430576E-18</v>
      </c>
      <c r="BS187" s="22">
        <f t="shared" si="169"/>
        <v>13.958423502882455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1.7053025658242404E-13</v>
      </c>
      <c r="O188" s="13">
        <f>N188*VLOOKUP('Données projet'!$B$9,Paramètres!$A$1:$I$89,3,0)*VLOOKUP('Données projet'!$B$9,Paramètres!$A$1:$I$89,5,0)</f>
        <v>9.5326413429575044E-14</v>
      </c>
      <c r="P188" s="13">
        <f t="shared" si="141"/>
        <v>1.4400742856080346E-12</v>
      </c>
      <c r="Q188" s="20">
        <f t="shared" si="162"/>
        <v>2.6741562174905032E-12</v>
      </c>
      <c r="R188" s="59">
        <f t="shared" si="109"/>
        <v>293.33333333333599</v>
      </c>
      <c r="S188" s="59">
        <f ca="1">AVERAGE(OFFSET($R$3,0,0,'Données projet'!$E$9+1,1))-AVERAGE(OFFSET($H$3,0,0,'Données projet'!$E$9+1,1))</f>
        <v>293.82673322742102</v>
      </c>
      <c r="T188" s="59">
        <f t="shared" si="142"/>
        <v>138.78566015867693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47.102321699666469</v>
      </c>
      <c r="AA188" s="21">
        <f>EXP(-LN(2)/25)*AA187+(1-EXP(-LN(2)/25))/(LN(2)/25)*Calculateur!V188*Calculateur!X188*VLOOKUP('Données projet'!$B$9,Paramètres!$A$1:$I$89,3,0)*0.475*44/12</f>
        <v>9.0075373248937467</v>
      </c>
      <c r="AB188" s="21">
        <f>EXP(-LN(2)/2)*AB187+(1-EXP(-LN(2)/2))/(LN(2)/2)*V188*Y188*VLOOKUP('Données projet'!$B$9,Paramètres!$A$1:$I$89,3,0)*0.475*44/12</f>
        <v>1.022938381214303E-8</v>
      </c>
      <c r="AC188" s="22">
        <f t="shared" si="163"/>
        <v>56.109859034789601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-1.6848389350343498E-13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265.57710796453807</v>
      </c>
      <c r="AO188" s="59">
        <f t="shared" si="144"/>
        <v>171.29436297508141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40.423767997836919</v>
      </c>
      <c r="AV188" s="21">
        <f>EXP(-LN(2)/25)*AV187+(1-EXP(-LN(2)/25))/(LN(2)/25)*Calculateur!AQ188*Calculateur!AS188*VLOOKUP('Données projet'!$B$10,Paramètres!$A$1:$I$89,3,0)*0.475*44/12</f>
        <v>7.0682046656990831</v>
      </c>
      <c r="AW188" s="21">
        <f>EXP(-LN(2)/2)*AW187+(1-EXP(-LN(2)/2))/(LN(2)/2)*AQ188*AT188*VLOOKUP('Données projet'!$B$10,Paramètres!$A$1:$I$89,3,0)*0.475*44/12</f>
        <v>8.6133898971387161E-8</v>
      </c>
      <c r="AX188" s="21">
        <f t="shared" si="166"/>
        <v>47.491972749669905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175.05987582828078</v>
      </c>
      <c r="BJ188" s="59">
        <f t="shared" si="146"/>
        <v>268.54782308462387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12.145596760774463</v>
      </c>
      <c r="BQ188" s="21">
        <f>EXP(-LN(2)/25)*BQ187+(1-EXP(-LN(2)/25))/(LN(2)/25)*Calculateur!BL188*Calculateur!BN188*VLOOKUP('Données projet'!$B$11,Paramètres!$A$1:$I$89,3,0)*0.475*44/12</f>
        <v>1.5269663910830522</v>
      </c>
      <c r="BR188" s="21">
        <f>EXP(-LN(2)/2)*BR187+(1-EXP(-LN(2)/2))/(LN(2)/2)*BL188*BO188*VLOOKUP('Données projet'!$B$11,Paramètres!$A$1:$I$89,3,0)*0.475*44/12</f>
        <v>6.6116222186082346E-18</v>
      </c>
      <c r="BS188" s="22">
        <f t="shared" si="169"/>
        <v>13.672563151857515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1.7053025658242404E-13</v>
      </c>
      <c r="O189" s="13">
        <f>N189*VLOOKUP('Données projet'!$B$9,Paramètres!$A$1:$I$89,3,0)*VLOOKUP('Données projet'!$B$9,Paramètres!$A$1:$I$89,5,0)</f>
        <v>9.5326413429575044E-14</v>
      </c>
      <c r="P189" s="13">
        <f t="shared" si="141"/>
        <v>1.4400742856080346E-12</v>
      </c>
      <c r="Q189" s="20">
        <f t="shared" si="162"/>
        <v>2.6741562174905032E-12</v>
      </c>
      <c r="R189" s="59">
        <f t="shared" si="109"/>
        <v>293.33333333333599</v>
      </c>
      <c r="S189" s="59">
        <f ca="1">AVERAGE(OFFSET($R$3,0,0,'Données projet'!$E$9+1,1))-AVERAGE(OFFSET($H$3,0,0,'Données projet'!$E$9+1,1))</f>
        <v>293.82673322742102</v>
      </c>
      <c r="T189" s="59">
        <f t="shared" si="142"/>
        <v>138.78566015867693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46.178673900715438</v>
      </c>
      <c r="AA189" s="21">
        <f>EXP(-LN(2)/25)*AA188+(1-EXP(-LN(2)/25))/(LN(2)/25)*Calculateur!V189*Calculateur!X189*VLOOKUP('Données projet'!$B$9,Paramètres!$A$1:$I$89,3,0)*0.475*44/12</f>
        <v>8.761225743058727</v>
      </c>
      <c r="AB189" s="21">
        <f>EXP(-LN(2)/2)*AB188+(1-EXP(-LN(2)/2))/(LN(2)/2)*V189*Y189*VLOOKUP('Données projet'!$B$9,Paramètres!$A$1:$I$89,3,0)*0.475*44/12</f>
        <v>7.2332666609262328E-9</v>
      </c>
      <c r="AC189" s="22">
        <f t="shared" si="163"/>
        <v>54.939899651007437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-1.6848389350343498E-13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265.57710796453807</v>
      </c>
      <c r="AO189" s="59">
        <f t="shared" si="144"/>
        <v>171.29436297508141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39.631082563463231</v>
      </c>
      <c r="AV189" s="21">
        <f>EXP(-LN(2)/25)*AV188+(1-EXP(-LN(2)/25))/(LN(2)/25)*Calculateur!AQ189*Calculateur!AS189*VLOOKUP('Données projet'!$B$10,Paramètres!$A$1:$I$89,3,0)*0.475*44/12</f>
        <v>6.8749242374148132</v>
      </c>
      <c r="AW189" s="21">
        <f>EXP(-LN(2)/2)*AW188+(1-EXP(-LN(2)/2))/(LN(2)/2)*AQ189*AT189*VLOOKUP('Données projet'!$B$10,Paramètres!$A$1:$I$89,3,0)*0.475*44/12</f>
        <v>6.0905864052704851E-8</v>
      </c>
      <c r="AX189" s="21">
        <f t="shared" si="166"/>
        <v>46.506006861783902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175.05987582828078</v>
      </c>
      <c r="BJ189" s="59">
        <f t="shared" si="146"/>
        <v>268.54782308462387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11.907429016378213</v>
      </c>
      <c r="BQ189" s="21">
        <f>EXP(-LN(2)/25)*BQ188+(1-EXP(-LN(2)/25))/(LN(2)/25)*Calculateur!BL189*Calculateur!BN189*VLOOKUP('Données projet'!$B$11,Paramètres!$A$1:$I$89,3,0)*0.475*44/12</f>
        <v>1.4852114148192135</v>
      </c>
      <c r="BR189" s="21">
        <f>EXP(-LN(2)/2)*BR188+(1-EXP(-LN(2)/2))/(LN(2)/2)*BL189*BO189*VLOOKUP('Données projet'!$B$11,Paramètres!$A$1:$I$89,3,0)*0.475*44/12</f>
        <v>4.6751229054215288E-18</v>
      </c>
      <c r="BS189" s="22">
        <f t="shared" si="169"/>
        <v>13.392640431197426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1.7053025658242404E-13</v>
      </c>
      <c r="O190" s="13">
        <f>N190*VLOOKUP('Données projet'!$B$9,Paramètres!$A$1:$I$89,3,0)*VLOOKUP('Données projet'!$B$9,Paramètres!$A$1:$I$89,5,0)</f>
        <v>9.5326413429575044E-14</v>
      </c>
      <c r="P190" s="13">
        <f t="shared" si="141"/>
        <v>1.4400742856080346E-12</v>
      </c>
      <c r="Q190" s="20">
        <f t="shared" si="162"/>
        <v>2.6741562174905032E-12</v>
      </c>
      <c r="R190" s="59">
        <f t="shared" si="109"/>
        <v>293.33333333333599</v>
      </c>
      <c r="S190" s="59">
        <f ca="1">AVERAGE(OFFSET($R$3,0,0,'Données projet'!$E$9+1,1))-AVERAGE(OFFSET($H$3,0,0,'Données projet'!$E$9+1,1))</f>
        <v>293.82673322742102</v>
      </c>
      <c r="T190" s="59">
        <f t="shared" si="142"/>
        <v>138.78566015867693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45.273138271732307</v>
      </c>
      <c r="AA190" s="21">
        <f>EXP(-LN(2)/25)*AA189+(1-EXP(-LN(2)/25))/(LN(2)/25)*Calculateur!V190*Calculateur!X190*VLOOKUP('Données projet'!$B$9,Paramètres!$A$1:$I$89,3,0)*0.475*44/12</f>
        <v>8.5216495643819492</v>
      </c>
      <c r="AB190" s="21">
        <f>EXP(-LN(2)/2)*AB189+(1-EXP(-LN(2)/2))/(LN(2)/2)*V190*Y190*VLOOKUP('Données projet'!$B$9,Paramètres!$A$1:$I$89,3,0)*0.475*44/12</f>
        <v>5.1146919060715157E-9</v>
      </c>
      <c r="AC190" s="22">
        <f t="shared" si="163"/>
        <v>53.794787841228946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-1.6848389350343498E-13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265.57710796453807</v>
      </c>
      <c r="AO190" s="59">
        <f t="shared" si="144"/>
        <v>171.29436297508141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38.853941206967235</v>
      </c>
      <c r="AV190" s="21">
        <f>EXP(-LN(2)/25)*AV189+(1-EXP(-LN(2)/25))/(LN(2)/25)*Calculateur!AQ190*Calculateur!AS190*VLOOKUP('Données projet'!$B$10,Paramètres!$A$1:$I$89,3,0)*0.475*44/12</f>
        <v>6.6869290726061523</v>
      </c>
      <c r="AW190" s="21">
        <f>EXP(-LN(2)/2)*AW189+(1-EXP(-LN(2)/2))/(LN(2)/2)*AQ190*AT190*VLOOKUP('Données projet'!$B$10,Paramètres!$A$1:$I$89,3,0)*0.475*44/12</f>
        <v>4.306694948569358E-8</v>
      </c>
      <c r="AX190" s="21">
        <f t="shared" si="166"/>
        <v>45.540870322640338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175.05987582828078</v>
      </c>
      <c r="BJ190" s="59">
        <f t="shared" si="146"/>
        <v>268.54782308462387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11.673931596181593</v>
      </c>
      <c r="BQ190" s="21">
        <f>EXP(-LN(2)/25)*BQ189+(1-EXP(-LN(2)/25))/(LN(2)/25)*Calculateur!BL190*Calculateur!BN190*VLOOKUP('Données projet'!$B$11,Paramètres!$A$1:$I$89,3,0)*0.475*44/12</f>
        <v>1.4445982305771083</v>
      </c>
      <c r="BR190" s="21">
        <f>EXP(-LN(2)/2)*BR189+(1-EXP(-LN(2)/2))/(LN(2)/2)*BL190*BO190*VLOOKUP('Données projet'!$B$11,Paramètres!$A$1:$I$89,3,0)*0.475*44/12</f>
        <v>3.3058111093041173E-18</v>
      </c>
      <c r="BS190" s="22">
        <f t="shared" si="169"/>
        <v>13.118529826758701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1.7053025658242404E-13</v>
      </c>
      <c r="O191" s="13">
        <f>N191*VLOOKUP('Données projet'!$B$9,Paramètres!$A$1:$I$89,3,0)*VLOOKUP('Données projet'!$B$9,Paramètres!$A$1:$I$89,5,0)</f>
        <v>9.5326413429575044E-14</v>
      </c>
      <c r="P191" s="13">
        <f t="shared" si="141"/>
        <v>1.4400742856080346E-12</v>
      </c>
      <c r="Q191" s="20">
        <f t="shared" si="162"/>
        <v>2.6741562174905032E-12</v>
      </c>
      <c r="R191" s="59">
        <f t="shared" si="109"/>
        <v>293.33333333333599</v>
      </c>
      <c r="S191" s="59">
        <f ca="1">AVERAGE(OFFSET($R$3,0,0,'Données projet'!$E$9+1,1))-AVERAGE(OFFSET($H$3,0,0,'Données projet'!$E$9+1,1))</f>
        <v>293.82673322742102</v>
      </c>
      <c r="T191" s="59">
        <f t="shared" si="142"/>
        <v>138.78566015867693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44.38535964411134</v>
      </c>
      <c r="AA191" s="21">
        <f>EXP(-LN(2)/25)*AA190+(1-EXP(-LN(2)/25))/(LN(2)/25)*Calculateur!V191*Calculateur!X191*VLOOKUP('Données projet'!$B$9,Paramètres!$A$1:$I$89,3,0)*0.475*44/12</f>
        <v>8.288624608909851</v>
      </c>
      <c r="AB191" s="21">
        <f>EXP(-LN(2)/2)*AB190+(1-EXP(-LN(2)/2))/(LN(2)/2)*V191*Y191*VLOOKUP('Données projet'!$B$9,Paramètres!$A$1:$I$89,3,0)*0.475*44/12</f>
        <v>3.6166333304631172E-9</v>
      </c>
      <c r="AC191" s="22">
        <f t="shared" si="163"/>
        <v>52.673984256637823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-1.6848389350343498E-13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265.57710796453807</v>
      </c>
      <c r="AO191" s="59">
        <f t="shared" si="144"/>
        <v>171.29436297508141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38.092039118462708</v>
      </c>
      <c r="AV191" s="21">
        <f>EXP(-LN(2)/25)*AV190+(1-EXP(-LN(2)/25))/(LN(2)/25)*Calculateur!AQ191*Calculateur!AS191*VLOOKUP('Données projet'!$B$10,Paramètres!$A$1:$I$89,3,0)*0.475*44/12</f>
        <v>6.5040746454654199</v>
      </c>
      <c r="AW191" s="21">
        <f>EXP(-LN(2)/2)*AW190+(1-EXP(-LN(2)/2))/(LN(2)/2)*AQ191*AT191*VLOOKUP('Données projet'!$B$10,Paramètres!$A$1:$I$89,3,0)*0.475*44/12</f>
        <v>3.0452932026352425E-8</v>
      </c>
      <c r="AX191" s="21">
        <f t="shared" si="166"/>
        <v>44.596113794381061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175.05987582828078</v>
      </c>
      <c r="BJ191" s="59">
        <f t="shared" si="146"/>
        <v>268.54782308462387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11.445012917975665</v>
      </c>
      <c r="BQ191" s="21">
        <f>EXP(-LN(2)/25)*BQ190+(1-EXP(-LN(2)/25))/(LN(2)/25)*Calculateur!BL191*Calculateur!BN191*VLOOKUP('Données projet'!$B$11,Paramètres!$A$1:$I$89,3,0)*0.475*44/12</f>
        <v>1.4050956159938581</v>
      </c>
      <c r="BR191" s="21">
        <f>EXP(-LN(2)/2)*BR190+(1-EXP(-LN(2)/2))/(LN(2)/2)*BL191*BO191*VLOOKUP('Données projet'!$B$11,Paramètres!$A$1:$I$89,3,0)*0.475*44/12</f>
        <v>2.3375614527107644E-18</v>
      </c>
      <c r="BS191" s="22">
        <f t="shared" si="169"/>
        <v>12.850108533969523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1.7053025658242404E-13</v>
      </c>
      <c r="O192" s="13">
        <f>N192*VLOOKUP('Données projet'!$B$9,Paramètres!$A$1:$I$89,3,0)*VLOOKUP('Données projet'!$B$9,Paramètres!$A$1:$I$89,5,0)</f>
        <v>9.5326413429575044E-14</v>
      </c>
      <c r="P192" s="13">
        <f t="shared" si="141"/>
        <v>1.4400742856080346E-12</v>
      </c>
      <c r="Q192" s="20">
        <f t="shared" si="162"/>
        <v>2.6741562174905032E-12</v>
      </c>
      <c r="R192" s="59">
        <f t="shared" si="109"/>
        <v>293.33333333333599</v>
      </c>
      <c r="S192" s="59">
        <f ca="1">AVERAGE(OFFSET($R$3,0,0,'Données projet'!$E$9+1,1))-AVERAGE(OFFSET($H$3,0,0,'Données projet'!$E$9+1,1))</f>
        <v>293.82673322742102</v>
      </c>
      <c r="T192" s="59">
        <f t="shared" si="142"/>
        <v>138.78566015867693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43.514989813886523</v>
      </c>
      <c r="AA192" s="21">
        <f>EXP(-LN(2)/25)*AA191+(1-EXP(-LN(2)/25))/(LN(2)/25)*Calculateur!V192*Calculateur!X192*VLOOKUP('Données projet'!$B$9,Paramètres!$A$1:$I$89,3,0)*0.475*44/12</f>
        <v>8.0619717330993872</v>
      </c>
      <c r="AB192" s="21">
        <f>EXP(-LN(2)/2)*AB191+(1-EXP(-LN(2)/2))/(LN(2)/2)*V192*Y192*VLOOKUP('Données projet'!$B$9,Paramètres!$A$1:$I$89,3,0)*0.475*44/12</f>
        <v>2.5573459530357582E-9</v>
      </c>
      <c r="AC192" s="22">
        <f t="shared" si="163"/>
        <v>51.576961549543256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-1.6848389350343498E-13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265.57710796453807</v>
      </c>
      <c r="AO192" s="59">
        <f t="shared" si="144"/>
        <v>171.29436297508141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37.345077465199367</v>
      </c>
      <c r="AV192" s="21">
        <f>EXP(-LN(2)/25)*AV191+(1-EXP(-LN(2)/25))/(LN(2)/25)*Calculateur!AQ192*Calculateur!AS192*VLOOKUP('Données projet'!$B$10,Paramètres!$A$1:$I$89,3,0)*0.475*44/12</f>
        <v>6.3262203822507477</v>
      </c>
      <c r="AW192" s="21">
        <f>EXP(-LN(2)/2)*AW191+(1-EXP(-LN(2)/2))/(LN(2)/2)*AQ192*AT192*VLOOKUP('Données projet'!$B$10,Paramètres!$A$1:$I$89,3,0)*0.475*44/12</f>
        <v>2.153347474284679E-8</v>
      </c>
      <c r="AX192" s="21">
        <f t="shared" si="166"/>
        <v>43.671297868983586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175.05987582828078</v>
      </c>
      <c r="BJ192" s="59">
        <f t="shared" si="146"/>
        <v>268.54782308462387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11.22058319542275</v>
      </c>
      <c r="BQ192" s="21">
        <f>EXP(-LN(2)/25)*BQ191+(1-EXP(-LN(2)/25))/(LN(2)/25)*Calculateur!BL192*Calculateur!BN192*VLOOKUP('Données projet'!$B$11,Paramètres!$A$1:$I$89,3,0)*0.475*44/12</f>
        <v>1.3666732024837389</v>
      </c>
      <c r="BR192" s="21">
        <f>EXP(-LN(2)/2)*BR191+(1-EXP(-LN(2)/2))/(LN(2)/2)*BL192*BO192*VLOOKUP('Données projet'!$B$11,Paramètres!$A$1:$I$89,3,0)*0.475*44/12</f>
        <v>1.6529055546520587E-18</v>
      </c>
      <c r="BS192" s="22">
        <f t="shared" si="169"/>
        <v>12.587256397906488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1.7053025658242404E-13</v>
      </c>
      <c r="O193" s="13">
        <f>N193*VLOOKUP('Données projet'!$B$9,Paramètres!$A$1:$I$89,3,0)*VLOOKUP('Données projet'!$B$9,Paramètres!$A$1:$I$89,5,0)</f>
        <v>9.5326413429575044E-14</v>
      </c>
      <c r="P193" s="13">
        <f t="shared" si="141"/>
        <v>1.4400742856080346E-12</v>
      </c>
      <c r="Q193" s="20">
        <f t="shared" si="162"/>
        <v>2.6741562174905032E-12</v>
      </c>
      <c r="R193" s="59">
        <f t="shared" si="109"/>
        <v>293.33333333333599</v>
      </c>
      <c r="S193" s="59">
        <f ca="1">AVERAGE(OFFSET($R$3,0,0,'Données projet'!$E$9+1,1))-AVERAGE(OFFSET($H$3,0,0,'Données projet'!$E$9+1,1))</f>
        <v>293.82673322742102</v>
      </c>
      <c r="T193" s="59">
        <f t="shared" si="142"/>
        <v>138.78566015867693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42.661687405159235</v>
      </c>
      <c r="AA193" s="21">
        <f>EXP(-LN(2)/25)*AA192+(1-EXP(-LN(2)/25))/(LN(2)/25)*Calculateur!V193*Calculateur!X193*VLOOKUP('Données projet'!$B$9,Paramètres!$A$1:$I$89,3,0)*0.475*44/12</f>
        <v>7.8415166920971169</v>
      </c>
      <c r="AB193" s="21">
        <f>EXP(-LN(2)/2)*AB192+(1-EXP(-LN(2)/2))/(LN(2)/2)*V193*Y193*VLOOKUP('Données projet'!$B$9,Paramètres!$A$1:$I$89,3,0)*0.475*44/12</f>
        <v>1.8083166652315588E-9</v>
      </c>
      <c r="AC193" s="22">
        <f t="shared" si="163"/>
        <v>50.503204099064668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-1.6848389350343498E-13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265.57710796453807</v>
      </c>
      <c r="AO193" s="59">
        <f t="shared" si="144"/>
        <v>171.29436297508141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36.612763274354897</v>
      </c>
      <c r="AV193" s="21">
        <f>EXP(-LN(2)/25)*AV192+(1-EXP(-LN(2)/25))/(LN(2)/25)*Calculateur!AQ193*Calculateur!AS193*VLOOKUP('Données projet'!$B$10,Paramètres!$A$1:$I$89,3,0)*0.475*44/12</f>
        <v>6.1532295532166295</v>
      </c>
      <c r="AW193" s="21">
        <f>EXP(-LN(2)/2)*AW192+(1-EXP(-LN(2)/2))/(LN(2)/2)*AQ193*AT193*VLOOKUP('Données projet'!$B$10,Paramètres!$A$1:$I$89,3,0)*0.475*44/12</f>
        <v>1.5226466013176213E-8</v>
      </c>
      <c r="AX193" s="21">
        <f t="shared" si="166"/>
        <v>42.765992842797992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175.05987582828078</v>
      </c>
      <c r="BJ193" s="59">
        <f t="shared" si="146"/>
        <v>268.54782308462387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11.000554402840482</v>
      </c>
      <c r="BQ193" s="21">
        <f>EXP(-LN(2)/25)*BQ192+(1-EXP(-LN(2)/25))/(LN(2)/25)*Calculateur!BL193*Calculateur!BN193*VLOOKUP('Données projet'!$B$11,Paramètres!$A$1:$I$89,3,0)*0.475*44/12</f>
        <v>1.3293014518916009</v>
      </c>
      <c r="BR193" s="21">
        <f>EXP(-LN(2)/2)*BR192+(1-EXP(-LN(2)/2))/(LN(2)/2)*BL193*BO193*VLOOKUP('Données projet'!$B$11,Paramètres!$A$1:$I$89,3,0)*0.475*44/12</f>
        <v>1.1687807263553822E-18</v>
      </c>
      <c r="BS193" s="22">
        <f t="shared" si="169"/>
        <v>12.329855854732083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1.7053025658242404E-13</v>
      </c>
      <c r="O194" s="13">
        <f>N194*VLOOKUP('Données projet'!$B$9,Paramètres!$A$1:$I$89,3,0)*VLOOKUP('Données projet'!$B$9,Paramètres!$A$1:$I$89,5,0)</f>
        <v>9.5326413429575044E-14</v>
      </c>
      <c r="P194" s="13">
        <f t="shared" si="141"/>
        <v>1.4400742856080346E-12</v>
      </c>
      <c r="Q194" s="20">
        <f t="shared" si="162"/>
        <v>2.6741562174905032E-12</v>
      </c>
      <c r="R194" s="59">
        <f t="shared" si="109"/>
        <v>293.33333333333599</v>
      </c>
      <c r="S194" s="59">
        <f ca="1">AVERAGE(OFFSET($R$3,0,0,'Données projet'!$E$9+1,1))-AVERAGE(OFFSET($H$3,0,0,'Données projet'!$E$9+1,1))</f>
        <v>293.82673322742102</v>
      </c>
      <c r="T194" s="59">
        <f t="shared" si="142"/>
        <v>138.78566015867693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41.825117736204014</v>
      </c>
      <c r="AA194" s="21">
        <f>EXP(-LN(2)/25)*AA193+(1-EXP(-LN(2)/25))/(LN(2)/25)*Calculateur!V194*Calculateur!X194*VLOOKUP('Données projet'!$B$9,Paramètres!$A$1:$I$89,3,0)*0.475*44/12</f>
        <v>7.6270900057842805</v>
      </c>
      <c r="AB194" s="21">
        <f>EXP(-LN(2)/2)*AB193+(1-EXP(-LN(2)/2))/(LN(2)/2)*V194*Y194*VLOOKUP('Données projet'!$B$9,Paramètres!$A$1:$I$89,3,0)*0.475*44/12</f>
        <v>1.2786729765178793E-9</v>
      </c>
      <c r="AC194" s="22">
        <f t="shared" si="163"/>
        <v>49.452207743266968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-1.6848389350343498E-13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265.57710796453807</v>
      </c>
      <c r="AO194" s="59">
        <f t="shared" si="144"/>
        <v>171.29436297508141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35.894809318125333</v>
      </c>
      <c r="AV194" s="21">
        <f>EXP(-LN(2)/25)*AV193+(1-EXP(-LN(2)/25))/(LN(2)/25)*Calculateur!AQ194*Calculateur!AS194*VLOOKUP('Données projet'!$B$10,Paramètres!$A$1:$I$89,3,0)*0.475*44/12</f>
        <v>5.9849691674996421</v>
      </c>
      <c r="AW194" s="21">
        <f>EXP(-LN(2)/2)*AW193+(1-EXP(-LN(2)/2))/(LN(2)/2)*AQ194*AT194*VLOOKUP('Données projet'!$B$10,Paramètres!$A$1:$I$89,3,0)*0.475*44/12</f>
        <v>1.0766737371423395E-8</v>
      </c>
      <c r="AX194" s="21">
        <f t="shared" si="166"/>
        <v>41.879778496391715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175.05987582828078</v>
      </c>
      <c r="BJ194" s="59">
        <f t="shared" si="146"/>
        <v>268.54782308462387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10.78484024067644</v>
      </c>
      <c r="BQ194" s="21">
        <f>EXP(-LN(2)/25)*BQ193+(1-EXP(-LN(2)/25))/(LN(2)/25)*Calculateur!BL194*Calculateur!BN194*VLOOKUP('Données projet'!$B$11,Paramètres!$A$1:$I$89,3,0)*0.475*44/12</f>
        <v>1.2929516337846998</v>
      </c>
      <c r="BR194" s="21">
        <f>EXP(-LN(2)/2)*BR193+(1-EXP(-LN(2)/2))/(LN(2)/2)*BL194*BO194*VLOOKUP('Données projet'!$B$11,Paramètres!$A$1:$I$89,3,0)*0.475*44/12</f>
        <v>8.2645277732602933E-19</v>
      </c>
      <c r="BS194" s="22">
        <f t="shared" si="169"/>
        <v>12.077791874461139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1.7053025658242404E-13</v>
      </c>
      <c r="O195" s="13">
        <f>N195*VLOOKUP('Données projet'!$B$9,Paramètres!$A$1:$I$89,3,0)*VLOOKUP('Données projet'!$B$9,Paramètres!$A$1:$I$89,5,0)</f>
        <v>9.5326413429575044E-14</v>
      </c>
      <c r="P195" s="13">
        <f t="shared" si="141"/>
        <v>1.4400742856080346E-12</v>
      </c>
      <c r="Q195" s="20">
        <f t="shared" si="162"/>
        <v>2.6741562174905032E-12</v>
      </c>
      <c r="R195" s="59">
        <f t="shared" ref="R195:R203" si="191">Q195+(I195+J195)*44/12</f>
        <v>293.33333333333599</v>
      </c>
      <c r="S195" s="59">
        <f ca="1">AVERAGE(OFFSET($R$3,0,0,'Données projet'!$E$9+1,1))-AVERAGE(OFFSET($H$3,0,0,'Données projet'!$E$9+1,1))</f>
        <v>293.82673322742102</v>
      </c>
      <c r="T195" s="59">
        <f t="shared" si="142"/>
        <v>138.78566015867693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41.004952688199893</v>
      </c>
      <c r="AA195" s="21">
        <f>EXP(-LN(2)/25)*AA194+(1-EXP(-LN(2)/25))/(LN(2)/25)*Calculateur!V195*Calculateur!X195*VLOOKUP('Données projet'!$B$9,Paramètres!$A$1:$I$89,3,0)*0.475*44/12</f>
        <v>7.418526828484878</v>
      </c>
      <c r="AB195" s="21">
        <f>EXP(-LN(2)/2)*AB194+(1-EXP(-LN(2)/2))/(LN(2)/2)*V195*Y195*VLOOKUP('Données projet'!$B$9,Paramètres!$A$1:$I$89,3,0)*0.475*44/12</f>
        <v>9.0415833261577962E-10</v>
      </c>
      <c r="AC195" s="22">
        <f t="shared" si="163"/>
        <v>48.42347951758893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-1.6848389350343498E-13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265.57710796453807</v>
      </c>
      <c r="AO195" s="59">
        <f t="shared" si="144"/>
        <v>171.29436297508141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35.190934001068761</v>
      </c>
      <c r="AV195" s="21">
        <f>EXP(-LN(2)/25)*AV194+(1-EXP(-LN(2)/25))/(LN(2)/25)*Calculateur!AQ195*Calculateur!AS195*VLOOKUP('Données projet'!$B$10,Paramètres!$A$1:$I$89,3,0)*0.475*44/12</f>
        <v>5.8213098708785145</v>
      </c>
      <c r="AW195" s="21">
        <f>EXP(-LN(2)/2)*AW194+(1-EXP(-LN(2)/2))/(LN(2)/2)*AQ195*AT195*VLOOKUP('Données projet'!$B$10,Paramètres!$A$1:$I$89,3,0)*0.475*44/12</f>
        <v>7.6132330065881064E-9</v>
      </c>
      <c r="AX195" s="21">
        <f t="shared" si="166"/>
        <v>41.012243879560508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175.05987582828078</v>
      </c>
      <c r="BJ195" s="59">
        <f t="shared" si="146"/>
        <v>268.54782308462387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10.573356101659789</v>
      </c>
      <c r="BQ195" s="21">
        <f>EXP(-LN(2)/25)*BQ194+(1-EXP(-LN(2)/25))/(LN(2)/25)*Calculateur!BL195*Calculateur!BN195*VLOOKUP('Données projet'!$B$11,Paramètres!$A$1:$I$89,3,0)*0.475*44/12</f>
        <v>1.2575958033654859</v>
      </c>
      <c r="BR195" s="21">
        <f>EXP(-LN(2)/2)*BR194+(1-EXP(-LN(2)/2))/(LN(2)/2)*BL195*BO195*VLOOKUP('Données projet'!$B$11,Paramètres!$A$1:$I$89,3,0)*0.475*44/12</f>
        <v>5.843903631776911E-19</v>
      </c>
      <c r="BS195" s="22">
        <f t="shared" si="169"/>
        <v>11.830951905025275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1.7053025658242404E-13</v>
      </c>
      <c r="O196" s="13">
        <f>N196*VLOOKUP('Données projet'!$B$9,Paramètres!$A$1:$I$89,3,0)*VLOOKUP('Données projet'!$B$9,Paramètres!$A$1:$I$89,5,0)</f>
        <v>9.5326413429575044E-14</v>
      </c>
      <c r="P196" s="13">
        <f t="shared" si="141"/>
        <v>1.4400742856080346E-12</v>
      </c>
      <c r="Q196" s="20">
        <f t="shared" si="162"/>
        <v>2.6741562174905032E-12</v>
      </c>
      <c r="R196" s="59">
        <f t="shared" si="191"/>
        <v>293.33333333333599</v>
      </c>
      <c r="S196" s="59">
        <f ca="1">AVERAGE(OFFSET($R$3,0,0,'Données projet'!$E$9+1,1))-AVERAGE(OFFSET($H$3,0,0,'Données projet'!$E$9+1,1))</f>
        <v>293.82673322742102</v>
      </c>
      <c r="T196" s="59">
        <f t="shared" si="142"/>
        <v>138.78566015867693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40.200870576535848</v>
      </c>
      <c r="AA196" s="21">
        <f>EXP(-LN(2)/25)*AA195+(1-EXP(-LN(2)/25))/(LN(2)/25)*Calculateur!V196*Calculateur!X196*VLOOKUP('Données projet'!$B$9,Paramètres!$A$1:$I$89,3,0)*0.475*44/12</f>
        <v>7.2156668222365887</v>
      </c>
      <c r="AB196" s="21">
        <f>EXP(-LN(2)/2)*AB195+(1-EXP(-LN(2)/2))/(LN(2)/2)*V196*Y196*VLOOKUP('Données projet'!$B$9,Paramètres!$A$1:$I$89,3,0)*0.475*44/12</f>
        <v>6.3933648825893977E-10</v>
      </c>
      <c r="AC196" s="22">
        <f t="shared" si="163"/>
        <v>47.416537399411773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-1.6848389350343498E-13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265.57710796453807</v>
      </c>
      <c r="AO196" s="59">
        <f t="shared" si="144"/>
        <v>171.29436297508141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34.500861249658115</v>
      </c>
      <c r="AV196" s="21">
        <f>EXP(-LN(2)/25)*AV195+(1-EXP(-LN(2)/25))/(LN(2)/25)*Calculateur!AQ196*Calculateur!AS196*VLOOKUP('Données projet'!$B$10,Paramètres!$A$1:$I$89,3,0)*0.475*44/12</f>
        <v>5.6621258463299604</v>
      </c>
      <c r="AW196" s="21">
        <f>EXP(-LN(2)/2)*AW195+(1-EXP(-LN(2)/2))/(LN(2)/2)*AQ196*AT196*VLOOKUP('Données projet'!$B$10,Paramètres!$A$1:$I$89,3,0)*0.475*44/12</f>
        <v>5.3833686857116975E-9</v>
      </c>
      <c r="AX196" s="21">
        <f t="shared" si="166"/>
        <v>40.162987101371442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175.05987582828078</v>
      </c>
      <c r="BJ196" s="59">
        <f t="shared" si="146"/>
        <v>268.54782308462387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10.366019037616665</v>
      </c>
      <c r="BQ196" s="21">
        <f>EXP(-LN(2)/25)*BQ195+(1-EXP(-LN(2)/25))/(LN(2)/25)*Calculateur!BL196*Calculateur!BN196*VLOOKUP('Données projet'!$B$11,Paramètres!$A$1:$I$89,3,0)*0.475*44/12</f>
        <v>1.2232067799883677</v>
      </c>
      <c r="BR196" s="21">
        <f>EXP(-LN(2)/2)*BR195+(1-EXP(-LN(2)/2))/(LN(2)/2)*BL196*BO196*VLOOKUP('Données projet'!$B$11,Paramètres!$A$1:$I$89,3,0)*0.475*44/12</f>
        <v>4.1322638866301466E-19</v>
      </c>
      <c r="BS196" s="22">
        <f t="shared" si="169"/>
        <v>11.589225817605033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1.7053025658242404E-13</v>
      </c>
      <c r="O197" s="13">
        <f>N197*VLOOKUP('Données projet'!$B$9,Paramètres!$A$1:$I$89,3,0)*VLOOKUP('Données projet'!$B$9,Paramètres!$A$1:$I$89,5,0)</f>
        <v>9.5326413429575044E-14</v>
      </c>
      <c r="P197" s="13">
        <f t="shared" ref="P197:P203" si="203">EXP(-1.0587+0.8836*LN(O197)+0.284)</f>
        <v>1.4400742856080346E-12</v>
      </c>
      <c r="Q197" s="20">
        <f t="shared" si="162"/>
        <v>2.6741562174905032E-12</v>
      </c>
      <c r="R197" s="59">
        <f t="shared" si="191"/>
        <v>293.33333333333599</v>
      </c>
      <c r="S197" s="59">
        <f ca="1">AVERAGE(OFFSET($R$3,0,0,'Données projet'!$E$9+1,1))-AVERAGE(OFFSET($H$3,0,0,'Données projet'!$E$9+1,1))</f>
        <v>293.82673322742102</v>
      </c>
      <c r="T197" s="59">
        <f t="shared" ref="T197:T203" si="204">$T$3</f>
        <v>138.78566015867693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39.412556024639869</v>
      </c>
      <c r="AA197" s="21">
        <f>EXP(-LN(2)/25)*AA196+(1-EXP(-LN(2)/25))/(LN(2)/25)*Calculateur!V197*Calculateur!X197*VLOOKUP('Données projet'!$B$9,Paramètres!$A$1:$I$89,3,0)*0.475*44/12</f>
        <v>7.0183540335271024</v>
      </c>
      <c r="AB197" s="21">
        <f>EXP(-LN(2)/2)*AB196+(1-EXP(-LN(2)/2))/(LN(2)/2)*V197*Y197*VLOOKUP('Données projet'!$B$9,Paramètres!$A$1:$I$89,3,0)*0.475*44/12</f>
        <v>4.5207916630788986E-10</v>
      </c>
      <c r="AC197" s="22">
        <f t="shared" si="163"/>
        <v>46.430910058619048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-1.6848389350343498E-13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265.57710796453807</v>
      </c>
      <c r="AO197" s="59">
        <f t="shared" ref="AO197:AO203" si="205">$AO$3</f>
        <v>171.29436297508141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33.824320403999813</v>
      </c>
      <c r="AV197" s="21">
        <f>EXP(-LN(2)/25)*AV196+(1-EXP(-LN(2)/25))/(LN(2)/25)*Calculateur!AQ197*Calculateur!AS197*VLOOKUP('Données projet'!$B$10,Paramètres!$A$1:$I$89,3,0)*0.475*44/12</f>
        <v>5.50729471730381</v>
      </c>
      <c r="AW197" s="21">
        <f>EXP(-LN(2)/2)*AW196+(1-EXP(-LN(2)/2))/(LN(2)/2)*AQ197*AT197*VLOOKUP('Données projet'!$B$10,Paramètres!$A$1:$I$89,3,0)*0.475*44/12</f>
        <v>3.8066165032940532E-9</v>
      </c>
      <c r="AX197" s="21">
        <f t="shared" si="166"/>
        <v>39.33161512511024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175.05987582828078</v>
      </c>
      <c r="BJ197" s="59">
        <f t="shared" ref="BJ197:BJ203" si="206">$BJ$3</f>
        <v>268.54782308462387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10.162747726936306</v>
      </c>
      <c r="BQ197" s="21">
        <f>EXP(-LN(2)/25)*BQ196+(1-EXP(-LN(2)/25))/(LN(2)/25)*Calculateur!BL197*Calculateur!BN197*VLOOKUP('Données projet'!$B$11,Paramètres!$A$1:$I$89,3,0)*0.475*44/12</f>
        <v>1.189758126263937</v>
      </c>
      <c r="BR197" s="21">
        <f>EXP(-LN(2)/2)*BR196+(1-EXP(-LN(2)/2))/(LN(2)/2)*BL197*BO197*VLOOKUP('Données projet'!$B$11,Paramètres!$A$1:$I$89,3,0)*0.475*44/12</f>
        <v>2.9219518158884555E-19</v>
      </c>
      <c r="BS197" s="22">
        <f t="shared" si="169"/>
        <v>11.352505853200244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1.7053025658242404E-13</v>
      </c>
      <c r="O198" s="13">
        <f>N198*VLOOKUP('Données projet'!$B$9,Paramètres!$A$1:$I$89,3,0)*VLOOKUP('Données projet'!$B$9,Paramètres!$A$1:$I$89,5,0)</f>
        <v>9.5326413429575044E-14</v>
      </c>
      <c r="P198" s="13">
        <f t="shared" si="203"/>
        <v>1.4400742856080346E-12</v>
      </c>
      <c r="Q198" s="20">
        <f t="shared" si="162"/>
        <v>2.6741562174905032E-12</v>
      </c>
      <c r="R198" s="59">
        <f t="shared" si="191"/>
        <v>293.33333333333599</v>
      </c>
      <c r="S198" s="59">
        <f ca="1">AVERAGE(OFFSET($R$3,0,0,'Données projet'!$E$9+1,1))-AVERAGE(OFFSET($H$3,0,0,'Données projet'!$E$9+1,1))</f>
        <v>293.82673322742102</v>
      </c>
      <c r="T198" s="59">
        <f t="shared" si="204"/>
        <v>138.78566015867693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38.639699840282177</v>
      </c>
      <c r="AA198" s="21">
        <f>EXP(-LN(2)/25)*AA197+(1-EXP(-LN(2)/25))/(LN(2)/25)*Calculateur!V198*Calculateur!X198*VLOOKUP('Données projet'!$B$9,Paramètres!$A$1:$I$89,3,0)*0.475*44/12</f>
        <v>6.826436773401106</v>
      </c>
      <c r="AB198" s="21">
        <f>EXP(-LN(2)/2)*AB197+(1-EXP(-LN(2)/2))/(LN(2)/2)*V198*Y198*VLOOKUP('Données projet'!$B$9,Paramètres!$A$1:$I$89,3,0)*0.475*44/12</f>
        <v>3.1966824412946994E-10</v>
      </c>
      <c r="AC198" s="22">
        <f t="shared" si="163"/>
        <v>45.466136614002949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-1.6848389350343498E-13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265.57710796453807</v>
      </c>
      <c r="AO198" s="59">
        <f t="shared" si="205"/>
        <v>171.29436297508141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33.161046111675702</v>
      </c>
      <c r="AV198" s="21">
        <f>EXP(-LN(2)/25)*AV197+(1-EXP(-LN(2)/25))/(LN(2)/25)*Calculateur!AQ198*Calculateur!AS198*VLOOKUP('Données projet'!$B$10,Paramètres!$A$1:$I$89,3,0)*0.475*44/12</f>
        <v>5.3566974536430951</v>
      </c>
      <c r="AW198" s="21">
        <f>EXP(-LN(2)/2)*AW197+(1-EXP(-LN(2)/2))/(LN(2)/2)*AQ198*AT198*VLOOKUP('Données projet'!$B$10,Paramètres!$A$1:$I$89,3,0)*0.475*44/12</f>
        <v>2.6916843428558488E-9</v>
      </c>
      <c r="AX198" s="21">
        <f t="shared" si="166"/>
        <v>38.517743568010481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175.05987582828078</v>
      </c>
      <c r="BJ198" s="59">
        <f t="shared" si="206"/>
        <v>268.54782308462387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9.9634624426751319</v>
      </c>
      <c r="BQ198" s="21">
        <f>EXP(-LN(2)/25)*BQ197+(1-EXP(-LN(2)/25))/(LN(2)/25)*Calculateur!BL198*Calculateur!BN198*VLOOKUP('Données projet'!$B$11,Paramètres!$A$1:$I$89,3,0)*0.475*44/12</f>
        <v>1.1572241277345889</v>
      </c>
      <c r="BR198" s="21">
        <f>EXP(-LN(2)/2)*BR197+(1-EXP(-LN(2)/2))/(LN(2)/2)*BL198*BO198*VLOOKUP('Données projet'!$B$11,Paramètres!$A$1:$I$89,3,0)*0.475*44/12</f>
        <v>2.0661319433150733E-19</v>
      </c>
      <c r="BS198" s="22">
        <f t="shared" si="169"/>
        <v>11.12068657040972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1.7053025658242404E-13</v>
      </c>
      <c r="O199" s="13">
        <f>N199*VLOOKUP('Données projet'!$B$9,Paramètres!$A$1:$I$89,3,0)*VLOOKUP('Données projet'!$B$9,Paramètres!$A$1:$I$89,5,0)</f>
        <v>9.5326413429575044E-14</v>
      </c>
      <c r="P199" s="13">
        <f t="shared" si="203"/>
        <v>1.4400742856080346E-12</v>
      </c>
      <c r="Q199" s="20">
        <f t="shared" si="162"/>
        <v>2.6741562174905032E-12</v>
      </c>
      <c r="R199" s="59">
        <f t="shared" si="191"/>
        <v>293.33333333333599</v>
      </c>
      <c r="S199" s="59">
        <f ca="1">AVERAGE(OFFSET($R$3,0,0,'Données projet'!$E$9+1,1))-AVERAGE(OFFSET($H$3,0,0,'Données projet'!$E$9+1,1))</f>
        <v>293.82673322742102</v>
      </c>
      <c r="T199" s="59">
        <f t="shared" si="204"/>
        <v>138.78566015867693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37.881998894304012</v>
      </c>
      <c r="AA199" s="21">
        <f>EXP(-LN(2)/25)*AA198+(1-EXP(-LN(2)/25))/(LN(2)/25)*Calculateur!V199*Calculateur!X199*VLOOKUP('Données projet'!$B$9,Paramètres!$A$1:$I$89,3,0)*0.475*44/12</f>
        <v>6.6397675008457453</v>
      </c>
      <c r="AB199" s="21">
        <f>EXP(-LN(2)/2)*AB198+(1-EXP(-LN(2)/2))/(LN(2)/2)*V199*Y199*VLOOKUP('Données projet'!$B$9,Paramètres!$A$1:$I$89,3,0)*0.475*44/12</f>
        <v>2.2603958315394496E-10</v>
      </c>
      <c r="AC199" s="22">
        <f t="shared" si="163"/>
        <v>44.521766395375792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-1.6848389350343498E-13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265.57710796453807</v>
      </c>
      <c r="AO199" s="59">
        <f t="shared" si="205"/>
        <v>171.29436297508141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32.510778223666698</v>
      </c>
      <c r="AV199" s="21">
        <f>EXP(-LN(2)/25)*AV198+(1-EXP(-LN(2)/25))/(LN(2)/25)*Calculateur!AQ199*Calculateur!AS199*VLOOKUP('Données projet'!$B$10,Paramètres!$A$1:$I$89,3,0)*0.475*44/12</f>
        <v>5.2102182800767487</v>
      </c>
      <c r="AW199" s="21">
        <f>EXP(-LN(2)/2)*AW198+(1-EXP(-LN(2)/2))/(LN(2)/2)*AQ199*AT199*VLOOKUP('Données projet'!$B$10,Paramètres!$A$1:$I$89,3,0)*0.475*44/12</f>
        <v>1.9033082516470266E-9</v>
      </c>
      <c r="AX199" s="21">
        <f t="shared" si="166"/>
        <v>37.72099650564676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175.05987582828078</v>
      </c>
      <c r="BJ199" s="59">
        <f t="shared" si="206"/>
        <v>268.54782308462387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9.7680850212862982</v>
      </c>
      <c r="BQ199" s="21">
        <f>EXP(-LN(2)/25)*BQ198+(1-EXP(-LN(2)/25))/(LN(2)/25)*Calculateur!BL199*Calculateur!BN199*VLOOKUP('Données projet'!$B$11,Paramètres!$A$1:$I$89,3,0)*0.475*44/12</f>
        <v>1.1255797731059145</v>
      </c>
      <c r="BR199" s="21">
        <f>EXP(-LN(2)/2)*BR198+(1-EXP(-LN(2)/2))/(LN(2)/2)*BL199*BO199*VLOOKUP('Données projet'!$B$11,Paramètres!$A$1:$I$89,3,0)*0.475*44/12</f>
        <v>1.4609759079442277E-19</v>
      </c>
      <c r="BS199" s="22">
        <f t="shared" si="169"/>
        <v>10.893664794392212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1.7053025658242404E-13</v>
      </c>
      <c r="O200" s="13">
        <f>N200*VLOOKUP('Données projet'!$B$9,Paramètres!$A$1:$I$89,3,0)*VLOOKUP('Données projet'!$B$9,Paramètres!$A$1:$I$89,5,0)</f>
        <v>9.5326413429575044E-14</v>
      </c>
      <c r="P200" s="13">
        <f t="shared" si="203"/>
        <v>1.4400742856080346E-12</v>
      </c>
      <c r="Q200" s="20">
        <f t="shared" si="162"/>
        <v>2.6741562174905032E-12</v>
      </c>
      <c r="R200" s="59">
        <f t="shared" si="191"/>
        <v>293.33333333333599</v>
      </c>
      <c r="S200" s="59">
        <f ca="1">AVERAGE(OFFSET($R$3,0,0,'Données projet'!$E$9+1,1))-AVERAGE(OFFSET($H$3,0,0,'Données projet'!$E$9+1,1))</f>
        <v>293.82673322742102</v>
      </c>
      <c r="T200" s="59">
        <f t="shared" si="204"/>
        <v>138.78566015867693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37.139156001724537</v>
      </c>
      <c r="AA200" s="21">
        <f>EXP(-LN(2)/25)*AA199+(1-EXP(-LN(2)/25))/(LN(2)/25)*Calculateur!V200*Calculateur!X200*VLOOKUP('Données projet'!$B$9,Paramètres!$A$1:$I$89,3,0)*0.475*44/12</f>
        <v>6.4582027093649206</v>
      </c>
      <c r="AB200" s="21">
        <f>EXP(-LN(2)/2)*AB199+(1-EXP(-LN(2)/2))/(LN(2)/2)*V200*Y200*VLOOKUP('Données projet'!$B$9,Paramètres!$A$1:$I$89,3,0)*0.475*44/12</f>
        <v>1.5983412206473499E-10</v>
      </c>
      <c r="AC200" s="22">
        <f t="shared" si="163"/>
        <v>43.597358711249292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-1.6848389350343498E-13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265.57710796453807</v>
      </c>
      <c r="AO200" s="59">
        <f t="shared" si="205"/>
        <v>171.29436297508141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31.8732616923173</v>
      </c>
      <c r="AV200" s="21">
        <f>EXP(-LN(2)/25)*AV199+(1-EXP(-LN(2)/25))/(LN(2)/25)*Calculateur!AQ200*Calculateur!AS200*VLOOKUP('Données projet'!$B$10,Paramètres!$A$1:$I$89,3,0)*0.475*44/12</f>
        <v>5.0677445872145785</v>
      </c>
      <c r="AW200" s="21">
        <f>EXP(-LN(2)/2)*AW199+(1-EXP(-LN(2)/2))/(LN(2)/2)*AQ200*AT200*VLOOKUP('Données projet'!$B$10,Paramètres!$A$1:$I$89,3,0)*0.475*44/12</f>
        <v>1.3458421714279244E-9</v>
      </c>
      <c r="AX200" s="21">
        <f t="shared" si="166"/>
        <v>36.941006280877716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175.05987582828078</v>
      </c>
      <c r="BJ200" s="59">
        <f t="shared" si="206"/>
        <v>268.54782308462387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9.5765388319624396</v>
      </c>
      <c r="BQ200" s="21">
        <f>EXP(-LN(2)/25)*BQ199+(1-EXP(-LN(2)/25))/(LN(2)/25)*Calculateur!BL200*Calculateur!BN200*VLOOKUP('Données projet'!$B$11,Paramètres!$A$1:$I$89,3,0)*0.475*44/12</f>
        <v>1.0948007350186655</v>
      </c>
      <c r="BR200" s="21">
        <f>EXP(-LN(2)/2)*BR199+(1-EXP(-LN(2)/2))/(LN(2)/2)*BL200*BO200*VLOOKUP('Données projet'!$B$11,Paramètres!$A$1:$I$89,3,0)*0.475*44/12</f>
        <v>1.0330659716575367E-19</v>
      </c>
      <c r="BS200" s="22">
        <f t="shared" si="169"/>
        <v>10.671339566981105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1.7053025658242404E-13</v>
      </c>
      <c r="O201" s="13">
        <f>N201*VLOOKUP('Données projet'!$B$9,Paramètres!$A$1:$I$89,3,0)*VLOOKUP('Données projet'!$B$9,Paramètres!$A$1:$I$89,5,0)</f>
        <v>9.5326413429575044E-14</v>
      </c>
      <c r="P201" s="13">
        <f t="shared" si="203"/>
        <v>1.4400742856080346E-12</v>
      </c>
      <c r="Q201" s="20">
        <f t="shared" si="162"/>
        <v>2.6741562174905032E-12</v>
      </c>
      <c r="R201" s="59">
        <f t="shared" si="191"/>
        <v>293.33333333333599</v>
      </c>
      <c r="S201" s="59">
        <f ca="1">AVERAGE(OFFSET($R$3,0,0,'Données projet'!$E$9+1,1))-AVERAGE(OFFSET($H$3,0,0,'Données projet'!$E$9+1,1))</f>
        <v>293.82673322742102</v>
      </c>
      <c r="T201" s="59">
        <f t="shared" si="204"/>
        <v>138.78566015867693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36.410879805179114</v>
      </c>
      <c r="AA201" s="21">
        <f>EXP(-LN(2)/25)*AA200+(1-EXP(-LN(2)/25))/(LN(2)/25)*Calculateur!V201*Calculateur!X201*VLOOKUP('Données projet'!$B$9,Paramètres!$A$1:$I$89,3,0)*0.475*44/12</f>
        <v>6.2816028166552167</v>
      </c>
      <c r="AB201" s="21">
        <f>EXP(-LN(2)/2)*AB200+(1-EXP(-LN(2)/2))/(LN(2)/2)*V201*Y201*VLOOKUP('Données projet'!$B$9,Paramètres!$A$1:$I$89,3,0)*0.475*44/12</f>
        <v>1.130197915769725E-10</v>
      </c>
      <c r="AC201" s="22">
        <f t="shared" si="163"/>
        <v>42.692482621947349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-1.6848389350343498E-13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265.57710796453807</v>
      </c>
      <c r="AO201" s="59">
        <f t="shared" si="205"/>
        <v>171.29436297508141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31.248246471300973</v>
      </c>
      <c r="AV201" s="21">
        <f>EXP(-LN(2)/25)*AV200+(1-EXP(-LN(2)/25))/(LN(2)/25)*Calculateur!AQ201*Calculateur!AS201*VLOOKUP('Données projet'!$B$10,Paramètres!$A$1:$I$89,3,0)*0.475*44/12</f>
        <v>4.9291668449760904</v>
      </c>
      <c r="AW201" s="21">
        <f>EXP(-LN(2)/2)*AW200+(1-EXP(-LN(2)/2))/(LN(2)/2)*AQ201*AT201*VLOOKUP('Données projet'!$B$10,Paramètres!$A$1:$I$89,3,0)*0.475*44/12</f>
        <v>9.516541258235133E-10</v>
      </c>
      <c r="AX201" s="21">
        <f t="shared" si="166"/>
        <v>36.177413317228712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175.05987582828078</v>
      </c>
      <c r="BJ201" s="59">
        <f t="shared" si="206"/>
        <v>268.54782308462387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9.3887487465795818</v>
      </c>
      <c r="BQ201" s="21">
        <f>EXP(-LN(2)/25)*BQ200+(1-EXP(-LN(2)/25))/(LN(2)/25)*Calculateur!BL201*Calculateur!BN201*VLOOKUP('Données projet'!$B$11,Paramètres!$A$1:$I$89,3,0)*0.475*44/12</f>
        <v>1.0648633513465116</v>
      </c>
      <c r="BR201" s="21">
        <f>EXP(-LN(2)/2)*BR200+(1-EXP(-LN(2)/2))/(LN(2)/2)*BL201*BO201*VLOOKUP('Données projet'!$B$11,Paramètres!$A$1:$I$89,3,0)*0.475*44/12</f>
        <v>7.3048795397211387E-20</v>
      </c>
      <c r="BS201" s="22">
        <f t="shared" si="169"/>
        <v>10.453612097926094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1.7053025658242404E-13</v>
      </c>
      <c r="O202" s="13">
        <f>N202*VLOOKUP('Données projet'!$B$9,Paramètres!$A$1:$I$89,3,0)*VLOOKUP('Données projet'!$B$9,Paramètres!$A$1:$I$89,5,0)</f>
        <v>9.5326413429575044E-14</v>
      </c>
      <c r="P202" s="13">
        <f t="shared" si="203"/>
        <v>1.4400742856080346E-12</v>
      </c>
      <c r="Q202" s="20">
        <f t="shared" si="162"/>
        <v>2.6741562174905032E-12</v>
      </c>
      <c r="R202" s="59">
        <f t="shared" si="191"/>
        <v>293.33333333333599</v>
      </c>
      <c r="S202" s="59">
        <f ca="1">AVERAGE(OFFSET($R$3,0,0,'Données projet'!$E$9+1,1))-AVERAGE(OFFSET($H$3,0,0,'Données projet'!$E$9+1,1))</f>
        <v>293.82673322742102</v>
      </c>
      <c r="T202" s="59">
        <f t="shared" si="204"/>
        <v>138.78566015867693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35.696884660643335</v>
      </c>
      <c r="AA202" s="21">
        <f>EXP(-LN(2)/25)*AA201+(1-EXP(-LN(2)/25))/(LN(2)/25)*Calculateur!V202*Calculateur!X202*VLOOKUP('Données projet'!$B$9,Paramètres!$A$1:$I$89,3,0)*0.475*44/12</f>
        <v>6.1098320572986449</v>
      </c>
      <c r="AB202" s="21">
        <f>EXP(-LN(2)/2)*AB201+(1-EXP(-LN(2)/2))/(LN(2)/2)*V202*Y202*VLOOKUP('Données projet'!$B$9,Paramètres!$A$1:$I$89,3,0)*0.475*44/12</f>
        <v>7.991706103236751E-11</v>
      </c>
      <c r="AC202" s="22">
        <f t="shared" si="163"/>
        <v>41.806716718021896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-1.6848389350343498E-13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265.57710796453807</v>
      </c>
      <c r="AO202" s="59">
        <f t="shared" si="205"/>
        <v>171.29436297508141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30.635487417547136</v>
      </c>
      <c r="AV202" s="21">
        <f>EXP(-LN(2)/25)*AV201+(1-EXP(-LN(2)/25))/(LN(2)/25)*Calculateur!AQ202*Calculateur!AS202*VLOOKUP('Données projet'!$B$10,Paramètres!$A$1:$I$89,3,0)*0.475*44/12</f>
        <v>4.7943785183866003</v>
      </c>
      <c r="AW202" s="21">
        <f>EXP(-LN(2)/2)*AW201+(1-EXP(-LN(2)/2))/(LN(2)/2)*AQ202*AT202*VLOOKUP('Données projet'!$B$10,Paramètres!$A$1:$I$89,3,0)*0.475*44/12</f>
        <v>6.7292108571396219E-10</v>
      </c>
      <c r="AX202" s="21">
        <f t="shared" si="166"/>
        <v>35.429865936606653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175.05987582828078</v>
      </c>
      <c r="BJ202" s="59">
        <f t="shared" si="206"/>
        <v>268.54782308462387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9.2046411102304404</v>
      </c>
      <c r="BQ202" s="21">
        <f>EXP(-LN(2)/25)*BQ201+(1-EXP(-LN(2)/25))/(LN(2)/25)*Calculateur!BL202*Calculateur!BN202*VLOOKUP('Données projet'!$B$11,Paramètres!$A$1:$I$89,3,0)*0.475*44/12</f>
        <v>1.0357446070052114</v>
      </c>
      <c r="BR202" s="21">
        <f>EXP(-LN(2)/2)*BR201+(1-EXP(-LN(2)/2))/(LN(2)/2)*BL202*BO202*VLOOKUP('Données projet'!$B$11,Paramètres!$A$1:$I$89,3,0)*0.475*44/12</f>
        <v>5.1653298582876833E-20</v>
      </c>
      <c r="BS202" s="22">
        <f t="shared" si="169"/>
        <v>10.240385717235652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1.7053025658242404E-13</v>
      </c>
      <c r="O203" s="13">
        <f>N203*VLOOKUP('Données projet'!$B$9,Paramètres!$A$1:$I$89,3,0)*VLOOKUP('Données projet'!$B$9,Paramètres!$A$1:$I$89,5,0)</f>
        <v>9.5326413429575044E-14</v>
      </c>
      <c r="P203" s="13">
        <f t="shared" si="203"/>
        <v>1.4400742856080346E-12</v>
      </c>
      <c r="Q203" s="20">
        <f t="shared" si="162"/>
        <v>2.6741562174905032E-12</v>
      </c>
      <c r="R203" s="59">
        <f t="shared" si="191"/>
        <v>293.33333333333599</v>
      </c>
      <c r="S203" s="59">
        <f ca="1">AVERAGE(OFFSET($R$3,0,0,'Données projet'!$E$9+1,1))-AVERAGE(OFFSET($H$3,0,0,'Données projet'!$E$9+1,1))</f>
        <v>293.82673322742102</v>
      </c>
      <c r="T203" s="59">
        <f t="shared" si="204"/>
        <v>138.78566015867693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34.996890525397859</v>
      </c>
      <c r="AA203" s="21">
        <f>EXP(-LN(2)/25)*AA202+(1-EXP(-LN(2)/25))/(LN(2)/25)*Calculateur!V203*Calculateur!X203*VLOOKUP('Données projet'!$B$9,Paramètres!$A$1:$I$89,3,0)*0.475*44/12</f>
        <v>5.9427583783897093</v>
      </c>
      <c r="AB203" s="21">
        <f>EXP(-LN(2)/2)*AB202+(1-EXP(-LN(2)/2))/(LN(2)/2)*V203*Y203*VLOOKUP('Données projet'!$B$9,Paramètres!$A$1:$I$89,3,0)*0.475*44/12</f>
        <v>5.6509895788486258E-11</v>
      </c>
      <c r="AC203" s="22">
        <f t="shared" si="163"/>
        <v>40.939648903844081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-1.6848389350343498E-13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265.57710796453807</v>
      </c>
      <c r="AO203" s="59">
        <f t="shared" si="205"/>
        <v>171.29436297508141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30.034744195091292</v>
      </c>
      <c r="AV203" s="21">
        <f>EXP(-LN(2)/25)*AV202+(1-EXP(-LN(2)/25))/(LN(2)/25)*Calculateur!AQ203*Calculateur!AS203*VLOOKUP('Données projet'!$B$10,Paramètres!$A$1:$I$89,3,0)*0.475*44/12</f>
        <v>4.6632759856759103</v>
      </c>
      <c r="AW203" s="21">
        <f>EXP(-LN(2)/2)*AW202+(1-EXP(-LN(2)/2))/(LN(2)/2)*AQ203*AT203*VLOOKUP('Données projet'!$B$10,Paramètres!$A$1:$I$89,3,0)*0.475*44/12</f>
        <v>4.7582706291175665E-10</v>
      </c>
      <c r="AX203" s="21">
        <f t="shared" si="166"/>
        <v>34.698020181243031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175.05987582828078</v>
      </c>
      <c r="BJ203" s="59">
        <f t="shared" si="206"/>
        <v>268.54782308462387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9.024143712335535</v>
      </c>
      <c r="BQ203" s="21">
        <f>EXP(-LN(2)/25)*BQ202+(1-EXP(-LN(2)/25))/(LN(2)/25)*Calculateur!BL203*Calculateur!BN203*VLOOKUP('Données projet'!$B$11,Paramètres!$A$1:$I$89,3,0)*0.475*44/12</f>
        <v>1.0074221162592123</v>
      </c>
      <c r="BR203" s="21">
        <f>EXP(-LN(2)/2)*BR202+(1-EXP(-LN(2)/2))/(LN(2)/2)*BL203*BO203*VLOOKUP('Données projet'!$B$11,Paramètres!$A$1:$I$89,3,0)*0.475*44/12</f>
        <v>3.6524397698605694E-20</v>
      </c>
      <c r="BS203" s="22">
        <f t="shared" si="169"/>
        <v>10.031565828594747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1.1796834870079891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1.1089771484861082</v>
      </c>
      <c r="BA205" s="82">
        <f>EXP(LN('Données projet'!B88)/'Données projet'!A88)</f>
        <v>1.2997069632623315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4" bestFit="1" customWidth="1"/>
    <col min="2" max="2" width="27.66406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6640625" style="4" bestFit="1" customWidth="1"/>
    <col min="7" max="7" width="11.3984375" style="4" bestFit="1" customWidth="1"/>
    <col min="8" max="8" width="39" style="4" bestFit="1" customWidth="1"/>
    <col min="9" max="9" width="16.664062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10" sqref="J10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8.3520000000000003</v>
      </c>
      <c r="C6" s="147">
        <f ca="1">IF(OR('Données projet'!B9="",'Données projet'!C9="",'Données projet'!C9=0%),0,Calculateur!S3)</f>
        <v>293.82673322742102</v>
      </c>
      <c r="D6" s="147">
        <f>IF(OR('Données projet'!B9="",'Données projet'!C9="",'Données projet'!C9=0%),0,Calculateur!T3)</f>
        <v>138.78566015867693</v>
      </c>
      <c r="E6" s="147">
        <f ca="1">MIN(C6,D6)</f>
        <v>138.78566015867693</v>
      </c>
      <c r="F6" s="147">
        <f ca="1">E6*B6</f>
        <v>1159.1378336452699</v>
      </c>
      <c r="G6" s="147">
        <f ca="1">F6*(100%-'Données projet'!$C$24)*(100%-'Données projet'!$C$25)*(100%-'Données projet'!$C$26)*(100%-'Données projet'!$C$27)</f>
        <v>1043.2240502807429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1043.2240502807429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Sapin pectiné</v>
      </c>
      <c r="B7" s="154">
        <f>'Données projet'!D10</f>
        <v>1.3572</v>
      </c>
      <c r="C7" s="147">
        <f ca="1">IF(OR('Données projet'!B10="",'Données projet'!C10="",'Données projet'!C10=0%),0,Calculateur!AN3)</f>
        <v>265.57710796453807</v>
      </c>
      <c r="D7" s="147">
        <f>IF(OR('Données projet'!B10="",'Données projet'!C10="",'Données projet'!C10=0%),0,Calculateur!AO3)</f>
        <v>171.29436297508141</v>
      </c>
      <c r="E7" s="147">
        <f t="shared" ref="E7:E15" ca="1" si="0">MIN(C7,D7)</f>
        <v>171.29436297508141</v>
      </c>
      <c r="F7" s="147">
        <f t="shared" ref="F7:F15" ca="1" si="1">E7*B7</f>
        <v>232.48070942978049</v>
      </c>
      <c r="G7" s="147">
        <f ca="1">F7*(100%-'Données projet'!$C$24)*(100%-'Données projet'!$C$25)*(100%-'Données projet'!$C$26)*(100%-'Données projet'!$C$27)</f>
        <v>209.23263848680244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209.23263848680244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Mélèze d'Europe</v>
      </c>
      <c r="B8" s="154">
        <f>'Données projet'!D11</f>
        <v>0.73080000000000001</v>
      </c>
      <c r="C8" s="147">
        <f ca="1">IF(OR('Données projet'!B11="",'Données projet'!C11="",'Données projet'!C11=0%),0,Calculateur!BI3)</f>
        <v>175.05987582828078</v>
      </c>
      <c r="D8" s="147">
        <f>IF(OR('Données projet'!B11="",'Données projet'!C11="",'Données projet'!C11=0%),0,Calculateur!BJ3)</f>
        <v>268.54782308462387</v>
      </c>
      <c r="E8" s="147">
        <f t="shared" ca="1" si="0"/>
        <v>175.05987582828078</v>
      </c>
      <c r="F8" s="147">
        <f t="shared" ca="1" si="1"/>
        <v>127.9337572553076</v>
      </c>
      <c r="G8" s="147">
        <f ca="1">F8*(100%-'Données projet'!$C$24)*(100%-'Données projet'!$C$25)*(100%-'Données projet'!$C$26)*(100%-'Données projet'!$C$27)</f>
        <v>115.14038152977685</v>
      </c>
      <c r="H8" s="155">
        <f>IF(OR('Données projet'!B11="",'Données projet'!C11="",'Données projet'!C11=0%),0,AVERAGE(Calculateur!$BS$3:$BS$33)*B8)</f>
        <v>6.9066024753889845</v>
      </c>
      <c r="I8" s="149">
        <f>H8*(100%-'Données projet'!$C$24)*(100%-'Données projet'!$C$25)*(100%-'Données projet'!$C$26)*(100%-'Données projet'!$C$27)</f>
        <v>6.2159422278500864</v>
      </c>
      <c r="J8" s="150">
        <f>IF(OR('Données projet'!B11="",'Données projet'!C11="",'Données projet'!C11=0%),0,SUM(Calculateur!$BL$3:$BL$33)*VLOOKUP('Données projet'!$B$11,Paramètres!$A$1:$I$89,9,0)*B8)</f>
        <v>40.223232000000003</v>
      </c>
      <c r="K8" s="151">
        <f>J8*(100%-'Données projet'!$C$24)*(100%-'Données projet'!$C$25)*(100%-'Données projet'!$C$26)*(100%-'Données projet'!$C$27)</f>
        <v>36.200908800000001</v>
      </c>
      <c r="L8" s="152">
        <f t="shared" ca="1" si="2"/>
        <v>157.55723255762695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1519.5523003303581</v>
      </c>
      <c r="G16" s="166">
        <f t="shared" ca="1" si="3"/>
        <v>1367.5970702973223</v>
      </c>
      <c r="H16" s="167">
        <f t="shared" si="3"/>
        <v>6.9066024753889845</v>
      </c>
      <c r="I16" s="167">
        <f t="shared" si="3"/>
        <v>6.2159422278500864</v>
      </c>
      <c r="J16" s="168">
        <f t="shared" si="3"/>
        <v>40.223232000000003</v>
      </c>
      <c r="K16" s="168">
        <f t="shared" si="3"/>
        <v>36.200908800000001</v>
      </c>
      <c r="L16" s="169">
        <f t="shared" ca="1" si="3"/>
        <v>1410.0139213251723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Sapin pectiné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7" zoomScale="90" zoomScaleNormal="80" workbookViewId="0">
      <selection activeCell="I20" sqref="I20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1" customWidth="1"/>
    <col min="7" max="7" width="17.53125" style="1" customWidth="1"/>
    <col min="8" max="8" width="21.664062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1286.0978539836476</v>
      </c>
      <c r="U10" s="178">
        <f>'Données projet'!D9</f>
        <v>8.3520000000000003</v>
      </c>
      <c r="V10" s="177">
        <f>U10*T10</f>
        <v>10741.489276471426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pectiné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528.93388490750795</v>
      </c>
      <c r="U11" s="178">
        <f>'Données projet'!D10</f>
        <v>1.3572</v>
      </c>
      <c r="V11" s="177">
        <f t="shared" ref="V11" si="0">U11*T11</f>
        <v>717.86906859646979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3532.2961542843636</v>
      </c>
      <c r="U12" s="178">
        <f>'Données projet'!D11</f>
        <v>0.73080000000000001</v>
      </c>
      <c r="V12" s="177">
        <f t="shared" ref="V12:V19" si="1">U12*T12</f>
        <v>2581.4020295510131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39.999999999999986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599.99999999999977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18789/'Données projet'!C5+1680</f>
        <v>3479.7126436781609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94.509999999999991</v>
      </c>
      <c r="C23" s="193">
        <v>16.875</v>
      </c>
      <c r="D23" s="182">
        <f>B23*C23</f>
        <v>1594.8562499999998</v>
      </c>
      <c r="E23" s="193">
        <v>60</v>
      </c>
      <c r="F23" s="230"/>
      <c r="H23" s="190">
        <v>4</v>
      </c>
      <c r="I23" s="191">
        <v>800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-48139.170309622641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43</v>
      </c>
      <c r="B24" s="181">
        <f>'Données projet'!D37</f>
        <v>72.429999999999978</v>
      </c>
      <c r="C24" s="193">
        <v>16.875</v>
      </c>
      <c r="D24" s="182">
        <f t="shared" ref="D24:D42" si="2">B24*C24</f>
        <v>1222.2562499999997</v>
      </c>
      <c r="E24" s="193">
        <v>60</v>
      </c>
      <c r="F24" s="233"/>
      <c r="H24" s="190">
        <v>5</v>
      </c>
      <c r="I24" s="191">
        <v>650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1076.9613836115361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52</v>
      </c>
      <c r="B25" s="181">
        <f>'Données projet'!D38</f>
        <v>61.259999999999991</v>
      </c>
      <c r="C25" s="193">
        <v>41</v>
      </c>
      <c r="D25" s="182">
        <f t="shared" si="2"/>
        <v>2511.66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0">
        <f ca="1">T23-T24</f>
        <v>-49216.13169323418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62</v>
      </c>
      <c r="B26" s="181">
        <f>'Données projet'!D39</f>
        <v>66.019999999999982</v>
      </c>
      <c r="C26" s="193">
        <v>41</v>
      </c>
      <c r="D26" s="182">
        <f t="shared" si="2"/>
        <v>2706.8199999999993</v>
      </c>
      <c r="E26" s="193">
        <v>60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72</v>
      </c>
      <c r="B27" s="181">
        <f>'Données projet'!D40</f>
        <v>64.210000000000036</v>
      </c>
      <c r="C27" s="193">
        <v>41</v>
      </c>
      <c r="D27" s="182">
        <f t="shared" si="2"/>
        <v>2632.6100000000015</v>
      </c>
      <c r="E27" s="193">
        <v>60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70.220000000000027</v>
      </c>
      <c r="C28" s="193">
        <v>41</v>
      </c>
      <c r="D28" s="182">
        <f t="shared" si="2"/>
        <v>2879.0200000000013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96</v>
      </c>
      <c r="B29" s="181">
        <f>'Données projet'!D42</f>
        <v>74.37</v>
      </c>
      <c r="C29" s="193">
        <v>41</v>
      </c>
      <c r="D29" s="182">
        <f t="shared" si="2"/>
        <v>3049.17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108</v>
      </c>
      <c r="B30" s="181">
        <f>'Données projet'!D43</f>
        <v>65.25</v>
      </c>
      <c r="C30" s="193">
        <v>41</v>
      </c>
      <c r="D30" s="182">
        <f t="shared" si="2"/>
        <v>2675.25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120</v>
      </c>
      <c r="B31" s="181">
        <f>'Données projet'!D44</f>
        <v>489.81</v>
      </c>
      <c r="C31" s="193">
        <v>41</v>
      </c>
      <c r="D31" s="182">
        <f t="shared" si="2"/>
        <v>20082.21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Sapin pectiné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57</v>
      </c>
      <c r="B54" s="181">
        <f>'Données projet'!D62</f>
        <v>133.79</v>
      </c>
      <c r="C54" s="191">
        <v>15.5</v>
      </c>
      <c r="D54" s="179">
        <f>B54*C54</f>
        <v>2073.7449999999999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65</v>
      </c>
      <c r="B55" s="181">
        <f>'Données projet'!D63</f>
        <v>86.340000000000032</v>
      </c>
      <c r="C55" s="191">
        <v>15.5</v>
      </c>
      <c r="D55" s="179">
        <f t="shared" ref="D55:D73" si="4">B55*C55</f>
        <v>1338.2700000000004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73</v>
      </c>
      <c r="B56" s="181">
        <f>'Données projet'!D64</f>
        <v>82.800000000000011</v>
      </c>
      <c r="C56" s="191">
        <v>31</v>
      </c>
      <c r="D56" s="179">
        <f t="shared" si="4"/>
        <v>2566.8000000000002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81</v>
      </c>
      <c r="B57" s="181">
        <f>'Données projet'!D65</f>
        <v>93.039999999999964</v>
      </c>
      <c r="C57" s="191">
        <v>31</v>
      </c>
      <c r="D57" s="179">
        <f t="shared" si="4"/>
        <v>2884.2399999999989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90</v>
      </c>
      <c r="B58" s="181">
        <f>'Données projet'!D66</f>
        <v>88.010000000000048</v>
      </c>
      <c r="C58" s="191">
        <v>31</v>
      </c>
      <c r="D58" s="179">
        <f t="shared" si="4"/>
        <v>2728.3100000000013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99</v>
      </c>
      <c r="B59" s="181">
        <f>'Données projet'!D67</f>
        <v>88.269999999999982</v>
      </c>
      <c r="C59" s="191">
        <v>31</v>
      </c>
      <c r="D59" s="179">
        <f t="shared" si="4"/>
        <v>2736.3699999999994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108</v>
      </c>
      <c r="B60" s="181">
        <f>'Données projet'!D68</f>
        <v>81.70999999999998</v>
      </c>
      <c r="C60" s="191">
        <v>31</v>
      </c>
      <c r="D60" s="179">
        <f t="shared" si="4"/>
        <v>2533.0099999999993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118</v>
      </c>
      <c r="B61" s="181">
        <f>'Données projet'!D69</f>
        <v>81.81</v>
      </c>
      <c r="C61" s="191">
        <v>31</v>
      </c>
      <c r="D61" s="179">
        <f t="shared" si="4"/>
        <v>2536.11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128</v>
      </c>
      <c r="B62" s="181">
        <f>'Données projet'!D70</f>
        <v>581.97</v>
      </c>
      <c r="C62" s="191">
        <v>31</v>
      </c>
      <c r="D62" s="179">
        <f t="shared" si="4"/>
        <v>18041.07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18</v>
      </c>
      <c r="B85" s="181">
        <f>'Données projet'!D88</f>
        <v>20</v>
      </c>
      <c r="C85" s="191">
        <v>16.875</v>
      </c>
      <c r="D85" s="179">
        <f>B85*C85</f>
        <v>337.5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21</v>
      </c>
      <c r="B86" s="181">
        <f>'Données projet'!D89</f>
        <v>26</v>
      </c>
      <c r="C86" s="191">
        <v>16.875</v>
      </c>
      <c r="D86" s="179">
        <f t="shared" ref="D86:D104" si="6">B86*C86</f>
        <v>438.75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24</v>
      </c>
      <c r="B87" s="181">
        <f>'Données projet'!D90</f>
        <v>29</v>
      </c>
      <c r="C87" s="191">
        <v>16.875</v>
      </c>
      <c r="D87" s="179">
        <f t="shared" si="6"/>
        <v>489.375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53</v>
      </c>
      <c r="C88" s="191">
        <v>41</v>
      </c>
      <c r="D88" s="179">
        <f t="shared" si="6"/>
        <v>2173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36</v>
      </c>
      <c r="B89" s="181">
        <f>'Données projet'!D92</f>
        <v>62</v>
      </c>
      <c r="C89" s="191">
        <v>41</v>
      </c>
      <c r="D89" s="179">
        <f t="shared" si="6"/>
        <v>2542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42</v>
      </c>
      <c r="B90" s="181">
        <f>'Données projet'!D93</f>
        <v>67</v>
      </c>
      <c r="C90" s="191">
        <v>41</v>
      </c>
      <c r="D90" s="179">
        <f t="shared" si="6"/>
        <v>2747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48</v>
      </c>
      <c r="B91" s="181">
        <f>'Données projet'!D94</f>
        <v>65</v>
      </c>
      <c r="C91" s="191">
        <v>41</v>
      </c>
      <c r="D91" s="179">
        <f t="shared" si="6"/>
        <v>2665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60</v>
      </c>
      <c r="B92" s="181">
        <f>'Données projet'!D95</f>
        <v>304</v>
      </c>
      <c r="C92" s="191">
        <v>60</v>
      </c>
      <c r="D92" s="179">
        <f t="shared" si="6"/>
        <v>18240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916AD-1637-4202-BD0C-09BB30908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Louise LANDAIS</cp:lastModifiedBy>
  <dcterms:created xsi:type="dcterms:W3CDTF">2021-02-01T08:22:39Z</dcterms:created>
  <dcterms:modified xsi:type="dcterms:W3CDTF">2025-03-17T09:37:39Z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