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Goulven Kersante\Downloads\"/>
    </mc:Choice>
  </mc:AlternateContent>
  <xr:revisionPtr revIDLastSave="0" documentId="13_ncr:1_{BD66DF02-CC5A-482B-BF79-8724E9327518}" xr6:coauthVersionLast="47" xr6:coauthVersionMax="47" xr10:uidLastSave="{00000000-0000-0000-0000-000000000000}"/>
  <bookViews>
    <workbookView xWindow="28680" yWindow="-120" windowWidth="29040" windowHeight="15840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GL4" i="2" l="1"/>
  <c r="FQ4" i="2"/>
  <c r="BR4" i="2"/>
  <c r="FR4" i="2"/>
  <c r="EA4" i="2"/>
  <c r="B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A5" i="2" l="1"/>
  <c r="EX5" i="2"/>
  <c r="FR5" i="2"/>
  <c r="EC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EA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X7" i="2" l="1"/>
  <c r="EB7" i="2"/>
  <c r="EW7" i="2"/>
  <c r="EV7" i="2"/>
  <c r="HI7" i="2"/>
  <c r="EA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FS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HH10" i="2" l="1"/>
  <c r="EB10" i="2"/>
  <c r="HG10" i="2"/>
  <c r="FS10" i="2"/>
  <c r="EA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HG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HH12" i="2"/>
  <c r="EW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HG14" i="2"/>
  <c r="EC14" i="2"/>
  <c r="EX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V18" i="2" l="1"/>
  <c r="EW18" i="2"/>
  <c r="FS18" i="2"/>
  <c r="EA18" i="2"/>
  <c r="HG18" i="2"/>
  <c r="EX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V20" i="2" l="1"/>
  <c r="EW20" i="2"/>
  <c r="EC20" i="2"/>
  <c r="FS20" i="2"/>
  <c r="HH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W21" i="2" l="1"/>
  <c r="EB21" i="2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B22" i="2" l="1"/>
  <c r="EC22" i="2"/>
  <c r="HH22" i="2"/>
  <c r="EW22" i="2"/>
  <c r="HG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FR24" i="2" l="1"/>
  <c r="HG24" i="2"/>
  <c r="HH24" i="2"/>
  <c r="EW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HH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HI27" i="2"/>
  <c r="FS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V28" i="2" l="1"/>
  <c r="FS28" i="2"/>
  <c r="EC28" i="2"/>
  <c r="HI28" i="2"/>
  <c r="EB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HI29" i="2"/>
  <c r="EX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C30" i="2" l="1"/>
  <c r="EV30" i="2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A33" i="2" l="1"/>
  <c r="EB33" i="2"/>
  <c r="EW33" i="2"/>
  <c r="HG33" i="2"/>
  <c r="HH33" i="2"/>
  <c r="EV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A35" i="2"/>
  <c r="HH35" i="2"/>
  <c r="FQ35" i="2"/>
  <c r="EB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HG37" i="2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HI38" i="2" l="1"/>
  <c r="EX38" i="2"/>
  <c r="EA38" i="2"/>
  <c r="HH38" i="2"/>
  <c r="HG38" i="2"/>
  <c r="FS38" i="2"/>
  <c r="EW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I43" i="2" l="1"/>
  <c r="HG43" i="2"/>
  <c r="DG43" i="2"/>
  <c r="EX43" i="2"/>
  <c r="EA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H44" i="2" l="1"/>
  <c r="HG44" i="2"/>
  <c r="EW44" i="2"/>
  <c r="EC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HI45" i="2" l="1"/>
  <c r="EB45" i="2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I46" i="2" l="1"/>
  <c r="HG46" i="2"/>
  <c r="EW46" i="2"/>
  <c r="EC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I48" i="2" l="1"/>
  <c r="EC48" i="2"/>
  <c r="HH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HI50" i="2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B51" i="2" l="1"/>
  <c r="EA51" i="2"/>
  <c r="EX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H57" i="2" l="1"/>
  <c r="HG57" i="2"/>
  <c r="EB57" i="2"/>
  <c r="HI57" i="2"/>
  <c r="FS57" i="2"/>
  <c r="EV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HH59" i="2"/>
  <c r="EB59" i="2"/>
  <c r="EA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V60" i="2" l="1"/>
  <c r="HH60" i="2"/>
  <c r="HG60" i="2"/>
  <c r="HI60" i="2"/>
  <c r="EW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W61" i="2" l="1"/>
  <c r="EV61" i="2"/>
  <c r="EX61" i="2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I62" i="2" l="1"/>
  <c r="EA62" i="2"/>
  <c r="EB62" i="2"/>
  <c r="HH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B63" i="2" l="1"/>
  <c r="EC63" i="2"/>
  <c r="HG63" i="2"/>
  <c r="EX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H64" i="2"/>
  <c r="EC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FS66" i="2" l="1"/>
  <c r="EX66" i="2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FS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EW70" i="2"/>
  <c r="HI70" i="2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HH71" i="2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H72" i="2" l="1"/>
  <c r="EX72" i="2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HI73" i="2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R74" i="2" l="1"/>
  <c r="EW74" i="2"/>
  <c r="FS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HH75" i="2"/>
  <c r="HG75" i="2"/>
  <c r="FS75" i="2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FS76" i="2" l="1"/>
  <c r="HH76" i="2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HI77" i="2"/>
  <c r="EA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HI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EB79" i="2" l="1"/>
  <c r="HG79" i="2"/>
  <c r="HH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HI85" i="2"/>
  <c r="EW85" i="2"/>
  <c r="HG85" i="2"/>
  <c r="HH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A86" i="2" l="1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EB87" i="2"/>
  <c r="HG87" i="2"/>
  <c r="EA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HI89" i="2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EX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EB95" i="2"/>
  <c r="HG95" i="2"/>
  <c r="EX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W98" i="2" l="1"/>
  <c r="FS98" i="2"/>
  <c r="HI98" i="2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EA105" i="2"/>
  <c r="FS105" i="2"/>
  <c r="EV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B106" i="2" l="1"/>
  <c r="HG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HG107" i="2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FS108" i="2" l="1"/>
  <c r="EA108" i="2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G110" i="2"/>
  <c r="HH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EC112" i="2"/>
  <c r="FQ112" i="2"/>
  <c r="HI112" i="2"/>
  <c r="EX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HI113" i="2" l="1"/>
  <c r="EW113" i="2"/>
  <c r="EC113" i="2"/>
  <c r="FS113" i="2"/>
  <c r="EB113" i="2"/>
  <c r="HG113" i="2"/>
  <c r="EX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V114" i="2" l="1"/>
  <c r="EW114" i="2"/>
  <c r="HG114" i="2"/>
  <c r="HH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A116" i="2" l="1"/>
  <c r="EV116" i="2"/>
  <c r="HG116" i="2"/>
  <c r="EC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A117" i="2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Q118" i="2" l="1"/>
  <c r="FS118" i="2"/>
  <c r="HH118" i="2"/>
  <c r="EX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FR119" i="2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Q120" i="2" l="1"/>
  <c r="HH120" i="2"/>
  <c r="HI120" i="2"/>
  <c r="EX120" i="2"/>
  <c r="FR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FR121" i="2"/>
  <c r="EB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I122" i="2" l="1"/>
  <c r="FS122" i="2"/>
  <c r="EW122" i="2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X124" i="2" l="1"/>
  <c r="HH124" i="2"/>
  <c r="HG124" i="2"/>
  <c r="EW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HI125" i="2" l="1"/>
  <c r="EC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HG126" i="2"/>
  <c r="FS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EV127" i="2" l="1"/>
  <c r="HI127" i="2"/>
  <c r="FS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FS128" i="2" l="1"/>
  <c r="EV128" i="2"/>
  <c r="HG128" i="2"/>
  <c r="EX128" i="2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V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W130" i="2" l="1"/>
  <c r="HH130" i="2"/>
  <c r="FS130" i="2"/>
  <c r="HG130" i="2"/>
  <c r="HI130" i="2"/>
  <c r="EX130" i="2"/>
  <c r="EB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V133" i="2" l="1"/>
  <c r="EW133" i="2"/>
  <c r="HH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EV134" i="2"/>
  <c r="EW134" i="2"/>
  <c r="HG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A135" i="2"/>
  <c r="EX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C138" i="2" l="1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EB139" i="2"/>
  <c r="EW139" i="2"/>
  <c r="HH139" i="2"/>
  <c r="EA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B140" i="2" l="1"/>
  <c r="FR140" i="2"/>
  <c r="HH140" i="2"/>
  <c r="EC140" i="2"/>
  <c r="HG140" i="2"/>
  <c r="EX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FS141" i="2" l="1"/>
  <c r="EA141" i="2"/>
  <c r="HG141" i="2"/>
  <c r="HH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EW142" i="2"/>
  <c r="HG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FS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B144" i="2" l="1"/>
  <c r="FR144" i="2"/>
  <c r="HH144" i="2"/>
  <c r="HG144" i="2"/>
  <c r="EA144" i="2"/>
  <c r="EX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A145" i="2" l="1"/>
  <c r="EB145" i="2"/>
  <c r="HG145" i="2"/>
  <c r="HH145" i="2"/>
  <c r="EX145" i="2"/>
  <c r="FR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FR146" i="2" l="1"/>
  <c r="EA146" i="2"/>
  <c r="HH146" i="2"/>
  <c r="HG146" i="2"/>
  <c r="HI146" i="2"/>
  <c r="FS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HG149" i="2"/>
  <c r="HH149" i="2"/>
  <c r="EC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C150" i="2" l="1"/>
  <c r="HI150" i="2"/>
  <c r="HH150" i="2"/>
  <c r="HG150" i="2"/>
  <c r="EV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EX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HI152" i="2" l="1"/>
  <c r="EV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A153" i="2"/>
  <c r="EB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HH154" i="2" l="1"/>
  <c r="HG154" i="2"/>
  <c r="AB154" i="2"/>
  <c r="EB154" i="2"/>
  <c r="EX154" i="2"/>
  <c r="AA154" i="2"/>
  <c r="EV154" i="2"/>
  <c r="EC154" i="2"/>
  <c r="EA154" i="2"/>
  <c r="FS154" i="2"/>
  <c r="HI154" i="2"/>
  <c r="GN154" i="2"/>
  <c r="DF154" i="2"/>
  <c r="DI154" i="2" s="1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3" i="2"/>
  <c r="FT153" i="2"/>
  <c r="CN153" i="2"/>
  <c r="HJ153" i="2"/>
  <c r="GO153" i="2"/>
  <c r="EY153" i="2"/>
  <c r="ED153" i="2"/>
  <c r="AC153" i="2"/>
  <c r="AX151" i="2"/>
  <c r="EA155" i="2" l="1"/>
  <c r="EW155" i="2"/>
  <c r="HH155" i="2"/>
  <c r="HG155" i="2"/>
  <c r="AC154" i="2"/>
  <c r="EX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D155" i="2"/>
  <c r="AX152" i="2"/>
  <c r="DH156" i="2" l="1"/>
  <c r="HH156" i="2"/>
  <c r="HG156" i="2"/>
  <c r="EX156" i="2"/>
  <c r="AB156" i="2"/>
  <c r="FS156" i="2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C157" i="2" l="1"/>
  <c r="HG157" i="2"/>
  <c r="EX157" i="2"/>
  <c r="HH157" i="2"/>
  <c r="CN156" i="2"/>
  <c r="EB157" i="2"/>
  <c r="EA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HH158" i="2"/>
  <c r="EV158" i="2"/>
  <c r="EW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A159" i="2" l="1"/>
  <c r="HH159" i="2"/>
  <c r="HI159" i="2"/>
  <c r="EC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HG160" i="2"/>
  <c r="HH160" i="2"/>
  <c r="HI160" i="2"/>
  <c r="EY159" i="2"/>
  <c r="FS160" i="2"/>
  <c r="DG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GJ161" i="2"/>
  <c r="HE161" i="2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X161" i="2" l="1"/>
  <c r="AB161" i="2"/>
  <c r="HG161" i="2"/>
  <c r="FS161" i="2"/>
  <c r="EB161" i="2"/>
  <c r="EA161" i="2"/>
  <c r="ED161" i="2" s="1"/>
  <c r="HH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W162" i="2" l="1"/>
  <c r="EB162" i="2"/>
  <c r="EC162" i="2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GJ163" i="2"/>
  <c r="HE163" i="2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HH163" i="2" l="1"/>
  <c r="EV163" i="2"/>
  <c r="EB163" i="2"/>
  <c r="HG163" i="2"/>
  <c r="HI163" i="2"/>
  <c r="EA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 s="1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HG164" i="2" l="1"/>
  <c r="EV164" i="2"/>
  <c r="EA164" i="2"/>
  <c r="FS164" i="2"/>
  <c r="EX164" i="2"/>
  <c r="HH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X165" i="2" l="1"/>
  <c r="HH165" i="2"/>
  <c r="HG165" i="2"/>
  <c r="EA165" i="2"/>
  <c r="EB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G166" i="2" l="1"/>
  <c r="CN165" i="2"/>
  <c r="FS166" i="2"/>
  <c r="EC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X167" i="2" l="1"/>
  <c r="FR167" i="2"/>
  <c r="HH167" i="2"/>
  <c r="EA167" i="2"/>
  <c r="EB167" i="2"/>
  <c r="HI167" i="2"/>
  <c r="EC167" i="2"/>
  <c r="DG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G168" i="2" l="1"/>
  <c r="EV168" i="2"/>
  <c r="HH168" i="2"/>
  <c r="DI167" i="2"/>
  <c r="EC168" i="2"/>
  <c r="EW168" i="2"/>
  <c r="HI168" i="2"/>
  <c r="EB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HH169" i="2" l="1"/>
  <c r="FS169" i="2"/>
  <c r="EA169" i="2"/>
  <c r="EX169" i="2"/>
  <c r="EB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A171" i="2" l="1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EY171" i="2" s="1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V172" i="2" l="1"/>
  <c r="EW172" i="2"/>
  <c r="HG172" i="2"/>
  <c r="HI172" i="2"/>
  <c r="EA172" i="2"/>
  <c r="ED172" i="2" s="1"/>
  <c r="EB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B173" i="2" l="1"/>
  <c r="EW173" i="2"/>
  <c r="HH173" i="2"/>
  <c r="EX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Y173" i="2" s="1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HH174" i="2" l="1"/>
  <c r="HG174" i="2"/>
  <c r="EC174" i="2"/>
  <c r="EA174" i="2"/>
  <c r="ED174" i="2" s="1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X172" i="2"/>
  <c r="AA175" i="2" l="1"/>
  <c r="EW175" i="2"/>
  <c r="EB175" i="2"/>
  <c r="HI175" i="2"/>
  <c r="EA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C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S177" i="2" l="1"/>
  <c r="HH177" i="2"/>
  <c r="EC177" i="2"/>
  <c r="EW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FQ178" i="2" l="1"/>
  <c r="HH178" i="2"/>
  <c r="EB178" i="2"/>
  <c r="HG178" i="2"/>
  <c r="FS178" i="2"/>
  <c r="EA178" i="2"/>
  <c r="EW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DF179" i="2" l="1"/>
  <c r="EB179" i="2"/>
  <c r="HI179" i="2"/>
  <c r="EV179" i="2"/>
  <c r="EA179" i="2"/>
  <c r="HH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EX180" i="2" l="1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D180" i="2" s="1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HG181" i="2" l="1"/>
  <c r="FS181" i="2"/>
  <c r="EW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FS182" i="2"/>
  <c r="EC182" i="2"/>
  <c r="EX182" i="2"/>
  <c r="EA182" i="2"/>
  <c r="EV182" i="2"/>
  <c r="EY182" i="2" s="1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FS183" i="2" l="1"/>
  <c r="EA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FS184" i="2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W185" i="2" l="1"/>
  <c r="HH185" i="2"/>
  <c r="HG185" i="2"/>
  <c r="HI185" i="2"/>
  <c r="EB185" i="2"/>
  <c r="EA185" i="2"/>
  <c r="EV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FS186" i="2" l="1"/>
  <c r="ED185" i="2"/>
  <c r="FR186" i="2"/>
  <c r="EA186" i="2"/>
  <c r="HG186" i="2"/>
  <c r="HH186" i="2"/>
  <c r="EW186" i="2"/>
  <c r="EB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HG187" i="2" l="1"/>
  <c r="EB187" i="2"/>
  <c r="HH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HH188" i="2"/>
  <c r="HG188" i="2"/>
  <c r="FS188" i="2"/>
  <c r="EC188" i="2"/>
  <c r="EV188" i="2"/>
  <c r="EY188" i="2" s="1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X186" i="2"/>
  <c r="EB189" i="2" l="1"/>
  <c r="AA189" i="2"/>
  <c r="EV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V190" i="2" l="1"/>
  <c r="EW190" i="2"/>
  <c r="HG190" i="2"/>
  <c r="EB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G191" i="2" l="1"/>
  <c r="HH191" i="2"/>
  <c r="EW191" i="2"/>
  <c r="HI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HH192" i="2" l="1"/>
  <c r="HG192" i="2"/>
  <c r="EA192" i="2"/>
  <c r="EW192" i="2"/>
  <c r="EC192" i="2"/>
  <c r="HI192" i="2"/>
  <c r="EV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B193" i="2" l="1"/>
  <c r="EA193" i="2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G194" i="2" l="1"/>
  <c r="FQ194" i="2"/>
  <c r="HI194" i="2"/>
  <c r="CN193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AA195" i="2" l="1"/>
  <c r="EB195" i="2"/>
  <c r="HI195" i="2"/>
  <c r="EA195" i="2"/>
  <c r="EX195" i="2"/>
  <c r="DH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G196" i="2" l="1"/>
  <c r="HH196" i="2"/>
  <c r="EW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C197" i="2" l="1"/>
  <c r="EW197" i="2"/>
  <c r="EA197" i="2"/>
  <c r="FS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HI198" i="2" l="1"/>
  <c r="EV198" i="2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EV199" i="2" s="1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W199" i="2" l="1"/>
  <c r="HG199" i="2"/>
  <c r="EB199" i="2"/>
  <c r="EA199" i="2"/>
  <c r="HH199" i="2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BC4" i="2" s="1" a="1"/>
  <c r="BC4" i="2" s="1"/>
  <c r="BD4" i="2" s="1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AB199" i="2"/>
  <c r="BX4" i="2" a="1"/>
  <c r="BX4" i="2" s="1"/>
  <c r="BY4" i="2" s="1"/>
  <c r="AA199" i="2"/>
  <c r="AX197" i="2"/>
  <c r="EX200" i="2" l="1"/>
  <c r="EW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DI200" i="2"/>
  <c r="FS201" i="2" l="1"/>
  <c r="HH201" i="2"/>
  <c r="EA201" i="2"/>
  <c r="EB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HG202" i="2" l="1"/>
  <c r="FR202" i="2"/>
  <c r="HH202" i="2"/>
  <c r="EX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AH19" i="2" a="1"/>
  <c r="AH1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55" i="2" a="1"/>
  <c r="BC55" i="2" s="1"/>
  <c r="BC32" i="2" a="1"/>
  <c r="BC32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FD82" i="2" a="1"/>
  <c r="FD82" i="2" s="1"/>
  <c r="DN187" i="2" a="1"/>
  <c r="DN187" i="2" s="1"/>
  <c r="HJ202" i="2"/>
  <c r="EY202" i="2"/>
  <c r="AX200" i="2"/>
  <c r="FR203" i="2" l="1"/>
  <c r="BX107" i="2" a="1"/>
  <c r="BX107" i="2" s="1"/>
  <c r="HG203" i="2"/>
  <c r="BP203" i="2"/>
  <c r="BC130" i="2" a="1"/>
  <c r="BC130" i="2" s="1"/>
  <c r="BC192" i="2" a="1"/>
  <c r="BC192" i="2" s="1"/>
  <c r="BC38" i="2" a="1"/>
  <c r="BC38" i="2" s="1"/>
  <c r="BC18" i="2" a="1"/>
  <c r="BC18" i="2" s="1"/>
  <c r="BC83" i="2" a="1"/>
  <c r="BC83" i="2" s="1"/>
  <c r="BC151" i="2" a="1"/>
  <c r="BC151" i="2" s="1"/>
  <c r="BC143" i="2" a="1"/>
  <c r="BC143" i="2" s="1"/>
  <c r="BC31" i="2" a="1"/>
  <c r="BC31" i="2" s="1"/>
  <c r="BC84" i="2" a="1"/>
  <c r="BC84" i="2" s="1"/>
  <c r="BC47" i="2" a="1"/>
  <c r="BC47" i="2" s="1"/>
  <c r="BC164" i="2" a="1"/>
  <c r="BC164" i="2" s="1"/>
  <c r="AH166" i="2" a="1"/>
  <c r="AH166" i="2" s="1"/>
  <c r="AH92" i="2" a="1"/>
  <c r="AH92" i="2" s="1"/>
  <c r="BC117" i="2" a="1"/>
  <c r="BC117" i="2" s="1"/>
  <c r="BC181" i="2" a="1"/>
  <c r="BC181" i="2" s="1"/>
  <c r="BC65" i="2" a="1"/>
  <c r="BC65" i="2" s="1"/>
  <c r="BC114" i="2" a="1"/>
  <c r="BC114" i="2" s="1"/>
  <c r="BC126" i="2" a="1"/>
  <c r="BC126" i="2" s="1"/>
  <c r="BC82" i="2" a="1"/>
  <c r="BC82" i="2" s="1"/>
  <c r="BC68" i="2" a="1"/>
  <c r="BC68" i="2" s="1"/>
  <c r="BC58" i="2" a="1"/>
  <c r="BC58" i="2" s="1"/>
  <c r="BC34" i="2" a="1"/>
  <c r="BC34" i="2" s="1"/>
  <c r="BC7" i="2" a="1"/>
  <c r="BC7" i="2" s="1"/>
  <c r="BD7" i="2" s="1"/>
  <c r="BC185" i="2" a="1"/>
  <c r="BC185" i="2" s="1"/>
  <c r="AH199" i="2" a="1"/>
  <c r="AH199" i="2" s="1"/>
  <c r="AH90" i="2" a="1"/>
  <c r="AH90" i="2" s="1"/>
  <c r="AH151" i="2" a="1"/>
  <c r="AH151" i="2" s="1"/>
  <c r="FS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9" i="2" l="1"/>
  <c r="FZ10" i="2" s="1"/>
  <c r="FZ11" i="2" s="1"/>
  <c r="FZ12" i="2" s="1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CN203" i="2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CD60" i="2" l="1"/>
  <c r="CD122" i="2"/>
  <c r="CD156" i="2"/>
  <c r="CD95" i="2"/>
  <c r="CD166" i="2"/>
  <c r="CD146" i="2"/>
  <c r="CD68" i="2"/>
  <c r="CD182" i="2"/>
  <c r="CD151" i="2"/>
  <c r="CD96" i="2"/>
  <c r="CD115" i="2"/>
  <c r="CD77" i="2"/>
  <c r="CD101" i="2"/>
  <c r="CD183" i="2"/>
  <c r="CD47" i="2"/>
  <c r="CD7" i="2"/>
  <c r="CD168" i="2"/>
  <c r="CD86" i="2"/>
  <c r="CD172" i="2"/>
  <c r="CD14" i="2"/>
  <c r="CD150" i="2"/>
  <c r="CD51" i="2"/>
  <c r="CD66" i="2"/>
  <c r="CD179" i="2"/>
  <c r="CD25" i="2"/>
  <c r="CD112" i="2"/>
  <c r="CD202" i="2"/>
  <c r="CD184" i="2"/>
  <c r="CD110" i="2"/>
  <c r="CD188" i="2"/>
  <c r="CD126" i="2"/>
  <c r="CD161" i="2"/>
  <c r="CD154" i="2"/>
  <c r="CD75" i="2"/>
  <c r="CD33" i="2"/>
  <c r="CD70" i="2"/>
  <c r="CD79" i="2"/>
  <c r="CD119" i="2"/>
  <c r="CD64" i="2"/>
  <c r="CD67" i="2"/>
  <c r="CD194" i="2"/>
  <c r="CD132" i="2"/>
  <c r="CD93" i="2"/>
  <c r="CD20" i="2"/>
  <c r="CD16" i="2"/>
  <c r="CD170" i="2"/>
  <c r="CD12" i="2"/>
  <c r="CD19" i="2"/>
  <c r="CD152" i="2"/>
  <c r="CD37" i="2"/>
  <c r="CD35" i="2"/>
  <c r="CD88" i="2"/>
  <c r="CD174" i="2"/>
  <c r="CD26" i="2"/>
  <c r="CD45" i="2"/>
  <c r="CD180" i="2"/>
  <c r="CD55" i="2"/>
  <c r="CD54" i="2"/>
  <c r="CD189" i="2"/>
  <c r="CD50" i="2"/>
  <c r="CD23" i="2"/>
  <c r="CD105" i="2"/>
  <c r="CD131" i="2"/>
  <c r="CD106" i="2"/>
  <c r="CD42" i="2"/>
  <c r="CD98" i="2"/>
  <c r="CD142" i="2"/>
  <c r="CD91" i="2"/>
  <c r="CD125" i="2"/>
  <c r="CD144" i="2"/>
  <c r="CD69" i="2"/>
  <c r="CD24" i="2"/>
  <c r="CD52" i="2"/>
  <c r="CD65" i="2"/>
  <c r="CD71" i="2"/>
  <c r="CD145" i="2"/>
  <c r="CD44" i="2"/>
  <c r="CD27" i="2"/>
  <c r="CD63" i="2"/>
  <c r="CD163" i="2"/>
  <c r="CD128" i="2"/>
  <c r="CD30" i="2"/>
  <c r="CD56" i="2"/>
  <c r="CD81" i="2"/>
  <c r="CD10" i="2"/>
  <c r="CD153" i="2"/>
  <c r="CD185" i="2"/>
  <c r="CD46" i="2"/>
  <c r="CD13" i="2"/>
  <c r="CD100" i="2"/>
  <c r="CD186" i="2"/>
  <c r="CD197" i="2"/>
  <c r="CD190" i="2"/>
  <c r="CD195" i="2"/>
  <c r="CD196" i="2"/>
  <c r="CD21" i="2"/>
  <c r="CD87" i="2"/>
  <c r="CD109" i="2"/>
  <c r="CD171" i="2"/>
  <c r="CD203" i="2"/>
  <c r="CD201" i="2"/>
  <c r="CD57" i="2"/>
  <c r="CD140" i="2"/>
  <c r="CD155" i="2"/>
  <c r="CD137" i="2"/>
  <c r="CD159" i="2"/>
  <c r="CD141" i="2"/>
  <c r="CD162" i="2"/>
  <c r="CD135" i="2"/>
  <c r="CD127" i="2"/>
  <c r="CD5" i="2"/>
  <c r="CD102" i="2"/>
  <c r="CD176" i="2"/>
  <c r="CD82" i="2"/>
  <c r="CD121" i="2"/>
  <c r="CD177" i="2"/>
  <c r="CD80" i="2"/>
  <c r="CD157" i="2"/>
  <c r="CD48" i="2"/>
  <c r="CD4" i="2"/>
  <c r="CD107" i="2"/>
  <c r="CD187" i="2"/>
  <c r="CD84" i="2"/>
  <c r="CD104" i="2"/>
  <c r="CD39" i="2"/>
  <c r="CD58" i="2"/>
  <c r="CD169" i="2"/>
  <c r="CD28" i="2"/>
  <c r="CD133" i="2"/>
  <c r="CD17" i="2"/>
  <c r="CD199" i="2"/>
  <c r="CD22" i="2"/>
  <c r="CD108" i="2"/>
  <c r="CD32" i="2"/>
  <c r="CD62" i="2"/>
  <c r="CD99" i="2"/>
  <c r="CD73" i="2"/>
  <c r="CD34" i="2"/>
  <c r="CD192" i="2"/>
  <c r="CD43" i="2"/>
  <c r="CD76" i="2"/>
  <c r="CD120" i="2"/>
  <c r="CD143" i="2"/>
  <c r="CD164" i="2"/>
  <c r="CD114" i="2"/>
  <c r="CD85" i="2"/>
  <c r="CD78" i="2"/>
  <c r="CD200" i="2"/>
  <c r="CD193" i="2"/>
  <c r="CD97" i="2"/>
  <c r="CD11" i="2"/>
  <c r="CD8" i="2"/>
  <c r="CD111" i="2"/>
  <c r="CD123" i="2"/>
  <c r="CD83" i="2"/>
  <c r="CD31" i="2"/>
  <c r="CD117" i="2"/>
  <c r="CD41" i="2"/>
  <c r="CD181" i="2"/>
  <c r="CD147" i="2"/>
  <c r="CD89" i="2"/>
  <c r="CD165" i="2"/>
  <c r="CD6" i="2"/>
  <c r="CD149" i="2"/>
  <c r="CD173" i="2"/>
  <c r="CD129" i="2"/>
  <c r="CD130" i="2"/>
  <c r="CD175" i="2"/>
  <c r="CD103" i="2"/>
  <c r="CD138" i="2"/>
  <c r="CD38" i="2"/>
  <c r="CD15" i="2"/>
  <c r="CD61" i="2"/>
  <c r="CD92" i="2"/>
  <c r="CD18" i="2"/>
  <c r="CD36" i="2"/>
  <c r="CD94" i="2"/>
  <c r="CD139" i="2"/>
  <c r="CD167" i="2"/>
  <c r="CD3" i="2"/>
  <c r="C9" i="4" s="1"/>
  <c r="E9" i="4" s="1"/>
  <c r="F9" i="4" s="1"/>
  <c r="G9" i="4" s="1"/>
  <c r="L9" i="4" s="1"/>
  <c r="CD178" i="2"/>
  <c r="CD90" i="2"/>
  <c r="CD59" i="2"/>
  <c r="CD72" i="2"/>
  <c r="CD118" i="2"/>
  <c r="CD74" i="2"/>
  <c r="CD124" i="2"/>
  <c r="CD116" i="2"/>
  <c r="CD191" i="2"/>
  <c r="CD113" i="2"/>
  <c r="CD29" i="2"/>
  <c r="CD134" i="2"/>
  <c r="CD158" i="2"/>
  <c r="CD198" i="2"/>
  <c r="CD40" i="2"/>
  <c r="CD148" i="2"/>
  <c r="CD160" i="2"/>
  <c r="CD136" i="2"/>
  <c r="CD9" i="2"/>
  <c r="CD49" i="2"/>
  <c r="CD53" i="2"/>
  <c r="FE120" i="2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AN78" i="2" l="1"/>
  <c r="AN86" i="2"/>
  <c r="AN44" i="2"/>
  <c r="AN94" i="2"/>
  <c r="AN168" i="2"/>
  <c r="AN19" i="2"/>
  <c r="AN42" i="2"/>
  <c r="AN108" i="2"/>
  <c r="AN61" i="2"/>
  <c r="AN154" i="2"/>
  <c r="AN152" i="2"/>
  <c r="AN151" i="2"/>
  <c r="AN93" i="2"/>
  <c r="AN82" i="2"/>
  <c r="AN52" i="2"/>
  <c r="AN116" i="2"/>
  <c r="AN107" i="2"/>
  <c r="AN121" i="2"/>
  <c r="AN88" i="2"/>
  <c r="AN53" i="2"/>
  <c r="AN126" i="2"/>
  <c r="AN8" i="2"/>
  <c r="AN188" i="2"/>
  <c r="AN178" i="2"/>
  <c r="AN190" i="2"/>
  <c r="AN21" i="2"/>
  <c r="AN176" i="2"/>
  <c r="AN120" i="2"/>
  <c r="AN164" i="2"/>
  <c r="AN24" i="2"/>
  <c r="AN9" i="2"/>
  <c r="AN4" i="2"/>
  <c r="AN129" i="2"/>
  <c r="AN141" i="2"/>
  <c r="AN142" i="2"/>
  <c r="AN123" i="2"/>
  <c r="AN43" i="2"/>
  <c r="AN95" i="2"/>
  <c r="AN146" i="2"/>
  <c r="AN138" i="2"/>
  <c r="AN173" i="2"/>
  <c r="AN76" i="2"/>
  <c r="AN187" i="2"/>
  <c r="AN14" i="2"/>
  <c r="AN118" i="2"/>
  <c r="AN72" i="2"/>
  <c r="AN203" i="2"/>
  <c r="AN85" i="2"/>
  <c r="AN111" i="2"/>
  <c r="AN54" i="2"/>
  <c r="AN114" i="2"/>
  <c r="AN90" i="2"/>
  <c r="AN137" i="2"/>
  <c r="AN112" i="2"/>
  <c r="AN105" i="2"/>
  <c r="AN29" i="2"/>
  <c r="AN115" i="2"/>
  <c r="AN169" i="2"/>
  <c r="AN70" i="2"/>
  <c r="AN101" i="2"/>
  <c r="AN117" i="2"/>
  <c r="AN135" i="2"/>
  <c r="AN184" i="2"/>
  <c r="AN189" i="2"/>
  <c r="AN166" i="2"/>
  <c r="AN45" i="2"/>
  <c r="AN109" i="2"/>
  <c r="AN17" i="2"/>
  <c r="AN202" i="2"/>
  <c r="AN191" i="2"/>
  <c r="AN47" i="2"/>
  <c r="AN92" i="2"/>
  <c r="AN13" i="2"/>
  <c r="AN26" i="2"/>
  <c r="AN124" i="2"/>
  <c r="AN62" i="2"/>
  <c r="AN6" i="2"/>
  <c r="AN159" i="2"/>
  <c r="AN33" i="2"/>
  <c r="AN7" i="2"/>
  <c r="AN133" i="2"/>
  <c r="AN38" i="2"/>
  <c r="AN98" i="2"/>
  <c r="AN167" i="2"/>
  <c r="AN131" i="2"/>
  <c r="AN179" i="2"/>
  <c r="AN175" i="2"/>
  <c r="AN49" i="2"/>
  <c r="AN180" i="2"/>
  <c r="AN139" i="2"/>
  <c r="AN150" i="2"/>
  <c r="AN58" i="2"/>
  <c r="AN50" i="2"/>
  <c r="AN165" i="2"/>
  <c r="AN77" i="2"/>
  <c r="AN27" i="2"/>
  <c r="AN89" i="2"/>
  <c r="AN185" i="2"/>
  <c r="AN67" i="2"/>
  <c r="AN36" i="2"/>
  <c r="AN174" i="2"/>
  <c r="AN160" i="2"/>
  <c r="AN66" i="2"/>
  <c r="AN51" i="2"/>
  <c r="AN96" i="2"/>
  <c r="AN197" i="2"/>
  <c r="AN80" i="2"/>
  <c r="AN143" i="2"/>
  <c r="AN28" i="2"/>
  <c r="AN30" i="2"/>
  <c r="AN183" i="2"/>
  <c r="AN158" i="2"/>
  <c r="AN40" i="2"/>
  <c r="AN16" i="2"/>
  <c r="AN149" i="2"/>
  <c r="AN162" i="2"/>
  <c r="AN119" i="2"/>
  <c r="AN60" i="2"/>
  <c r="AN22" i="2"/>
  <c r="AN127" i="2"/>
  <c r="AN186" i="2"/>
  <c r="AN37" i="2"/>
  <c r="AN136" i="2"/>
  <c r="AN172" i="2"/>
  <c r="AN46" i="2"/>
  <c r="AN194" i="2"/>
  <c r="AN64" i="2"/>
  <c r="AN181" i="2"/>
  <c r="AN199" i="2"/>
  <c r="AN140" i="2"/>
  <c r="AN193" i="2"/>
  <c r="AN100" i="2"/>
  <c r="AN170" i="2"/>
  <c r="AN15" i="2"/>
  <c r="AN177" i="2"/>
  <c r="AN34" i="2"/>
  <c r="AN59" i="2"/>
  <c r="AN83" i="2"/>
  <c r="AN128" i="2"/>
  <c r="AN31" i="2"/>
  <c r="AN132" i="2"/>
  <c r="AN10" i="2"/>
  <c r="AN69" i="2"/>
  <c r="AN12" i="2"/>
  <c r="AN201" i="2"/>
  <c r="AN155" i="2"/>
  <c r="AN144" i="2"/>
  <c r="AN200" i="2"/>
  <c r="AN32" i="2"/>
  <c r="AN134" i="2"/>
  <c r="AN48" i="2"/>
  <c r="AN198" i="2"/>
  <c r="AN102" i="2"/>
  <c r="AN3" i="2"/>
  <c r="C7" i="4" s="1"/>
  <c r="E7" i="4" s="1"/>
  <c r="F7" i="4" s="1"/>
  <c r="G7" i="4" s="1"/>
  <c r="L7" i="4" s="1"/>
  <c r="AN75" i="2"/>
  <c r="AN104" i="2"/>
  <c r="AN110" i="2"/>
  <c r="AN122" i="2"/>
  <c r="AN56" i="2"/>
  <c r="AN18" i="2"/>
  <c r="AN63" i="2"/>
  <c r="AN79" i="2"/>
  <c r="AN113" i="2"/>
  <c r="AN147" i="2"/>
  <c r="AN161" i="2"/>
  <c r="AN41" i="2"/>
  <c r="AN25" i="2"/>
  <c r="AN73" i="2"/>
  <c r="AN157" i="2"/>
  <c r="AN153" i="2"/>
  <c r="AN163" i="2"/>
  <c r="AN87" i="2"/>
  <c r="AN130" i="2"/>
  <c r="AN196" i="2"/>
  <c r="AN99" i="2"/>
  <c r="AN35" i="2"/>
  <c r="AN74" i="2"/>
  <c r="AN156" i="2"/>
  <c r="AN84" i="2"/>
  <c r="AN106" i="2"/>
  <c r="AN5" i="2"/>
  <c r="AN23" i="2"/>
  <c r="AN20" i="2"/>
  <c r="AN65" i="2"/>
  <c r="AN97" i="2"/>
  <c r="AN192" i="2"/>
  <c r="AN182" i="2"/>
  <c r="AN39" i="2"/>
  <c r="AN55" i="2"/>
  <c r="AN71" i="2"/>
  <c r="AN148" i="2"/>
  <c r="AN81" i="2"/>
  <c r="AN103" i="2"/>
  <c r="AN195" i="2"/>
  <c r="AN125" i="2"/>
  <c r="AN145" i="2"/>
  <c r="AN57" i="2"/>
  <c r="AN11" i="2"/>
  <c r="AN68" i="2"/>
  <c r="AN91" i="2"/>
  <c r="AN171" i="2"/>
  <c r="FE188" i="2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I47" i="2" l="1"/>
  <c r="BI25" i="2"/>
  <c r="BI190" i="2"/>
  <c r="BI171" i="2"/>
  <c r="BI43" i="2"/>
  <c r="BI46" i="2"/>
  <c r="BI79" i="2"/>
  <c r="BI192" i="2"/>
  <c r="BI151" i="2"/>
  <c r="BI53" i="2"/>
  <c r="BI78" i="2"/>
  <c r="BI38" i="2"/>
  <c r="BI20" i="2"/>
  <c r="BI82" i="2"/>
  <c r="BI177" i="2"/>
  <c r="BI99" i="2"/>
  <c r="BI19" i="2"/>
  <c r="BI164" i="2"/>
  <c r="BI153" i="2"/>
  <c r="BI141" i="2"/>
  <c r="BI160" i="2"/>
  <c r="BI54" i="2"/>
  <c r="BI112" i="2"/>
  <c r="BI110" i="2"/>
  <c r="BI132" i="2"/>
  <c r="BI159" i="2"/>
  <c r="BI37" i="2"/>
  <c r="BI35" i="2"/>
  <c r="BI111" i="2"/>
  <c r="BI9" i="2"/>
  <c r="BI75" i="2"/>
  <c r="BI5" i="2"/>
  <c r="BI191" i="2"/>
  <c r="BI170" i="2"/>
  <c r="BI152" i="2"/>
  <c r="BI162" i="2"/>
  <c r="BI39" i="2"/>
  <c r="BI139" i="2"/>
  <c r="BI154" i="2"/>
  <c r="BI83" i="2"/>
  <c r="BI40" i="2"/>
  <c r="BI122" i="2"/>
  <c r="BI59" i="2"/>
  <c r="BI178" i="2"/>
  <c r="BI26" i="2"/>
  <c r="BI52" i="2"/>
  <c r="BI57" i="2"/>
  <c r="BI73" i="2"/>
  <c r="BI156" i="2"/>
  <c r="BI147" i="2"/>
  <c r="BI16" i="2"/>
  <c r="BI100" i="2"/>
  <c r="BI109" i="2"/>
  <c r="BI62" i="2"/>
  <c r="BI103" i="2"/>
  <c r="BI13" i="2"/>
  <c r="BI44" i="2"/>
  <c r="BI113" i="2"/>
  <c r="BI143" i="2"/>
  <c r="BI50" i="2"/>
  <c r="BI183" i="2"/>
  <c r="BI60" i="2"/>
  <c r="BI184" i="2"/>
  <c r="BI71" i="2"/>
  <c r="BI155" i="2"/>
  <c r="BI193" i="2"/>
  <c r="BI15" i="2"/>
  <c r="BI168" i="2"/>
  <c r="BI55" i="2"/>
  <c r="BI27" i="2"/>
  <c r="BI94" i="2"/>
  <c r="BI128" i="2"/>
  <c r="BI125" i="2"/>
  <c r="BI91" i="2"/>
  <c r="BI48" i="2"/>
  <c r="BI23" i="2"/>
  <c r="BI180" i="2"/>
  <c r="BI102" i="2"/>
  <c r="BI10" i="2"/>
  <c r="BI129" i="2"/>
  <c r="BI45" i="2"/>
  <c r="BI136" i="2"/>
  <c r="BI49" i="2"/>
  <c r="BI93" i="2"/>
  <c r="BI117" i="2"/>
  <c r="BI116" i="2"/>
  <c r="BI97" i="2"/>
  <c r="BI133" i="2"/>
  <c r="BI12" i="2"/>
  <c r="BI202" i="2"/>
  <c r="BI176" i="2"/>
  <c r="BI96" i="2"/>
  <c r="BI201" i="2"/>
  <c r="BI149" i="2"/>
  <c r="BI114" i="2"/>
  <c r="BI22" i="2"/>
  <c r="BI137" i="2"/>
  <c r="BI169" i="2"/>
  <c r="BI84" i="2"/>
  <c r="BI198" i="2"/>
  <c r="BI66" i="2"/>
  <c r="BI92" i="2"/>
  <c r="BI182" i="2"/>
  <c r="BI138" i="2"/>
  <c r="BI199" i="2"/>
  <c r="BI166" i="2"/>
  <c r="BI172" i="2"/>
  <c r="BI119" i="2"/>
  <c r="BI64" i="2"/>
  <c r="BI163" i="2"/>
  <c r="BI140" i="2"/>
  <c r="BI68" i="2"/>
  <c r="BI115" i="2"/>
  <c r="BI186" i="2"/>
  <c r="BI142" i="2"/>
  <c r="BI107" i="2"/>
  <c r="BI58" i="2"/>
  <c r="BI24" i="2"/>
  <c r="BI3" i="2"/>
  <c r="C8" i="4" s="1"/>
  <c r="E8" i="4" s="1"/>
  <c r="F8" i="4" s="1"/>
  <c r="G8" i="4" s="1"/>
  <c r="L8" i="4" s="1"/>
  <c r="BI181" i="2"/>
  <c r="BI189" i="2"/>
  <c r="BI14" i="2"/>
  <c r="BI95" i="2"/>
  <c r="BI88" i="2"/>
  <c r="BI120" i="2"/>
  <c r="BI6" i="2"/>
  <c r="BI61" i="2"/>
  <c r="BI8" i="2"/>
  <c r="BI173" i="2"/>
  <c r="BI87" i="2"/>
  <c r="BI80" i="2"/>
  <c r="BI167" i="2"/>
  <c r="BI106" i="2"/>
  <c r="BI81" i="2"/>
  <c r="BI144" i="2"/>
  <c r="BI69" i="2"/>
  <c r="BI29" i="2"/>
  <c r="BI196" i="2"/>
  <c r="BI65" i="2"/>
  <c r="BI41" i="2"/>
  <c r="BI90" i="2"/>
  <c r="BI158" i="2"/>
  <c r="BI130" i="2"/>
  <c r="BI77" i="2"/>
  <c r="BI18" i="2"/>
  <c r="BI126" i="2"/>
  <c r="BI118" i="2"/>
  <c r="BI195" i="2"/>
  <c r="BI32" i="2"/>
  <c r="BI89" i="2"/>
  <c r="BI36" i="2"/>
  <c r="BI146" i="2"/>
  <c r="BI7" i="2"/>
  <c r="BI148" i="2"/>
  <c r="BI145" i="2"/>
  <c r="BI185" i="2"/>
  <c r="BI104" i="2"/>
  <c r="BI165" i="2"/>
  <c r="BI174" i="2"/>
  <c r="BI131" i="2"/>
  <c r="BI56" i="2"/>
  <c r="BI76" i="2"/>
  <c r="BI101" i="2"/>
  <c r="BI51" i="2"/>
  <c r="BI42" i="2"/>
  <c r="BI28" i="2"/>
  <c r="BI187" i="2"/>
  <c r="BI11" i="2"/>
  <c r="BI121" i="2"/>
  <c r="BI34" i="2"/>
  <c r="BI150" i="2"/>
  <c r="BI127" i="2"/>
  <c r="BI200" i="2"/>
  <c r="BI123" i="2"/>
  <c r="BI63" i="2"/>
  <c r="BI108" i="2"/>
  <c r="BI31" i="2"/>
  <c r="BI30" i="2"/>
  <c r="BI74" i="2"/>
  <c r="BI98" i="2"/>
  <c r="BI72" i="2"/>
  <c r="BI194" i="2"/>
  <c r="BI86" i="2"/>
  <c r="BI4" i="2"/>
  <c r="BI135" i="2"/>
  <c r="BI70" i="2"/>
  <c r="BI179" i="2"/>
  <c r="BI33" i="2"/>
  <c r="BI134" i="2"/>
  <c r="BI157" i="2"/>
  <c r="BI175" i="2"/>
  <c r="BI203" i="2"/>
  <c r="BI124" i="2"/>
  <c r="BI197" i="2"/>
  <c r="BI21" i="2"/>
  <c r="BI85" i="2"/>
  <c r="BI17" i="2"/>
  <c r="BI161" i="2"/>
  <c r="BI188" i="2"/>
  <c r="BI105" i="2"/>
  <c r="BI67" i="2"/>
  <c r="BF119" i="2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<sst xmlns="http://schemas.openxmlformats.org/spreadsheetml/2006/main" count="1175" uniqueCount="325">
  <si>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</si>
  <si>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</si>
  <si>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</si>
  <si>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</si>
  <si>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</si>
  <si>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</si>
  <si>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</si>
  <si>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</si>
  <si>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</si>
  <si>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</si>
  <si>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</si>
  <si>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</si>
  <si>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</si>
  <si>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</si>
  <si>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</si>
  <si>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</si>
  <si>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</si>
  <si>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</si>
  <si>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</si>
  <si>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</si>
  <si>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</si>
  <si>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</si>
  <si>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</si>
  <si>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</si>
  <si>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</si>
  <si>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</si>
  <si>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</si>
  <si>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</si>
  <si>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</si>
  <si>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</si>
  <si>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</si>
  <si>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</si>
  <si>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</si>
  <si>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</si>
  <si>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</si>
  <si>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</si>
  <si>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</si>
  <si>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</si>
  <si>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</si>
  <si>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</si>
  <si>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</si>
  <si>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</si>
  <si>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</si>
  <si>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</si>
  <si>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</si>
  <si>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</si>
  <si>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</si>
  <si>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</si>
  <si>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</si>
  <si>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</si>
  <si>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</si>
  <si>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</si>
  <si>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</si>
  <si>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</si>
  <si>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</si>
  <si>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</si>
  <si>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</si>
  <si>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</si>
  <si>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</si>
  <si>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</si>
  <si>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</si>
  <si>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</si>
  <si>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</si>
  <si>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</si>
  <si>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</si>
  <si>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</si>
  <si>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</si>
  <si>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</si>
  <si>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</si>
  <si>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</si>
  <si>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</si>
  <si>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</si>
  <si>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</si>
  <si>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</si>
  <si>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</si>
  <si>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</si>
  <si>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</si>
  <si>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</si>
  <si>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</si>
  <si>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</si>
  <si>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</si>
  <si>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</si>
  <si>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</si>
  <si>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</si>
  <si>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</si>
  <si>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</si>
  <si>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</si>
  <si>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</si>
  <si>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</si>
  <si>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</si>
  <si>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</si>
  <si>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</si>
  <si>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</si>
  <si>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</si>
  <si>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</si>
  <si>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</si>
  <si>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</si>
  <si>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</si>
  <si>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</si>
  <si>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</si>
  <si>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</si>
  <si>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</si>
  <si>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</si>
  <si>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</si>
  <si>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</si>
  <si>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</si>
  <si>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</si>
  <si>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</si>
  <si>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</si>
  <si>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</si>
  <si>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</si>
  <si>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</si>
  <si>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</si>
  <si>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</si>
  <si>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</si>
  <si>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</si>
  <si>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</si>
  <si>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</si>
  <si>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</si>
  <si>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</si>
  <si>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</si>
  <si>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</si>
  <si>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</si>
  <si>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</si>
  <si>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</si>
  <si>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</si>
  <si>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</si>
  <si>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</si>
  <si>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</si>
  <si>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</si>
  <si>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</si>
  <si>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</si>
  <si>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</si>
  <si>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</si>
  <si>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</si>
  <si>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</si>
  <si>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</si>
  <si>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</si>
  <si>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</si>
  <si>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</si>
  <si>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</si>
  <si>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</si>
  <si>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</si>
  <si>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</si>
  <si>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</si>
  <si>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</si>
  <si>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</si>
  <si>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</si>
  <si>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</si>
  <si>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</si>
  <si>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</si>
  <si>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</si>
  <si>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</si>
  <si>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</si>
  <si>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</si>
  <si>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</si>
  <si>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</si>
  <si>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</si>
  <si>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</si>
  <si>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</si>
  <si>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</si>
  <si>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</si>
  <si>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</si>
  <si>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</si>
  <si>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</si>
  <si>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</si>
  <si>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</si>
  <si>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</si>
  <si>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</si>
  <si>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</si>
  <si>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</si>
  <si>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</si>
  <si>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</si>
  <si>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</si>
  <si>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</si>
  <si>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</si>
  <si>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</si>
  <si>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</si>
  <si>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</si>
  <si>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</si>
  <si>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</si>
  <si>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</si>
  <si>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</si>
  <si>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</si>
  <si>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</si>
  <si>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</si>
  <si>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</si>
  <si>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</si>
  <si>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</si>
  <si>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</si>
  <si>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</si>
  <si>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</si>
  <si>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</si>
  <si>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</si>
  <si>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</si>
  <si>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</si>
  <si>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</si>
  <si>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</si>
  <si>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</si>
  <si>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</si>
  <si>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</si>
  <si>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</si>
  <si>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</si>
  <si>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</si>
  <si>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</si>
  <si>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</si>
  <si>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</si>
  <si>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</si>
  <si>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</si>
  <si>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</si>
  <si>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</si>
  <si>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</si>
  <si>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</si>
  <si>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</si>
  <si>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</si>
  <si>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</si>
  <si>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</si>
  <si>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</si>
  <si>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</si>
  <si>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</si>
  <si>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</si>
  <si>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</si>
  <si>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</si>
  <si>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</si>
  <si>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</si>
  <si>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</si>
  <si>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</si>
  <si>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</si>
  <si>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</si>
  <si>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</si>
  <si>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</si>
  <si>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</si>
  <si>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</si>
  <si>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</si>
  <si>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</si>
  <si>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</si>
  <si>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</si>
  <si>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</si>
  <si>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</si>
  <si>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</si>
  <si>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</si>
  <si>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</si>
  <si>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</si>
  <si>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</si>
  <si>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</si>
  <si>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</si>
  <si>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</si>
  <si>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</si>
  <si>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</si>
  <si>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</si>
  <si>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</si>
  <si>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</si>
  <si>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</si>
  <si>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</si>
  <si>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</si>
  <si>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</si>
  <si>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</si>
  <si>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</si>
  <si>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</si>
  <si>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</si>
  <si>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</si>
  <si>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</si>
  <si>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</si>
  <si>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</si>
  <si>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</si>
  <si>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</si>
  <si>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</si>
  <si>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</si>
  <si>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</si>
  <si>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</si>
  <si>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</si>
  <si>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</si>
  <si>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</si>
  <si>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</si>
  <si>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</si>
  <si>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</si>
  <si>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</si>
  <si>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</si>
  <si>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</si>
  <si>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</si>
  <si>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</si>
  <si>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</si>
  <si>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</si>
  <si>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</si>
  <si>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</si>
  <si>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</si>
  <si>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</si>
  <si>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</si>
  <si>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</si>
  <si>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</si>
  <si>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</si>
  <si>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</si>
  <si>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</si>
  <si>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</si>
  <si>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</si>
  <si>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</si>
  <si>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</si>
  <si>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</si>
  <si>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</si>
  <si>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</si>
  <si>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</si>
  <si>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</si>
  <si>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</si>
  <si>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</si>
  <si>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</si>
  <si>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</si>
  <si>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</si>
  <si>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</si>
  <si>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</si>
  <si>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</si>
  <si>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</si>
  <si>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</si>
  <si>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</si>
  <si>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</si>
  <si>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</si>
  <si>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</si>
  <si>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</si>
  <si>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</si>
  <si>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</si>
  <si>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</si>
  <si>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</si>
  <si>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</si>
  <si>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</si>
  <si>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</si>
  <si>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Classe 1/5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</si>
</sst>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  <font>
      <b/>
      <sz val="11"/>
      <color rgb="FFFF0000"/>
      <name val="Calibri"/>
    </font>
    <font>
      <b/>
      <sz val="11"/>
      <color rgb="FFFF0000"/>
      <name val="Calibri"/>
      <family val="2"/>
    </font>
    <font>
      <sz val="11"/>
      <color theme="1"/>
      <name val="Calibri"/>
      <family val="2"/>
    </font>
  </fonts>
  <fills count="22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rgb="FFFFFF99"/>
      </patternFill>
    </fill>
  </fills>
  <borders count="5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13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9" fontId="32" fillId="21" borderId="54" xfId="0" applyNumberFormat="1" applyFont="1" applyFill="1" applyBorder="1" applyAlignment="1" applyProtection="1">
      <alignment horizontal="center"/>
      <protection locked="0"/>
    </xf>
    <xf numFmtId="0" fontId="32" fillId="21" borderId="54" xfId="0" applyFont="1" applyFill="1" applyBorder="1" applyAlignment="1" applyProtection="1">
      <alignment horizontal="center"/>
      <protection locked="0"/>
    </xf>
    <xf numFmtId="1" fontId="32" fillId="21" borderId="54" xfId="0" applyNumberFormat="1" applyFont="1" applyFill="1" applyBorder="1" applyAlignment="1" applyProtection="1">
      <alignment horizontal="center" vertical="center"/>
      <protection locked="0"/>
    </xf>
    <xf numFmtId="1" fontId="32" fillId="21" borderId="54" xfId="0" applyNumberFormat="1" applyFont="1" applyFill="1" applyBorder="1" applyAlignment="1" applyProtection="1">
      <alignment horizontal="center"/>
      <protection locked="0"/>
    </xf>
    <xf numFmtId="0" fontId="33" fillId="21" borderId="54" xfId="0" applyFont="1" applyFill="1" applyBorder="1" applyAlignment="1" applyProtection="1">
      <alignment horizontal="center" wrapText="1"/>
      <protection locked="0"/>
    </xf>
    <xf numFmtId="9" fontId="33" fillId="21" borderId="54" xfId="0" applyNumberFormat="1" applyFont="1" applyFill="1" applyBorder="1" applyAlignment="1" applyProtection="1">
      <alignment horizontal="center"/>
      <protection locked="0"/>
    </xf>
    <xf numFmtId="0" fontId="33" fillId="21" borderId="54" xfId="0" applyFont="1" applyFill="1" applyBorder="1" applyAlignment="1" applyProtection="1">
      <alignment horizontal="center"/>
      <protection locked="0"/>
    </xf>
    <xf numFmtId="0" fontId="33" fillId="21" borderId="55" xfId="0" applyFont="1" applyFill="1" applyBorder="1" applyAlignment="1" applyProtection="1">
      <alignment horizontal="center"/>
      <protection locked="0"/>
    </xf>
    <xf numFmtId="0" fontId="34" fillId="21" borderId="54" xfId="0" applyFont="1" applyFill="1" applyBorder="1" applyAlignment="1" applyProtection="1">
      <alignment horizontal="center" vertical="center"/>
      <protection locked="0"/>
    </xf>
    <xf numFmtId="9" fontId="34" fillId="21" borderId="54" xfId="0" applyNumberFormat="1" applyFont="1" applyFill="1" applyBorder="1" applyAlignment="1" applyProtection="1">
      <alignment horizontal="center" vertical="center"/>
      <protection locked="0"/>
    </xf>
    <xf numFmtId="1" fontId="34" fillId="21" borderId="54" xfId="0" applyNumberFormat="1" applyFont="1" applyFill="1" applyBorder="1" applyAlignment="1" applyProtection="1">
      <alignment horizontal="center" vertical="center"/>
      <protection locked="0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2.6857443894469211</c:v>
                </c:pt>
                <c:pt idx="2">
                  <c:v>3.122034130234951</c:v>
                </c:pt>
                <c:pt idx="3">
                  <c:v>3.6294543058913398</c:v>
                </c:pt>
                <c:pt idx="4">
                  <c:v>4.219641194607795</c:v>
                </c:pt>
                <c:pt idx="5">
                  <c:v>4.9061407294163786</c:v>
                </c:pt>
                <c:pt idx="6">
                  <c:v>5.7047228238476988</c:v>
                </c:pt>
                <c:pt idx="7">
                  <c:v>6.6337475765053417</c:v>
                </c:pt>
                <c:pt idx="8">
                  <c:v>7.7145919385922284</c:v>
                </c:pt>
                <c:pt idx="9">
                  <c:v>8.9721468520246077</c:v>
                </c:pt>
                <c:pt idx="10">
                  <c:v>10.435396525956238</c:v>
                </c:pt>
                <c:pt idx="11">
                  <c:v>12.138093455701485</c:v>
                </c:pt>
                <c:pt idx="12">
                  <c:v>14.119545046154242</c:v>
                </c:pt>
                <c:pt idx="13">
                  <c:v>16.425530335480399</c:v>
                </c:pt>
                <c:pt idx="14">
                  <c:v>19.109368386693976</c:v>
                </c:pt>
                <c:pt idx="15">
                  <c:v>22.233163497734726</c:v>
                </c:pt>
                <c:pt idx="16">
                  <c:v>25.86925656006137</c:v>
                </c:pt>
                <c:pt idx="17">
                  <c:v>30.101916771000322</c:v>
                </c:pt>
                <c:pt idx="18">
                  <c:v>35.029313592193489</c:v>
                </c:pt>
                <c:pt idx="19">
                  <c:v>40.765815480900322</c:v>
                </c:pt>
                <c:pt idx="20">
                  <c:v>47.444669660689108</c:v>
                </c:pt>
                <c:pt idx="21">
                  <c:v>55.221126227665629</c:v>
                </c:pt>
                <c:pt idx="22">
                  <c:v>64.27608042313831</c:v>
                </c:pt>
                <c:pt idx="23">
                  <c:v>74.820319194790898</c:v>
                </c:pt>
                <c:pt idx="24">
                  <c:v>87.099472509337545</c:v>
                </c:pt>
                <c:pt idx="25">
                  <c:v>101.399786612615</c:v>
                </c:pt>
                <c:pt idx="26">
                  <c:v>118.05485595773911</c:v>
                </c:pt>
                <c:pt idx="27">
                  <c:v>137.45347330477486</c:v>
                </c:pt>
                <c:pt idx="28">
                  <c:v>160.04878408084764</c:v>
                </c:pt>
                <c:pt idx="29">
                  <c:v>186.3689621133814</c:v>
                </c:pt>
                <c:pt idx="30">
                  <c:v>217.02966005320079</c:v>
                </c:pt>
                <c:pt idx="31">
                  <c:v>248.51475186126243</c:v>
                </c:pt>
                <c:pt idx="32">
                  <c:v>279.90926914169262</c:v>
                </c:pt>
                <c:pt idx="33">
                  <c:v>311.22479577806126</c:v>
                </c:pt>
                <c:pt idx="34">
                  <c:v>342.47039160511548</c:v>
                </c:pt>
                <c:pt idx="35">
                  <c:v>300.58416421224229</c:v>
                </c:pt>
                <c:pt idx="36">
                  <c:v>327.30479284170019</c:v>
                </c:pt>
                <c:pt idx="37">
                  <c:v>353.97726243685491</c:v>
                </c:pt>
                <c:pt idx="38">
                  <c:v>380.6057087655667</c:v>
                </c:pt>
                <c:pt idx="39">
                  <c:v>407.19364188215781</c:v>
                </c:pt>
                <c:pt idx="40">
                  <c:v>433.74407631419825</c:v>
                </c:pt>
                <c:pt idx="41">
                  <c:v>460.25962768938712</c:v>
                </c:pt>
                <c:pt idx="42">
                  <c:v>486.74258592712107</c:v>
                </c:pt>
                <c:pt idx="43">
                  <c:v>407.21770337500584</c:v>
                </c:pt>
                <c:pt idx="44">
                  <c:v>434.17658984458558</c:v>
                </c:pt>
                <c:pt idx="45">
                  <c:v>461.09955102666845</c:v>
                </c:pt>
                <c:pt idx="46">
                  <c:v>487.98897707021132</c:v>
                </c:pt>
                <c:pt idx="47">
                  <c:v>514.8469734791023</c:v>
                </c:pt>
                <c:pt idx="48">
                  <c:v>541.67540838982075</c:v>
                </c:pt>
                <c:pt idx="49">
                  <c:v>568.47594999773617</c:v>
                </c:pt>
                <c:pt idx="50">
                  <c:v>595.25009656142754</c:v>
                </c:pt>
                <c:pt idx="51">
                  <c:v>493.74067911671705</c:v>
                </c:pt>
                <c:pt idx="52">
                  <c:v>519.72092525120149</c:v>
                </c:pt>
                <c:pt idx="53">
                  <c:v>545.67379571805805</c:v>
                </c:pt>
                <c:pt idx="54">
                  <c:v>571.60077407490223</c:v>
                </c:pt>
                <c:pt idx="55">
                  <c:v>597.5031984733813</c:v>
                </c:pt>
                <c:pt idx="56">
                  <c:v>623.38228172182801</c:v>
                </c:pt>
                <c:pt idx="57">
                  <c:v>649.23912784550669</c:v>
                </c:pt>
                <c:pt idx="58">
                  <c:v>675.07474587368438</c:v>
                </c:pt>
                <c:pt idx="59">
                  <c:v>581.42684221806064</c:v>
                </c:pt>
                <c:pt idx="60">
                  <c:v>606.37069099648488</c:v>
                </c:pt>
                <c:pt idx="61">
                  <c:v>631.29324211857431</c:v>
                </c:pt>
                <c:pt idx="62">
                  <c:v>656.19545361617304</c:v>
                </c:pt>
                <c:pt idx="63">
                  <c:v>681.07820496995589</c:v>
                </c:pt>
                <c:pt idx="64">
                  <c:v>705.94230624147656</c:v>
                </c:pt>
                <c:pt idx="65">
                  <c:v>730.78850585304974</c:v>
                </c:pt>
                <c:pt idx="66">
                  <c:v>755.61749725572361</c:v>
                </c:pt>
                <c:pt idx="67">
                  <c:v>642.97235445101421</c:v>
                </c:pt>
                <c:pt idx="68">
                  <c:v>666.13179210898409</c:v>
                </c:pt>
                <c:pt idx="69">
                  <c:v>689.27467392298729</c:v>
                </c:pt>
                <c:pt idx="70">
                  <c:v>712.4016333156037</c:v>
                </c:pt>
                <c:pt idx="71">
                  <c:v>735.51325928166182</c:v>
                </c:pt>
                <c:pt idx="72">
                  <c:v>758.61010083026611</c:v>
                </c:pt>
                <c:pt idx="73">
                  <c:v>781.69267085833235</c:v>
                </c:pt>
                <c:pt idx="74">
                  <c:v>804.76144954334779</c:v>
                </c:pt>
                <c:pt idx="75">
                  <c:v>693.08187601728639</c:v>
                </c:pt>
                <c:pt idx="76">
                  <c:v>714.8651844379109</c:v>
                </c:pt>
                <c:pt idx="77">
                  <c:v>736.63494076272411</c:v>
                </c:pt>
                <c:pt idx="78">
                  <c:v>758.39160139181729</c:v>
                </c:pt>
                <c:pt idx="79">
                  <c:v>780.135594436509</c:v>
                </c:pt>
                <c:pt idx="80">
                  <c:v>801.86732222809178</c:v>
                </c:pt>
                <c:pt idx="81">
                  <c:v>823.58716354079934</c:v>
                </c:pt>
                <c:pt idx="82">
                  <c:v>845.2954755683736</c:v>
                </c:pt>
                <c:pt idx="83">
                  <c:v>764.11016684433741</c:v>
                </c:pt>
                <c:pt idx="84">
                  <c:v>785.26706330064053</c:v>
                </c:pt>
                <c:pt idx="85">
                  <c:v>806.41243130197529</c:v>
                </c:pt>
                <c:pt idx="86">
                  <c:v>827.54661532158877</c:v>
                </c:pt>
                <c:pt idx="87">
                  <c:v>848.66994082662222</c:v>
                </c:pt>
                <c:pt idx="88">
                  <c:v>869.78271578316901</c:v>
                </c:pt>
                <c:pt idx="89">
                  <c:v>890.8852320077923</c:v>
                </c:pt>
                <c:pt idx="90">
                  <c:v>911.97776638450239</c:v>
                </c:pt>
                <c:pt idx="91">
                  <c:v>812.49390908703117</c:v>
                </c:pt>
                <c:pt idx="92">
                  <c:v>832.89482663148908</c:v>
                </c:pt>
                <c:pt idx="93">
                  <c:v>853.28569747954941</c:v>
                </c:pt>
                <c:pt idx="94">
                  <c:v>873.66679521552112</c:v>
                </c:pt>
                <c:pt idx="95">
                  <c:v>894.03837963545186</c:v>
                </c:pt>
                <c:pt idx="96">
                  <c:v>914.40069774666847</c:v>
                </c:pt>
                <c:pt idx="97">
                  <c:v>934.75398467377056</c:v>
                </c:pt>
                <c:pt idx="98">
                  <c:v>955.09846448172914</c:v>
                </c:pt>
                <c:pt idx="99">
                  <c:v>975.43435092530251</c:v>
                </c:pt>
                <c:pt idx="100">
                  <c:v>995.76184813280224</c:v>
                </c:pt>
                <c:pt idx="101">
                  <c:v>853.50367768210856</c:v>
                </c:pt>
                <c:pt idx="102">
                  <c:v>872.56792007059573</c:v>
                </c:pt>
                <c:pt idx="103">
                  <c:v>891.62382709026269</c:v>
                </c:pt>
                <c:pt idx="104">
                  <c:v>910.67160175122228</c:v>
                </c:pt>
                <c:pt idx="105">
                  <c:v>929.71143788983875</c:v>
                </c:pt>
                <c:pt idx="106">
                  <c:v>948.74352076643015</c:v>
                </c:pt>
                <c:pt idx="107">
                  <c:v>967.76802761258398</c:v>
                </c:pt>
                <c:pt idx="108">
                  <c:v>986.7851281332587</c:v>
                </c:pt>
                <c:pt idx="109">
                  <c:v>1005.7949849682217</c:v>
                </c:pt>
                <c:pt idx="110">
                  <c:v>1024.797754116838</c:v>
                </c:pt>
                <c:pt idx="111">
                  <c:v>916.83864332029782</c:v>
                </c:pt>
                <c:pt idx="112">
                  <c:v>935.98568396874987</c:v>
                </c:pt>
                <c:pt idx="113">
                  <c:v>955.12494165497276</c:v>
                </c:pt>
                <c:pt idx="114">
                  <c:v>974.25659409367847</c:v>
                </c:pt>
                <c:pt idx="115">
                  <c:v>993.3808114605722</c:v>
                </c:pt>
                <c:pt idx="116">
                  <c:v>1012.4977568540604</c:v>
                </c:pt>
                <c:pt idx="117">
                  <c:v>1031.6075867203278</c:v>
                </c:pt>
                <c:pt idx="118">
                  <c:v>1050.7104512453261</c:v>
                </c:pt>
                <c:pt idx="119">
                  <c:v>1069.806494716817</c:v>
                </c:pt>
                <c:pt idx="120">
                  <c:v>1088.8958558592615</c:v>
                </c:pt>
                <c:pt idx="121">
                  <c:v>993.97986065606619</c:v>
                </c:pt>
                <c:pt idx="122">
                  <c:v>1013.2269232302006</c:v>
                </c:pt>
                <c:pt idx="123">
                  <c:v>1032.4667788118757</c:v>
                </c:pt>
                <c:pt idx="124">
                  <c:v>1051.6995804239334</c:v>
                </c:pt>
                <c:pt idx="125">
                  <c:v>1070.9254750444707</c:v>
                </c:pt>
                <c:pt idx="126">
                  <c:v>1090.1446039520199</c:v>
                </c:pt>
                <c:pt idx="127">
                  <c:v>1109.3571030451628</c:v>
                </c:pt>
                <c:pt idx="128">
                  <c:v>1128.5631031388839</c:v>
                </c:pt>
                <c:pt idx="129">
                  <c:v>1147.7627302397366</c:v>
                </c:pt>
                <c:pt idx="130">
                  <c:v>1166.9561058016695</c:v>
                </c:pt>
                <c:pt idx="131">
                  <c:v>1056.0145373482478</c:v>
                </c:pt>
                <c:pt idx="132">
                  <c:v>1075.1955048808261</c:v>
                </c:pt>
                <c:pt idx="133">
                  <c:v>1094.3697677240241</c:v>
                </c:pt>
                <c:pt idx="134">
                  <c:v>1113.5374597173118</c:v>
                </c:pt>
                <c:pt idx="135">
                  <c:v>1132.6987097240253</c:v>
                </c:pt>
                <c:pt idx="136">
                  <c:v>1151.8536418991105</c:v>
                </c:pt>
                <c:pt idx="137">
                  <c:v>1171.0023759381538</c:v>
                </c:pt>
                <c:pt idx="138">
                  <c:v>1190.1450273093087</c:v>
                </c:pt>
                <c:pt idx="139">
                  <c:v>1209.2817074695456</c:v>
                </c:pt>
                <c:pt idx="140">
                  <c:v>1228.4125240665314</c:v>
                </c:pt>
                <c:pt idx="141">
                  <c:v>1119.6745055786266</c:v>
                </c:pt>
                <c:pt idx="142">
                  <c:v>1138.9034527415567</c:v>
                </c:pt>
                <c:pt idx="143">
                  <c:v>1158.1260755198246</c:v>
                </c:pt>
                <c:pt idx="144">
                  <c:v>1177.3424935042206</c:v>
                </c:pt>
                <c:pt idx="145">
                  <c:v>1196.5528220697386</c:v>
                </c:pt>
                <c:pt idx="146">
                  <c:v>1215.7571725908363</c:v>
                </c:pt>
                <c:pt idx="147">
                  <c:v>1234.9556526424064</c:v>
                </c:pt>
                <c:pt idx="148">
                  <c:v>1254.1483661876305</c:v>
                </c:pt>
                <c:pt idx="149">
                  <c:v>1273.3354137537467</c:v>
                </c:pt>
                <c:pt idx="150">
                  <c:v>1292.5168925967025</c:v>
                </c:pt>
                <c:pt idx="151">
                  <c:v>847.63361691372813</c:v>
                </c:pt>
                <c:pt idx="152">
                  <c:v>845.32707293791202</c:v>
                </c:pt>
                <c:pt idx="153">
                  <c:v>843.02040256144949</c:v>
                </c:pt>
                <c:pt idx="154">
                  <c:v>572.49897541888333</c:v>
                </c:pt>
                <c:pt idx="155">
                  <c:v>570.7025432450497</c:v>
                </c:pt>
                <c:pt idx="156">
                  <c:v>568.90599291549734</c:v>
                </c:pt>
                <c:pt idx="157">
                  <c:v>400.1166168694744</c:v>
                </c:pt>
                <c:pt idx="158">
                  <c:v>398.72367688353097</c:v>
                </c:pt>
                <c:pt idx="159">
                  <c:v>397.33063149976351</c:v>
                </c:pt>
                <c:pt idx="160">
                  <c:v>43.674580177674272</c:v>
                </c:pt>
                <c:pt idx="161">
                  <c:v>43.674580177674272</c:v>
                </c:pt>
                <c:pt idx="162">
                  <c:v>43.674580177674272</c:v>
                </c:pt>
                <c:pt idx="163">
                  <c:v>43.674580177674272</c:v>
                </c:pt>
                <c:pt idx="164">
                  <c:v>43.674580177674272</c:v>
                </c:pt>
                <c:pt idx="165">
                  <c:v>43.674580177674272</c:v>
                </c:pt>
                <c:pt idx="166">
                  <c:v>43.674580177674272</c:v>
                </c:pt>
                <c:pt idx="167">
                  <c:v>43.674580177674272</c:v>
                </c:pt>
                <c:pt idx="168">
                  <c:v>43.674580177674272</c:v>
                </c:pt>
                <c:pt idx="169">
                  <c:v>43.674580177674272</c:v>
                </c:pt>
                <c:pt idx="170">
                  <c:v>43.674580177674272</c:v>
                </c:pt>
                <c:pt idx="171">
                  <c:v>43.674580177674272</c:v>
                </c:pt>
                <c:pt idx="172">
                  <c:v>43.674580177674272</c:v>
                </c:pt>
                <c:pt idx="173">
                  <c:v>43.674580177674272</c:v>
                </c:pt>
                <c:pt idx="174">
                  <c:v>43.674580177674272</c:v>
                </c:pt>
                <c:pt idx="175">
                  <c:v>43.674580177674272</c:v>
                </c:pt>
                <c:pt idx="176">
                  <c:v>43.674580177674272</c:v>
                </c:pt>
                <c:pt idx="177">
                  <c:v>43.674580177674272</c:v>
                </c:pt>
                <c:pt idx="178">
                  <c:v>43.674580177674272</c:v>
                </c:pt>
                <c:pt idx="179">
                  <c:v>43.674580177674272</c:v>
                </c:pt>
                <c:pt idx="180">
                  <c:v>43.674580177674272</c:v>
                </c:pt>
                <c:pt idx="181">
                  <c:v>43.674580177674272</c:v>
                </c:pt>
                <c:pt idx="182">
                  <c:v>43.674580177674272</c:v>
                </c:pt>
                <c:pt idx="183">
                  <c:v>43.674580177674272</c:v>
                </c:pt>
                <c:pt idx="184">
                  <c:v>43.674580177674272</c:v>
                </c:pt>
                <c:pt idx="185">
                  <c:v>43.674580177674272</c:v>
                </c:pt>
                <c:pt idx="186">
                  <c:v>43.674580177674272</c:v>
                </c:pt>
                <c:pt idx="187">
                  <c:v>43.674580177674272</c:v>
                </c:pt>
                <c:pt idx="188">
                  <c:v>43.674580177674272</c:v>
                </c:pt>
                <c:pt idx="189">
                  <c:v>43.674580177674272</c:v>
                </c:pt>
                <c:pt idx="190">
                  <c:v>43.674580177674272</c:v>
                </c:pt>
                <c:pt idx="191">
                  <c:v>43.674580177674272</c:v>
                </c:pt>
                <c:pt idx="192">
                  <c:v>43.674580177674272</c:v>
                </c:pt>
                <c:pt idx="193">
                  <c:v>43.674580177674272</c:v>
                </c:pt>
                <c:pt idx="194">
                  <c:v>43.674580177674272</c:v>
                </c:pt>
                <c:pt idx="195">
                  <c:v>43.674580177674272</c:v>
                </c:pt>
                <c:pt idx="196">
                  <c:v>43.674580177674272</c:v>
                </c:pt>
                <c:pt idx="197">
                  <c:v>43.674580177674272</c:v>
                </c:pt>
                <c:pt idx="198">
                  <c:v>43.674580177674272</c:v>
                </c:pt>
                <c:pt idx="199">
                  <c:v>43.674580177674272</c:v>
                </c:pt>
                <c:pt idx="200">
                  <c:v>43.674580177674272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2.8194700773142922</c:v>
                </c:pt>
                <c:pt idx="2">
                  <c:v>3.277558104836821</c:v>
                </c:pt>
                <c:pt idx="3">
                  <c:v>3.8103420024634418</c:v>
                </c:pt>
                <c:pt idx="4">
                  <c:v>4.4300430937474644</c:v>
                </c:pt>
                <c:pt idx="5">
                  <c:v>5.1508886413648538</c:v>
                </c:pt>
                <c:pt idx="6">
                  <c:v>5.9894420623379112</c:v>
                </c:pt>
                <c:pt idx="7">
                  <c:v>6.964987651006763</c:v>
                </c:pt>
                <c:pt idx="8">
                  <c:v>8.0999788297112847</c:v>
                </c:pt>
                <c:pt idx="9">
                  <c:v>9.4205604431856127</c:v>
                </c:pt>
                <c:pt idx="10">
                  <c:v>10.957177357353977</c:v>
                </c:pt>
                <c:pt idx="11">
                  <c:v>12.745283657954309</c:v>
                </c:pt>
                <c:pt idx="12">
                  <c:v>14.826169117514972</c:v>
                </c:pt>
                <c:pt idx="13">
                  <c:v>17.247922367039909</c:v>
                </c:pt>
                <c:pt idx="14">
                  <c:v>20.066553437094921</c:v>
                </c:pt>
                <c:pt idx="15">
                  <c:v>23.347302098588028</c:v>
                </c:pt>
                <c:pt idx="16">
                  <c:v>27.166162825968524</c:v>
                </c:pt>
                <c:pt idx="17">
                  <c:v>31.611662329356705</c:v>
                </c:pt>
                <c:pt idx="18">
                  <c:v>36.786931579241731</c:v>
                </c:pt>
                <c:pt idx="19">
                  <c:v>42.81212122020515</c:v>
                </c:pt>
                <c:pt idx="20">
                  <c:v>49.82721740478587</c:v>
                </c:pt>
                <c:pt idx="21">
                  <c:v>57.995324569003458</c:v>
                </c:pt>
                <c:pt idx="22">
                  <c:v>67.506492743519686</c:v>
                </c:pt>
                <c:pt idx="23">
                  <c:v>78.582179913089107</c:v>
                </c:pt>
                <c:pt idx="24">
                  <c:v>91.480455010149626</c:v>
                </c:pt>
                <c:pt idx="25">
                  <c:v>106.50206471600826</c:v>
                </c:pt>
                <c:pt idx="26">
                  <c:v>123.99750776516146</c:v>
                </c:pt>
                <c:pt idx="27">
                  <c:v>144.37528439519934</c:v>
                </c:pt>
                <c:pt idx="28">
                  <c:v>168.11151652888068</c:v>
                </c:pt>
                <c:pt idx="29">
                  <c:v>195.76116688450895</c:v>
                </c:pt>
                <c:pt idx="30">
                  <c:v>227.97112326573142</c:v>
                </c:pt>
                <c:pt idx="31">
                  <c:v>261.04764601846847</c:v>
                </c:pt>
                <c:pt idx="32">
                  <c:v>294.02946690336029</c:v>
                </c:pt>
                <c:pt idx="33">
                  <c:v>326.92869766351674</c:v>
                </c:pt>
                <c:pt idx="34">
                  <c:v>359.75481097624942</c:v>
                </c:pt>
                <c:pt idx="35">
                  <c:v>315.74990155259206</c:v>
                </c:pt>
                <c:pt idx="36">
                  <c:v>343.82203896185075</c:v>
                </c:pt>
                <c:pt idx="37">
                  <c:v>371.84382280458914</c:v>
                </c:pt>
                <c:pt idx="38">
                  <c:v>399.8195773091702</c:v>
                </c:pt>
                <c:pt idx="39">
                  <c:v>427.75297247762677</c:v>
                </c:pt>
                <c:pt idx="40">
                  <c:v>455.64716020485753</c:v>
                </c:pt>
                <c:pt idx="41">
                  <c:v>483.50487530864331</c:v>
                </c:pt>
                <c:pt idx="42">
                  <c:v>511.32851205644278</c:v>
                </c:pt>
                <c:pt idx="43">
                  <c:v>427.77825167165867</c:v>
                </c:pt>
                <c:pt idx="44">
                  <c:v>456.10156531893148</c:v>
                </c:pt>
                <c:pt idx="45">
                  <c:v>484.38731661928608</c:v>
                </c:pt>
                <c:pt idx="46">
                  <c:v>512.63800463704649</c:v>
                </c:pt>
                <c:pt idx="47">
                  <c:v>540.85583082063511</c:v>
                </c:pt>
                <c:pt idx="48">
                  <c:v>569.04274843460178</c:v>
                </c:pt>
                <c:pt idx="49">
                  <c:v>597.20050169138233</c:v>
                </c:pt>
                <c:pt idx="50">
                  <c:v>625.33065712286646</c:v>
                </c:pt>
                <c:pt idx="51">
                  <c:v>518.68090433081386</c:v>
                </c:pt>
                <c:pt idx="52">
                  <c:v>545.97656879301974</c:v>
                </c:pt>
                <c:pt idx="53">
                  <c:v>573.24361012104362</c:v>
                </c:pt>
                <c:pt idx="54">
                  <c:v>600.48357947591182</c:v>
                </c:pt>
                <c:pt idx="55">
                  <c:v>627.6978759867585</c:v>
                </c:pt>
                <c:pt idx="56">
                  <c:v>654.88776772770484</c:v>
                </c:pt>
                <c:pt idx="57">
                  <c:v>682.05440903272711</c:v>
                </c:pt>
                <c:pt idx="58">
                  <c:v>709.19885491098478</c:v>
                </c:pt>
                <c:pt idx="59">
                  <c:v>610.80729113566701</c:v>
                </c:pt>
                <c:pt idx="60">
                  <c:v>637.01450522250468</c:v>
                </c:pt>
                <c:pt idx="61">
                  <c:v>663.19945115196549</c:v>
                </c:pt>
                <c:pt idx="62">
                  <c:v>689.36313061191311</c:v>
                </c:pt>
                <c:pt idx="63">
                  <c:v>715.50646315958772</c:v>
                </c:pt>
                <c:pt idx="64">
                  <c:v>741.63029576978636</c:v>
                </c:pt>
                <c:pt idx="65">
                  <c:v>767.73541096926454</c:v>
                </c:pt>
                <c:pt idx="66">
                  <c:v>793.82253380855354</c:v>
                </c:pt>
                <c:pt idx="67">
                  <c:v>675.47017809399495</c:v>
                </c:pt>
                <c:pt idx="68">
                  <c:v>699.80284075668567</c:v>
                </c:pt>
                <c:pt idx="69">
                  <c:v>724.11819315137507</c:v>
                </c:pt>
                <c:pt idx="70">
                  <c:v>748.41689756472385</c:v>
                </c:pt>
                <c:pt idx="71">
                  <c:v>772.69956983113752</c:v>
                </c:pt>
                <c:pt idx="72">
                  <c:v>796.96678397721132</c:v>
                </c:pt>
                <c:pt idx="73">
                  <c:v>821.2190762717745</c:v>
                </c:pt>
                <c:pt idx="74">
                  <c:v>845.45694877325502</c:v>
                </c:pt>
                <c:pt idx="75">
                  <c:v>728.11828454422846</c:v>
                </c:pt>
                <c:pt idx="76">
                  <c:v>751.00527104086268</c:v>
                </c:pt>
                <c:pt idx="77">
                  <c:v>773.87808789377812</c:v>
                </c:pt>
                <c:pt idx="78">
                  <c:v>796.73721230050739</c:v>
                </c:pt>
                <c:pt idx="79">
                  <c:v>819.58309188073554</c:v>
                </c:pt>
                <c:pt idx="80">
                  <c:v>842.41614729936589</c:v>
                </c:pt>
                <c:pt idx="81">
                  <c:v>865.23677459078397</c:v>
                </c:pt>
                <c:pt idx="82">
                  <c:v>888.04534722549408</c:v>
                </c:pt>
                <c:pt idx="83">
                  <c:v>802.74556242242124</c:v>
                </c:pt>
                <c:pt idx="84">
                  <c:v>824.97460942894668</c:v>
                </c:pt>
                <c:pt idx="85">
                  <c:v>847.1916026467585</c:v>
                </c:pt>
                <c:pt idx="86">
                  <c:v>869.3969022462137</c:v>
                </c:pt>
                <c:pt idx="87">
                  <c:v>891.59084852548483</c:v>
                </c:pt>
                <c:pt idx="88">
                  <c:v>913.7737634842</c:v>
                </c:pt>
                <c:pt idx="89">
                  <c:v>935.94595223654926</c:v>
                </c:pt>
                <c:pt idx="90">
                  <c:v>958.10770428371632</c:v>
                </c:pt>
                <c:pt idx="91">
                  <c:v>853.58129405127193</c:v>
                </c:pt>
                <c:pt idx="92">
                  <c:v>875.01617866631034</c:v>
                </c:pt>
                <c:pt idx="93">
                  <c:v>896.4405587726377</c:v>
                </c:pt>
                <c:pt idx="94">
                  <c:v>917.85472042137405</c:v>
                </c:pt>
                <c:pt idx="95">
                  <c:v>939.25893524706783</c:v>
                </c:pt>
                <c:pt idx="96">
                  <c:v>960.65346151278561</c:v>
                </c:pt>
                <c:pt idx="97">
                  <c:v>982.03854505738889</c:v>
                </c:pt>
                <c:pt idx="98">
                  <c:v>1003.4144201561403</c:v>
                </c:pt>
                <c:pt idx="99">
                  <c:v>1024.7813103042704</c:v>
                </c:pt>
                <c:pt idx="100">
                  <c:v>1046.1394289318996</c:v>
                </c:pt>
                <c:pt idx="101">
                  <c:v>896.6695875526807</c:v>
                </c:pt>
                <c:pt idx="102">
                  <c:v>916.70014494923396</c:v>
                </c:pt>
                <c:pt idx="103">
                  <c:v>936.72198714718616</c:v>
                </c:pt>
                <c:pt idx="104">
                  <c:v>956.7353264075058</c:v>
                </c:pt>
                <c:pt idx="105">
                  <c:v>976.74036539937833</c:v>
                </c:pt>
                <c:pt idx="106">
                  <c:v>996.73729782514545</c:v>
                </c:pt>
                <c:pt idx="107">
                  <c:v>1016.7263089925633</c:v>
                </c:pt>
                <c:pt idx="108">
                  <c:v>1036.7075763397804</c:v>
                </c:pt>
                <c:pt idx="109">
                  <c:v>1056.6812699178042</c:v>
                </c:pt>
                <c:pt idx="110">
                  <c:v>1076.6475528346496</c:v>
                </c:pt>
                <c:pt idx="111">
                  <c:v>963.21499473166512</c:v>
                </c:pt>
                <c:pt idx="112">
                  <c:v>983.33268600574911</c:v>
                </c:pt>
                <c:pt idx="113">
                  <c:v>1003.4422396601326</c:v>
                </c:pt>
                <c:pt idx="114">
                  <c:v>1023.5438415077092</c:v>
                </c:pt>
                <c:pt idx="115">
                  <c:v>1043.6376694788269</c:v>
                </c:pt>
                <c:pt idx="116">
                  <c:v>1063.7238941040316</c:v>
                </c:pt>
                <c:pt idx="117">
                  <c:v>1083.802678958519</c:v>
                </c:pt>
                <c:pt idx="118">
                  <c:v>1103.8741810719787</c:v>
                </c:pt>
                <c:pt idx="119">
                  <c:v>1123.9385513071427</c:v>
                </c:pt>
                <c:pt idx="120">
                  <c:v>1143.9959347099282</c:v>
                </c:pt>
                <c:pt idx="121">
                  <c:v>1044.2670914762077</c:v>
                </c:pt>
                <c:pt idx="122">
                  <c:v>1064.4900318548173</c:v>
                </c:pt>
                <c:pt idx="123">
                  <c:v>1084.7054368295419</c:v>
                </c:pt>
                <c:pt idx="124">
                  <c:v>1104.9134663962357</c:v>
                </c:pt>
                <c:pt idx="125">
                  <c:v>1125.1142742305578</c:v>
                </c:pt>
                <c:pt idx="126">
                  <c:v>1145.3080080488851</c:v>
                </c:pt>
                <c:pt idx="127">
                  <c:v>1165.4948099424848</c:v>
                </c:pt>
                <c:pt idx="128">
                  <c:v>1185.6748166873767</c:v>
                </c:pt>
                <c:pt idx="129">
                  <c:v>1205.848160032037</c:v>
                </c:pt>
                <c:pt idx="130">
                  <c:v>1226.0149669648824</c:v>
                </c:pt>
                <c:pt idx="131">
                  <c:v>1109.4472245629795</c:v>
                </c:pt>
                <c:pt idx="132">
                  <c:v>1129.6008349400859</c:v>
                </c:pt>
                <c:pt idx="133">
                  <c:v>1149.7474351055557</c:v>
                </c:pt>
                <c:pt idx="134">
                  <c:v>1169.8871649977145</c:v>
                </c:pt>
                <c:pt idx="135">
                  <c:v>1190.0201593519998</c:v>
                </c:pt>
                <c:pt idx="136">
                  <c:v>1210.1465479809058</c:v>
                </c:pt>
                <c:pt idx="137">
                  <c:v>1230.2664560343603</c:v>
                </c:pt>
                <c:pt idx="138">
                  <c:v>1250.3800042422201</c:v>
                </c:pt>
                <c:pt idx="139">
                  <c:v>1270.4873091403765</c:v>
                </c:pt>
                <c:pt idx="140">
                  <c:v>1290.5884832818329</c:v>
                </c:pt>
                <c:pt idx="141">
                  <c:v>1176.3354416548698</c:v>
                </c:pt>
                <c:pt idx="142">
                  <c:v>1196.5395769383738</c:v>
                </c:pt>
                <c:pt idx="143">
                  <c:v>1216.7370996448528</c:v>
                </c:pt>
                <c:pt idx="144">
                  <c:v>1236.9281348146633</c:v>
                </c:pt>
                <c:pt idx="145">
                  <c:v>1257.1128030802577</c:v>
                </c:pt>
                <c:pt idx="146">
                  <c:v>1277.2912208912542</c:v>
                </c:pt>
                <c:pt idx="147">
                  <c:v>1297.4635007245665</c:v>
                </c:pt>
                <c:pt idx="148">
                  <c:v>1317.6297512808158</c:v>
                </c:pt>
                <c:pt idx="149">
                  <c:v>1337.7900776681106</c:v>
                </c:pt>
                <c:pt idx="150">
                  <c:v>1357.9445815742004</c:v>
                </c:pt>
                <c:pt idx="151">
                  <c:v>890.50199799807615</c:v>
                </c:pt>
                <c:pt idx="152">
                  <c:v>888.07854611318987</c:v>
                </c:pt>
                <c:pt idx="153">
                  <c:v>885.65496206777607</c:v>
                </c:pt>
                <c:pt idx="154">
                  <c:v>601.42726969796774</c:v>
                </c:pt>
                <c:pt idx="155">
                  <c:v>599.53985842435873</c:v>
                </c:pt>
                <c:pt idx="156">
                  <c:v>597.65232361085918</c:v>
                </c:pt>
                <c:pt idx="157">
                  <c:v>420.31780098328477</c:v>
                </c:pt>
                <c:pt idx="158">
                  <c:v>418.85437018624697</c:v>
                </c:pt>
                <c:pt idx="159">
                  <c:v>417.39082918857042</c:v>
                </c:pt>
                <c:pt idx="160">
                  <c:v>45.86730951682074</c:v>
                </c:pt>
                <c:pt idx="161">
                  <c:v>45.86730951682074</c:v>
                </c:pt>
                <c:pt idx="162">
                  <c:v>45.86730951682074</c:v>
                </c:pt>
                <c:pt idx="163">
                  <c:v>45.86730951682074</c:v>
                </c:pt>
                <c:pt idx="164">
                  <c:v>45.86730951682074</c:v>
                </c:pt>
                <c:pt idx="165">
                  <c:v>45.86730951682074</c:v>
                </c:pt>
                <c:pt idx="166">
                  <c:v>45.86730951682074</c:v>
                </c:pt>
                <c:pt idx="167">
                  <c:v>45.86730951682074</c:v>
                </c:pt>
                <c:pt idx="168">
                  <c:v>45.86730951682074</c:v>
                </c:pt>
                <c:pt idx="169">
                  <c:v>45.86730951682074</c:v>
                </c:pt>
                <c:pt idx="170">
                  <c:v>45.86730951682074</c:v>
                </c:pt>
                <c:pt idx="171">
                  <c:v>45.86730951682074</c:v>
                </c:pt>
                <c:pt idx="172">
                  <c:v>45.86730951682074</c:v>
                </c:pt>
                <c:pt idx="173">
                  <c:v>45.86730951682074</c:v>
                </c:pt>
                <c:pt idx="174">
                  <c:v>45.86730951682074</c:v>
                </c:pt>
                <c:pt idx="175">
                  <c:v>45.86730951682074</c:v>
                </c:pt>
                <c:pt idx="176">
                  <c:v>45.86730951682074</c:v>
                </c:pt>
                <c:pt idx="177">
                  <c:v>45.86730951682074</c:v>
                </c:pt>
                <c:pt idx="178">
                  <c:v>45.86730951682074</c:v>
                </c:pt>
                <c:pt idx="179">
                  <c:v>45.86730951682074</c:v>
                </c:pt>
                <c:pt idx="180">
                  <c:v>45.86730951682074</c:v>
                </c:pt>
                <c:pt idx="181">
                  <c:v>45.86730951682074</c:v>
                </c:pt>
                <c:pt idx="182">
                  <c:v>45.86730951682074</c:v>
                </c:pt>
                <c:pt idx="183">
                  <c:v>45.86730951682074</c:v>
                </c:pt>
                <c:pt idx="184">
                  <c:v>45.86730951682074</c:v>
                </c:pt>
                <c:pt idx="185">
                  <c:v>45.86730951682074</c:v>
                </c:pt>
                <c:pt idx="186">
                  <c:v>45.86730951682074</c:v>
                </c:pt>
                <c:pt idx="187">
                  <c:v>45.86730951682074</c:v>
                </c:pt>
                <c:pt idx="188">
                  <c:v>45.86730951682074</c:v>
                </c:pt>
                <c:pt idx="189">
                  <c:v>45.86730951682074</c:v>
                </c:pt>
                <c:pt idx="190">
                  <c:v>45.86730951682074</c:v>
                </c:pt>
                <c:pt idx="191">
                  <c:v>45.86730951682074</c:v>
                </c:pt>
                <c:pt idx="192">
                  <c:v>45.86730951682074</c:v>
                </c:pt>
                <c:pt idx="193">
                  <c:v>45.86730951682074</c:v>
                </c:pt>
                <c:pt idx="194">
                  <c:v>45.86730951682074</c:v>
                </c:pt>
                <c:pt idx="195">
                  <c:v>45.86730951682074</c:v>
                </c:pt>
                <c:pt idx="196">
                  <c:v>45.86730951682074</c:v>
                </c:pt>
                <c:pt idx="197">
                  <c:v>45.86730951682074</c:v>
                </c:pt>
                <c:pt idx="198">
                  <c:v>45.86730951682074</c:v>
                </c:pt>
                <c:pt idx="199">
                  <c:v>45.86730951682074</c:v>
                </c:pt>
                <c:pt idx="200">
                  <c:v>45.86730951682074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2.2831395831066059</c:v>
                </c:pt>
                <c:pt idx="2">
                  <c:v>3.3622715131356418</c:v>
                </c:pt>
                <c:pt idx="3">
                  <c:v>4.9537668206699985</c:v>
                </c:pt>
                <c:pt idx="4">
                  <c:v>7.3019206751682626</c:v>
                </c:pt>
                <c:pt idx="5">
                  <c:v>10.76796491885821</c:v>
                </c:pt>
                <c:pt idx="6">
                  <c:v>15.886243830543714</c:v>
                </c:pt>
                <c:pt idx="7">
                  <c:v>23.447465214308199</c:v>
                </c:pt>
                <c:pt idx="8">
                  <c:v>34.622115381339128</c:v>
                </c:pt>
                <c:pt idx="9">
                  <c:v>51.143470796173354</c:v>
                </c:pt>
                <c:pt idx="10">
                  <c:v>75.579065897063757</c:v>
                </c:pt>
                <c:pt idx="11">
                  <c:v>111.73348684590691</c:v>
                </c:pt>
                <c:pt idx="12">
                  <c:v>141.78926461478019</c:v>
                </c:pt>
                <c:pt idx="13">
                  <c:v>119.59120534711991</c:v>
                </c:pt>
                <c:pt idx="14">
                  <c:v>146.99966348541213</c:v>
                </c:pt>
                <c:pt idx="15">
                  <c:v>174.28565960860999</c:v>
                </c:pt>
                <c:pt idx="16">
                  <c:v>202.76343275622813</c:v>
                </c:pt>
                <c:pt idx="17">
                  <c:v>232.43676367300131</c:v>
                </c:pt>
                <c:pt idx="18">
                  <c:v>200.17860042757502</c:v>
                </c:pt>
                <c:pt idx="19">
                  <c:v>225.99384895175194</c:v>
                </c:pt>
                <c:pt idx="20">
                  <c:v>253.02728945651543</c:v>
                </c:pt>
                <c:pt idx="21">
                  <c:v>278.7124764590701</c:v>
                </c:pt>
                <c:pt idx="22">
                  <c:v>304.34456023906205</c:v>
                </c:pt>
                <c:pt idx="23">
                  <c:v>253.02728945651543</c:v>
                </c:pt>
                <c:pt idx="24">
                  <c:v>274.86322161173604</c:v>
                </c:pt>
                <c:pt idx="25">
                  <c:v>296.66018896478852</c:v>
                </c:pt>
                <c:pt idx="26">
                  <c:v>319.70048005131179</c:v>
                </c:pt>
                <c:pt idx="27">
                  <c:v>341.42696956725416</c:v>
                </c:pt>
                <c:pt idx="28">
                  <c:v>361.84763005162068</c:v>
                </c:pt>
                <c:pt idx="29">
                  <c:v>382.24310448239459</c:v>
                </c:pt>
                <c:pt idx="30">
                  <c:v>402.61492499148608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4.5" x14ac:dyDescent="0.35"/>
  <cols>
    <col min="1" max="1" width="6.6328125" customWidth="1"/>
    <col min="2" max="13" width="15.81640625" customWidth="1"/>
  </cols>
  <sheetData>
    <row r="12" spans="2:13" ht="15" customHeight="1" x14ac:dyDescent="0.35">
      <c r="B12" s="266" t="s">
        <v>291</v>
      </c>
      <c r="C12" s="266"/>
      <c r="D12" s="266"/>
      <c r="E12" s="266"/>
      <c r="F12" s="266"/>
      <c r="G12" s="266"/>
      <c r="H12" s="266"/>
      <c r="I12" s="266"/>
      <c r="J12" s="266"/>
      <c r="K12" s="266"/>
      <c r="L12" s="266"/>
      <c r="M12" s="266"/>
    </row>
    <row r="13" spans="2:13" ht="15" customHeight="1" x14ac:dyDescent="0.35">
      <c r="B13" s="266"/>
      <c r="C13" s="266"/>
      <c r="D13" s="266"/>
      <c r="E13" s="266"/>
      <c r="F13" s="266"/>
      <c r="G13" s="266"/>
      <c r="H13" s="266"/>
      <c r="I13" s="266"/>
      <c r="J13" s="266"/>
      <c r="K13" s="266"/>
      <c r="L13" s="266"/>
      <c r="M13" s="266"/>
    </row>
    <row r="14" spans="2:13" ht="15" customHeight="1" x14ac:dyDescent="0.35">
      <c r="B14" s="266"/>
      <c r="C14" s="266"/>
      <c r="D14" s="266"/>
      <c r="E14" s="266"/>
      <c r="F14" s="266"/>
      <c r="G14" s="266"/>
      <c r="H14" s="266"/>
      <c r="I14" s="266"/>
      <c r="J14" s="266"/>
      <c r="K14" s="266"/>
      <c r="L14" s="266"/>
      <c r="M14" s="266"/>
    </row>
    <row r="15" spans="2:13" ht="18.75" customHeight="1" x14ac:dyDescent="0.35">
      <c r="B15" s="266"/>
      <c r="C15" s="266"/>
      <c r="D15" s="266"/>
      <c r="E15" s="266"/>
      <c r="F15" s="266"/>
      <c r="G15" s="266"/>
      <c r="H15" s="266"/>
      <c r="I15" s="266"/>
      <c r="J15" s="266"/>
      <c r="K15" s="266"/>
      <c r="L15" s="266"/>
      <c r="M15" s="266"/>
    </row>
    <row r="16" spans="2:13" ht="18.75" customHeight="1" x14ac:dyDescent="0.35">
      <c r="B16" s="266"/>
      <c r="C16" s="266"/>
      <c r="D16" s="266"/>
      <c r="E16" s="266"/>
      <c r="F16" s="266"/>
      <c r="G16" s="266"/>
      <c r="H16" s="266"/>
      <c r="I16" s="266"/>
      <c r="J16" s="266"/>
      <c r="K16" s="266"/>
      <c r="L16" s="266"/>
      <c r="M16" s="266"/>
    </row>
    <row r="18" spans="2:13" ht="12" customHeight="1" x14ac:dyDescent="0.35">
      <c r="B18" s="266" t="s">
        <v>292</v>
      </c>
      <c r="C18" s="266"/>
      <c r="D18" s="266"/>
      <c r="E18" s="266"/>
      <c r="F18" s="266"/>
      <c r="G18" s="266"/>
      <c r="H18" s="266"/>
      <c r="I18" s="266"/>
      <c r="J18" s="266"/>
      <c r="K18" s="266"/>
      <c r="L18" s="266"/>
      <c r="M18" s="266"/>
    </row>
    <row r="19" spans="2:13" ht="12" customHeight="1" x14ac:dyDescent="0.35">
      <c r="B19" s="266"/>
      <c r="C19" s="266"/>
      <c r="D19" s="266"/>
      <c r="E19" s="266"/>
      <c r="F19" s="266"/>
      <c r="G19" s="266"/>
      <c r="H19" s="266"/>
      <c r="I19" s="266"/>
      <c r="J19" s="266"/>
      <c r="K19" s="266"/>
      <c r="L19" s="266"/>
      <c r="M19" s="266"/>
    </row>
    <row r="20" spans="2:13" ht="12" customHeight="1" x14ac:dyDescent="0.35">
      <c r="B20" s="266"/>
      <c r="C20" s="266"/>
      <c r="D20" s="266"/>
      <c r="E20" s="266"/>
      <c r="F20" s="266"/>
      <c r="G20" s="266"/>
      <c r="H20" s="266"/>
      <c r="I20" s="266"/>
      <c r="J20" s="266"/>
      <c r="K20" s="266"/>
      <c r="L20" s="266"/>
      <c r="M20" s="266"/>
    </row>
    <row r="21" spans="2:13" ht="12" customHeight="1" x14ac:dyDescent="0.35">
      <c r="B21" s="266"/>
      <c r="C21" s="266"/>
      <c r="D21" s="266"/>
      <c r="E21" s="266"/>
      <c r="F21" s="266"/>
      <c r="G21" s="266"/>
      <c r="H21" s="266"/>
      <c r="I21" s="266"/>
      <c r="J21" s="266"/>
      <c r="K21" s="266"/>
      <c r="L21" s="266"/>
      <c r="M21" s="266"/>
    </row>
    <row r="22" spans="2:13" ht="12" customHeight="1" x14ac:dyDescent="0.35">
      <c r="B22" s="266"/>
      <c r="C22" s="266"/>
      <c r="D22" s="266"/>
      <c r="E22" s="266"/>
      <c r="F22" s="266"/>
      <c r="G22" s="266"/>
      <c r="H22" s="266"/>
      <c r="I22" s="266"/>
      <c r="J22" s="266"/>
      <c r="K22" s="266"/>
      <c r="L22" s="266"/>
      <c r="M22" s="266"/>
    </row>
    <row r="23" spans="2:13" ht="12" customHeight="1" x14ac:dyDescent="0.35">
      <c r="B23" s="266"/>
      <c r="C23" s="266"/>
      <c r="D23" s="266"/>
      <c r="E23" s="266"/>
      <c r="F23" s="266"/>
      <c r="G23" s="266"/>
      <c r="H23" s="266"/>
      <c r="I23" s="266"/>
      <c r="J23" s="266"/>
      <c r="K23" s="266"/>
      <c r="L23" s="266"/>
      <c r="M23" s="266"/>
    </row>
    <row r="24" spans="2:13" ht="12" customHeight="1" x14ac:dyDescent="0.35">
      <c r="B24" s="266"/>
      <c r="C24" s="266"/>
      <c r="D24" s="266"/>
      <c r="E24" s="266"/>
      <c r="F24" s="266"/>
      <c r="G24" s="266"/>
      <c r="H24" s="266"/>
      <c r="I24" s="266"/>
      <c r="J24" s="266"/>
      <c r="K24" s="266"/>
      <c r="L24" s="266"/>
      <c r="M24" s="266"/>
    </row>
    <row r="25" spans="2:13" ht="12" customHeight="1" x14ac:dyDescent="0.35">
      <c r="B25" s="266"/>
      <c r="C25" s="266"/>
      <c r="D25" s="266"/>
      <c r="E25" s="266"/>
      <c r="F25" s="266"/>
      <c r="G25" s="266"/>
      <c r="H25" s="266"/>
      <c r="I25" s="266"/>
      <c r="J25" s="266"/>
      <c r="K25" s="266"/>
      <c r="L25" s="266"/>
      <c r="M25" s="266"/>
    </row>
    <row r="26" spans="2:13" ht="12" customHeight="1" x14ac:dyDescent="0.35">
      <c r="B26" s="266"/>
      <c r="C26" s="266"/>
      <c r="D26" s="266"/>
      <c r="E26" s="266"/>
      <c r="F26" s="266"/>
      <c r="G26" s="266"/>
      <c r="H26" s="266"/>
      <c r="I26" s="266"/>
      <c r="J26" s="266"/>
      <c r="K26" s="266"/>
      <c r="L26" s="266"/>
      <c r="M26" s="266"/>
    </row>
    <row r="27" spans="2:13" ht="12" customHeight="1" x14ac:dyDescent="0.35">
      <c r="B27" s="266"/>
      <c r="C27" s="266"/>
      <c r="D27" s="266"/>
      <c r="E27" s="266"/>
      <c r="F27" s="266"/>
      <c r="G27" s="266"/>
      <c r="H27" s="266"/>
      <c r="I27" s="266"/>
      <c r="J27" s="266"/>
      <c r="K27" s="266"/>
      <c r="L27" s="266"/>
      <c r="M27" s="266"/>
    </row>
    <row r="28" spans="2:13" ht="12" customHeight="1" x14ac:dyDescent="0.35">
      <c r="B28" s="266"/>
      <c r="C28" s="266"/>
      <c r="D28" s="266"/>
      <c r="E28" s="266"/>
      <c r="F28" s="266"/>
      <c r="G28" s="266"/>
      <c r="H28" s="266"/>
      <c r="I28" s="266"/>
      <c r="J28" s="266"/>
      <c r="K28" s="266"/>
      <c r="L28" s="266"/>
      <c r="M28" s="266"/>
    </row>
    <row r="29" spans="2:13" ht="12" customHeight="1" x14ac:dyDescent="0.35">
      <c r="B29" s="266"/>
      <c r="C29" s="266"/>
      <c r="D29" s="266"/>
      <c r="E29" s="266"/>
      <c r="F29" s="266"/>
      <c r="G29" s="266"/>
      <c r="H29" s="266"/>
      <c r="I29" s="266"/>
      <c r="J29" s="266"/>
      <c r="K29" s="266"/>
      <c r="L29" s="266"/>
      <c r="M29" s="266"/>
    </row>
    <row r="30" spans="2:13" ht="12" customHeight="1" x14ac:dyDescent="0.35">
      <c r="B30" s="266"/>
      <c r="C30" s="266"/>
      <c r="D30" s="266"/>
      <c r="E30" s="266"/>
      <c r="F30" s="266"/>
      <c r="G30" s="266"/>
      <c r="H30" s="266"/>
      <c r="I30" s="266"/>
      <c r="J30" s="266"/>
      <c r="K30" s="266"/>
      <c r="L30" s="266"/>
      <c r="M30" s="266"/>
    </row>
    <row r="31" spans="2:13" ht="12" customHeight="1" x14ac:dyDescent="0.35">
      <c r="B31" s="266"/>
      <c r="C31" s="266"/>
      <c r="D31" s="266"/>
      <c r="E31" s="266"/>
      <c r="F31" s="266"/>
      <c r="G31" s="266"/>
      <c r="H31" s="266"/>
      <c r="I31" s="266"/>
      <c r="J31" s="266"/>
      <c r="K31" s="266"/>
      <c r="L31" s="266"/>
      <c r="M31" s="266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84" zoomScaleNormal="100" workbookViewId="0">
      <selection activeCell="E71" sqref="E71"/>
    </sheetView>
  </sheetViews>
  <sheetFormatPr baseColWidth="10" defaultColWidth="11.453125" defaultRowHeight="14.5" x14ac:dyDescent="0.35"/>
  <cols>
    <col min="1" max="1" width="13.6328125" style="23" customWidth="1"/>
    <col min="2" max="2" width="36.08984375" style="23" customWidth="1"/>
    <col min="3" max="3" width="14.81640625" style="23" bestFit="1" customWidth="1"/>
    <col min="4" max="4" width="16.453125" style="23" customWidth="1"/>
    <col min="5" max="5" width="23.36328125" style="23" customWidth="1"/>
    <col min="6" max="6" width="28.81640625" style="23" bestFit="1" customWidth="1"/>
    <col min="7" max="8" width="14.6328125" style="23" customWidth="1"/>
    <col min="9" max="9" width="17" style="23" customWidth="1"/>
    <col min="10" max="10" width="13.81640625" style="23" customWidth="1"/>
    <col min="11" max="16384" width="11.453125" style="23"/>
  </cols>
  <sheetData>
    <row r="1" spans="1:38" x14ac:dyDescent="0.35">
      <c r="A1" s="4"/>
      <c r="B1" s="4"/>
      <c r="C1" s="271" t="s">
        <v>190</v>
      </c>
      <c r="D1" s="271"/>
      <c r="E1" s="271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4">
      <c r="A2" s="4"/>
      <c r="B2" s="4"/>
      <c r="C2" s="4"/>
      <c r="D2" s="4"/>
      <c r="E2" s="4"/>
      <c r="F2" s="4"/>
      <c r="G2" s="4"/>
      <c r="H2" s="4"/>
      <c r="I2" s="209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5" thickBot="1" x14ac:dyDescent="0.4">
      <c r="A3" s="4"/>
      <c r="B3" s="272" t="s">
        <v>192</v>
      </c>
      <c r="C3" s="273"/>
      <c r="D3" s="273"/>
      <c r="E3" s="273"/>
      <c r="F3" s="274"/>
      <c r="G3" s="87"/>
      <c r="I3" s="209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6" x14ac:dyDescent="0.35">
      <c r="A4" s="88"/>
      <c r="B4" s="88"/>
      <c r="C4" s="88"/>
      <c r="D4" s="88"/>
      <c r="E4" s="88"/>
      <c r="F4" s="88"/>
      <c r="G4" s="216"/>
      <c r="I4" s="209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6" x14ac:dyDescent="0.35">
      <c r="A5" s="277" t="s">
        <v>231</v>
      </c>
      <c r="B5" s="277"/>
      <c r="C5" s="24">
        <v>5.76</v>
      </c>
      <c r="D5" s="278" t="s">
        <v>229</v>
      </c>
      <c r="E5" s="279"/>
      <c r="F5" s="88"/>
      <c r="G5" s="216"/>
      <c r="H5" s="216"/>
      <c r="I5" s="216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5">
      <c r="A6" s="89"/>
      <c r="B6" s="89"/>
      <c r="C6" s="4"/>
      <c r="D6" s="85"/>
      <c r="E6" s="85"/>
      <c r="F6" s="26"/>
      <c r="G6" s="203"/>
      <c r="H6" s="203"/>
      <c r="I6" s="203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6" x14ac:dyDescent="0.35">
      <c r="A7" s="276" t="s">
        <v>226</v>
      </c>
      <c r="B7" s="276"/>
      <c r="C7" s="88"/>
      <c r="D7" s="88"/>
      <c r="E7" s="4"/>
      <c r="F7" s="88"/>
      <c r="G7" s="216"/>
      <c r="H7" s="216"/>
      <c r="I7" s="216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5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G8" s="23" t="s">
        <v>324</v>
      </c>
      <c r="I8" s="223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5">
      <c r="A9" s="30" t="s">
        <v>165</v>
      </c>
      <c r="B9" s="263" t="s">
        <v>14</v>
      </c>
      <c r="C9" s="264">
        <v>0.43493217049999999</v>
      </c>
      <c r="D9" s="33">
        <f t="shared" ref="D9:D18" si="0">C9*$C$5</f>
        <v>2.5052093020799999</v>
      </c>
      <c r="E9" s="265">
        <v>159</v>
      </c>
      <c r="F9" s="35" t="str">
        <f t="array" ref="F9">IF(E9="","",IF(INDEX(A:A,MAX(IF(ISNUMBER($A$36:$A$55),ROW($A$36:$A$55),"")))&lt;&gt;E9,"Corrigez : révolution incorrecte","OK"))</f>
        <v>OK</v>
      </c>
      <c r="G9" s="226" t="s">
        <v>306</v>
      </c>
      <c r="I9" s="22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5">
      <c r="A10" s="30" t="s">
        <v>166</v>
      </c>
      <c r="B10" s="263" t="s">
        <v>6</v>
      </c>
      <c r="C10" s="264">
        <v>0.18036175709999999</v>
      </c>
      <c r="D10" s="33">
        <f t="shared" si="0"/>
        <v>1.038883720896</v>
      </c>
      <c r="E10" s="265">
        <v>159</v>
      </c>
      <c r="F10" s="35" t="str">
        <f t="array" ref="F10">IF(E10="","",IF(INDEX(A:A,MAX(IF(ISNUMBER($A$62:$A$81),ROW($A$62:$A$81),"")))&lt;&gt;E10,"Corrigez : révolution incorrecte","OK"))</f>
        <v>OK</v>
      </c>
      <c r="G10" s="23" t="s">
        <v>324</v>
      </c>
      <c r="I10" s="22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5">
      <c r="A11" s="30" t="s">
        <v>167</v>
      </c>
      <c r="B11" s="263" t="s">
        <v>36</v>
      </c>
      <c r="C11" s="264">
        <v>0.38470607239999999</v>
      </c>
      <c r="D11" s="33">
        <f t="shared" si="0"/>
        <v>2.2159069770239999</v>
      </c>
      <c r="E11" s="265">
        <v>30</v>
      </c>
      <c r="F11" s="35" t="str">
        <f t="array" ref="F11">IF(E11="","",IF(INDEX(A:A,MAX(IF(ISNUMBER($A$88:$A$107),ROW($A$88:$A$107),"")))&lt;&gt;E11,"Corrigez : révolution incorrecte","OK"))</f>
        <v>OK</v>
      </c>
      <c r="G11" s="23" t="s">
        <v>324</v>
      </c>
      <c r="I11" s="22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5">
      <c r="A12" s="30" t="s">
        <v>168</v>
      </c>
      <c r="B12" s="263"/>
      <c r="C12" s="264"/>
      <c r="D12" s="33">
        <f t="shared" si="0"/>
        <v>0</v>
      </c>
      <c r="E12" s="265"/>
      <c r="F12" s="35" t="str">
        <f t="array" ref="F12">IF(E12="","",IF(INDEX(A:A,MAX(IF(ISNUMBER($A$114:$A$133),ROW($A$114:$A$133),"")))&lt;&gt;E12,"Corrigez : révolution incorrecte","OK"))</f>
        <v/>
      </c>
      <c r="I12" s="22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5">
      <c r="A13" s="30" t="s">
        <v>169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5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5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5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5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5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5">
      <c r="A19" s="77"/>
      <c r="B19" s="36" t="s">
        <v>175</v>
      </c>
      <c r="C19" s="37">
        <f>SUM(C9:C18)</f>
        <v>1</v>
      </c>
      <c r="D19" s="38">
        <f>SUM(D9:D18)</f>
        <v>5.76</v>
      </c>
      <c r="E19" s="4"/>
      <c r="F19" s="90"/>
      <c r="G19" s="217"/>
      <c r="H19" s="217"/>
      <c r="I19" s="217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5">
      <c r="A20" s="77"/>
      <c r="B20" s="39" t="s">
        <v>230</v>
      </c>
      <c r="C20" s="40" t="str">
        <f>IF(C19&gt;100%,"Erreur : corrigez","OK")</f>
        <v>OK</v>
      </c>
      <c r="D20" s="220"/>
      <c r="F20" s="203"/>
      <c r="G20" s="203"/>
      <c r="H20" s="217"/>
      <c r="I20" s="217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5">
      <c r="A21" s="4"/>
      <c r="B21" s="4"/>
      <c r="C21" s="4"/>
      <c r="H21" s="218"/>
      <c r="I21" s="218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5">
      <c r="A22" s="275" t="s">
        <v>232</v>
      </c>
      <c r="B22" s="275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5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5">
      <c r="A24" s="41" t="s">
        <v>218</v>
      </c>
      <c r="B24" s="42" t="s">
        <v>224</v>
      </c>
      <c r="C24" s="43">
        <v>0</v>
      </c>
      <c r="D24" s="44" t="s">
        <v>233</v>
      </c>
      <c r="E24" s="91"/>
      <c r="F24" s="91"/>
      <c r="G24" s="200"/>
      <c r="I24" s="200"/>
      <c r="J24" s="219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5">
      <c r="A25" s="41" t="s">
        <v>220</v>
      </c>
      <c r="B25" s="42" t="s">
        <v>219</v>
      </c>
      <c r="C25" s="45">
        <v>0.1</v>
      </c>
      <c r="D25" s="92"/>
      <c r="E25" s="4"/>
      <c r="F25" s="92"/>
      <c r="G25" s="219"/>
      <c r="I25" s="219"/>
      <c r="J25" s="219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5">
      <c r="A26" s="41" t="s">
        <v>222</v>
      </c>
      <c r="B26" s="42" t="s">
        <v>221</v>
      </c>
      <c r="C26" s="43">
        <v>0.1</v>
      </c>
      <c r="D26" s="44" t="s">
        <v>234</v>
      </c>
      <c r="E26" s="91"/>
      <c r="F26" s="91"/>
      <c r="G26" s="200"/>
      <c r="I26" s="200"/>
      <c r="J26" s="200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5">
      <c r="A27" s="41" t="s">
        <v>223</v>
      </c>
      <c r="B27" s="42" t="s">
        <v>225</v>
      </c>
      <c r="C27" s="43">
        <v>0</v>
      </c>
      <c r="D27" s="44" t="s">
        <v>235</v>
      </c>
      <c r="E27" s="91"/>
      <c r="F27" s="91"/>
      <c r="G27" s="200"/>
      <c r="I27" s="200"/>
      <c r="J27" s="200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5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5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5">
      <c r="A30" s="276" t="s">
        <v>227</v>
      </c>
      <c r="B30" s="276"/>
      <c r="D30" s="221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5">
      <c r="A31" s="4"/>
      <c r="B31" s="4"/>
      <c r="K31" s="221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5">
      <c r="A32" s="46" t="s">
        <v>165</v>
      </c>
      <c r="B32" s="47" t="str">
        <f>IF(B9="","",B9)</f>
        <v>Chêne sessile</v>
      </c>
      <c r="D32" s="227" t="s">
        <v>307</v>
      </c>
      <c r="K32" s="221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5">
      <c r="A33" s="46"/>
      <c r="B33" s="4"/>
      <c r="K33" s="221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5">
      <c r="A34" s="4"/>
      <c r="B34" s="84" t="s">
        <v>185</v>
      </c>
      <c r="C34" s="267" t="s">
        <v>186</v>
      </c>
      <c r="D34" s="267"/>
      <c r="E34" s="268" t="s">
        <v>187</v>
      </c>
      <c r="F34" s="269"/>
      <c r="G34" s="269"/>
      <c r="H34" s="270"/>
      <c r="I34" s="93"/>
      <c r="J34" s="221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5" x14ac:dyDescent="0.35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2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5">
      <c r="A36" s="259">
        <v>30</v>
      </c>
      <c r="B36" s="259">
        <v>108.4230769</v>
      </c>
      <c r="C36" s="259"/>
      <c r="D36" s="259"/>
      <c r="E36" s="260"/>
      <c r="F36" s="260"/>
      <c r="G36" s="260"/>
      <c r="H36" s="260"/>
      <c r="I36" s="49">
        <f>IFERROR(B36/A36,"")</f>
        <v>3.6141025633333332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5">
      <c r="A37" s="259">
        <v>34</v>
      </c>
      <c r="B37" s="259">
        <v>173.04</v>
      </c>
      <c r="C37" s="259">
        <v>1</v>
      </c>
      <c r="D37" s="259">
        <v>35.450000000000003</v>
      </c>
      <c r="E37" s="260">
        <v>1</v>
      </c>
      <c r="F37" s="260"/>
      <c r="G37" s="260"/>
      <c r="H37" s="260"/>
      <c r="I37" s="53">
        <f t="shared" ref="I37:I55" si="1">IF(A37&lt;&gt;0,(B37-(B36-D36))/(A37-A36),"")</f>
        <v>16.154230774999998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5">
      <c r="A38" s="259">
        <v>42</v>
      </c>
      <c r="B38" s="259">
        <v>248.01</v>
      </c>
      <c r="C38" s="259">
        <v>2</v>
      </c>
      <c r="D38" s="259">
        <v>55.41</v>
      </c>
      <c r="E38" s="260">
        <v>1</v>
      </c>
      <c r="F38" s="260"/>
      <c r="G38" s="260"/>
      <c r="H38" s="260"/>
      <c r="I38" s="53">
        <f t="shared" si="1"/>
        <v>13.802500000000002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5">
      <c r="A39" s="259">
        <v>50</v>
      </c>
      <c r="B39" s="259">
        <v>304.72000000000003</v>
      </c>
      <c r="C39" s="259">
        <v>3</v>
      </c>
      <c r="D39" s="259">
        <v>66.62</v>
      </c>
      <c r="E39" s="260">
        <v>1</v>
      </c>
      <c r="F39" s="260"/>
      <c r="G39" s="260"/>
      <c r="H39" s="260"/>
      <c r="I39" s="49">
        <f t="shared" si="1"/>
        <v>14.015000000000004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5">
      <c r="A40" s="259">
        <v>58</v>
      </c>
      <c r="B40" s="259">
        <v>346.58</v>
      </c>
      <c r="C40" s="259">
        <v>4</v>
      </c>
      <c r="D40" s="259">
        <v>62.16</v>
      </c>
      <c r="E40" s="260">
        <v>1</v>
      </c>
      <c r="F40" s="260"/>
      <c r="G40" s="260"/>
      <c r="H40" s="260"/>
      <c r="I40" s="49">
        <f t="shared" si="1"/>
        <v>13.559999999999995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5">
      <c r="A41" s="259">
        <v>66</v>
      </c>
      <c r="B41" s="259">
        <v>388.92</v>
      </c>
      <c r="C41" s="259">
        <v>5</v>
      </c>
      <c r="D41" s="259">
        <v>71.34</v>
      </c>
      <c r="E41" s="260">
        <v>1</v>
      </c>
      <c r="F41" s="260"/>
      <c r="G41" s="260"/>
      <c r="H41" s="260"/>
      <c r="I41" s="53">
        <f t="shared" si="1"/>
        <v>13.062500000000007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5">
      <c r="A42" s="259">
        <v>74</v>
      </c>
      <c r="B42" s="259">
        <v>414.8</v>
      </c>
      <c r="C42" s="259">
        <v>6</v>
      </c>
      <c r="D42" s="259">
        <v>70.209999999999994</v>
      </c>
      <c r="E42" s="260">
        <v>1</v>
      </c>
      <c r="F42" s="260"/>
      <c r="G42" s="260"/>
      <c r="H42" s="260"/>
      <c r="I42" s="53">
        <f t="shared" si="1"/>
        <v>12.152499999999996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5">
      <c r="A43" s="259">
        <v>82</v>
      </c>
      <c r="B43" s="259">
        <v>436.17</v>
      </c>
      <c r="C43" s="259">
        <v>7</v>
      </c>
      <c r="D43" s="259">
        <v>53.92</v>
      </c>
      <c r="E43" s="260">
        <v>1</v>
      </c>
      <c r="F43" s="260"/>
      <c r="G43" s="260"/>
      <c r="H43" s="260"/>
      <c r="I43" s="49">
        <f t="shared" si="1"/>
        <v>11.447499999999998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5">
      <c r="A44" s="259">
        <v>90</v>
      </c>
      <c r="B44" s="259">
        <v>471.37</v>
      </c>
      <c r="C44" s="259">
        <v>8</v>
      </c>
      <c r="D44" s="259">
        <v>63.25</v>
      </c>
      <c r="E44" s="260">
        <v>1</v>
      </c>
      <c r="F44" s="260"/>
      <c r="G44" s="260"/>
      <c r="H44" s="260"/>
      <c r="I44" s="49">
        <f t="shared" si="1"/>
        <v>11.14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5">
      <c r="A45" s="259">
        <v>100</v>
      </c>
      <c r="B45" s="261">
        <v>515.66999999999996</v>
      </c>
      <c r="C45" s="259">
        <v>9</v>
      </c>
      <c r="D45" s="261">
        <v>85.23</v>
      </c>
      <c r="E45" s="260">
        <v>1</v>
      </c>
      <c r="F45" s="260"/>
      <c r="G45" s="260"/>
      <c r="H45" s="260"/>
      <c r="I45" s="49">
        <f t="shared" si="1"/>
        <v>10.754999999999995</v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5">
      <c r="A46" s="259">
        <v>110</v>
      </c>
      <c r="B46" s="262">
        <v>531.04</v>
      </c>
      <c r="C46" s="259">
        <v>10</v>
      </c>
      <c r="D46" s="262">
        <v>67.22</v>
      </c>
      <c r="E46" s="260">
        <v>1</v>
      </c>
      <c r="F46" s="260"/>
      <c r="G46" s="260"/>
      <c r="H46" s="260"/>
      <c r="I46" s="49">
        <f t="shared" si="1"/>
        <v>10.060000000000002</v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5">
      <c r="A47" s="259">
        <v>120</v>
      </c>
      <c r="B47" s="261">
        <v>565</v>
      </c>
      <c r="C47" s="259">
        <v>11</v>
      </c>
      <c r="D47" s="261">
        <v>60.46</v>
      </c>
      <c r="E47" s="260">
        <v>1</v>
      </c>
      <c r="F47" s="260"/>
      <c r="G47" s="260"/>
      <c r="H47" s="260"/>
      <c r="I47" s="49">
        <f t="shared" si="1"/>
        <v>10.118000000000006</v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5">
      <c r="A48" s="259">
        <v>130</v>
      </c>
      <c r="B48" s="261">
        <v>606.41</v>
      </c>
      <c r="C48" s="259">
        <v>12</v>
      </c>
      <c r="D48" s="261">
        <v>69</v>
      </c>
      <c r="E48" s="260">
        <v>1</v>
      </c>
      <c r="F48" s="260"/>
      <c r="G48" s="260"/>
      <c r="H48" s="260"/>
      <c r="I48" s="49">
        <f t="shared" si="1"/>
        <v>10.186999999999994</v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5">
      <c r="A49" s="259">
        <v>140</v>
      </c>
      <c r="B49" s="261">
        <v>639.04999999999995</v>
      </c>
      <c r="C49" s="259">
        <v>13</v>
      </c>
      <c r="D49" s="261">
        <v>67.930000000000007</v>
      </c>
      <c r="E49" s="260">
        <v>1</v>
      </c>
      <c r="F49" s="260"/>
      <c r="G49" s="260"/>
      <c r="H49" s="260"/>
      <c r="I49" s="49">
        <f t="shared" si="1"/>
        <v>10.163999999999998</v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5">
      <c r="A50" s="261">
        <v>150</v>
      </c>
      <c r="B50" s="261">
        <v>673.13</v>
      </c>
      <c r="C50" s="261">
        <v>14</v>
      </c>
      <c r="D50" s="261">
        <v>234.51</v>
      </c>
      <c r="E50" s="260">
        <v>1</v>
      </c>
      <c r="F50" s="260"/>
      <c r="G50" s="260"/>
      <c r="H50" s="260"/>
      <c r="I50" s="49">
        <f t="shared" si="1"/>
        <v>10.201000000000011</v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5">
      <c r="A51" s="261">
        <v>153</v>
      </c>
      <c r="B51" s="261">
        <v>434.97</v>
      </c>
      <c r="C51" s="261">
        <v>15</v>
      </c>
      <c r="D51" s="261">
        <v>141.22</v>
      </c>
      <c r="E51" s="260">
        <v>1</v>
      </c>
      <c r="F51" s="260"/>
      <c r="G51" s="260"/>
      <c r="H51" s="260"/>
      <c r="I51" s="49">
        <f t="shared" si="1"/>
        <v>-1.216666666666659</v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5">
      <c r="A52" s="261">
        <v>156</v>
      </c>
      <c r="B52" s="261">
        <v>290.93</v>
      </c>
      <c r="C52" s="261">
        <v>16</v>
      </c>
      <c r="D52" s="261">
        <v>87.28</v>
      </c>
      <c r="E52" s="260">
        <v>1</v>
      </c>
      <c r="F52" s="260"/>
      <c r="G52" s="260"/>
      <c r="H52" s="260"/>
      <c r="I52" s="49">
        <f t="shared" si="1"/>
        <v>-0.93999999999999773</v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5">
      <c r="A53" s="261">
        <v>159</v>
      </c>
      <c r="B53" s="261">
        <v>201.48</v>
      </c>
      <c r="C53" s="261">
        <v>17</v>
      </c>
      <c r="D53" s="261">
        <v>180.6</v>
      </c>
      <c r="E53" s="260">
        <v>1</v>
      </c>
      <c r="F53" s="260"/>
      <c r="G53" s="260"/>
      <c r="H53" s="260"/>
      <c r="I53" s="49">
        <f t="shared" si="1"/>
        <v>-0.7233333333333386</v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5">
      <c r="A54" s="261"/>
      <c r="B54" s="261"/>
      <c r="C54" s="261"/>
      <c r="D54" s="261"/>
      <c r="E54" s="260"/>
      <c r="F54" s="260"/>
      <c r="G54" s="260"/>
      <c r="H54" s="260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5">
      <c r="A55" s="261"/>
      <c r="B55" s="261"/>
      <c r="C55" s="261"/>
      <c r="D55" s="261"/>
      <c r="E55" s="260"/>
      <c r="F55" s="260"/>
      <c r="G55" s="260"/>
      <c r="H55" s="260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5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5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5">
      <c r="A58" s="46" t="s">
        <v>166</v>
      </c>
      <c r="B58" s="52" t="str">
        <f>IF(B10="","",B10)</f>
        <v>Charme</v>
      </c>
      <c r="D58" s="227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5">
      <c r="A59" s="46"/>
      <c r="B59" s="9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5">
      <c r="A60" s="4"/>
      <c r="B60" s="84" t="s">
        <v>185</v>
      </c>
      <c r="C60" s="267" t="s">
        <v>186</v>
      </c>
      <c r="D60" s="267"/>
      <c r="E60" s="268" t="s">
        <v>187</v>
      </c>
      <c r="F60" s="269"/>
      <c r="G60" s="269"/>
      <c r="H60" s="270"/>
      <c r="I60" s="93"/>
      <c r="J60" s="221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5" x14ac:dyDescent="0.35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2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5">
      <c r="A62" s="261">
        <v>30</v>
      </c>
      <c r="B62" s="261">
        <v>108.4230769</v>
      </c>
      <c r="C62" s="261"/>
      <c r="D62" s="261"/>
      <c r="E62" s="260"/>
      <c r="F62" s="260"/>
      <c r="G62" s="260"/>
      <c r="H62" s="260"/>
      <c r="I62" s="53">
        <f>IFERROR(B62/A62,"")</f>
        <v>3.6141025633333332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5">
      <c r="A63" s="261">
        <v>34</v>
      </c>
      <c r="B63" s="261">
        <v>173.04</v>
      </c>
      <c r="C63" s="261">
        <v>1</v>
      </c>
      <c r="D63" s="261">
        <v>35.450000000000003</v>
      </c>
      <c r="E63" s="260">
        <v>1</v>
      </c>
      <c r="F63" s="260"/>
      <c r="G63" s="260"/>
      <c r="H63" s="260"/>
      <c r="I63" s="49">
        <f>IF(A63&lt;&gt;0,(B63-(B62-D62))/(A63-A62),"")</f>
        <v>16.154230774999998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5">
      <c r="A64" s="261">
        <v>42</v>
      </c>
      <c r="B64" s="261">
        <v>248.01</v>
      </c>
      <c r="C64" s="261">
        <v>2</v>
      </c>
      <c r="D64" s="261">
        <v>55.41</v>
      </c>
      <c r="E64" s="260">
        <v>1</v>
      </c>
      <c r="F64" s="260"/>
      <c r="G64" s="260"/>
      <c r="H64" s="260"/>
      <c r="I64" s="49">
        <f>IF(A64&lt;&gt;0,(B64-(B63-D63))/(A64-A63),"")</f>
        <v>13.802500000000002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5">
      <c r="A65" s="261">
        <v>50</v>
      </c>
      <c r="B65" s="261">
        <v>304.72000000000003</v>
      </c>
      <c r="C65" s="261">
        <v>3</v>
      </c>
      <c r="D65" s="261">
        <v>66.62</v>
      </c>
      <c r="E65" s="260">
        <v>1</v>
      </c>
      <c r="F65" s="260"/>
      <c r="G65" s="260"/>
      <c r="H65" s="260"/>
      <c r="I65" s="49">
        <f>IF(A65&lt;&gt;0,(B65-(B64-D64))/(A65-A64),"")</f>
        <v>14.015000000000004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5">
      <c r="A66" s="261">
        <v>58</v>
      </c>
      <c r="B66" s="261">
        <v>346.58</v>
      </c>
      <c r="C66" s="261">
        <v>4</v>
      </c>
      <c r="D66" s="261">
        <v>62.16</v>
      </c>
      <c r="E66" s="260">
        <v>1</v>
      </c>
      <c r="F66" s="260"/>
      <c r="G66" s="260"/>
      <c r="H66" s="260"/>
      <c r="I66" s="49">
        <f t="shared" ref="I66:I81" si="2">IF(A66&lt;&gt;0,(B66-(B65-D65))/(A66-A65),"")</f>
        <v>13.559999999999995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5">
      <c r="A67" s="261">
        <v>66</v>
      </c>
      <c r="B67" s="261">
        <v>388.92</v>
      </c>
      <c r="C67" s="261">
        <v>5</v>
      </c>
      <c r="D67" s="261">
        <v>71.34</v>
      </c>
      <c r="E67" s="260">
        <v>1</v>
      </c>
      <c r="F67" s="260"/>
      <c r="G67" s="260"/>
      <c r="H67" s="260"/>
      <c r="I67" s="49">
        <f t="shared" si="2"/>
        <v>13.062500000000007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5">
      <c r="A68" s="261">
        <v>74</v>
      </c>
      <c r="B68" s="261">
        <v>414.8</v>
      </c>
      <c r="C68" s="261">
        <v>6</v>
      </c>
      <c r="D68" s="261">
        <v>70.209999999999994</v>
      </c>
      <c r="E68" s="260">
        <v>1</v>
      </c>
      <c r="F68" s="260"/>
      <c r="G68" s="260"/>
      <c r="H68" s="260"/>
      <c r="I68" s="49">
        <f t="shared" si="2"/>
        <v>12.152499999999996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5">
      <c r="A69" s="261">
        <v>82</v>
      </c>
      <c r="B69" s="261">
        <v>436.17</v>
      </c>
      <c r="C69" s="261">
        <v>7</v>
      </c>
      <c r="D69" s="261">
        <v>53.92</v>
      </c>
      <c r="E69" s="260">
        <v>1</v>
      </c>
      <c r="F69" s="260"/>
      <c r="G69" s="260"/>
      <c r="H69" s="260"/>
      <c r="I69" s="49">
        <f t="shared" si="2"/>
        <v>11.447499999999998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5">
      <c r="A70" s="261">
        <v>90</v>
      </c>
      <c r="B70" s="261">
        <v>471.37</v>
      </c>
      <c r="C70" s="261">
        <v>8</v>
      </c>
      <c r="D70" s="261">
        <v>63.25</v>
      </c>
      <c r="E70" s="260">
        <v>1</v>
      </c>
      <c r="F70" s="260"/>
      <c r="G70" s="260"/>
      <c r="H70" s="260"/>
      <c r="I70" s="49">
        <f t="shared" si="2"/>
        <v>11.14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5">
      <c r="A71" s="261">
        <v>100</v>
      </c>
      <c r="B71" s="261">
        <v>515.66999999999996</v>
      </c>
      <c r="C71" s="261">
        <v>9</v>
      </c>
      <c r="D71" s="261">
        <v>85.23</v>
      </c>
      <c r="E71" s="260">
        <v>1</v>
      </c>
      <c r="F71" s="260"/>
      <c r="G71" s="260"/>
      <c r="H71" s="260"/>
      <c r="I71" s="49">
        <f t="shared" si="2"/>
        <v>10.754999999999995</v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5">
      <c r="A72" s="261">
        <v>110</v>
      </c>
      <c r="B72" s="261">
        <v>531.04</v>
      </c>
      <c r="C72" s="261">
        <v>10</v>
      </c>
      <c r="D72" s="261">
        <v>67.22</v>
      </c>
      <c r="E72" s="260">
        <v>1</v>
      </c>
      <c r="F72" s="260"/>
      <c r="G72" s="260"/>
      <c r="H72" s="260"/>
      <c r="I72" s="49">
        <f t="shared" si="2"/>
        <v>10.060000000000002</v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5">
      <c r="A73" s="261">
        <v>120</v>
      </c>
      <c r="B73" s="261">
        <v>565</v>
      </c>
      <c r="C73" s="261">
        <v>11</v>
      </c>
      <c r="D73" s="261">
        <v>60.46</v>
      </c>
      <c r="E73" s="260">
        <v>1</v>
      </c>
      <c r="F73" s="260"/>
      <c r="G73" s="260"/>
      <c r="H73" s="260"/>
      <c r="I73" s="49">
        <f t="shared" si="2"/>
        <v>10.118000000000006</v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5">
      <c r="A74" s="261">
        <v>130</v>
      </c>
      <c r="B74" s="261">
        <v>606.41</v>
      </c>
      <c r="C74" s="261">
        <v>12</v>
      </c>
      <c r="D74" s="261">
        <v>69</v>
      </c>
      <c r="E74" s="260">
        <v>1</v>
      </c>
      <c r="F74" s="260"/>
      <c r="G74" s="260"/>
      <c r="H74" s="260"/>
      <c r="I74" s="49">
        <f t="shared" si="2"/>
        <v>10.186999999999994</v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5">
      <c r="A75" s="261">
        <v>140</v>
      </c>
      <c r="B75" s="261">
        <v>639.04999999999995</v>
      </c>
      <c r="C75" s="261">
        <v>13</v>
      </c>
      <c r="D75" s="261">
        <v>67.930000000000007</v>
      </c>
      <c r="E75" s="260">
        <v>1</v>
      </c>
      <c r="F75" s="260"/>
      <c r="G75" s="260"/>
      <c r="H75" s="260"/>
      <c r="I75" s="49">
        <f t="shared" si="2"/>
        <v>10.163999999999998</v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5">
      <c r="A76" s="261">
        <v>150</v>
      </c>
      <c r="B76" s="261">
        <v>673.13</v>
      </c>
      <c r="C76" s="261">
        <v>14</v>
      </c>
      <c r="D76" s="261">
        <v>234.51</v>
      </c>
      <c r="E76" s="260">
        <v>1</v>
      </c>
      <c r="F76" s="260"/>
      <c r="G76" s="260"/>
      <c r="H76" s="260"/>
      <c r="I76" s="49">
        <f t="shared" si="2"/>
        <v>10.201000000000011</v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5">
      <c r="A77" s="256">
        <v>153</v>
      </c>
      <c r="B77" s="257">
        <v>434.97</v>
      </c>
      <c r="C77" s="256">
        <v>15</v>
      </c>
      <c r="D77" s="256">
        <v>141.22</v>
      </c>
      <c r="E77" s="255">
        <v>1</v>
      </c>
      <c r="F77" s="255"/>
      <c r="G77" s="255"/>
      <c r="H77" s="255"/>
      <c r="I77" s="49">
        <f t="shared" si="2"/>
        <v>-1.216666666666659</v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5">
      <c r="A78" s="256">
        <v>156</v>
      </c>
      <c r="B78" s="257">
        <v>290.93</v>
      </c>
      <c r="C78" s="256">
        <v>16</v>
      </c>
      <c r="D78" s="256">
        <v>87.28</v>
      </c>
      <c r="E78" s="255">
        <v>1</v>
      </c>
      <c r="F78" s="255"/>
      <c r="G78" s="255"/>
      <c r="H78" s="255"/>
      <c r="I78" s="49">
        <f t="shared" si="2"/>
        <v>-0.93999999999999773</v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5">
      <c r="A79" s="256">
        <v>159</v>
      </c>
      <c r="B79" s="257">
        <v>201.48</v>
      </c>
      <c r="C79" s="256">
        <v>17</v>
      </c>
      <c r="D79" s="256">
        <v>180.6</v>
      </c>
      <c r="E79" s="255">
        <v>1</v>
      </c>
      <c r="F79" s="255"/>
      <c r="G79" s="255"/>
      <c r="H79" s="255"/>
      <c r="I79" s="49">
        <f t="shared" si="2"/>
        <v>-0.7233333333333386</v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5">
      <c r="A80" s="256"/>
      <c r="B80" s="257"/>
      <c r="C80" s="256"/>
      <c r="D80" s="256"/>
      <c r="E80" s="255"/>
      <c r="F80" s="255"/>
      <c r="G80" s="255"/>
      <c r="H80" s="255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5">
      <c r="A81" s="256"/>
      <c r="B81" s="257"/>
      <c r="C81" s="256"/>
      <c r="D81" s="258"/>
      <c r="E81" s="255"/>
      <c r="F81" s="255"/>
      <c r="G81" s="255"/>
      <c r="H81" s="255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5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5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5">
      <c r="A84" s="46" t="s">
        <v>167</v>
      </c>
      <c r="B84" s="52" t="str">
        <f>IF(B11="","",B11)</f>
        <v>Pin maritime</v>
      </c>
      <c r="D84" s="227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5">
      <c r="A85" s="46"/>
      <c r="B85" s="9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5">
      <c r="A86" s="4"/>
      <c r="B86" s="84" t="s">
        <v>185</v>
      </c>
      <c r="C86" s="267" t="s">
        <v>186</v>
      </c>
      <c r="D86" s="267"/>
      <c r="E86" s="268" t="s">
        <v>187</v>
      </c>
      <c r="F86" s="269"/>
      <c r="G86" s="269"/>
      <c r="H86" s="270"/>
      <c r="I86" s="93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5" x14ac:dyDescent="0.35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5">
      <c r="A88" s="261">
        <v>11</v>
      </c>
      <c r="B88" s="261">
        <v>83</v>
      </c>
      <c r="C88" s="261"/>
      <c r="D88" s="261"/>
      <c r="E88" s="260"/>
      <c r="F88" s="260"/>
      <c r="G88" s="260"/>
      <c r="H88" s="260"/>
      <c r="I88" s="53">
        <f>IFERROR(B88/A88,"")</f>
        <v>7.5454545454545459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5">
      <c r="A89" s="261">
        <v>12</v>
      </c>
      <c r="B89" s="261">
        <v>106</v>
      </c>
      <c r="C89" s="261">
        <v>1</v>
      </c>
      <c r="D89" s="261">
        <v>34</v>
      </c>
      <c r="E89" s="260"/>
      <c r="F89" s="260"/>
      <c r="G89" s="260">
        <v>1</v>
      </c>
      <c r="H89" s="260"/>
      <c r="I89" s="53">
        <f t="shared" ref="I89:I107" si="3">IF(A89&lt;&gt;0,(B89-(B88-D88))/(A89-A88),"")</f>
        <v>23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5">
      <c r="A90" s="261">
        <v>13</v>
      </c>
      <c r="B90" s="261">
        <v>89</v>
      </c>
      <c r="C90" s="261"/>
      <c r="D90" s="261"/>
      <c r="E90" s="260"/>
      <c r="F90" s="260"/>
      <c r="G90" s="260"/>
      <c r="H90" s="260"/>
      <c r="I90" s="53">
        <f t="shared" si="3"/>
        <v>17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5">
      <c r="A91" s="261">
        <v>14</v>
      </c>
      <c r="B91" s="261">
        <v>110</v>
      </c>
      <c r="C91" s="261"/>
      <c r="D91" s="261"/>
      <c r="E91" s="260"/>
      <c r="F91" s="260"/>
      <c r="G91" s="260"/>
      <c r="H91" s="260"/>
      <c r="I91" s="53">
        <f t="shared" si="3"/>
        <v>21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5">
      <c r="A92" s="261">
        <v>15</v>
      </c>
      <c r="B92" s="261">
        <v>131</v>
      </c>
      <c r="C92" s="261"/>
      <c r="D92" s="261"/>
      <c r="E92" s="260"/>
      <c r="F92" s="260"/>
      <c r="G92" s="260"/>
      <c r="H92" s="260"/>
      <c r="I92" s="53">
        <f t="shared" si="3"/>
        <v>21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5">
      <c r="A93" s="261">
        <v>16</v>
      </c>
      <c r="B93" s="261">
        <v>153</v>
      </c>
      <c r="C93" s="261"/>
      <c r="D93" s="261"/>
      <c r="E93" s="260"/>
      <c r="F93" s="260"/>
      <c r="G93" s="260"/>
      <c r="H93" s="260"/>
      <c r="I93" s="53">
        <f t="shared" si="3"/>
        <v>22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5">
      <c r="A94" s="261">
        <v>17</v>
      </c>
      <c r="B94" s="261">
        <v>176</v>
      </c>
      <c r="C94" s="261">
        <v>2</v>
      </c>
      <c r="D94" s="261">
        <v>43</v>
      </c>
      <c r="E94" s="260">
        <v>0.25</v>
      </c>
      <c r="F94" s="260">
        <v>0.75</v>
      </c>
      <c r="G94" s="260"/>
      <c r="H94" s="260"/>
      <c r="I94" s="53">
        <f t="shared" si="3"/>
        <v>23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5">
      <c r="A95" s="261">
        <v>18</v>
      </c>
      <c r="B95" s="261">
        <v>151</v>
      </c>
      <c r="C95" s="261"/>
      <c r="D95" s="261"/>
      <c r="E95" s="260"/>
      <c r="F95" s="260"/>
      <c r="G95" s="260"/>
      <c r="H95" s="260"/>
      <c r="I95" s="53">
        <f t="shared" si="3"/>
        <v>18</v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5">
      <c r="A96" s="261">
        <v>19</v>
      </c>
      <c r="B96" s="261">
        <v>171</v>
      </c>
      <c r="C96" s="261"/>
      <c r="D96" s="261"/>
      <c r="E96" s="260"/>
      <c r="F96" s="260"/>
      <c r="G96" s="260"/>
      <c r="H96" s="260"/>
      <c r="I96" s="53">
        <f t="shared" si="3"/>
        <v>20</v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5">
      <c r="A97" s="261">
        <v>20</v>
      </c>
      <c r="B97" s="261">
        <v>192</v>
      </c>
      <c r="C97" s="261"/>
      <c r="D97" s="261"/>
      <c r="E97" s="260"/>
      <c r="F97" s="260"/>
      <c r="G97" s="260"/>
      <c r="H97" s="260"/>
      <c r="I97" s="53">
        <f t="shared" si="3"/>
        <v>21</v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5">
      <c r="A98" s="261">
        <v>21</v>
      </c>
      <c r="B98" s="261">
        <v>212</v>
      </c>
      <c r="C98" s="261"/>
      <c r="D98" s="261"/>
      <c r="E98" s="260"/>
      <c r="F98" s="260"/>
      <c r="G98" s="260"/>
      <c r="H98" s="260"/>
      <c r="I98" s="53">
        <f t="shared" si="3"/>
        <v>20</v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5">
      <c r="A99" s="261">
        <v>22</v>
      </c>
      <c r="B99" s="261">
        <v>232</v>
      </c>
      <c r="C99" s="261">
        <v>3</v>
      </c>
      <c r="D99" s="261">
        <v>56</v>
      </c>
      <c r="E99" s="260">
        <v>0.6</v>
      </c>
      <c r="F99" s="260">
        <v>0.4</v>
      </c>
      <c r="G99" s="260"/>
      <c r="H99" s="260"/>
      <c r="I99" s="53">
        <f t="shared" si="3"/>
        <v>20</v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5">
      <c r="A100" s="261">
        <v>23</v>
      </c>
      <c r="B100" s="261">
        <v>192</v>
      </c>
      <c r="C100" s="261"/>
      <c r="D100" s="261"/>
      <c r="E100" s="260"/>
      <c r="F100" s="260"/>
      <c r="G100" s="260"/>
      <c r="H100" s="260"/>
      <c r="I100" s="53">
        <f t="shared" si="3"/>
        <v>16</v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5">
      <c r="A101" s="261">
        <v>24</v>
      </c>
      <c r="B101" s="261">
        <v>209</v>
      </c>
      <c r="C101" s="261"/>
      <c r="D101" s="261"/>
      <c r="E101" s="260"/>
      <c r="F101" s="260"/>
      <c r="G101" s="260"/>
      <c r="H101" s="260"/>
      <c r="I101" s="53">
        <f t="shared" si="3"/>
        <v>17</v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5">
      <c r="A102" s="261">
        <v>25</v>
      </c>
      <c r="B102" s="261">
        <v>226</v>
      </c>
      <c r="C102" s="261"/>
      <c r="D102" s="261"/>
      <c r="E102" s="260"/>
      <c r="F102" s="260"/>
      <c r="G102" s="260"/>
      <c r="H102" s="260"/>
      <c r="I102" s="53">
        <f t="shared" si="3"/>
        <v>17</v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5">
      <c r="A103" s="256">
        <v>26</v>
      </c>
      <c r="B103" s="257">
        <v>244</v>
      </c>
      <c r="C103" s="256"/>
      <c r="D103" s="256"/>
      <c r="E103" s="255"/>
      <c r="F103" s="255"/>
      <c r="G103" s="255"/>
      <c r="H103" s="255"/>
      <c r="I103" s="53">
        <f t="shared" si="3"/>
        <v>18</v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5">
      <c r="A104" s="256">
        <v>27</v>
      </c>
      <c r="B104" s="257">
        <v>261</v>
      </c>
      <c r="C104" s="256"/>
      <c r="D104" s="256"/>
      <c r="E104" s="255"/>
      <c r="F104" s="255"/>
      <c r="G104" s="255"/>
      <c r="H104" s="255"/>
      <c r="I104" s="53">
        <f t="shared" si="3"/>
        <v>17</v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5">
      <c r="A105" s="256">
        <v>28</v>
      </c>
      <c r="B105" s="257">
        <v>277</v>
      </c>
      <c r="C105" s="256"/>
      <c r="D105" s="256"/>
      <c r="E105" s="255"/>
      <c r="F105" s="255"/>
      <c r="G105" s="255"/>
      <c r="H105" s="255"/>
      <c r="I105" s="53">
        <f t="shared" si="3"/>
        <v>16</v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5">
      <c r="A106" s="256">
        <v>29</v>
      </c>
      <c r="B106" s="257">
        <v>293</v>
      </c>
      <c r="C106" s="256"/>
      <c r="D106" s="256"/>
      <c r="E106" s="255"/>
      <c r="F106" s="255"/>
      <c r="G106" s="255"/>
      <c r="H106" s="255"/>
      <c r="I106" s="53">
        <f t="shared" si="3"/>
        <v>16</v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5">
      <c r="A107" s="256">
        <v>30</v>
      </c>
      <c r="B107" s="257">
        <v>309</v>
      </c>
      <c r="C107" s="256">
        <v>4</v>
      </c>
      <c r="D107" s="258">
        <v>309</v>
      </c>
      <c r="E107" s="255">
        <v>1</v>
      </c>
      <c r="F107" s="255"/>
      <c r="G107" s="255"/>
      <c r="H107" s="255"/>
      <c r="I107" s="53">
        <f t="shared" si="3"/>
        <v>16</v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5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5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5">
      <c r="A110" s="46" t="s">
        <v>168</v>
      </c>
      <c r="B110" s="52" t="str">
        <f>IF(B12="","",B12)</f>
        <v/>
      </c>
      <c r="D110" s="227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5">
      <c r="A111" s="46"/>
      <c r="B111" s="9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5">
      <c r="A112" s="4"/>
      <c r="B112" s="84" t="s">
        <v>185</v>
      </c>
      <c r="C112" s="267" t="s">
        <v>186</v>
      </c>
      <c r="D112" s="267"/>
      <c r="E112" s="268" t="s">
        <v>187</v>
      </c>
      <c r="F112" s="269"/>
      <c r="G112" s="269"/>
      <c r="H112" s="270"/>
      <c r="I112" s="93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5" x14ac:dyDescent="0.35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5">
      <c r="A114" s="261"/>
      <c r="B114" s="261"/>
      <c r="C114" s="261"/>
      <c r="D114" s="261"/>
      <c r="E114" s="260"/>
      <c r="F114" s="260"/>
      <c r="G114" s="260"/>
      <c r="H114" s="260"/>
      <c r="I114" s="53" t="str">
        <f>IFERROR(B114/A114,"")</f>
        <v/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5">
      <c r="A115" s="261"/>
      <c r="B115" s="261"/>
      <c r="C115" s="261"/>
      <c r="D115" s="261"/>
      <c r="E115" s="260"/>
      <c r="F115" s="260"/>
      <c r="G115" s="260"/>
      <c r="H115" s="260"/>
      <c r="I115" s="53" t="str">
        <f t="shared" ref="I115:I133" si="4">IF(A115&lt;&gt;0,(B115-(B114-D114))/(A115-A114),"")</f>
        <v/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5">
      <c r="A116" s="261"/>
      <c r="B116" s="261"/>
      <c r="C116" s="261"/>
      <c r="D116" s="261"/>
      <c r="E116" s="260"/>
      <c r="F116" s="260"/>
      <c r="G116" s="260"/>
      <c r="H116" s="260"/>
      <c r="I116" s="53" t="str">
        <f t="shared" si="4"/>
        <v/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5">
      <c r="A117" s="261"/>
      <c r="B117" s="261"/>
      <c r="C117" s="261"/>
      <c r="D117" s="261"/>
      <c r="E117" s="260"/>
      <c r="F117" s="260"/>
      <c r="G117" s="260"/>
      <c r="H117" s="260"/>
      <c r="I117" s="53" t="str">
        <f t="shared" si="4"/>
        <v/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5">
      <c r="A118" s="261"/>
      <c r="B118" s="261"/>
      <c r="C118" s="261"/>
      <c r="D118" s="261"/>
      <c r="E118" s="260"/>
      <c r="F118" s="260"/>
      <c r="G118" s="260"/>
      <c r="H118" s="260"/>
      <c r="I118" s="53" t="str">
        <f t="shared" si="4"/>
        <v/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5">
      <c r="A119" s="261"/>
      <c r="B119" s="261"/>
      <c r="C119" s="261"/>
      <c r="D119" s="261"/>
      <c r="E119" s="260"/>
      <c r="F119" s="260"/>
      <c r="G119" s="260"/>
      <c r="H119" s="260"/>
      <c r="I119" s="53" t="str">
        <f t="shared" si="4"/>
        <v/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5">
      <c r="A120" s="261"/>
      <c r="B120" s="261"/>
      <c r="C120" s="261"/>
      <c r="D120" s="261"/>
      <c r="E120" s="260"/>
      <c r="F120" s="260"/>
      <c r="G120" s="260"/>
      <c r="H120" s="260"/>
      <c r="I120" s="53" t="str">
        <f t="shared" si="4"/>
        <v/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5">
      <c r="A121" s="261"/>
      <c r="B121" s="261"/>
      <c r="C121" s="261"/>
      <c r="D121" s="261"/>
      <c r="E121" s="260"/>
      <c r="F121" s="260"/>
      <c r="G121" s="260"/>
      <c r="H121" s="260"/>
      <c r="I121" s="53" t="str">
        <f t="shared" si="4"/>
        <v/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5">
      <c r="A122" s="261"/>
      <c r="B122" s="261"/>
      <c r="C122" s="261"/>
      <c r="D122" s="261"/>
      <c r="E122" s="260"/>
      <c r="F122" s="260"/>
      <c r="G122" s="260"/>
      <c r="H122" s="260"/>
      <c r="I122" s="53" t="str">
        <f t="shared" si="4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5">
      <c r="A123" s="261"/>
      <c r="B123" s="261"/>
      <c r="C123" s="261"/>
      <c r="D123" s="261"/>
      <c r="E123" s="260"/>
      <c r="F123" s="260"/>
      <c r="G123" s="260"/>
      <c r="H123" s="260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5">
      <c r="A124" s="261"/>
      <c r="B124" s="261"/>
      <c r="C124" s="261"/>
      <c r="D124" s="261"/>
      <c r="E124" s="260"/>
      <c r="F124" s="260"/>
      <c r="G124" s="260"/>
      <c r="H124" s="260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5">
      <c r="A125" s="261"/>
      <c r="B125" s="261"/>
      <c r="C125" s="261"/>
      <c r="D125" s="261"/>
      <c r="E125" s="260"/>
      <c r="F125" s="260"/>
      <c r="G125" s="260"/>
      <c r="H125" s="260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5">
      <c r="A126" s="261"/>
      <c r="B126" s="261"/>
      <c r="C126" s="261"/>
      <c r="D126" s="261"/>
      <c r="E126" s="260"/>
      <c r="F126" s="260"/>
      <c r="G126" s="260"/>
      <c r="H126" s="260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5">
      <c r="A127" s="261"/>
      <c r="B127" s="261"/>
      <c r="C127" s="261"/>
      <c r="D127" s="261"/>
      <c r="E127" s="260"/>
      <c r="F127" s="260"/>
      <c r="G127" s="260"/>
      <c r="H127" s="260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5">
      <c r="A128" s="261"/>
      <c r="B128" s="261"/>
      <c r="C128" s="261"/>
      <c r="D128" s="261"/>
      <c r="E128" s="260"/>
      <c r="F128" s="260"/>
      <c r="G128" s="260"/>
      <c r="H128" s="260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5">
      <c r="A129" s="261"/>
      <c r="B129" s="261"/>
      <c r="C129" s="261"/>
      <c r="D129" s="261"/>
      <c r="E129" s="260"/>
      <c r="F129" s="260"/>
      <c r="G129" s="260"/>
      <c r="H129" s="260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5">
      <c r="A130" s="261"/>
      <c r="B130" s="261"/>
      <c r="C130" s="261"/>
      <c r="D130" s="261"/>
      <c r="E130" s="260"/>
      <c r="F130" s="260"/>
      <c r="G130" s="260"/>
      <c r="H130" s="260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5">
      <c r="A131" s="261"/>
      <c r="B131" s="261"/>
      <c r="C131" s="261"/>
      <c r="D131" s="261"/>
      <c r="E131" s="260"/>
      <c r="F131" s="260"/>
      <c r="G131" s="260"/>
      <c r="H131" s="260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5">
      <c r="A132" s="261"/>
      <c r="B132" s="261"/>
      <c r="C132" s="261"/>
      <c r="D132" s="261"/>
      <c r="E132" s="260"/>
      <c r="F132" s="260"/>
      <c r="G132" s="260"/>
      <c r="H132" s="260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5">
      <c r="A133" s="261"/>
      <c r="B133" s="261"/>
      <c r="C133" s="261"/>
      <c r="D133" s="261"/>
      <c r="E133" s="260"/>
      <c r="F133" s="260"/>
      <c r="G133" s="260"/>
      <c r="H133" s="260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5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5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5">
      <c r="A136" s="46" t="s">
        <v>169</v>
      </c>
      <c r="B136" s="52" t="str">
        <f>IF(B13="","",B13)</f>
        <v/>
      </c>
      <c r="D136" s="227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5">
      <c r="A137" s="46"/>
      <c r="B137" s="9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5">
      <c r="A138" s="4"/>
      <c r="B138" s="84" t="s">
        <v>185</v>
      </c>
      <c r="C138" s="267" t="s">
        <v>186</v>
      </c>
      <c r="D138" s="267"/>
      <c r="E138" s="268" t="s">
        <v>187</v>
      </c>
      <c r="F138" s="269"/>
      <c r="G138" s="269"/>
      <c r="H138" s="270"/>
      <c r="I138" s="93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5" x14ac:dyDescent="0.35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5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5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5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5">
      <c r="A142" s="50"/>
      <c r="B142" s="60"/>
      <c r="C142" s="50"/>
      <c r="D142" s="60"/>
      <c r="E142" s="51"/>
      <c r="F142" s="51"/>
      <c r="G142" s="51"/>
      <c r="H142" s="51"/>
      <c r="I142" s="57" t="str">
        <f t="shared" si="5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5">
      <c r="A143" s="50"/>
      <c r="B143" s="60"/>
      <c r="C143" s="50"/>
      <c r="D143" s="60"/>
      <c r="E143" s="51"/>
      <c r="F143" s="51"/>
      <c r="G143" s="51"/>
      <c r="H143" s="51"/>
      <c r="I143" s="57" t="str">
        <f t="shared" si="5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5">
      <c r="A144" s="50"/>
      <c r="B144" s="60"/>
      <c r="C144" s="50"/>
      <c r="D144" s="60"/>
      <c r="E144" s="51"/>
      <c r="F144" s="51"/>
      <c r="G144" s="51"/>
      <c r="H144" s="51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5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5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5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5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5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5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5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5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5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5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5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5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5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5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5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5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5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5">
      <c r="A162" s="46" t="s">
        <v>170</v>
      </c>
      <c r="B162" s="52" t="str">
        <f>IF(B14="","",B14)</f>
        <v/>
      </c>
      <c r="D162" s="227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5">
      <c r="A163" s="46"/>
      <c r="B163" s="9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5">
      <c r="A164" s="4"/>
      <c r="B164" s="84" t="s">
        <v>185</v>
      </c>
      <c r="C164" s="267" t="s">
        <v>186</v>
      </c>
      <c r="D164" s="267"/>
      <c r="E164" s="268" t="s">
        <v>187</v>
      </c>
      <c r="F164" s="269"/>
      <c r="G164" s="269"/>
      <c r="H164" s="270"/>
      <c r="I164" s="93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5" x14ac:dyDescent="0.35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5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5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5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5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5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5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5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5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5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5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5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5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5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5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5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5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5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5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5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5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5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5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5">
      <c r="A188" s="46" t="s">
        <v>171</v>
      </c>
      <c r="B188" s="52" t="str">
        <f>IF(B15="","",B15)</f>
        <v/>
      </c>
      <c r="D188" s="227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5">
      <c r="A189" s="46"/>
      <c r="B189" s="9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5">
      <c r="A190" s="4"/>
      <c r="B190" s="84" t="s">
        <v>185</v>
      </c>
      <c r="C190" s="267" t="s">
        <v>186</v>
      </c>
      <c r="D190" s="267"/>
      <c r="E190" s="268" t="s">
        <v>187</v>
      </c>
      <c r="F190" s="269"/>
      <c r="G190" s="269"/>
      <c r="H190" s="270"/>
      <c r="I190" s="93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5" x14ac:dyDescent="0.35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5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5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5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5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5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5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5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5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5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5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5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5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5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5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5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5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5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5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5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5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5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5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5">
      <c r="A214" s="46" t="s">
        <v>172</v>
      </c>
      <c r="B214" s="52" t="str">
        <f>IF(B16="","",B16)</f>
        <v/>
      </c>
      <c r="D214" s="227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5">
      <c r="A215" s="46"/>
      <c r="B215" s="9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5">
      <c r="A216" s="4"/>
      <c r="B216" s="84" t="s">
        <v>185</v>
      </c>
      <c r="C216" s="267" t="s">
        <v>186</v>
      </c>
      <c r="D216" s="267"/>
      <c r="E216" s="268" t="s">
        <v>187</v>
      </c>
      <c r="F216" s="269"/>
      <c r="G216" s="269"/>
      <c r="H216" s="270"/>
      <c r="I216" s="93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5" x14ac:dyDescent="0.35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5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5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5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5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5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5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5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5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5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5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5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5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5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5">
      <c r="A231" s="86"/>
      <c r="B231" s="60"/>
      <c r="C231" s="86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5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5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5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5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5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5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5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5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5">
      <c r="A240" s="46" t="s">
        <v>173</v>
      </c>
      <c r="B240" s="52" t="str">
        <f>IF(B17="","",B17)</f>
        <v/>
      </c>
      <c r="D240" s="227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5">
      <c r="A241" s="46"/>
      <c r="B241" s="9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5">
      <c r="A242" s="4"/>
      <c r="B242" s="84" t="s">
        <v>185</v>
      </c>
      <c r="C242" s="267" t="s">
        <v>186</v>
      </c>
      <c r="D242" s="267"/>
      <c r="E242" s="268" t="s">
        <v>187</v>
      </c>
      <c r="F242" s="269"/>
      <c r="G242" s="269"/>
      <c r="H242" s="270"/>
      <c r="I242" s="93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5" x14ac:dyDescent="0.35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5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5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5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5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5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5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5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5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5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5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5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5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5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5">
      <c r="A257" s="86"/>
      <c r="B257" s="60"/>
      <c r="C257" s="86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5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5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5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5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5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5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5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5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5">
      <c r="A266" s="46" t="s">
        <v>174</v>
      </c>
      <c r="B266" s="52" t="str">
        <f>IF(B18="","",B18)</f>
        <v/>
      </c>
      <c r="D266" s="227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5">
      <c r="A267" s="46"/>
      <c r="B267" s="9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5">
      <c r="A268" s="4"/>
      <c r="B268" s="84" t="s">
        <v>185</v>
      </c>
      <c r="C268" s="267" t="s">
        <v>186</v>
      </c>
      <c r="D268" s="267"/>
      <c r="E268" s="268" t="s">
        <v>187</v>
      </c>
      <c r="F268" s="269"/>
      <c r="G268" s="269"/>
      <c r="H268" s="270"/>
      <c r="I268" s="93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5" x14ac:dyDescent="0.35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5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5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5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5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5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5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5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5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5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5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5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5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5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5">
      <c r="A283" s="86"/>
      <c r="B283" s="60"/>
      <c r="C283" s="86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5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5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5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5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5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5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5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5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5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5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5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5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5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5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5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5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5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5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5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5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5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5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5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5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5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5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5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5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5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5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5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5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5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5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5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5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5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5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5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5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5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5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5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5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5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5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5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5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5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5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5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5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5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5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5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5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5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5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5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5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5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5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5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5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5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5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5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5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5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5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5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5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5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5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5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5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5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5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5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5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5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5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5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5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5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5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5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5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5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5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5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5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5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5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5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5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5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5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5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5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5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5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5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5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5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5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5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5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5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5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5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5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5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5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5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5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5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5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5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5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5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5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5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5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5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5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5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5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5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5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5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5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5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5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5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5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5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5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5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5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5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5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5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5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topLeftCell="B1" zoomScale="115" zoomScaleNormal="115" workbookViewId="0">
      <selection activeCell="B18" sqref="B18"/>
    </sheetView>
  </sheetViews>
  <sheetFormatPr baseColWidth="10" defaultColWidth="11.453125" defaultRowHeight="14.5" x14ac:dyDescent="0.35"/>
  <cols>
    <col min="1" max="1" width="5.81640625" style="1" customWidth="1"/>
    <col min="2" max="2" width="14.08984375" style="1" customWidth="1"/>
    <col min="3" max="3" width="62.08984375" style="1" customWidth="1"/>
    <col min="4" max="5" width="4.36328125" style="1" customWidth="1"/>
    <col min="6" max="6" width="14.36328125" style="1" customWidth="1"/>
    <col min="7" max="7" width="73.36328125" style="1" bestFit="1" customWidth="1"/>
    <col min="8" max="10" width="11.453125" style="1"/>
    <col min="11" max="11" width="12.453125" style="1" customWidth="1"/>
    <col min="12" max="16384" width="11.453125" style="1"/>
  </cols>
  <sheetData>
    <row r="1" spans="1:38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95"/>
      <c r="K1" s="95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5" thickBot="1" x14ac:dyDescent="0.65">
      <c r="A2" s="4"/>
      <c r="B2" s="281" t="s">
        <v>191</v>
      </c>
      <c r="C2" s="282"/>
      <c r="D2" s="282"/>
      <c r="E2" s="282"/>
      <c r="F2" s="282"/>
      <c r="G2" s="283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5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5">
      <c r="A4" s="4"/>
      <c r="B4" s="280"/>
      <c r="C4" s="280"/>
      <c r="D4" s="280"/>
      <c r="E4" s="280"/>
      <c r="F4" s="280"/>
      <c r="G4" s="280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5">
      <c r="A5" s="4"/>
      <c r="B5" s="96" t="s">
        <v>296</v>
      </c>
      <c r="C5" s="96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5">
      <c r="A6" s="23"/>
      <c r="B6" s="215"/>
      <c r="C6" s="215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5">
      <c r="A7" s="97"/>
      <c r="B7" s="26" t="s">
        <v>295</v>
      </c>
      <c r="C7" s="98" t="s">
        <v>214</v>
      </c>
      <c r="D7" s="213"/>
      <c r="E7" s="99"/>
      <c r="F7" s="26" t="s">
        <v>295</v>
      </c>
      <c r="G7" s="98" t="s">
        <v>215</v>
      </c>
      <c r="H7" s="214"/>
      <c r="I7" s="214"/>
      <c r="J7" s="214"/>
      <c r="K7" s="214"/>
      <c r="L7" s="97"/>
      <c r="M7" s="97"/>
      <c r="N7" s="97"/>
      <c r="O7" s="97"/>
      <c r="P7" s="97"/>
      <c r="Q7" s="97"/>
      <c r="R7" s="97"/>
      <c r="S7" s="97"/>
      <c r="T7" s="97"/>
      <c r="U7" s="97"/>
      <c r="V7" s="97"/>
      <c r="W7" s="97"/>
      <c r="X7" s="97"/>
      <c r="Y7" s="97"/>
      <c r="Z7" s="97"/>
      <c r="AA7" s="97"/>
      <c r="AB7" s="97"/>
      <c r="AC7" s="97"/>
      <c r="AD7" s="97"/>
      <c r="AE7" s="97"/>
      <c r="AF7" s="97"/>
      <c r="AG7" s="97"/>
      <c r="AH7" s="97"/>
      <c r="AI7" s="97"/>
      <c r="AJ7" s="97"/>
      <c r="AK7" s="97"/>
      <c r="AL7" s="97"/>
    </row>
    <row r="8" spans="1:38" ht="17.25" customHeight="1" x14ac:dyDescent="0.35">
      <c r="A8" s="103">
        <v>1</v>
      </c>
      <c r="B8" s="61">
        <v>1</v>
      </c>
      <c r="C8" s="49" t="s">
        <v>177</v>
      </c>
      <c r="D8" s="23"/>
      <c r="E8" s="103">
        <v>4</v>
      </c>
      <c r="F8" s="61">
        <v>0</v>
      </c>
      <c r="G8" s="100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5">
      <c r="A9" s="103">
        <v>2</v>
      </c>
      <c r="B9" s="61">
        <v>0</v>
      </c>
      <c r="C9" s="106" t="s">
        <v>216</v>
      </c>
      <c r="D9" s="23"/>
      <c r="E9" s="103">
        <v>5</v>
      </c>
      <c r="F9" s="61">
        <v>0</v>
      </c>
      <c r="G9" s="101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5">
      <c r="A10" s="103">
        <v>3</v>
      </c>
      <c r="B10" s="61">
        <v>0</v>
      </c>
      <c r="C10" s="107" t="s">
        <v>217</v>
      </c>
      <c r="D10" s="23"/>
      <c r="E10" s="4"/>
      <c r="F10" s="104">
        <f>SUM(F7:F9)</f>
        <v>0</v>
      </c>
      <c r="G10" s="102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5">
      <c r="A11" s="23"/>
      <c r="B11" s="104">
        <v>0</v>
      </c>
      <c r="C11" s="102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5">
      <c r="A13" s="214"/>
      <c r="B13" s="105"/>
      <c r="C13" s="96" t="s">
        <v>273</v>
      </c>
      <c r="D13" s="214"/>
      <c r="E13" s="97"/>
      <c r="F13" s="105"/>
      <c r="G13" s="96" t="s">
        <v>301</v>
      </c>
      <c r="H13" s="214"/>
      <c r="I13" s="214"/>
      <c r="J13" s="214"/>
      <c r="K13" s="214"/>
      <c r="L13" s="97"/>
      <c r="M13" s="97"/>
      <c r="N13" s="97"/>
      <c r="O13" s="97"/>
      <c r="P13" s="97"/>
      <c r="Q13" s="97"/>
      <c r="R13" s="97"/>
      <c r="S13" s="97"/>
      <c r="T13" s="97"/>
      <c r="U13" s="97"/>
      <c r="V13" s="97"/>
      <c r="W13" s="97"/>
      <c r="X13" s="97"/>
      <c r="Y13" s="97"/>
      <c r="Z13" s="97"/>
      <c r="AA13" s="97"/>
      <c r="AB13" s="97"/>
      <c r="AC13" s="97"/>
      <c r="AD13" s="97"/>
      <c r="AE13" s="97"/>
      <c r="AF13" s="97"/>
      <c r="AG13" s="97"/>
      <c r="AH13" s="97"/>
    </row>
    <row r="14" spans="1:38" s="3" customFormat="1" ht="21" customHeight="1" x14ac:dyDescent="0.35">
      <c r="A14" s="214"/>
      <c r="B14" s="105"/>
      <c r="C14" s="96" t="s">
        <v>309</v>
      </c>
      <c r="D14" s="214"/>
      <c r="E14" s="97"/>
      <c r="F14" s="105"/>
      <c r="G14" s="96" t="s">
        <v>294</v>
      </c>
      <c r="H14" s="214"/>
      <c r="I14" s="214"/>
      <c r="J14" s="214"/>
      <c r="K14" s="214"/>
      <c r="L14" s="97"/>
      <c r="M14" s="97"/>
      <c r="N14" s="97"/>
      <c r="O14" s="97"/>
      <c r="P14" s="97"/>
      <c r="Q14" s="97"/>
      <c r="R14" s="97"/>
      <c r="S14" s="97"/>
      <c r="T14" s="97"/>
      <c r="U14" s="97"/>
      <c r="V14" s="97"/>
      <c r="W14" s="97"/>
      <c r="X14" s="97"/>
      <c r="Y14" s="97"/>
      <c r="Z14" s="97"/>
      <c r="AA14" s="97"/>
      <c r="AB14" s="97"/>
      <c r="AC14" s="97"/>
      <c r="AD14" s="97"/>
      <c r="AE14" s="97"/>
      <c r="AF14" s="97"/>
      <c r="AG14" s="97"/>
      <c r="AH14" s="97"/>
    </row>
    <row r="15" spans="1:38" x14ac:dyDescent="0.35">
      <c r="A15" s="23"/>
      <c r="B15" s="26" t="s">
        <v>295</v>
      </c>
      <c r="C15" s="4"/>
      <c r="D15" s="23"/>
      <c r="E15" s="4"/>
      <c r="F15" s="4"/>
      <c r="G15" s="2" t="s">
        <v>19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5">
      <c r="A16" s="23"/>
      <c r="B16" s="61">
        <v>0</v>
      </c>
      <c r="C16" s="108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5">
      <c r="A17" s="23"/>
      <c r="B17" s="61">
        <v>1</v>
      </c>
      <c r="C17" s="108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5">
      <c r="A18" s="23"/>
      <c r="B18" s="61">
        <v>0</v>
      </c>
      <c r="C18" s="108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5">
      <c r="A19" s="23"/>
      <c r="B19" s="104">
        <f>SUM(B16:B18)</f>
        <v>1</v>
      </c>
      <c r="C19" s="102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5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5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5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5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5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5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5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5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5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5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5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5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5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5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5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5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5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5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5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5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5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5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5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5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5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5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5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5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5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5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5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5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5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5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5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5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5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5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5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5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5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5">
      <c r="C104" s="4"/>
      <c r="F104" s="4"/>
    </row>
    <row r="105" spans="3:35" x14ac:dyDescent="0.35">
      <c r="C105" s="4"/>
      <c r="F105" s="4"/>
    </row>
    <row r="106" spans="3:35" x14ac:dyDescent="0.35">
      <c r="C106" s="4"/>
      <c r="F106" s="4"/>
    </row>
    <row r="107" spans="3:35" x14ac:dyDescent="0.35">
      <c r="C107" s="4"/>
      <c r="F107" s="4"/>
    </row>
    <row r="108" spans="3:35" x14ac:dyDescent="0.35">
      <c r="C108" s="4"/>
      <c r="F108" s="4"/>
    </row>
    <row r="109" spans="3:35" x14ac:dyDescent="0.35">
      <c r="C109" s="4"/>
      <c r="F109" s="4"/>
    </row>
    <row r="110" spans="3:35" x14ac:dyDescent="0.35">
      <c r="C110" s="4"/>
      <c r="F110" s="4"/>
    </row>
    <row r="111" spans="3:35" x14ac:dyDescent="0.35">
      <c r="C111" s="4"/>
      <c r="F111" s="4"/>
    </row>
    <row r="112" spans="3:35" x14ac:dyDescent="0.35">
      <c r="C112" s="4"/>
      <c r="F112" s="4"/>
    </row>
    <row r="113" spans="3:6" x14ac:dyDescent="0.35">
      <c r="C113" s="4"/>
      <c r="F113" s="4"/>
    </row>
    <row r="114" spans="3:6" x14ac:dyDescent="0.35">
      <c r="C114" s="4"/>
      <c r="F114" s="4"/>
    </row>
    <row r="115" spans="3:6" x14ac:dyDescent="0.35">
      <c r="C115" s="4"/>
      <c r="F115" s="4"/>
    </row>
    <row r="116" spans="3:6" x14ac:dyDescent="0.35">
      <c r="C116" s="4"/>
      <c r="F116" s="4"/>
    </row>
    <row r="117" spans="3:6" x14ac:dyDescent="0.35">
      <c r="C117" s="4"/>
      <c r="F117" s="4"/>
    </row>
    <row r="118" spans="3:6" x14ac:dyDescent="0.35">
      <c r="C118" s="4"/>
      <c r="F118" s="4"/>
    </row>
    <row r="119" spans="3:6" x14ac:dyDescent="0.35">
      <c r="C119" s="4"/>
      <c r="F119" s="4"/>
    </row>
    <row r="120" spans="3:6" x14ac:dyDescent="0.35">
      <c r="C120" s="4"/>
      <c r="F120" s="4"/>
    </row>
    <row r="121" spans="3:6" x14ac:dyDescent="0.35">
      <c r="C121" s="4"/>
      <c r="F121" s="4"/>
    </row>
    <row r="122" spans="3:6" x14ac:dyDescent="0.35">
      <c r="C122" s="4"/>
      <c r="F122" s="4"/>
    </row>
    <row r="123" spans="3:6" x14ac:dyDescent="0.35">
      <c r="C123" s="4"/>
      <c r="F123" s="4"/>
    </row>
    <row r="124" spans="3:6" x14ac:dyDescent="0.35">
      <c r="C124" s="4"/>
      <c r="F124" s="4"/>
    </row>
    <row r="125" spans="3:6" x14ac:dyDescent="0.35">
      <c r="C125" s="4"/>
      <c r="F125" s="4"/>
    </row>
    <row r="126" spans="3:6" x14ac:dyDescent="0.35">
      <c r="C126" s="4"/>
      <c r="F126" s="4"/>
    </row>
    <row r="127" spans="3:6" x14ac:dyDescent="0.35">
      <c r="C127" s="4"/>
      <c r="F127" s="4"/>
    </row>
    <row r="128" spans="3:6" x14ac:dyDescent="0.35">
      <c r="C128" s="4"/>
      <c r="F128" s="4"/>
    </row>
    <row r="129" spans="3:6" x14ac:dyDescent="0.35">
      <c r="C129" s="4"/>
      <c r="F129" s="4"/>
    </row>
    <row r="130" spans="3:6" x14ac:dyDescent="0.35">
      <c r="C130" s="4"/>
      <c r="F130" s="4"/>
    </row>
    <row r="131" spans="3:6" x14ac:dyDescent="0.35">
      <c r="C131" s="4"/>
      <c r="F131" s="4"/>
    </row>
    <row r="132" spans="3:6" x14ac:dyDescent="0.35">
      <c r="F132" s="4"/>
    </row>
    <row r="133" spans="3:6" x14ac:dyDescent="0.35">
      <c r="F133" s="4"/>
    </row>
    <row r="134" spans="3:6" x14ac:dyDescent="0.35">
      <c r="F134" s="4"/>
    </row>
    <row r="135" spans="3:6" x14ac:dyDescent="0.35">
      <c r="F135" s="4"/>
    </row>
    <row r="136" spans="3:6" x14ac:dyDescent="0.35">
      <c r="F136" s="4"/>
    </row>
    <row r="137" spans="3:6" x14ac:dyDescent="0.35">
      <c r="F137" s="4"/>
    </row>
    <row r="138" spans="3:6" x14ac:dyDescent="0.35">
      <c r="F138" s="4"/>
    </row>
    <row r="139" spans="3:6" x14ac:dyDescent="0.35">
      <c r="F139" s="4"/>
    </row>
    <row r="140" spans="3:6" x14ac:dyDescent="0.35">
      <c r="F140" s="4"/>
    </row>
    <row r="141" spans="3:6" x14ac:dyDescent="0.35">
      <c r="F141" s="4"/>
    </row>
    <row r="142" spans="3:6" x14ac:dyDescent="0.35">
      <c r="F142" s="4"/>
    </row>
    <row r="143" spans="3:6" x14ac:dyDescent="0.35">
      <c r="F143" s="4"/>
    </row>
    <row r="144" spans="3:6" x14ac:dyDescent="0.35">
      <c r="F144" s="4"/>
    </row>
    <row r="145" spans="6:6" x14ac:dyDescent="0.35">
      <c r="F145" s="4"/>
    </row>
    <row r="146" spans="6:6" x14ac:dyDescent="0.35">
      <c r="F146" s="4"/>
    </row>
    <row r="147" spans="6:6" x14ac:dyDescent="0.35">
      <c r="F147" s="4"/>
    </row>
    <row r="148" spans="6:6" x14ac:dyDescent="0.35">
      <c r="F148" s="4"/>
    </row>
    <row r="149" spans="6:6" x14ac:dyDescent="0.35">
      <c r="F149" s="4"/>
    </row>
    <row r="150" spans="6:6" x14ac:dyDescent="0.35">
      <c r="F150" s="4"/>
    </row>
    <row r="151" spans="6:6" x14ac:dyDescent="0.35">
      <c r="F151" s="4"/>
    </row>
    <row r="152" spans="6:6" x14ac:dyDescent="0.35">
      <c r="F152" s="4"/>
    </row>
    <row r="153" spans="6:6" x14ac:dyDescent="0.35">
      <c r="F153" s="4"/>
    </row>
    <row r="154" spans="6:6" x14ac:dyDescent="0.35">
      <c r="F154" s="4"/>
    </row>
    <row r="155" spans="6:6" x14ac:dyDescent="0.35">
      <c r="F155" s="4"/>
    </row>
    <row r="156" spans="6:6" x14ac:dyDescent="0.35">
      <c r="F156" s="4"/>
    </row>
    <row r="157" spans="6:6" x14ac:dyDescent="0.35">
      <c r="F157" s="4"/>
    </row>
    <row r="158" spans="6:6" x14ac:dyDescent="0.35">
      <c r="F158" s="4"/>
    </row>
    <row r="159" spans="6:6" x14ac:dyDescent="0.35">
      <c r="F159" s="4"/>
    </row>
    <row r="160" spans="6:6" x14ac:dyDescent="0.35">
      <c r="F160" s="4"/>
    </row>
    <row r="161" spans="6:6" x14ac:dyDescent="0.35">
      <c r="F161" s="4"/>
    </row>
    <row r="162" spans="6:6" x14ac:dyDescent="0.35">
      <c r="F162" s="4"/>
    </row>
    <row r="163" spans="6:6" x14ac:dyDescent="0.35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53125" defaultRowHeight="14.5" x14ac:dyDescent="0.35"/>
  <cols>
    <col min="1" max="1" width="6.81640625" style="4" bestFit="1" customWidth="1"/>
    <col min="2" max="4" width="11.453125" style="4"/>
    <col min="5" max="5" width="9.453125" style="4" customWidth="1"/>
    <col min="6" max="7" width="11.453125" style="4"/>
    <col min="8" max="8" width="10.6328125" style="4" customWidth="1"/>
    <col min="9" max="9" width="9.453125" style="4" customWidth="1"/>
    <col min="10" max="11" width="10.453125" style="4" bestFit="1" customWidth="1"/>
    <col min="12" max="12" width="14" style="4" bestFit="1" customWidth="1"/>
    <col min="13" max="13" width="14" style="4" customWidth="1"/>
    <col min="14" max="23" width="11.453125" style="4"/>
    <col min="24" max="24" width="11.6328125" style="4" bestFit="1" customWidth="1"/>
    <col min="25" max="25" width="14.453125" style="4" bestFit="1" customWidth="1"/>
    <col min="26" max="26" width="12.453125" style="4" bestFit="1" customWidth="1"/>
    <col min="27" max="27" width="9.6328125" style="4" bestFit="1" customWidth="1"/>
    <col min="28" max="28" width="11" style="4" bestFit="1" customWidth="1"/>
    <col min="29" max="29" width="9.453125" style="4" bestFit="1" customWidth="1"/>
    <col min="30" max="31" width="9.453125" style="4" customWidth="1"/>
    <col min="32" max="32" width="11.453125" style="4"/>
    <col min="33" max="34" width="14" style="4" bestFit="1" customWidth="1"/>
    <col min="35" max="35" width="10.453125" style="4" bestFit="1" customWidth="1"/>
    <col min="36" max="36" width="9.453125" style="4" bestFit="1" customWidth="1"/>
    <col min="37" max="38" width="10.453125" style="4" bestFit="1" customWidth="1"/>
    <col min="39" max="41" width="10.453125" style="4" customWidth="1"/>
    <col min="42" max="42" width="9" style="4" bestFit="1" customWidth="1"/>
    <col min="43" max="43" width="10.453125" style="4" bestFit="1" customWidth="1"/>
    <col min="44" max="44" width="9.36328125" style="4" bestFit="1" customWidth="1"/>
    <col min="45" max="45" width="11.6328125" style="4" bestFit="1" customWidth="1"/>
    <col min="46" max="46" width="8.453125" style="4" bestFit="1" customWidth="1"/>
    <col min="47" max="47" width="9.453125" style="4" bestFit="1" customWidth="1"/>
    <col min="48" max="48" width="9.6328125" style="4" bestFit="1" customWidth="1"/>
    <col min="49" max="49" width="11" style="4" bestFit="1" customWidth="1"/>
    <col min="50" max="50" width="9.453125" style="4" bestFit="1" customWidth="1"/>
    <col min="51" max="52" width="9.453125" style="4" customWidth="1"/>
    <col min="53" max="53" width="10.453125" style="4" bestFit="1" customWidth="1"/>
    <col min="54" max="54" width="14.36328125" style="4" customWidth="1"/>
    <col min="55" max="55" width="14" style="4" customWidth="1"/>
    <col min="56" max="56" width="10.453125" style="4" bestFit="1" customWidth="1"/>
    <col min="57" max="57" width="9.453125" style="4" bestFit="1" customWidth="1"/>
    <col min="58" max="59" width="10.453125" style="4" bestFit="1" customWidth="1"/>
    <col min="60" max="62" width="10.453125" style="4" customWidth="1"/>
    <col min="63" max="63" width="9" style="4" bestFit="1" customWidth="1"/>
    <col min="64" max="64" width="10.453125" style="4" bestFit="1" customWidth="1"/>
    <col min="65" max="65" width="9.36328125" style="4" bestFit="1" customWidth="1"/>
    <col min="66" max="66" width="11.6328125" style="4" bestFit="1" customWidth="1"/>
    <col min="67" max="67" width="8.453125" style="4" bestFit="1" customWidth="1"/>
    <col min="68" max="68" width="9.453125" style="4" bestFit="1" customWidth="1"/>
    <col min="69" max="69" width="9.6328125" style="4" bestFit="1" customWidth="1"/>
    <col min="70" max="70" width="11" style="4" bestFit="1" customWidth="1"/>
    <col min="71" max="71" width="9.453125" style="4" bestFit="1" customWidth="1"/>
    <col min="72" max="73" width="9.453125" style="4" customWidth="1"/>
    <col min="74" max="74" width="10.453125" style="4" bestFit="1" customWidth="1"/>
    <col min="75" max="75" width="14" style="4" bestFit="1" customWidth="1"/>
    <col min="76" max="76" width="13.81640625" style="4" customWidth="1"/>
    <col min="77" max="77" width="10.453125" style="4" bestFit="1" customWidth="1"/>
    <col min="78" max="78" width="9.453125" style="4" bestFit="1" customWidth="1"/>
    <col min="79" max="80" width="10.453125" style="4" bestFit="1" customWidth="1"/>
    <col min="81" max="83" width="10.453125" style="4" customWidth="1"/>
    <col min="84" max="84" width="11.453125" style="4"/>
    <col min="85" max="85" width="10.453125" style="4" bestFit="1" customWidth="1"/>
    <col min="86" max="86" width="9.36328125" style="4" bestFit="1" customWidth="1"/>
    <col min="87" max="87" width="11.6328125" style="4" bestFit="1" customWidth="1"/>
    <col min="88" max="88" width="8.453125" style="4" bestFit="1" customWidth="1"/>
    <col min="89" max="89" width="9.453125" style="4" bestFit="1" customWidth="1"/>
    <col min="90" max="90" width="9.6328125" style="4" bestFit="1" customWidth="1"/>
    <col min="91" max="91" width="11" style="4" bestFit="1" customWidth="1"/>
    <col min="92" max="92" width="9.453125" style="4" bestFit="1" customWidth="1"/>
    <col min="93" max="94" width="9.453125" style="4" customWidth="1"/>
    <col min="95" max="95" width="11.453125" style="4"/>
    <col min="96" max="97" width="14" style="4" customWidth="1"/>
    <col min="98" max="98" width="10.453125" style="4" bestFit="1" customWidth="1"/>
    <col min="99" max="99" width="9.453125" style="4" bestFit="1" customWidth="1"/>
    <col min="100" max="101" width="10.453125" style="4" bestFit="1" customWidth="1"/>
    <col min="102" max="104" width="10.453125" style="4" customWidth="1"/>
    <col min="105" max="105" width="9" style="4" bestFit="1" customWidth="1"/>
    <col min="106" max="106" width="10.453125" style="4" bestFit="1" customWidth="1"/>
    <col min="107" max="107" width="9.36328125" style="4" bestFit="1" customWidth="1"/>
    <col min="108" max="108" width="11.6328125" style="4" bestFit="1" customWidth="1"/>
    <col min="109" max="109" width="8.453125" style="4" bestFit="1" customWidth="1"/>
    <col min="110" max="110" width="9.453125" style="4" bestFit="1" customWidth="1"/>
    <col min="111" max="111" width="9.6328125" style="4" bestFit="1" customWidth="1"/>
    <col min="112" max="112" width="11" style="4" bestFit="1" customWidth="1"/>
    <col min="113" max="113" width="9.453125" style="4" bestFit="1" customWidth="1"/>
    <col min="114" max="115" width="9.453125" style="4" customWidth="1"/>
    <col min="116" max="116" width="10.453125" style="4" bestFit="1" customWidth="1"/>
    <col min="117" max="117" width="14.36328125" style="4" customWidth="1"/>
    <col min="118" max="118" width="14" style="4" bestFit="1" customWidth="1"/>
    <col min="119" max="119" width="10.453125" style="4" bestFit="1" customWidth="1"/>
    <col min="120" max="120" width="9.453125" style="4" bestFit="1" customWidth="1"/>
    <col min="121" max="122" width="10.453125" style="4" bestFit="1" customWidth="1"/>
    <col min="123" max="125" width="10.453125" style="4" customWidth="1"/>
    <col min="126" max="126" width="9" style="4" bestFit="1" customWidth="1"/>
    <col min="127" max="127" width="10.453125" style="4" bestFit="1" customWidth="1"/>
    <col min="128" max="128" width="9.36328125" style="4" bestFit="1" customWidth="1"/>
    <col min="129" max="129" width="11.6328125" style="4" bestFit="1" customWidth="1"/>
    <col min="130" max="130" width="8.453125" style="4" bestFit="1" customWidth="1"/>
    <col min="131" max="131" width="9.453125" style="4" bestFit="1" customWidth="1"/>
    <col min="132" max="132" width="9.6328125" style="4" bestFit="1" customWidth="1"/>
    <col min="133" max="133" width="11" style="4" bestFit="1" customWidth="1"/>
    <col min="134" max="134" width="9.453125" style="4" bestFit="1" customWidth="1"/>
    <col min="135" max="136" width="9.453125" style="4" customWidth="1"/>
    <col min="137" max="137" width="10.453125" style="4" bestFit="1" customWidth="1"/>
    <col min="138" max="139" width="14" style="4" customWidth="1"/>
    <col min="140" max="140" width="10.453125" style="4" bestFit="1" customWidth="1"/>
    <col min="141" max="141" width="9.453125" style="4" bestFit="1" customWidth="1"/>
    <col min="142" max="143" width="10.453125" style="4" bestFit="1" customWidth="1"/>
    <col min="144" max="146" width="10.453125" style="4" customWidth="1"/>
    <col min="147" max="147" width="9" style="4" bestFit="1" customWidth="1"/>
    <col min="148" max="148" width="10.453125" style="4" bestFit="1" customWidth="1"/>
    <col min="149" max="149" width="9.36328125" style="4" bestFit="1" customWidth="1"/>
    <col min="150" max="150" width="11.6328125" style="4" bestFit="1" customWidth="1"/>
    <col min="151" max="151" width="8.453125" style="4" bestFit="1" customWidth="1"/>
    <col min="152" max="152" width="9.453125" style="4" bestFit="1" customWidth="1"/>
    <col min="153" max="153" width="9.6328125" style="4" bestFit="1" customWidth="1"/>
    <col min="154" max="154" width="11" style="4" bestFit="1" customWidth="1"/>
    <col min="155" max="155" width="9.453125" style="4" bestFit="1" customWidth="1"/>
    <col min="156" max="157" width="9.453125" style="4" customWidth="1"/>
    <col min="158" max="158" width="11.453125" style="4"/>
    <col min="159" max="160" width="14" style="4" bestFit="1" customWidth="1"/>
    <col min="161" max="161" width="10.453125" style="4" bestFit="1" customWidth="1"/>
    <col min="162" max="162" width="9.453125" style="4" bestFit="1" customWidth="1"/>
    <col min="163" max="164" width="10.453125" style="4" bestFit="1" customWidth="1"/>
    <col min="165" max="167" width="10.453125" style="4" customWidth="1"/>
    <col min="168" max="168" width="9" style="4" bestFit="1" customWidth="1"/>
    <col min="169" max="169" width="10.453125" style="4" bestFit="1" customWidth="1"/>
    <col min="170" max="170" width="9.36328125" style="4" bestFit="1" customWidth="1"/>
    <col min="171" max="171" width="11.6328125" style="4" bestFit="1" customWidth="1"/>
    <col min="172" max="172" width="8.08984375" style="4" bestFit="1" customWidth="1"/>
    <col min="173" max="173" width="9.453125" style="4" bestFit="1" customWidth="1"/>
    <col min="174" max="174" width="9.6328125" style="4" bestFit="1" customWidth="1"/>
    <col min="175" max="175" width="11" style="4" bestFit="1" customWidth="1"/>
    <col min="176" max="176" width="9.453125" style="4" bestFit="1" customWidth="1"/>
    <col min="177" max="178" width="9.453125" style="4" customWidth="1"/>
    <col min="179" max="179" width="10.453125" style="4" bestFit="1" customWidth="1"/>
    <col min="180" max="181" width="14" style="4" bestFit="1" customWidth="1"/>
    <col min="182" max="182" width="10.453125" style="4" bestFit="1" customWidth="1"/>
    <col min="183" max="183" width="9.453125" style="4" bestFit="1" customWidth="1"/>
    <col min="184" max="185" width="10.453125" style="4" bestFit="1" customWidth="1"/>
    <col min="186" max="188" width="10.453125" style="4" customWidth="1"/>
    <col min="189" max="189" width="9" style="4" bestFit="1" customWidth="1"/>
    <col min="190" max="190" width="10.453125" style="4" bestFit="1" customWidth="1"/>
    <col min="191" max="191" width="9.36328125" style="4" bestFit="1" customWidth="1"/>
    <col min="192" max="192" width="11.453125" style="4"/>
    <col min="193" max="193" width="8.453125" style="4" bestFit="1" customWidth="1"/>
    <col min="194" max="194" width="9.453125" style="4" bestFit="1" customWidth="1"/>
    <col min="195" max="195" width="9.6328125" style="4" bestFit="1" customWidth="1"/>
    <col min="196" max="196" width="11" style="4" bestFit="1" customWidth="1"/>
    <col min="197" max="197" width="9.453125" style="4" bestFit="1" customWidth="1"/>
    <col min="198" max="199" width="9.453125" style="4" customWidth="1"/>
    <col min="200" max="200" width="10.453125" style="4" bestFit="1" customWidth="1"/>
    <col min="201" max="201" width="14" style="4" customWidth="1"/>
    <col min="202" max="202" width="14.36328125" style="4" customWidth="1"/>
    <col min="203" max="203" width="10.453125" style="4" bestFit="1" customWidth="1"/>
    <col min="204" max="204" width="9.453125" style="4" bestFit="1" customWidth="1"/>
    <col min="205" max="206" width="10.453125" style="4" bestFit="1" customWidth="1"/>
    <col min="207" max="209" width="10.453125" style="4" customWidth="1"/>
    <col min="210" max="210" width="9" style="4" bestFit="1" customWidth="1"/>
    <col min="211" max="211" width="10.453125" style="4" bestFit="1" customWidth="1"/>
    <col min="212" max="212" width="9.36328125" style="4" bestFit="1" customWidth="1"/>
    <col min="213" max="213" width="11.6328125" style="4" bestFit="1" customWidth="1"/>
    <col min="214" max="214" width="8.453125" style="4" bestFit="1" customWidth="1"/>
    <col min="215" max="215" width="9.453125" style="4" bestFit="1" customWidth="1"/>
    <col min="216" max="216" width="9.6328125" style="4" bestFit="1" customWidth="1"/>
    <col min="217" max="217" width="11" style="4" bestFit="1" customWidth="1"/>
    <col min="218" max="218" width="9.453125" style="4" bestFit="1" customWidth="1"/>
    <col min="219" max="16384" width="11.453125" style="4"/>
  </cols>
  <sheetData>
    <row r="1" spans="1:218" ht="26.5" thickBot="1" x14ac:dyDescent="0.65">
      <c r="B1" s="287" t="s">
        <v>176</v>
      </c>
      <c r="C1" s="288"/>
      <c r="D1" s="288"/>
      <c r="E1" s="288"/>
      <c r="F1" s="288"/>
      <c r="G1" s="288"/>
      <c r="H1" s="289"/>
      <c r="I1" s="284" t="str">
        <f>IF('Données projet'!$B$9="","",'Données projet'!$B$9)</f>
        <v>Chêne sessile</v>
      </c>
      <c r="J1" s="285"/>
      <c r="K1" s="285"/>
      <c r="L1" s="285"/>
      <c r="M1" s="285"/>
      <c r="N1" s="285"/>
      <c r="O1" s="285"/>
      <c r="P1" s="285"/>
      <c r="Q1" s="285"/>
      <c r="R1" s="285"/>
      <c r="S1" s="285"/>
      <c r="T1" s="285"/>
      <c r="U1" s="285"/>
      <c r="V1" s="285"/>
      <c r="W1" s="285"/>
      <c r="X1" s="285"/>
      <c r="Y1" s="285"/>
      <c r="Z1" s="285"/>
      <c r="AA1" s="285"/>
      <c r="AB1" s="285"/>
      <c r="AC1" s="286"/>
      <c r="AD1" s="285" t="str">
        <f>IF('Données projet'!$B$10="","",'Données projet'!$B$10)</f>
        <v>Charme</v>
      </c>
      <c r="AE1" s="285"/>
      <c r="AF1" s="285"/>
      <c r="AG1" s="285"/>
      <c r="AH1" s="285"/>
      <c r="AI1" s="285"/>
      <c r="AJ1" s="285"/>
      <c r="AK1" s="285"/>
      <c r="AL1" s="285"/>
      <c r="AM1" s="285"/>
      <c r="AN1" s="285"/>
      <c r="AO1" s="285"/>
      <c r="AP1" s="285"/>
      <c r="AQ1" s="285"/>
      <c r="AR1" s="285"/>
      <c r="AS1" s="285"/>
      <c r="AT1" s="285"/>
      <c r="AU1" s="285"/>
      <c r="AV1" s="285"/>
      <c r="AW1" s="285"/>
      <c r="AX1" s="286"/>
      <c r="AY1" s="284" t="str">
        <f>IF('Données projet'!$B$11="","",'Données projet'!$B$11)</f>
        <v>Pin maritime</v>
      </c>
      <c r="AZ1" s="285"/>
      <c r="BA1" s="285"/>
      <c r="BB1" s="285"/>
      <c r="BC1" s="285"/>
      <c r="BD1" s="285"/>
      <c r="BE1" s="285"/>
      <c r="BF1" s="285"/>
      <c r="BG1" s="285"/>
      <c r="BH1" s="285"/>
      <c r="BI1" s="285"/>
      <c r="BJ1" s="285"/>
      <c r="BK1" s="285"/>
      <c r="BL1" s="285"/>
      <c r="BM1" s="285"/>
      <c r="BN1" s="285"/>
      <c r="BO1" s="285"/>
      <c r="BP1" s="285"/>
      <c r="BQ1" s="285"/>
      <c r="BR1" s="285"/>
      <c r="BS1" s="286"/>
      <c r="BT1" s="284" t="str">
        <f>IF('Données projet'!$B$12="","",'Données projet'!$B$12)</f>
        <v/>
      </c>
      <c r="BU1" s="285"/>
      <c r="BV1" s="285"/>
      <c r="BW1" s="285"/>
      <c r="BX1" s="285"/>
      <c r="BY1" s="285"/>
      <c r="BZ1" s="285"/>
      <c r="CA1" s="285"/>
      <c r="CB1" s="285"/>
      <c r="CC1" s="285"/>
      <c r="CD1" s="285"/>
      <c r="CE1" s="285"/>
      <c r="CF1" s="285"/>
      <c r="CG1" s="285"/>
      <c r="CH1" s="285"/>
      <c r="CI1" s="285"/>
      <c r="CJ1" s="285"/>
      <c r="CK1" s="285"/>
      <c r="CL1" s="285"/>
      <c r="CM1" s="285"/>
      <c r="CN1" s="286"/>
      <c r="CO1" s="284" t="str">
        <f>IF('Données projet'!$B$13="","",'Données projet'!$B$13)</f>
        <v/>
      </c>
      <c r="CP1" s="285"/>
      <c r="CQ1" s="285"/>
      <c r="CR1" s="285"/>
      <c r="CS1" s="285"/>
      <c r="CT1" s="285"/>
      <c r="CU1" s="285"/>
      <c r="CV1" s="285"/>
      <c r="CW1" s="285"/>
      <c r="CX1" s="285"/>
      <c r="CY1" s="285"/>
      <c r="CZ1" s="285"/>
      <c r="DA1" s="285"/>
      <c r="DB1" s="285"/>
      <c r="DC1" s="285"/>
      <c r="DD1" s="285"/>
      <c r="DE1" s="285"/>
      <c r="DF1" s="285"/>
      <c r="DG1" s="285"/>
      <c r="DH1" s="285"/>
      <c r="DI1" s="286"/>
      <c r="DJ1" s="284" t="str">
        <f>IF('Données projet'!$B$14="","",'Données projet'!$B$14)</f>
        <v/>
      </c>
      <c r="DK1" s="285"/>
      <c r="DL1" s="285"/>
      <c r="DM1" s="285"/>
      <c r="DN1" s="285"/>
      <c r="DO1" s="285"/>
      <c r="DP1" s="285"/>
      <c r="DQ1" s="285"/>
      <c r="DR1" s="285"/>
      <c r="DS1" s="285"/>
      <c r="DT1" s="285"/>
      <c r="DU1" s="285"/>
      <c r="DV1" s="285"/>
      <c r="DW1" s="285"/>
      <c r="DX1" s="285"/>
      <c r="DY1" s="285"/>
      <c r="DZ1" s="285"/>
      <c r="EA1" s="285"/>
      <c r="EB1" s="285"/>
      <c r="EC1" s="285"/>
      <c r="ED1" s="286"/>
      <c r="EE1" s="284" t="str">
        <f>IF('Données projet'!$B$15="","",'Données projet'!$B$15)</f>
        <v/>
      </c>
      <c r="EF1" s="285"/>
      <c r="EG1" s="285"/>
      <c r="EH1" s="285"/>
      <c r="EI1" s="285"/>
      <c r="EJ1" s="285"/>
      <c r="EK1" s="285"/>
      <c r="EL1" s="285"/>
      <c r="EM1" s="285"/>
      <c r="EN1" s="285"/>
      <c r="EO1" s="285"/>
      <c r="EP1" s="285"/>
      <c r="EQ1" s="285"/>
      <c r="ER1" s="285"/>
      <c r="ES1" s="285"/>
      <c r="ET1" s="285"/>
      <c r="EU1" s="285"/>
      <c r="EV1" s="285"/>
      <c r="EW1" s="285"/>
      <c r="EX1" s="285"/>
      <c r="EY1" s="286"/>
      <c r="EZ1" s="284" t="str">
        <f>IF('Données projet'!$B$16="","",'Données projet'!$B$16)</f>
        <v/>
      </c>
      <c r="FA1" s="285"/>
      <c r="FB1" s="285"/>
      <c r="FC1" s="285"/>
      <c r="FD1" s="285"/>
      <c r="FE1" s="285"/>
      <c r="FF1" s="285"/>
      <c r="FG1" s="285"/>
      <c r="FH1" s="285"/>
      <c r="FI1" s="285"/>
      <c r="FJ1" s="285"/>
      <c r="FK1" s="285"/>
      <c r="FL1" s="285"/>
      <c r="FM1" s="285"/>
      <c r="FN1" s="285"/>
      <c r="FO1" s="285"/>
      <c r="FP1" s="285"/>
      <c r="FQ1" s="285"/>
      <c r="FR1" s="285"/>
      <c r="FS1" s="285"/>
      <c r="FT1" s="286"/>
      <c r="FU1" s="284" t="str">
        <f>IF('Données projet'!$B$17="","",'Données projet'!$B$17)</f>
        <v/>
      </c>
      <c r="FV1" s="285"/>
      <c r="FW1" s="285"/>
      <c r="FX1" s="285"/>
      <c r="FY1" s="285"/>
      <c r="FZ1" s="285"/>
      <c r="GA1" s="285"/>
      <c r="GB1" s="285"/>
      <c r="GC1" s="285"/>
      <c r="GD1" s="285"/>
      <c r="GE1" s="285"/>
      <c r="GF1" s="285"/>
      <c r="GG1" s="285"/>
      <c r="GH1" s="285"/>
      <c r="GI1" s="285"/>
      <c r="GJ1" s="285"/>
      <c r="GK1" s="285"/>
      <c r="GL1" s="285"/>
      <c r="GM1" s="285"/>
      <c r="GN1" s="285"/>
      <c r="GO1" s="286"/>
      <c r="GP1" s="284" t="str">
        <f>IF('Données projet'!$B$18="","",'Données projet'!$B$18)</f>
        <v/>
      </c>
      <c r="GQ1" s="285"/>
      <c r="GR1" s="285"/>
      <c r="GS1" s="285"/>
      <c r="GT1" s="285"/>
      <c r="GU1" s="285"/>
      <c r="GV1" s="285"/>
      <c r="GW1" s="285"/>
      <c r="GX1" s="285"/>
      <c r="GY1" s="285"/>
      <c r="GZ1" s="285"/>
      <c r="HA1" s="285"/>
      <c r="HB1" s="285"/>
      <c r="HC1" s="285"/>
      <c r="HD1" s="285"/>
      <c r="HE1" s="285"/>
      <c r="HF1" s="285"/>
      <c r="HG1" s="285"/>
      <c r="HH1" s="285"/>
      <c r="HI1" s="285"/>
      <c r="HJ1" s="286"/>
    </row>
    <row r="2" spans="1:218" ht="58.5" thickBot="1" x14ac:dyDescent="0.4">
      <c r="A2" s="70" t="s">
        <v>178</v>
      </c>
      <c r="B2" s="71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5" t="s">
        <v>299</v>
      </c>
      <c r="I2" s="67" t="s">
        <v>298</v>
      </c>
      <c r="J2" s="68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8" t="s">
        <v>298</v>
      </c>
      <c r="AE2" s="68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7" t="s">
        <v>298</v>
      </c>
      <c r="AZ2" s="68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7" t="s">
        <v>298</v>
      </c>
      <c r="BU2" s="68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7" t="s">
        <v>298</v>
      </c>
      <c r="CP2" s="68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7" t="s">
        <v>298</v>
      </c>
      <c r="DK2" s="68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7" t="s">
        <v>298</v>
      </c>
      <c r="EF2" s="68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7" t="s">
        <v>298</v>
      </c>
      <c r="FA2" s="68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7" t="s">
        <v>298</v>
      </c>
      <c r="FV2" s="68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7" t="s">
        <v>298</v>
      </c>
      <c r="GQ2" s="68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35">
      <c r="A3" s="10">
        <v>0</v>
      </c>
      <c r="B3" s="72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6">
        <f>(B3+E3+F3)*44/12+(C3+D3)*0.475*44/12</f>
        <v>256.66666666666669</v>
      </c>
      <c r="I3" s="6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256.66666666666669</v>
      </c>
      <c r="S3" s="59">
        <f ca="1">AVERAGE(OFFSET($R$3,0,0,'Données projet'!$E$9+1,1))-AVERAGE(OFFSET($H$3,0,0,'Données projet'!$E$9+1,1))</f>
        <v>700.22008319944644</v>
      </c>
      <c r="T3" s="59">
        <f>IF('Données projet'!E9&gt;30,$R$33-$H$33,LOOKUP('Données projet'!$E$9,$A$3:$A$203,R3:R203)-LOOKUP('Données projet'!$E$9,$A$3:$A$203,$H$3:$H$203))</f>
        <v>253.69632671986739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256.66666666666669</v>
      </c>
      <c r="AN3" s="59">
        <f ca="1">AVERAGE(OFFSET($AM$3,0,0,'Données projet'!$E$10+1,1))-AVERAGE(OFFSET($H$3,0,0,'Données projet'!$E$10+1,1))</f>
        <v>733.95677909577444</v>
      </c>
      <c r="AO3" s="59">
        <f>IF('Données projet'!E10&gt;30,$AM$33-$H$33,LOOKUP('Données projet'!$E$10,$A$3:$A$203,AM3:AM203)-LOOKUP('Données projet'!$E$10,$A$3:$A$203,$H$3:$H$203))</f>
        <v>264.63778993239799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256.66666666666669</v>
      </c>
      <c r="BI3" s="59">
        <f ca="1">AVERAGE(OFFSET($BH$3,0,0,'Données projet'!$E$11+1,1))-AVERAGE(OFFSET($H$3,0,0,'Données projet'!$E$11+1,1))</f>
        <v>187.80389738728508</v>
      </c>
      <c r="BJ3" s="59">
        <f>IF('Données projet'!E11&gt;30,$BH$33-$H$33,LOOKUP('Données projet'!$E$11,$A$3:$A$203,BH3:BH203)-LOOKUP('Données projet'!$E$11,$A$3:$A$203,$H$3:$H$203))</f>
        <v>439.28159165815265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 t="e">
        <f>BY3*VLOOKUP('Données projet'!$B$12,Paramètres!$A$1:$I$89,3,0)*VLOOKUP('Données projet'!$B$12,Paramètres!$A$1:$I$89,5,0)</f>
        <v>#N/A</v>
      </c>
      <c r="CA3" s="12">
        <v>0</v>
      </c>
      <c r="CB3" s="14" t="e">
        <f>(BZ3+CA3)*0.475*44/12</f>
        <v>#N/A</v>
      </c>
      <c r="CC3" s="59" t="e">
        <f>CB3+(BT3+BU3)*44/12</f>
        <v>#N/A</v>
      </c>
      <c r="CD3" s="59" t="e">
        <f ca="1">AVERAGE(OFFSET($CC$3,0,0,'Données projet'!$E$12+1,1))-AVERAGE(OFFSET($H$3,0,0,'Données projet'!$E$12+1,1))</f>
        <v>#N/A</v>
      </c>
      <c r="CE3" s="59" t="e">
        <f>IF('Données projet'!E12&gt;30,$CC$33-$H$33,LOOKUP('Données projet'!$E$12,$A$3:$A$203,CC3:CC203)-LOOKUP('Données projet'!$E$12,$A$3:$A$203,$H$3:$H$203))</f>
        <v>#N/A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5">
      <c r="A4" s="10">
        <f>A3+1</f>
        <v>1</v>
      </c>
      <c r="B4" s="72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1">
        <f>IFERROR(EXP(-1.0587+0.8836*LN(C4)+0.284),0)</f>
        <v>0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66">
        <f t="shared" ref="H4:H67" si="1">(B4+E4+F4)*44/12+(C4+D4)*0.475*44/12</f>
        <v>256.66666666666669</v>
      </c>
      <c r="I4" s="6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3.6141025633333332</v>
      </c>
      <c r="N4" s="13">
        <f>IF('Données projet'!$A$36&gt;35,N3+M4-V3,IF(A4&lt;'Données projet'!$A$36,$K$205^A4,IF(A4='Données projet'!$A$36,'Données projet'!$B$36,N3+M4-V3)))</f>
        <v>1.1690615875887691</v>
      </c>
      <c r="O4" s="13">
        <f>N4*VLOOKUP('Données projet'!$B$9,Paramètres!$A$1:$I$89,3,0)*VLOOKUP('Données projet'!$B$9,Paramètres!$A$1:$I$89,5,0)</f>
        <v>1.0577669244503183</v>
      </c>
      <c r="P4" s="13">
        <f>EXP(-1.0587+0.8836*LN(O4)+0.284)</f>
        <v>0.48428727044743541</v>
      </c>
      <c r="Q4" s="20">
        <f t="shared" ref="Q4:Q34" si="2">(O4+P4)*0.475*44/12</f>
        <v>2.6857443894469211</v>
      </c>
      <c r="R4" s="59">
        <f t="shared" si="0"/>
        <v>260.5746332783358</v>
      </c>
      <c r="S4" s="59">
        <f ca="1">AVERAGE(OFFSET($R$3,0,0,'Données projet'!$E$9+1,1))-AVERAGE(OFFSET($H$3,0,0,'Données projet'!$E$9+1,1))</f>
        <v>700.22008319944644</v>
      </c>
      <c r="T4" s="59">
        <f>$T$3</f>
        <v>253.69632671986739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3.6141025633333332</v>
      </c>
      <c r="AI4" s="13">
        <f>IF('Données projet'!$A$62&gt;35,AI3+AH4-AQ3,IF(A4&lt;'Données projet'!$A$62,$AF$205^A4,IF(A4='Données projet'!$A$62,'Données projet'!$B$62,AI3+AH4-AQ3)))</f>
        <v>1.1690615875887691</v>
      </c>
      <c r="AJ4" s="13">
        <f>AI4*VLOOKUP('Données projet'!$B$10,Paramètres!$A$1:$I$89,3,0)*VLOOKUP('Données projet'!$B$10,Paramètres!$A$1:$I$89,5,0)</f>
        <v>1.1124790067494728</v>
      </c>
      <c r="AK4" s="13">
        <f>EXP(-1.0587+0.8836*LN(AJ4)+0.284)</f>
        <v>0.5063554874022741</v>
      </c>
      <c r="AL4" s="20">
        <f t="shared" ref="AL4:AL67" si="4">(AJ4+AK4)*0.475*44/12</f>
        <v>2.8194700773142922</v>
      </c>
      <c r="AM4" s="59">
        <f t="shared" ref="AM4:AM67" si="5">AL4+(AD4+AE4)*44/12</f>
        <v>260.70835896620315</v>
      </c>
      <c r="AN4" s="59">
        <f ca="1">AVERAGE(OFFSET($AM$3,0,0,'Données projet'!$E$10+1,1))-AVERAGE(OFFSET($H$3,0,0,'Données projet'!$E$10+1,1))</f>
        <v>733.95677909577444</v>
      </c>
      <c r="AO4" s="59">
        <f>$AO$3</f>
        <v>264.63778993239799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7.5454545454545459</v>
      </c>
      <c r="BD4" s="12">
        <f>IF('Données projet'!$A$88&gt;35,BD3+BC4-BL3,IF(A4&lt;'Données projet'!$A$88,$BA$205^A4,IF(A4='Données projet'!$A$88,'Données projet'!$B$88,BD3+BC4-BL3)))</f>
        <v>1.4943820583928935</v>
      </c>
      <c r="BE4" s="13">
        <f>BD4*VLOOKUP('Données projet'!$B$11,Paramètres!$A$1:$I$89,3,0)*VLOOKUP('Données projet'!$B$11,Paramètres!$A$1:$I$89,5,0)</f>
        <v>0.89364047091895038</v>
      </c>
      <c r="BF4" s="13">
        <f>EXP(-1.0587+0.8836*LN(BE4)+0.284)</f>
        <v>0.41725306962072783</v>
      </c>
      <c r="BG4" s="20">
        <f t="shared" ref="BG4:BG67" si="7">(BE4+BF4)*0.475*44/12</f>
        <v>2.2831395831066059</v>
      </c>
      <c r="BH4" s="59">
        <f t="shared" ref="BH4:BH67" si="8">BG4+(AY4+AZ4)*44/12</f>
        <v>260.17202847199547</v>
      </c>
      <c r="BI4" s="59">
        <f ca="1">AVERAGE(OFFSET($BH$3,0,0,'Données projet'!$E$11+1,1))-AVERAGE(OFFSET($H$3,0,0,'Données projet'!$E$11+1,1))</f>
        <v>187.80389738728508</v>
      </c>
      <c r="BJ4" s="59">
        <f>$BJ$3</f>
        <v>439.28159165815265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0</v>
      </c>
      <c r="BY4" s="12">
        <f>IF('Données projet'!$A$114&gt;35,BY3+BX4-CG3,IF(A4&lt;'Données projet'!$A$114,$BV$205^A4,IF(A4='Données projet'!$A$114,'Données projet'!$B$114,BY3+BX4-CG3)))</f>
        <v>0</v>
      </c>
      <c r="BZ4" s="13" t="e">
        <f>BY4*VLOOKUP('Données projet'!$B$12,Paramètres!$A$1:$I$89,3,0)*VLOOKUP('Données projet'!$B$12,Paramètres!$A$1:$I$89,5,0)</f>
        <v>#N/A</v>
      </c>
      <c r="CA4" s="13" t="e">
        <f>EXP(-1.0587+0.8836*LN(BZ4)+0.284)</f>
        <v>#N/A</v>
      </c>
      <c r="CB4" s="20" t="e">
        <f t="shared" ref="CB4:CB67" si="10">(BZ4+CA4)*0.475*44/12</f>
        <v>#N/A</v>
      </c>
      <c r="CC4" s="59" t="e">
        <f t="shared" ref="CC4:CC67" si="11">CB4+(BT4+BU4)*44/12</f>
        <v>#N/A</v>
      </c>
      <c r="CD4" s="59" t="e">
        <f ca="1">AVERAGE(OFFSET($CC$3,0,0,'Données projet'!$E$12+1,1))-AVERAGE(OFFSET($H$3,0,0,'Données projet'!$E$12+1,1))</f>
        <v>#N/A</v>
      </c>
      <c r="CE4" s="59" t="e">
        <f>$CE$3</f>
        <v>#N/A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 t="e">
        <f>EXP(-LN(2)/35)*CK3+(1-EXP(-LN(2)/35))/(LN(2)/35)*CG4*CH4*VLOOKUP('Données projet'!$B$12,Paramètres!$A$1:$I$89,3,0)*0.475*44/12</f>
        <v>#N/A</v>
      </c>
      <c r="CL4" s="21" t="e">
        <f>EXP(-LN(2)/25)*CL3+(1-EXP(-LN(2)/25))/(LN(2)/25)*Calculateur!CG4*Calculateur!CI4*VLOOKUP('Données projet'!$B$12,Paramètres!$A$1:$I$89,3,0)*0.475*44/12</f>
        <v>#N/A</v>
      </c>
      <c r="CM4" s="21" t="e">
        <f>EXP(-LN(2)/2)*CM3+(1-EXP(-LN(2)/2))/(LN(2)/2)*CG4*CJ4*VLOOKUP('Données projet'!$B$12,Paramètres!$A$1:$I$89,3,0)*0.475*44/12</f>
        <v>#N/A</v>
      </c>
      <c r="CN4" s="22" t="e">
        <f t="shared" ref="CN4:CN67" si="12">SUM(CK4:CM4)</f>
        <v>#N/A</v>
      </c>
      <c r="CO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35">
      <c r="A5" s="10">
        <f t="shared" ref="A5:A68" si="31">A4+1</f>
        <v>2</v>
      </c>
      <c r="B5" s="72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1">
        <f t="shared" ref="D5:D68" si="32">IFERROR(EXP(-1.0587+0.8836*LN(C5)+0.284),0)</f>
        <v>0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66">
        <f t="shared" si="1"/>
        <v>256.66666666666669</v>
      </c>
      <c r="I5" s="6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3.6141025633333332</v>
      </c>
      <c r="N5" s="13">
        <f>IF('Données projet'!$A$36&gt;35,N4+M5-V4,IF(A5&lt;'Données projet'!$A$36,$K$205^A5,IF(A5='Données projet'!$A$36,'Données projet'!$B$36,N4+M5-V4)))</f>
        <v>1.3667049955755732</v>
      </c>
      <c r="O5" s="13">
        <f>N5*VLOOKUP('Données projet'!$B$9,Paramètres!$A$1:$I$89,3,0)*VLOOKUP('Données projet'!$B$9,Paramètres!$A$1:$I$89,5,0)</f>
        <v>1.2365946799967786</v>
      </c>
      <c r="P5" s="13">
        <f t="shared" ref="P5:P68" si="33">EXP(-1.0587+0.8836*LN(O5)+0.284)</f>
        <v>0.55596080147783444</v>
      </c>
      <c r="Q5" s="20">
        <f t="shared" si="2"/>
        <v>3.122034130234951</v>
      </c>
      <c r="R5" s="59">
        <f t="shared" si="0"/>
        <v>262.23314524134611</v>
      </c>
      <c r="S5" s="59">
        <f ca="1">AVERAGE(OFFSET($R$3,0,0,'Données projet'!$E$9+1,1))-AVERAGE(OFFSET($H$3,0,0,'Données projet'!$E$9+1,1))</f>
        <v>700.22008319944644</v>
      </c>
      <c r="T5" s="59">
        <f t="shared" ref="T5:T68" si="34">$T$3</f>
        <v>253.69632671986739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3.6141025633333332</v>
      </c>
      <c r="AI5" s="13">
        <f>IF('Données projet'!$A$62&gt;35,AI4+AH5-AQ4,IF(A5&lt;'Données projet'!$A$62,$AF$205^A5,IF(A5='Données projet'!$A$62,'Données projet'!$B$62,AI4+AH5-AQ4)))</f>
        <v>1.3667049955755732</v>
      </c>
      <c r="AJ5" s="13">
        <f>AI5*VLOOKUP('Données projet'!$B$10,Paramètres!$A$1:$I$89,3,0)*VLOOKUP('Données projet'!$B$10,Paramètres!$A$1:$I$89,5,0)</f>
        <v>1.3005564737897155</v>
      </c>
      <c r="AK5" s="13">
        <f t="shared" ref="AK5:AK68" si="35">EXP(-1.0587+0.8836*LN(AJ5)+0.284)</f>
        <v>0.58129506965726319</v>
      </c>
      <c r="AL5" s="20">
        <f t="shared" si="4"/>
        <v>3.277558104836821</v>
      </c>
      <c r="AM5" s="59">
        <f t="shared" si="5"/>
        <v>262.38866921594797</v>
      </c>
      <c r="AN5" s="59">
        <f ca="1">AVERAGE(OFFSET($AM$3,0,0,'Données projet'!$E$10+1,1))-AVERAGE(OFFSET($H$3,0,0,'Données projet'!$E$10+1,1))</f>
        <v>733.95677909577444</v>
      </c>
      <c r="AO5" s="59">
        <f t="shared" ref="AO5:AO68" si="36">$AO$3</f>
        <v>264.63778993239799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7.5454545454545459</v>
      </c>
      <c r="BD5" s="12">
        <f>IF('Données projet'!$A$88&gt;35,BD4+BC5-BL4,IF(A5&lt;'Données projet'!$A$88,$BA$205^A5,IF(A5='Données projet'!$A$88,'Données projet'!$B$88,BD4+BC5-BL4)))</f>
        <v>2.2331777364465815</v>
      </c>
      <c r="BE5" s="13">
        <f>BD5*VLOOKUP('Données projet'!$B$11,Paramètres!$A$1:$I$89,3,0)*VLOOKUP('Données projet'!$B$11,Paramètres!$A$1:$I$89,5,0)</f>
        <v>1.3354402863950559</v>
      </c>
      <c r="BF5" s="13">
        <f t="shared" ref="BF5:BF68" si="37">EXP(-1.0587+0.8836*LN(BE5)+0.284)</f>
        <v>0.59505053454406853</v>
      </c>
      <c r="BG5" s="20">
        <f t="shared" si="7"/>
        <v>3.3622715131356418</v>
      </c>
      <c r="BH5" s="59">
        <f t="shared" si="8"/>
        <v>262.47338262424677</v>
      </c>
      <c r="BI5" s="59">
        <f ca="1">AVERAGE(OFFSET($BH$3,0,0,'Données projet'!$E$11+1,1))-AVERAGE(OFFSET($H$3,0,0,'Données projet'!$E$11+1,1))</f>
        <v>187.80389738728508</v>
      </c>
      <c r="BJ5" s="59">
        <f t="shared" ref="BJ5:BJ68" si="38">$BJ$3</f>
        <v>439.28159165815265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0</v>
      </c>
      <c r="BY5" s="12">
        <f>IF('Données projet'!$A$114&gt;35,BY4+BX5-CG4,IF(A5&lt;'Données projet'!$A$114,$BV$205^A5,IF(A5='Données projet'!$A$114,'Données projet'!$B$114,BY4+BX5-CG4)))</f>
        <v>0</v>
      </c>
      <c r="BZ5" s="13" t="e">
        <f>BY5*VLOOKUP('Données projet'!$B$12,Paramètres!$A$1:$I$89,3,0)*VLOOKUP('Données projet'!$B$12,Paramètres!$A$1:$I$89,5,0)</f>
        <v>#N/A</v>
      </c>
      <c r="CA5" s="13" t="e">
        <f t="shared" ref="CA5:CA68" si="39">EXP(-1.0587+0.8836*LN(BZ5)+0.284)</f>
        <v>#N/A</v>
      </c>
      <c r="CB5" s="20" t="e">
        <f t="shared" si="10"/>
        <v>#N/A</v>
      </c>
      <c r="CC5" s="59" t="e">
        <f t="shared" si="11"/>
        <v>#N/A</v>
      </c>
      <c r="CD5" s="59" t="e">
        <f ca="1">AVERAGE(OFFSET($CC$3,0,0,'Données projet'!$E$12+1,1))-AVERAGE(OFFSET($H$3,0,0,'Données projet'!$E$12+1,1))</f>
        <v>#N/A</v>
      </c>
      <c r="CE5" s="59" t="e">
        <f t="shared" ref="CE5:CE68" si="40">$CE$3</f>
        <v>#N/A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 t="e">
        <f>EXP(-LN(2)/35)*CK4+(1-EXP(-LN(2)/35))/(LN(2)/35)*CG5*CH5*VLOOKUP('Données projet'!$B$12,Paramètres!$A$1:$I$89,3,0)*0.475*44/12</f>
        <v>#N/A</v>
      </c>
      <c r="CL5" s="21" t="e">
        <f>EXP(-LN(2)/25)*CL4+(1-EXP(-LN(2)/25))/(LN(2)/25)*Calculateur!CG5*Calculateur!CI5*VLOOKUP('Données projet'!$B$12,Paramètres!$A$1:$I$89,3,0)*0.475*44/12</f>
        <v>#N/A</v>
      </c>
      <c r="CM5" s="21" t="e">
        <f>EXP(-LN(2)/2)*CM4+(1-EXP(-LN(2)/2))/(LN(2)/2)*CG5*CJ5*VLOOKUP('Données projet'!$B$12,Paramètres!$A$1:$I$89,3,0)*0.475*44/12</f>
        <v>#N/A</v>
      </c>
      <c r="CN5" s="22" t="e">
        <f t="shared" si="12"/>
        <v>#N/A</v>
      </c>
      <c r="CO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5">
      <c r="A6" s="10">
        <f t="shared" si="31"/>
        <v>3</v>
      </c>
      <c r="B6" s="72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1">
        <f t="shared" si="32"/>
        <v>0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66">
        <f t="shared" si="1"/>
        <v>256.66666666666669</v>
      </c>
      <c r="I6" s="6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3.6141025633333332</v>
      </c>
      <c r="N6" s="13">
        <f>IF('Données projet'!$A$36&gt;35,N5+M6-V5,IF(A6&lt;'Données projet'!$A$36,$K$205^A6,IF(A6='Données projet'!$A$36,'Données projet'!$B$36,N5+M6-V5)))</f>
        <v>1.5977623118930813</v>
      </c>
      <c r="O6" s="13">
        <f>N6*VLOOKUP('Données projet'!$B$9,Paramètres!$A$1:$I$89,3,0)*VLOOKUP('Données projet'!$B$9,Paramètres!$A$1:$I$89,5,0)</f>
        <v>1.4456553398008598</v>
      </c>
      <c r="P6" s="13">
        <f t="shared" si="33"/>
        <v>0.63824186932335447</v>
      </c>
      <c r="Q6" s="20">
        <f t="shared" si="2"/>
        <v>3.6294543058913398</v>
      </c>
      <c r="R6" s="59">
        <f t="shared" si="0"/>
        <v>263.96278763922464</v>
      </c>
      <c r="S6" s="59">
        <f ca="1">AVERAGE(OFFSET($R$3,0,0,'Données projet'!$E$9+1,1))-AVERAGE(OFFSET($H$3,0,0,'Données projet'!$E$9+1,1))</f>
        <v>700.22008319944644</v>
      </c>
      <c r="T6" s="59">
        <f t="shared" si="34"/>
        <v>253.69632671986739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3.6141025633333332</v>
      </c>
      <c r="AI6" s="13">
        <f>IF('Données projet'!$A$62&gt;35,AI5+AH6-AQ5,IF(A6&lt;'Données projet'!$A$62,$AF$205^A6,IF(A6='Données projet'!$A$62,'Données projet'!$B$62,AI5+AH6-AQ5)))</f>
        <v>1.5977623118930813</v>
      </c>
      <c r="AJ6" s="13">
        <f>AI6*VLOOKUP('Données projet'!$B$10,Paramètres!$A$1:$I$89,3,0)*VLOOKUP('Données projet'!$B$10,Paramètres!$A$1:$I$89,5,0)</f>
        <v>1.5204306159974561</v>
      </c>
      <c r="AK6" s="13">
        <f t="shared" si="35"/>
        <v>0.66732555766576429</v>
      </c>
      <c r="AL6" s="20">
        <f t="shared" si="4"/>
        <v>3.8103420024634418</v>
      </c>
      <c r="AM6" s="59">
        <f t="shared" si="5"/>
        <v>264.14367533579673</v>
      </c>
      <c r="AN6" s="59">
        <f ca="1">AVERAGE(OFFSET($AM$3,0,0,'Données projet'!$E$10+1,1))-AVERAGE(OFFSET($H$3,0,0,'Données projet'!$E$10+1,1))</f>
        <v>733.95677909577444</v>
      </c>
      <c r="AO6" s="59">
        <f t="shared" si="36"/>
        <v>264.63778993239799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7.5454545454545459</v>
      </c>
      <c r="BD6" s="12">
        <f>IF('Données projet'!$A$88&gt;35,BD5+BC6-BL5,IF(A6&lt;'Données projet'!$A$88,$BA$205^A6,IF(A6='Données projet'!$A$88,'Données projet'!$B$88,BD5+BC6-BL5)))</f>
        <v>3.337220742548225</v>
      </c>
      <c r="BE6" s="13">
        <f>BD6*VLOOKUP('Données projet'!$B$11,Paramètres!$A$1:$I$89,3,0)*VLOOKUP('Données projet'!$B$11,Paramètres!$A$1:$I$89,5,0)</f>
        <v>1.9956580040438385</v>
      </c>
      <c r="BF6" s="13">
        <f t="shared" si="37"/>
        <v>0.84861002696285914</v>
      </c>
      <c r="BG6" s="20">
        <f t="shared" si="7"/>
        <v>4.9537668206699985</v>
      </c>
      <c r="BH6" s="59">
        <f t="shared" si="8"/>
        <v>265.28710015400333</v>
      </c>
      <c r="BI6" s="59">
        <f ca="1">AVERAGE(OFFSET($BH$3,0,0,'Données projet'!$E$11+1,1))-AVERAGE(OFFSET($H$3,0,0,'Données projet'!$E$11+1,1))</f>
        <v>187.80389738728508</v>
      </c>
      <c r="BJ6" s="59">
        <f t="shared" si="38"/>
        <v>439.28159165815265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0</v>
      </c>
      <c r="BY6" s="12">
        <f>IF('Données projet'!$A$114&gt;35,BY5+BX6-CG5,IF(A6&lt;'Données projet'!$A$114,$BV$205^A6,IF(A6='Données projet'!$A$114,'Données projet'!$B$114,BY5+BX6-CG5)))</f>
        <v>0</v>
      </c>
      <c r="BZ6" s="13" t="e">
        <f>BY6*VLOOKUP('Données projet'!$B$12,Paramètres!$A$1:$I$89,3,0)*VLOOKUP('Données projet'!$B$12,Paramètres!$A$1:$I$89,5,0)</f>
        <v>#N/A</v>
      </c>
      <c r="CA6" s="13" t="e">
        <f t="shared" si="39"/>
        <v>#N/A</v>
      </c>
      <c r="CB6" s="20" t="e">
        <f t="shared" si="10"/>
        <v>#N/A</v>
      </c>
      <c r="CC6" s="59" t="e">
        <f t="shared" si="11"/>
        <v>#N/A</v>
      </c>
      <c r="CD6" s="59" t="e">
        <f ca="1">AVERAGE(OFFSET($CC$3,0,0,'Données projet'!$E$12+1,1))-AVERAGE(OFFSET($H$3,0,0,'Données projet'!$E$12+1,1))</f>
        <v>#N/A</v>
      </c>
      <c r="CE6" s="59" t="e">
        <f t="shared" si="40"/>
        <v>#N/A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 t="e">
        <f>EXP(-LN(2)/35)*CK5+(1-EXP(-LN(2)/35))/(LN(2)/35)*CG6*CH6*VLOOKUP('Données projet'!$B$12,Paramètres!$A$1:$I$89,3,0)*0.475*44/12</f>
        <v>#N/A</v>
      </c>
      <c r="CL6" s="21" t="e">
        <f>EXP(-LN(2)/25)*CL5+(1-EXP(-LN(2)/25))/(LN(2)/25)*Calculateur!CG6*Calculateur!CI6*VLOOKUP('Données projet'!$B$12,Paramètres!$A$1:$I$89,3,0)*0.475*44/12</f>
        <v>#N/A</v>
      </c>
      <c r="CM6" s="21" t="e">
        <f>EXP(-LN(2)/2)*CM5+(1-EXP(-LN(2)/2))/(LN(2)/2)*CG6*CJ6*VLOOKUP('Données projet'!$B$12,Paramètres!$A$1:$I$89,3,0)*0.475*44/12</f>
        <v>#N/A</v>
      </c>
      <c r="CN6" s="22" t="e">
        <f t="shared" si="12"/>
        <v>#N/A</v>
      </c>
      <c r="CO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5">
      <c r="A7" s="10">
        <f t="shared" si="31"/>
        <v>4</v>
      </c>
      <c r="B7" s="72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1">
        <f t="shared" si="32"/>
        <v>0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66">
        <f t="shared" si="1"/>
        <v>256.66666666666669</v>
      </c>
      <c r="I7" s="6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3.6141025633333332</v>
      </c>
      <c r="N7" s="13">
        <f>IF('Données projet'!$A$36&gt;35,N6+M7-V6,IF(A7&lt;'Données projet'!$A$36,$K$205^A7,IF(A7='Données projet'!$A$36,'Données projet'!$B$36,N6+M7-V6)))</f>
        <v>1.8678825449312277</v>
      </c>
      <c r="O7" s="13">
        <f>N7*VLOOKUP('Données projet'!$B$9,Paramètres!$A$1:$I$89,3,0)*VLOOKUP('Données projet'!$B$9,Paramètres!$A$1:$I$89,5,0)</f>
        <v>1.6900601266537749</v>
      </c>
      <c r="P7" s="13">
        <f t="shared" si="33"/>
        <v>0.73270036785787795</v>
      </c>
      <c r="Q7" s="20">
        <f t="shared" si="2"/>
        <v>4.219641194607795</v>
      </c>
      <c r="R7" s="59">
        <f t="shared" si="0"/>
        <v>265.77519675016333</v>
      </c>
      <c r="S7" s="59">
        <f ca="1">AVERAGE(OFFSET($R$3,0,0,'Données projet'!$E$9+1,1))-AVERAGE(OFFSET($H$3,0,0,'Données projet'!$E$9+1,1))</f>
        <v>700.22008319944644</v>
      </c>
      <c r="T7" s="59">
        <f t="shared" si="34"/>
        <v>253.69632671986739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3.6141025633333332</v>
      </c>
      <c r="AI7" s="13">
        <f>IF('Données projet'!$A$62&gt;35,AI6+AH7-AQ6,IF(A7&lt;'Données projet'!$A$62,$AF$205^A7,IF(A7='Données projet'!$A$62,'Données projet'!$B$62,AI6+AH7-AQ6)))</f>
        <v>1.8678825449312277</v>
      </c>
      <c r="AJ7" s="13">
        <f>AI7*VLOOKUP('Données projet'!$B$10,Paramètres!$A$1:$I$89,3,0)*VLOOKUP('Données projet'!$B$10,Paramètres!$A$1:$I$89,5,0)</f>
        <v>1.7774770297565563</v>
      </c>
      <c r="AK7" s="13">
        <f t="shared" si="35"/>
        <v>0.76608838292141379</v>
      </c>
      <c r="AL7" s="20">
        <f t="shared" si="4"/>
        <v>4.4300430937474644</v>
      </c>
      <c r="AM7" s="59">
        <f t="shared" si="5"/>
        <v>265.98559864930303</v>
      </c>
      <c r="AN7" s="59">
        <f ca="1">AVERAGE(OFFSET($AM$3,0,0,'Données projet'!$E$10+1,1))-AVERAGE(OFFSET($H$3,0,0,'Données projet'!$E$10+1,1))</f>
        <v>733.95677909577444</v>
      </c>
      <c r="AO7" s="59">
        <f t="shared" si="36"/>
        <v>264.63778993239799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7.5454545454545459</v>
      </c>
      <c r="BD7" s="12">
        <f>IF('Données projet'!$A$88&gt;35,BD6+BC7-BL6,IF(A7&lt;'Données projet'!$A$88,$BA$205^A7,IF(A7='Données projet'!$A$88,'Données projet'!$B$88,BD6+BC7-BL6)))</f>
        <v>4.9870828025606775</v>
      </c>
      <c r="BE7" s="13">
        <f>BD7*VLOOKUP('Données projet'!$B$11,Paramètres!$A$1:$I$89,3,0)*VLOOKUP('Données projet'!$B$11,Paramètres!$A$1:$I$89,5,0)</f>
        <v>2.9822755159312857</v>
      </c>
      <c r="BF7" s="13">
        <f t="shared" si="37"/>
        <v>1.2102148238782438</v>
      </c>
      <c r="BG7" s="20">
        <f t="shared" si="7"/>
        <v>7.3019206751682626</v>
      </c>
      <c r="BH7" s="59">
        <f t="shared" si="8"/>
        <v>268.85747623072382</v>
      </c>
      <c r="BI7" s="59">
        <f ca="1">AVERAGE(OFFSET($BH$3,0,0,'Données projet'!$E$11+1,1))-AVERAGE(OFFSET($H$3,0,0,'Données projet'!$E$11+1,1))</f>
        <v>187.80389738728508</v>
      </c>
      <c r="BJ7" s="59">
        <f t="shared" si="38"/>
        <v>439.28159165815265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0</v>
      </c>
      <c r="BY7" s="12">
        <f>IF('Données projet'!$A$114&gt;35,BY6+BX7-CG6,IF(A7&lt;'Données projet'!$A$114,$BV$205^A7,IF(A7='Données projet'!$A$114,'Données projet'!$B$114,BY6+BX7-CG6)))</f>
        <v>0</v>
      </c>
      <c r="BZ7" s="13" t="e">
        <f>BY7*VLOOKUP('Données projet'!$B$12,Paramètres!$A$1:$I$89,3,0)*VLOOKUP('Données projet'!$B$12,Paramètres!$A$1:$I$89,5,0)</f>
        <v>#N/A</v>
      </c>
      <c r="CA7" s="13" t="e">
        <f t="shared" si="39"/>
        <v>#N/A</v>
      </c>
      <c r="CB7" s="20" t="e">
        <f t="shared" si="10"/>
        <v>#N/A</v>
      </c>
      <c r="CC7" s="59" t="e">
        <f t="shared" si="11"/>
        <v>#N/A</v>
      </c>
      <c r="CD7" s="59" t="e">
        <f ca="1">AVERAGE(OFFSET($CC$3,0,0,'Données projet'!$E$12+1,1))-AVERAGE(OFFSET($H$3,0,0,'Données projet'!$E$12+1,1))</f>
        <v>#N/A</v>
      </c>
      <c r="CE7" s="59" t="e">
        <f t="shared" si="40"/>
        <v>#N/A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 t="e">
        <f>EXP(-LN(2)/35)*CK6+(1-EXP(-LN(2)/35))/(LN(2)/35)*CG7*CH7*VLOOKUP('Données projet'!$B$12,Paramètres!$A$1:$I$89,3,0)*0.475*44/12</f>
        <v>#N/A</v>
      </c>
      <c r="CL7" s="21" t="e">
        <f>EXP(-LN(2)/25)*CL6+(1-EXP(-LN(2)/25))/(LN(2)/25)*Calculateur!CG7*Calculateur!CI7*VLOOKUP('Données projet'!$B$12,Paramètres!$A$1:$I$89,3,0)*0.475*44/12</f>
        <v>#N/A</v>
      </c>
      <c r="CM7" s="21" t="e">
        <f>EXP(-LN(2)/2)*CM6+(1-EXP(-LN(2)/2))/(LN(2)/2)*CG7*CJ7*VLOOKUP('Données projet'!$B$12,Paramètres!$A$1:$I$89,3,0)*0.475*44/12</f>
        <v>#N/A</v>
      </c>
      <c r="CN7" s="22" t="e">
        <f t="shared" si="12"/>
        <v>#N/A</v>
      </c>
      <c r="CO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5">
      <c r="A8" s="10">
        <f t="shared" si="31"/>
        <v>5</v>
      </c>
      <c r="B8" s="72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1">
        <f t="shared" si="32"/>
        <v>0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66">
        <f t="shared" si="1"/>
        <v>256.66666666666669</v>
      </c>
      <c r="I8" s="6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3.6141025633333332</v>
      </c>
      <c r="N8" s="13">
        <f>IF('Données projet'!$A$36&gt;35,N7+M8-V7,IF(A8&lt;'Données projet'!$A$36,$K$205^A8,IF(A8='Données projet'!$A$36,'Données projet'!$B$36,N7+M8-V7)))</f>
        <v>2.1836697334066515</v>
      </c>
      <c r="O8" s="13">
        <f>N8*VLOOKUP('Données projet'!$B$9,Paramètres!$A$1:$I$89,3,0)*VLOOKUP('Données projet'!$B$9,Paramètres!$A$1:$I$89,5,0)</f>
        <v>1.9757843747863384</v>
      </c>
      <c r="P8" s="13">
        <f t="shared" si="33"/>
        <v>0.84113853205560163</v>
      </c>
      <c r="Q8" s="20">
        <f t="shared" si="2"/>
        <v>4.9061407294163786</v>
      </c>
      <c r="R8" s="59">
        <f t="shared" si="0"/>
        <v>267.68391850719416</v>
      </c>
      <c r="S8" s="59">
        <f ca="1">AVERAGE(OFFSET($R$3,0,0,'Données projet'!$E$9+1,1))-AVERAGE(OFFSET($H$3,0,0,'Données projet'!$E$9+1,1))</f>
        <v>700.22008319944644</v>
      </c>
      <c r="T8" s="59">
        <f t="shared" si="34"/>
        <v>253.69632671986739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3.6141025633333332</v>
      </c>
      <c r="AI8" s="13">
        <f>IF('Données projet'!$A$62&gt;35,AI7+AH8-AQ7,IF(A8&lt;'Données projet'!$A$62,$AF$205^A8,IF(A8='Données projet'!$A$62,'Données projet'!$B$62,AI7+AH8-AQ7)))</f>
        <v>2.1836697334066515</v>
      </c>
      <c r="AJ8" s="13">
        <f>AI8*VLOOKUP('Données projet'!$B$10,Paramètres!$A$1:$I$89,3,0)*VLOOKUP('Données projet'!$B$10,Paramètres!$A$1:$I$89,5,0)</f>
        <v>2.0779801183097697</v>
      </c>
      <c r="AK8" s="13">
        <f t="shared" si="35"/>
        <v>0.87946790544038544</v>
      </c>
      <c r="AL8" s="20">
        <f t="shared" si="4"/>
        <v>5.1508886413648538</v>
      </c>
      <c r="AM8" s="59">
        <f t="shared" si="5"/>
        <v>267.92866641914264</v>
      </c>
      <c r="AN8" s="59">
        <f ca="1">AVERAGE(OFFSET($AM$3,0,0,'Données projet'!$E$10+1,1))-AVERAGE(OFFSET($H$3,0,0,'Données projet'!$E$10+1,1))</f>
        <v>733.95677909577444</v>
      </c>
      <c r="AO8" s="59">
        <f t="shared" si="36"/>
        <v>264.63778993239799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7.5454545454545459</v>
      </c>
      <c r="BD8" s="12">
        <f>IF('Données projet'!$A$88&gt;35,BD7+BC8-BL7,IF(A8&lt;'Données projet'!$A$88,$BA$205^A8,IF(A8='Données projet'!$A$88,'Données projet'!$B$88,BD7+BC8-BL7)))</f>
        <v>7.4526070638664255</v>
      </c>
      <c r="BE8" s="13">
        <f>BD8*VLOOKUP('Données projet'!$B$11,Paramètres!$A$1:$I$89,3,0)*VLOOKUP('Données projet'!$B$11,Paramètres!$A$1:$I$89,5,0)</f>
        <v>4.4566590241921231</v>
      </c>
      <c r="BF8" s="13">
        <f t="shared" si="37"/>
        <v>1.7259045655829262</v>
      </c>
      <c r="BG8" s="20">
        <f t="shared" si="7"/>
        <v>10.76796491885821</v>
      </c>
      <c r="BH8" s="59">
        <f t="shared" si="8"/>
        <v>273.54574269663595</v>
      </c>
      <c r="BI8" s="59">
        <f ca="1">AVERAGE(OFFSET($BH$3,0,0,'Données projet'!$E$11+1,1))-AVERAGE(OFFSET($H$3,0,0,'Données projet'!$E$11+1,1))</f>
        <v>187.80389738728508</v>
      </c>
      <c r="BJ8" s="59">
        <f t="shared" si="38"/>
        <v>439.28159165815265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0</v>
      </c>
      <c r="BY8" s="12">
        <f>IF('Données projet'!$A$114&gt;35,BY7+BX8-CG7,IF(A8&lt;'Données projet'!$A$114,$BV$205^A8,IF(A8='Données projet'!$A$114,'Données projet'!$B$114,BY7+BX8-CG7)))</f>
        <v>0</v>
      </c>
      <c r="BZ8" s="13" t="e">
        <f>BY8*VLOOKUP('Données projet'!$B$12,Paramètres!$A$1:$I$89,3,0)*VLOOKUP('Données projet'!$B$12,Paramètres!$A$1:$I$89,5,0)</f>
        <v>#N/A</v>
      </c>
      <c r="CA8" s="13" t="e">
        <f t="shared" si="39"/>
        <v>#N/A</v>
      </c>
      <c r="CB8" s="20" t="e">
        <f t="shared" si="10"/>
        <v>#N/A</v>
      </c>
      <c r="CC8" s="59" t="e">
        <f t="shared" si="11"/>
        <v>#N/A</v>
      </c>
      <c r="CD8" s="59" t="e">
        <f ca="1">AVERAGE(OFFSET($CC$3,0,0,'Données projet'!$E$12+1,1))-AVERAGE(OFFSET($H$3,0,0,'Données projet'!$E$12+1,1))</f>
        <v>#N/A</v>
      </c>
      <c r="CE8" s="59" t="e">
        <f t="shared" si="40"/>
        <v>#N/A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 t="e">
        <f>EXP(-LN(2)/35)*CK7+(1-EXP(-LN(2)/35))/(LN(2)/35)*CG8*CH8*VLOOKUP('Données projet'!$B$12,Paramètres!$A$1:$I$89,3,0)*0.475*44/12</f>
        <v>#N/A</v>
      </c>
      <c r="CL8" s="21" t="e">
        <f>EXP(-LN(2)/25)*CL7+(1-EXP(-LN(2)/25))/(LN(2)/25)*Calculateur!CG8*Calculateur!CI8*VLOOKUP('Données projet'!$B$12,Paramètres!$A$1:$I$89,3,0)*0.475*44/12</f>
        <v>#N/A</v>
      </c>
      <c r="CM8" s="21" t="e">
        <f>EXP(-LN(2)/2)*CM7+(1-EXP(-LN(2)/2))/(LN(2)/2)*CG8*CJ8*VLOOKUP('Données projet'!$B$12,Paramètres!$A$1:$I$89,3,0)*0.475*44/12</f>
        <v>#N/A</v>
      </c>
      <c r="CN8" s="22" t="e">
        <f t="shared" si="12"/>
        <v>#N/A</v>
      </c>
      <c r="CO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5">
      <c r="A9" s="10">
        <f t="shared" si="31"/>
        <v>6</v>
      </c>
      <c r="B9" s="72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1">
        <f t="shared" si="32"/>
        <v>0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66">
        <f t="shared" si="1"/>
        <v>256.66666666666669</v>
      </c>
      <c r="I9" s="6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3.6141025633333332</v>
      </c>
      <c r="N9" s="13">
        <f>IF('Données projet'!$A$36&gt;35,N8+M9-V8,IF(A9&lt;'Données projet'!$A$36,$K$205^A9,IF(A9='Données projet'!$A$36,'Données projet'!$B$36,N8+M9-V8)))</f>
        <v>2.5528444053059243</v>
      </c>
      <c r="O9" s="13">
        <f>N9*VLOOKUP('Données projet'!$B$9,Paramètres!$A$1:$I$89,3,0)*VLOOKUP('Données projet'!$B$9,Paramètres!$A$1:$I$89,5,0)</f>
        <v>2.3098136179208004</v>
      </c>
      <c r="P9" s="13">
        <f t="shared" si="33"/>
        <v>0.96562532400132384</v>
      </c>
      <c r="Q9" s="20">
        <f t="shared" si="2"/>
        <v>5.7047228238476988</v>
      </c>
      <c r="R9" s="59">
        <f t="shared" si="0"/>
        <v>269.7047228238477</v>
      </c>
      <c r="S9" s="59">
        <f ca="1">AVERAGE(OFFSET($R$3,0,0,'Données projet'!$E$9+1,1))-AVERAGE(OFFSET($H$3,0,0,'Données projet'!$E$9+1,1))</f>
        <v>700.22008319944644</v>
      </c>
      <c r="T9" s="59">
        <f t="shared" si="34"/>
        <v>253.69632671986739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3.6141025633333332</v>
      </c>
      <c r="AI9" s="13">
        <f>IF('Données projet'!$A$62&gt;35,AI8+AH9-AQ8,IF(A9&lt;'Données projet'!$A$62,$AF$205^A9,IF(A9='Données projet'!$A$62,'Données projet'!$B$62,AI8+AH9-AQ8)))</f>
        <v>2.5528444053059243</v>
      </c>
      <c r="AJ9" s="13">
        <f>AI9*VLOOKUP('Données projet'!$B$10,Paramètres!$A$1:$I$89,3,0)*VLOOKUP('Données projet'!$B$10,Paramètres!$A$1:$I$89,5,0)</f>
        <v>2.4292867360891175</v>
      </c>
      <c r="AK9" s="13">
        <f t="shared" si="35"/>
        <v>1.0096273666886308</v>
      </c>
      <c r="AL9" s="20">
        <f t="shared" si="4"/>
        <v>5.9894420623379112</v>
      </c>
      <c r="AM9" s="59">
        <f t="shared" si="5"/>
        <v>269.9894420623379</v>
      </c>
      <c r="AN9" s="59">
        <f ca="1">AVERAGE(OFFSET($AM$3,0,0,'Données projet'!$E$10+1,1))-AVERAGE(OFFSET($H$3,0,0,'Données projet'!$E$10+1,1))</f>
        <v>733.95677909577444</v>
      </c>
      <c r="AO9" s="59">
        <f t="shared" si="36"/>
        <v>264.63778993239799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7.5454545454545459</v>
      </c>
      <c r="BD9" s="12">
        <f>IF('Données projet'!$A$88&gt;35,BD8+BC9-BL8,IF(A9&lt;'Données projet'!$A$88,$BA$205^A9,IF(A9='Données projet'!$A$88,'Données projet'!$B$88,BD8+BC9-BL8)))</f>
        <v>11.137042284494127</v>
      </c>
      <c r="BE9" s="13">
        <f>BD9*VLOOKUP('Données projet'!$B$11,Paramètres!$A$1:$I$89,3,0)*VLOOKUP('Données projet'!$B$11,Paramètres!$A$1:$I$89,5,0)</f>
        <v>6.6599512861274883</v>
      </c>
      <c r="BF9" s="13">
        <f t="shared" si="37"/>
        <v>2.461337037629669</v>
      </c>
      <c r="BG9" s="20">
        <f t="shared" si="7"/>
        <v>15.886243830543714</v>
      </c>
      <c r="BH9" s="59">
        <f t="shared" si="8"/>
        <v>279.88624383054372</v>
      </c>
      <c r="BI9" s="59">
        <f ca="1">AVERAGE(OFFSET($BH$3,0,0,'Données projet'!$E$11+1,1))-AVERAGE(OFFSET($H$3,0,0,'Données projet'!$E$11+1,1))</f>
        <v>187.80389738728508</v>
      </c>
      <c r="BJ9" s="59">
        <f t="shared" si="38"/>
        <v>439.28159165815265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0</v>
      </c>
      <c r="BY9" s="12">
        <f>IF('Données projet'!$A$114&gt;35,BY8+BX9-CG8,IF(A9&lt;'Données projet'!$A$114,$BV$205^A9,IF(A9='Données projet'!$A$114,'Données projet'!$B$114,BY8+BX9-CG8)))</f>
        <v>0</v>
      </c>
      <c r="BZ9" s="13" t="e">
        <f>BY9*VLOOKUP('Données projet'!$B$12,Paramètres!$A$1:$I$89,3,0)*VLOOKUP('Données projet'!$B$12,Paramètres!$A$1:$I$89,5,0)</f>
        <v>#N/A</v>
      </c>
      <c r="CA9" s="13" t="e">
        <f t="shared" si="39"/>
        <v>#N/A</v>
      </c>
      <c r="CB9" s="20" t="e">
        <f t="shared" si="10"/>
        <v>#N/A</v>
      </c>
      <c r="CC9" s="59" t="e">
        <f t="shared" si="11"/>
        <v>#N/A</v>
      </c>
      <c r="CD9" s="59" t="e">
        <f ca="1">AVERAGE(OFFSET($CC$3,0,0,'Données projet'!$E$12+1,1))-AVERAGE(OFFSET($H$3,0,0,'Données projet'!$E$12+1,1))</f>
        <v>#N/A</v>
      </c>
      <c r="CE9" s="59" t="e">
        <f t="shared" si="40"/>
        <v>#N/A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 t="e">
        <f>EXP(-LN(2)/35)*CK8+(1-EXP(-LN(2)/35))/(LN(2)/35)*CG9*CH9*VLOOKUP('Données projet'!$B$12,Paramètres!$A$1:$I$89,3,0)*0.475*44/12</f>
        <v>#N/A</v>
      </c>
      <c r="CL9" s="21" t="e">
        <f>EXP(-LN(2)/25)*CL8+(1-EXP(-LN(2)/25))/(LN(2)/25)*Calculateur!CG9*Calculateur!CI9*VLOOKUP('Données projet'!$B$12,Paramètres!$A$1:$I$89,3,0)*0.475*44/12</f>
        <v>#N/A</v>
      </c>
      <c r="CM9" s="21" t="e">
        <f>EXP(-LN(2)/2)*CM8+(1-EXP(-LN(2)/2))/(LN(2)/2)*CG9*CJ9*VLOOKUP('Données projet'!$B$12,Paramètres!$A$1:$I$89,3,0)*0.475*44/12</f>
        <v>#N/A</v>
      </c>
      <c r="CN9" s="22" t="e">
        <f t="shared" si="12"/>
        <v>#N/A</v>
      </c>
      <c r="CO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5">
      <c r="A10" s="10">
        <f t="shared" si="31"/>
        <v>7</v>
      </c>
      <c r="B10" s="72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1">
        <f t="shared" si="32"/>
        <v>0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66">
        <f t="shared" si="1"/>
        <v>256.66666666666669</v>
      </c>
      <c r="I10" s="6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3.6141025633333332</v>
      </c>
      <c r="N10" s="13">
        <f>IF('Données projet'!$A$36&gt;35,N9+M10-V9,IF(A10&lt;'Données projet'!$A$36,$K$205^A10,IF(A10='Données projet'!$A$36,'Données projet'!$B$36,N9+M10-V9)))</f>
        <v>2.9844323333340506</v>
      </c>
      <c r="O10" s="13">
        <f>N10*VLOOKUP('Données projet'!$B$9,Paramètres!$A$1:$I$89,3,0)*VLOOKUP('Données projet'!$B$9,Paramètres!$A$1:$I$89,5,0)</f>
        <v>2.7003143752006489</v>
      </c>
      <c r="P10" s="13">
        <f t="shared" si="33"/>
        <v>1.108535907960313</v>
      </c>
      <c r="Q10" s="20">
        <f t="shared" si="2"/>
        <v>6.6337475765053417</v>
      </c>
      <c r="R10" s="59">
        <f t="shared" si="0"/>
        <v>271.85596979872759</v>
      </c>
      <c r="S10" s="59">
        <f ca="1">AVERAGE(OFFSET($R$3,0,0,'Données projet'!$E$9+1,1))-AVERAGE(OFFSET($H$3,0,0,'Données projet'!$E$9+1,1))</f>
        <v>700.22008319944644</v>
      </c>
      <c r="T10" s="59">
        <f t="shared" si="34"/>
        <v>253.69632671986739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3.6141025633333332</v>
      </c>
      <c r="AI10" s="13">
        <f>IF('Données projet'!$A$62&gt;35,AI9+AH10-AQ9,IF(A10&lt;'Données projet'!$A$62,$AF$205^A10,IF(A10='Données projet'!$A$62,'Données projet'!$B$62,AI9+AH10-AQ9)))</f>
        <v>2.9844323333340506</v>
      </c>
      <c r="AJ10" s="13">
        <f>AI10*VLOOKUP('Données projet'!$B$10,Paramètres!$A$1:$I$89,3,0)*VLOOKUP('Données projet'!$B$10,Paramètres!$A$1:$I$89,5,0)</f>
        <v>2.8399858084006828</v>
      </c>
      <c r="AK10" s="13">
        <f t="shared" si="35"/>
        <v>1.159050163469229</v>
      </c>
      <c r="AL10" s="20">
        <f t="shared" si="4"/>
        <v>6.964987651006763</v>
      </c>
      <c r="AM10" s="59">
        <f t="shared" si="5"/>
        <v>272.18720987322899</v>
      </c>
      <c r="AN10" s="59">
        <f ca="1">AVERAGE(OFFSET($AM$3,0,0,'Données projet'!$E$10+1,1))-AVERAGE(OFFSET($H$3,0,0,'Données projet'!$E$10+1,1))</f>
        <v>733.95677909577444</v>
      </c>
      <c r="AO10" s="59">
        <f t="shared" si="36"/>
        <v>264.63778993239799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7.5454545454545459</v>
      </c>
      <c r="BD10" s="12">
        <f>IF('Données projet'!$A$88&gt;35,BD9+BC10-BL9,IF(A10&lt;'Données projet'!$A$88,$BA$205^A10,IF(A10='Données projet'!$A$88,'Données projet'!$B$88,BD9+BC10-BL9)))</f>
        <v>16.642996173511026</v>
      </c>
      <c r="BE10" s="13">
        <f>BD10*VLOOKUP('Données projet'!$B$11,Paramètres!$A$1:$I$89,3,0)*VLOOKUP('Données projet'!$B$11,Paramètres!$A$1:$I$89,5,0)</f>
        <v>9.9525117117595947</v>
      </c>
      <c r="BF10" s="13">
        <f t="shared" si="37"/>
        <v>3.5101477414317164</v>
      </c>
      <c r="BG10" s="20">
        <f t="shared" si="7"/>
        <v>23.447465214308199</v>
      </c>
      <c r="BH10" s="59">
        <f t="shared" si="8"/>
        <v>288.66968743653041</v>
      </c>
      <c r="BI10" s="59">
        <f ca="1">AVERAGE(OFFSET($BH$3,0,0,'Données projet'!$E$11+1,1))-AVERAGE(OFFSET($H$3,0,0,'Données projet'!$E$11+1,1))</f>
        <v>187.80389738728508</v>
      </c>
      <c r="BJ10" s="59">
        <f t="shared" si="38"/>
        <v>439.28159165815265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0</v>
      </c>
      <c r="BY10" s="12">
        <f>IF('Données projet'!$A$114&gt;35,BY9+BX10-CG9,IF(A10&lt;'Données projet'!$A$114,$BV$205^A10,IF(A10='Données projet'!$A$114,'Données projet'!$B$114,BY9+BX10-CG9)))</f>
        <v>0</v>
      </c>
      <c r="BZ10" s="13" t="e">
        <f>BY10*VLOOKUP('Données projet'!$B$12,Paramètres!$A$1:$I$89,3,0)*VLOOKUP('Données projet'!$B$12,Paramètres!$A$1:$I$89,5,0)</f>
        <v>#N/A</v>
      </c>
      <c r="CA10" s="13" t="e">
        <f t="shared" si="39"/>
        <v>#N/A</v>
      </c>
      <c r="CB10" s="20" t="e">
        <f t="shared" si="10"/>
        <v>#N/A</v>
      </c>
      <c r="CC10" s="59" t="e">
        <f t="shared" si="11"/>
        <v>#N/A</v>
      </c>
      <c r="CD10" s="59" t="e">
        <f ca="1">AVERAGE(OFFSET($CC$3,0,0,'Données projet'!$E$12+1,1))-AVERAGE(OFFSET($H$3,0,0,'Données projet'!$E$12+1,1))</f>
        <v>#N/A</v>
      </c>
      <c r="CE10" s="59" t="e">
        <f t="shared" si="40"/>
        <v>#N/A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 t="e">
        <f>EXP(-LN(2)/35)*CK9+(1-EXP(-LN(2)/35))/(LN(2)/35)*CG10*CH10*VLOOKUP('Données projet'!$B$12,Paramètres!$A$1:$I$89,3,0)*0.475*44/12</f>
        <v>#N/A</v>
      </c>
      <c r="CL10" s="21" t="e">
        <f>EXP(-LN(2)/25)*CL9+(1-EXP(-LN(2)/25))/(LN(2)/25)*Calculateur!CG10*Calculateur!CI10*VLOOKUP('Données projet'!$B$12,Paramètres!$A$1:$I$89,3,0)*0.475*44/12</f>
        <v>#N/A</v>
      </c>
      <c r="CM10" s="21" t="e">
        <f>EXP(-LN(2)/2)*CM9+(1-EXP(-LN(2)/2))/(LN(2)/2)*CG10*CJ10*VLOOKUP('Données projet'!$B$12,Paramètres!$A$1:$I$89,3,0)*0.475*44/12</f>
        <v>#N/A</v>
      </c>
      <c r="CN10" s="22" t="e">
        <f t="shared" si="12"/>
        <v>#N/A</v>
      </c>
      <c r="CO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5">
      <c r="A11" s="10">
        <f t="shared" si="31"/>
        <v>8</v>
      </c>
      <c r="B11" s="72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1">
        <f t="shared" si="32"/>
        <v>0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66">
        <f t="shared" si="1"/>
        <v>256.66666666666669</v>
      </c>
      <c r="I11" s="6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3.6141025633333332</v>
      </c>
      <c r="N11" s="13">
        <f>IF('Données projet'!$A$36&gt;35,N10+M11-V10,IF(A11&lt;'Données projet'!$A$36,$K$205^A11,IF(A11='Données projet'!$A$36,'Données projet'!$B$36,N10+M11-V10)))</f>
        <v>3.4889852016587599</v>
      </c>
      <c r="O11" s="13">
        <f>N11*VLOOKUP('Données projet'!$B$9,Paramètres!$A$1:$I$89,3,0)*VLOOKUP('Données projet'!$B$9,Paramètres!$A$1:$I$89,5,0)</f>
        <v>3.1568338104608458</v>
      </c>
      <c r="P11" s="13">
        <f t="shared" si="33"/>
        <v>1.2725969676782332</v>
      </c>
      <c r="Q11" s="20">
        <f t="shared" si="2"/>
        <v>7.7145919385922284</v>
      </c>
      <c r="R11" s="59">
        <f t="shared" si="0"/>
        <v>274.15903638303666</v>
      </c>
      <c r="S11" s="59">
        <f ca="1">AVERAGE(OFFSET($R$3,0,0,'Données projet'!$E$9+1,1))-AVERAGE(OFFSET($H$3,0,0,'Données projet'!$E$9+1,1))</f>
        <v>700.22008319944644</v>
      </c>
      <c r="T11" s="59">
        <f t="shared" si="34"/>
        <v>253.69632671986739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3.6141025633333332</v>
      </c>
      <c r="AI11" s="13">
        <f>IF('Données projet'!$A$62&gt;35,AI10+AH11-AQ10,IF(A11&lt;'Données projet'!$A$62,$AF$205^A11,IF(A11='Données projet'!$A$62,'Données projet'!$B$62,AI10+AH11-AQ10)))</f>
        <v>3.4889852016587599</v>
      </c>
      <c r="AJ11" s="13">
        <f>AI11*VLOOKUP('Données projet'!$B$10,Paramètres!$A$1:$I$89,3,0)*VLOOKUP('Données projet'!$B$10,Paramètres!$A$1:$I$89,5,0)</f>
        <v>3.3201183178984763</v>
      </c>
      <c r="AK11" s="13">
        <f t="shared" si="35"/>
        <v>1.3305872302611133</v>
      </c>
      <c r="AL11" s="20">
        <f t="shared" si="4"/>
        <v>8.0999788297112847</v>
      </c>
      <c r="AM11" s="59">
        <f t="shared" si="5"/>
        <v>274.54442327415575</v>
      </c>
      <c r="AN11" s="59">
        <f ca="1">AVERAGE(OFFSET($AM$3,0,0,'Données projet'!$E$10+1,1))-AVERAGE(OFFSET($H$3,0,0,'Données projet'!$E$10+1,1))</f>
        <v>733.95677909577444</v>
      </c>
      <c r="AO11" s="59">
        <f t="shared" si="36"/>
        <v>264.63778993239799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7.5454545454545459</v>
      </c>
      <c r="BD11" s="12">
        <f>IF('Données projet'!$A$88&gt;35,BD10+BC11-BL10,IF(A11&lt;'Données projet'!$A$88,$BA$205^A11,IF(A11='Données projet'!$A$88,'Données projet'!$B$88,BD10+BC11-BL10)))</f>
        <v>24.870994879596463</v>
      </c>
      <c r="BE11" s="13">
        <f>BD11*VLOOKUP('Données projet'!$B$11,Paramètres!$A$1:$I$89,3,0)*VLOOKUP('Données projet'!$B$11,Paramètres!$A$1:$I$89,5,0)</f>
        <v>14.872854937998687</v>
      </c>
      <c r="BF11" s="13">
        <f t="shared" si="37"/>
        <v>5.0058715967414829</v>
      </c>
      <c r="BG11" s="20">
        <f t="shared" si="7"/>
        <v>34.622115381339128</v>
      </c>
      <c r="BH11" s="59">
        <f t="shared" si="8"/>
        <v>301.0665598257836</v>
      </c>
      <c r="BI11" s="59">
        <f ca="1">AVERAGE(OFFSET($BH$3,0,0,'Données projet'!$E$11+1,1))-AVERAGE(OFFSET($H$3,0,0,'Données projet'!$E$11+1,1))</f>
        <v>187.80389738728508</v>
      </c>
      <c r="BJ11" s="59">
        <f t="shared" si="38"/>
        <v>439.28159165815265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0</v>
      </c>
      <c r="BY11" s="12">
        <f>IF('Données projet'!$A$114&gt;35,BY10+BX11-CG10,IF(A11&lt;'Données projet'!$A$114,$BV$205^A11,IF(A11='Données projet'!$A$114,'Données projet'!$B$114,BY10+BX11-CG10)))</f>
        <v>0</v>
      </c>
      <c r="BZ11" s="13" t="e">
        <f>BY11*VLOOKUP('Données projet'!$B$12,Paramètres!$A$1:$I$89,3,0)*VLOOKUP('Données projet'!$B$12,Paramètres!$A$1:$I$89,5,0)</f>
        <v>#N/A</v>
      </c>
      <c r="CA11" s="13" t="e">
        <f t="shared" si="39"/>
        <v>#N/A</v>
      </c>
      <c r="CB11" s="20" t="e">
        <f t="shared" si="10"/>
        <v>#N/A</v>
      </c>
      <c r="CC11" s="59" t="e">
        <f t="shared" si="11"/>
        <v>#N/A</v>
      </c>
      <c r="CD11" s="59" t="e">
        <f ca="1">AVERAGE(OFFSET($CC$3,0,0,'Données projet'!$E$12+1,1))-AVERAGE(OFFSET($H$3,0,0,'Données projet'!$E$12+1,1))</f>
        <v>#N/A</v>
      </c>
      <c r="CE11" s="59" t="e">
        <f t="shared" si="40"/>
        <v>#N/A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 t="e">
        <f>EXP(-LN(2)/35)*CK10+(1-EXP(-LN(2)/35))/(LN(2)/35)*CG11*CH11*VLOOKUP('Données projet'!$B$12,Paramètres!$A$1:$I$89,3,0)*0.475*44/12</f>
        <v>#N/A</v>
      </c>
      <c r="CL11" s="21" t="e">
        <f>EXP(-LN(2)/25)*CL10+(1-EXP(-LN(2)/25))/(LN(2)/25)*Calculateur!CG11*Calculateur!CI11*VLOOKUP('Données projet'!$B$12,Paramètres!$A$1:$I$89,3,0)*0.475*44/12</f>
        <v>#N/A</v>
      </c>
      <c r="CM11" s="21" t="e">
        <f>EXP(-LN(2)/2)*CM10+(1-EXP(-LN(2)/2))/(LN(2)/2)*CG11*CJ11*VLOOKUP('Données projet'!$B$12,Paramètres!$A$1:$I$89,3,0)*0.475*44/12</f>
        <v>#N/A</v>
      </c>
      <c r="CN11" s="22" t="e">
        <f t="shared" si="12"/>
        <v>#N/A</v>
      </c>
      <c r="CO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5">
      <c r="A12" s="10">
        <f t="shared" si="31"/>
        <v>9</v>
      </c>
      <c r="B12" s="72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1">
        <f t="shared" si="32"/>
        <v>0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66">
        <f t="shared" si="1"/>
        <v>256.66666666666669</v>
      </c>
      <c r="I12" s="6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3.6141025633333332</v>
      </c>
      <c r="N12" s="13">
        <f>IF('Données projet'!$A$36&gt;35,N11+M12-V11,IF(A12&lt;'Données projet'!$A$36,$K$205^A12,IF(A12='Données projet'!$A$36,'Données projet'!$B$36,N11+M12-V11)))</f>
        <v>4.0788385789249118</v>
      </c>
      <c r="O12" s="13">
        <f>N12*VLOOKUP('Données projet'!$B$9,Paramètres!$A$1:$I$89,3,0)*VLOOKUP('Données projet'!$B$9,Paramètres!$A$1:$I$89,5,0)</f>
        <v>3.6905331462112598</v>
      </c>
      <c r="P12" s="13">
        <f t="shared" si="33"/>
        <v>1.4609387305492803</v>
      </c>
      <c r="Q12" s="20">
        <f t="shared" si="2"/>
        <v>8.9721468520246077</v>
      </c>
      <c r="R12" s="59">
        <f t="shared" si="0"/>
        <v>276.63881351869128</v>
      </c>
      <c r="S12" s="59">
        <f ca="1">AVERAGE(OFFSET($R$3,0,0,'Données projet'!$E$9+1,1))-AVERAGE(OFFSET($H$3,0,0,'Données projet'!$E$9+1,1))</f>
        <v>700.22008319944644</v>
      </c>
      <c r="T12" s="59">
        <f t="shared" si="34"/>
        <v>253.69632671986739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3.6141025633333332</v>
      </c>
      <c r="AI12" s="13">
        <f>IF('Données projet'!$A$62&gt;35,AI11+AH12-AQ11,IF(A12&lt;'Données projet'!$A$62,$AF$205^A12,IF(A12='Données projet'!$A$62,'Données projet'!$B$62,AI11+AH12-AQ11)))</f>
        <v>4.0788385789249118</v>
      </c>
      <c r="AJ12" s="13">
        <f>AI12*VLOOKUP('Données projet'!$B$10,Paramètres!$A$1:$I$89,3,0)*VLOOKUP('Données projet'!$B$10,Paramètres!$A$1:$I$89,5,0)</f>
        <v>3.8814227917049462</v>
      </c>
      <c r="AK12" s="13">
        <f t="shared" si="35"/>
        <v>1.5275114340475597</v>
      </c>
      <c r="AL12" s="20">
        <f t="shared" si="4"/>
        <v>9.4205604431856127</v>
      </c>
      <c r="AM12" s="59">
        <f t="shared" si="5"/>
        <v>277.08722710985228</v>
      </c>
      <c r="AN12" s="59">
        <f ca="1">AVERAGE(OFFSET($AM$3,0,0,'Données projet'!$E$10+1,1))-AVERAGE(OFFSET($H$3,0,0,'Données projet'!$E$10+1,1))</f>
        <v>733.95677909577444</v>
      </c>
      <c r="AO12" s="59">
        <f t="shared" si="36"/>
        <v>264.63778993239799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7.5454545454545459</v>
      </c>
      <c r="BD12" s="12">
        <f>IF('Données projet'!$A$88&gt;35,BD11+BC12-BL11,IF(A12&lt;'Données projet'!$A$88,$BA$205^A12,IF(A12='Données projet'!$A$88,'Données projet'!$B$88,BD11+BC12-BL11)))</f>
        <v>37.166768522450475</v>
      </c>
      <c r="BE12" s="13">
        <f>BD12*VLOOKUP('Données projet'!$B$11,Paramètres!$A$1:$I$89,3,0)*VLOOKUP('Données projet'!$B$11,Paramètres!$A$1:$I$89,5,0)</f>
        <v>22.225727576425388</v>
      </c>
      <c r="BF12" s="13">
        <f t="shared" si="37"/>
        <v>7.1389446510425687</v>
      </c>
      <c r="BG12" s="20">
        <f t="shared" si="7"/>
        <v>51.143470796173354</v>
      </c>
      <c r="BH12" s="59">
        <f t="shared" si="8"/>
        <v>318.81013746284003</v>
      </c>
      <c r="BI12" s="59">
        <f ca="1">AVERAGE(OFFSET($BH$3,0,0,'Données projet'!$E$11+1,1))-AVERAGE(OFFSET($H$3,0,0,'Données projet'!$E$11+1,1))</f>
        <v>187.80389738728508</v>
      </c>
      <c r="BJ12" s="59">
        <f t="shared" si="38"/>
        <v>439.28159165815265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0</v>
      </c>
      <c r="BY12" s="12">
        <f>IF('Données projet'!$A$114&gt;35,BY11+BX12-CG11,IF(A12&lt;'Données projet'!$A$114,$BV$205^A12,IF(A12='Données projet'!$A$114,'Données projet'!$B$114,BY11+BX12-CG11)))</f>
        <v>0</v>
      </c>
      <c r="BZ12" s="13" t="e">
        <f>BY12*VLOOKUP('Données projet'!$B$12,Paramètres!$A$1:$I$89,3,0)*VLOOKUP('Données projet'!$B$12,Paramètres!$A$1:$I$89,5,0)</f>
        <v>#N/A</v>
      </c>
      <c r="CA12" s="13" t="e">
        <f t="shared" si="39"/>
        <v>#N/A</v>
      </c>
      <c r="CB12" s="20" t="e">
        <f t="shared" si="10"/>
        <v>#N/A</v>
      </c>
      <c r="CC12" s="59" t="e">
        <f t="shared" si="11"/>
        <v>#N/A</v>
      </c>
      <c r="CD12" s="59" t="e">
        <f ca="1">AVERAGE(OFFSET($CC$3,0,0,'Données projet'!$E$12+1,1))-AVERAGE(OFFSET($H$3,0,0,'Données projet'!$E$12+1,1))</f>
        <v>#N/A</v>
      </c>
      <c r="CE12" s="59" t="e">
        <f t="shared" si="40"/>
        <v>#N/A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 t="e">
        <f>EXP(-LN(2)/35)*CK11+(1-EXP(-LN(2)/35))/(LN(2)/35)*CG12*CH12*VLOOKUP('Données projet'!$B$12,Paramètres!$A$1:$I$89,3,0)*0.475*44/12</f>
        <v>#N/A</v>
      </c>
      <c r="CL12" s="21" t="e">
        <f>EXP(-LN(2)/25)*CL11+(1-EXP(-LN(2)/25))/(LN(2)/25)*Calculateur!CG12*Calculateur!CI12*VLOOKUP('Données projet'!$B$12,Paramètres!$A$1:$I$89,3,0)*0.475*44/12</f>
        <v>#N/A</v>
      </c>
      <c r="CM12" s="21" t="e">
        <f>EXP(-LN(2)/2)*CM11+(1-EXP(-LN(2)/2))/(LN(2)/2)*CG12*CJ12*VLOOKUP('Données projet'!$B$12,Paramètres!$A$1:$I$89,3,0)*0.475*44/12</f>
        <v>#N/A</v>
      </c>
      <c r="CN12" s="22" t="e">
        <f t="shared" si="12"/>
        <v>#N/A</v>
      </c>
      <c r="CO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5">
      <c r="A13" s="10">
        <f t="shared" si="31"/>
        <v>10</v>
      </c>
      <c r="B13" s="72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1">
        <f t="shared" si="32"/>
        <v>0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66">
        <f t="shared" si="1"/>
        <v>256.66666666666669</v>
      </c>
      <c r="I13" s="6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3.6141025633333332</v>
      </c>
      <c r="N13" s="13">
        <f>IF('Données projet'!$A$36&gt;35,N12+M13-V12,IF(A13&lt;'Données projet'!$A$36,$K$205^A13,IF(A13='Données projet'!$A$36,'Données projet'!$B$36,N12+M13-V12)))</f>
        <v>4.7684135045962757</v>
      </c>
      <c r="O13" s="13">
        <f>N13*VLOOKUP('Données projet'!$B$9,Paramètres!$A$1:$I$89,3,0)*VLOOKUP('Données projet'!$B$9,Paramètres!$A$1:$I$89,5,0)</f>
        <v>4.3144605389587101</v>
      </c>
      <c r="P13" s="13">
        <f t="shared" si="33"/>
        <v>1.6771546912553981</v>
      </c>
      <c r="Q13" s="20">
        <f t="shared" si="2"/>
        <v>10.435396525956238</v>
      </c>
      <c r="R13" s="59">
        <f t="shared" si="0"/>
        <v>279.32428541484512</v>
      </c>
      <c r="S13" s="59">
        <f ca="1">AVERAGE(OFFSET($R$3,0,0,'Données projet'!$E$9+1,1))-AVERAGE(OFFSET($H$3,0,0,'Données projet'!$E$9+1,1))</f>
        <v>700.22008319944644</v>
      </c>
      <c r="T13" s="59">
        <f t="shared" si="34"/>
        <v>253.69632671986739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3.6141025633333332</v>
      </c>
      <c r="AI13" s="13">
        <f>IF('Données projet'!$A$62&gt;35,AI12+AH13-AQ12,IF(A13&lt;'Données projet'!$A$62,$AF$205^A13,IF(A13='Données projet'!$A$62,'Données projet'!$B$62,AI12+AH13-AQ12)))</f>
        <v>4.7684135045962757</v>
      </c>
      <c r="AJ13" s="13">
        <f>AI13*VLOOKUP('Données projet'!$B$10,Paramètres!$A$1:$I$89,3,0)*VLOOKUP('Données projet'!$B$10,Paramètres!$A$1:$I$89,5,0)</f>
        <v>4.5376222909738155</v>
      </c>
      <c r="AK13" s="13">
        <f t="shared" si="35"/>
        <v>1.7535800194686588</v>
      </c>
      <c r="AL13" s="20">
        <f t="shared" si="4"/>
        <v>10.957177357353977</v>
      </c>
      <c r="AM13" s="59">
        <f t="shared" si="5"/>
        <v>279.84606624624286</v>
      </c>
      <c r="AN13" s="59">
        <f ca="1">AVERAGE(OFFSET($AM$3,0,0,'Données projet'!$E$10+1,1))-AVERAGE(OFFSET($H$3,0,0,'Données projet'!$E$10+1,1))</f>
        <v>733.95677909577444</v>
      </c>
      <c r="AO13" s="59">
        <f t="shared" si="36"/>
        <v>264.63778993239799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7.5454545454545459</v>
      </c>
      <c r="BD13" s="12">
        <f>IF('Données projet'!$A$88&gt;35,BD12+BC13-BL12,IF(A13&lt;'Données projet'!$A$88,$BA$205^A13,IF(A13='Données projet'!$A$88,'Données projet'!$B$88,BD12+BC13-BL12)))</f>
        <v>55.541352048391744</v>
      </c>
      <c r="BE13" s="13">
        <f>BD13*VLOOKUP('Données projet'!$B$11,Paramètres!$A$1:$I$89,3,0)*VLOOKUP('Données projet'!$B$11,Paramètres!$A$1:$I$89,5,0)</f>
        <v>33.213728524938269</v>
      </c>
      <c r="BF13" s="13">
        <f t="shared" si="37"/>
        <v>10.180950459021789</v>
      </c>
      <c r="BG13" s="20">
        <f t="shared" si="7"/>
        <v>75.579065897063757</v>
      </c>
      <c r="BH13" s="59">
        <f t="shared" si="8"/>
        <v>344.4679547859526</v>
      </c>
      <c r="BI13" s="59">
        <f ca="1">AVERAGE(OFFSET($BH$3,0,0,'Données projet'!$E$11+1,1))-AVERAGE(OFFSET($H$3,0,0,'Données projet'!$E$11+1,1))</f>
        <v>187.80389738728508</v>
      </c>
      <c r="BJ13" s="59">
        <f t="shared" si="38"/>
        <v>439.28159165815265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0</v>
      </c>
      <c r="BY13" s="12">
        <f>IF('Données projet'!$A$114&gt;35,BY12+BX13-CG12,IF(A13&lt;'Données projet'!$A$114,$BV$205^A13,IF(A13='Données projet'!$A$114,'Données projet'!$B$114,BY12+BX13-CG12)))</f>
        <v>0</v>
      </c>
      <c r="BZ13" s="13" t="e">
        <f>BY13*VLOOKUP('Données projet'!$B$12,Paramètres!$A$1:$I$89,3,0)*VLOOKUP('Données projet'!$B$12,Paramètres!$A$1:$I$89,5,0)</f>
        <v>#N/A</v>
      </c>
      <c r="CA13" s="13" t="e">
        <f t="shared" si="39"/>
        <v>#N/A</v>
      </c>
      <c r="CB13" s="20" t="e">
        <f t="shared" si="10"/>
        <v>#N/A</v>
      </c>
      <c r="CC13" s="59" t="e">
        <f t="shared" si="11"/>
        <v>#N/A</v>
      </c>
      <c r="CD13" s="59" t="e">
        <f ca="1">AVERAGE(OFFSET($CC$3,0,0,'Données projet'!$E$12+1,1))-AVERAGE(OFFSET($H$3,0,0,'Données projet'!$E$12+1,1))</f>
        <v>#N/A</v>
      </c>
      <c r="CE13" s="59" t="e">
        <f t="shared" si="40"/>
        <v>#N/A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 t="e">
        <f>EXP(-LN(2)/35)*CK12+(1-EXP(-LN(2)/35))/(LN(2)/35)*CG13*CH13*VLOOKUP('Données projet'!$B$12,Paramètres!$A$1:$I$89,3,0)*0.475*44/12</f>
        <v>#N/A</v>
      </c>
      <c r="CL13" s="21" t="e">
        <f>EXP(-LN(2)/25)*CL12+(1-EXP(-LN(2)/25))/(LN(2)/25)*Calculateur!CG13*Calculateur!CI13*VLOOKUP('Données projet'!$B$12,Paramètres!$A$1:$I$89,3,0)*0.475*44/12</f>
        <v>#N/A</v>
      </c>
      <c r="CM13" s="21" t="e">
        <f>EXP(-LN(2)/2)*CM12+(1-EXP(-LN(2)/2))/(LN(2)/2)*CG13*CJ13*VLOOKUP('Données projet'!$B$12,Paramètres!$A$1:$I$89,3,0)*0.475*44/12</f>
        <v>#N/A</v>
      </c>
      <c r="CN13" s="22" t="e">
        <f t="shared" si="12"/>
        <v>#N/A</v>
      </c>
      <c r="CO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5">
      <c r="A14" s="10">
        <f t="shared" si="31"/>
        <v>11</v>
      </c>
      <c r="B14" s="72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1">
        <f t="shared" si="32"/>
        <v>0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66">
        <f t="shared" si="1"/>
        <v>256.66666666666669</v>
      </c>
      <c r="I14" s="6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3.6141025633333332</v>
      </c>
      <c r="N14" s="13">
        <f>IF('Données projet'!$A$36&gt;35,N13+M14-V13,IF(A14&lt;'Données projet'!$A$36,$K$205^A14,IF(A14='Données projet'!$A$36,'Données projet'!$B$36,N13+M14-V13)))</f>
        <v>5.5745690619630484</v>
      </c>
      <c r="O14" s="13">
        <f>N14*VLOOKUP('Données projet'!$B$9,Paramètres!$A$1:$I$89,3,0)*VLOOKUP('Données projet'!$B$9,Paramètres!$A$1:$I$89,5,0)</f>
        <v>5.0438700872641657</v>
      </c>
      <c r="P14" s="13">
        <f t="shared" si="33"/>
        <v>1.925370174382619</v>
      </c>
      <c r="Q14" s="20">
        <f t="shared" si="2"/>
        <v>12.138093455701485</v>
      </c>
      <c r="R14" s="59">
        <f t="shared" si="0"/>
        <v>282.24920456681264</v>
      </c>
      <c r="S14" s="59">
        <f ca="1">AVERAGE(OFFSET($R$3,0,0,'Données projet'!$E$9+1,1))-AVERAGE(OFFSET($H$3,0,0,'Données projet'!$E$9+1,1))</f>
        <v>700.22008319944644</v>
      </c>
      <c r="T14" s="59">
        <f t="shared" si="34"/>
        <v>253.69632671986739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3.6141025633333332</v>
      </c>
      <c r="AI14" s="13">
        <f>IF('Données projet'!$A$62&gt;35,AI13+AH14-AQ13,IF(A14&lt;'Données projet'!$A$62,$AF$205^A14,IF(A14='Données projet'!$A$62,'Données projet'!$B$62,AI13+AH14-AQ13)))</f>
        <v>5.5745690619630484</v>
      </c>
      <c r="AJ14" s="13">
        <f>AI14*VLOOKUP('Données projet'!$B$10,Paramètres!$A$1:$I$89,3,0)*VLOOKUP('Données projet'!$B$10,Paramètres!$A$1:$I$89,5,0)</f>
        <v>5.3047599193640371</v>
      </c>
      <c r="AK14" s="13">
        <f t="shared" si="35"/>
        <v>2.0131062957293455</v>
      </c>
      <c r="AL14" s="20">
        <f t="shared" si="4"/>
        <v>12.745283657954309</v>
      </c>
      <c r="AM14" s="59">
        <f t="shared" si="5"/>
        <v>282.85639476906545</v>
      </c>
      <c r="AN14" s="59">
        <f ca="1">AVERAGE(OFFSET($AM$3,0,0,'Données projet'!$E$10+1,1))-AVERAGE(OFFSET($H$3,0,0,'Données projet'!$E$10+1,1))</f>
        <v>733.95677909577444</v>
      </c>
      <c r="AO14" s="59">
        <f t="shared" si="36"/>
        <v>264.63778993239799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2">
        <f>VLOOKUP(A14,'Données projet'!$A$87:$I$107,2,0)</f>
        <v>83</v>
      </c>
      <c r="BB14" s="12">
        <f>VLOOKUP(A14,'Données projet'!$A$87:$I$107,9,0)</f>
        <v>7.5454545454545459</v>
      </c>
      <c r="BC14" s="12">
        <f t="array" ref="BC14">INDEX(BB:BB,MIN(IF(ISNUMBER(BB14:BB210),ROW(BB14:BB210),"")))</f>
        <v>7.5454545454545459</v>
      </c>
      <c r="BD14" s="12">
        <f>IF('Données projet'!$A$88&gt;35,BD13+BC14-BL13,IF(A14&lt;'Données projet'!$A$88,$BA$205^A14,IF(A14='Données projet'!$A$88,'Données projet'!$B$88,BD13+BC14-BL13)))</f>
        <v>83</v>
      </c>
      <c r="BE14" s="13">
        <f>BD14*VLOOKUP('Données projet'!$B$11,Paramètres!$A$1:$I$89,3,0)*VLOOKUP('Données projet'!$B$11,Paramètres!$A$1:$I$89,5,0)</f>
        <v>49.634</v>
      </c>
      <c r="BF14" s="13">
        <f t="shared" si="37"/>
        <v>14.519198189037462</v>
      </c>
      <c r="BG14" s="20">
        <f t="shared" si="7"/>
        <v>111.73348684590691</v>
      </c>
      <c r="BH14" s="59">
        <f t="shared" si="8"/>
        <v>381.84459795701804</v>
      </c>
      <c r="BI14" s="59">
        <f ca="1">AVERAGE(OFFSET($BH$3,0,0,'Données projet'!$E$11+1,1))-AVERAGE(OFFSET($H$3,0,0,'Données projet'!$E$11+1,1))</f>
        <v>187.80389738728508</v>
      </c>
      <c r="BJ14" s="59">
        <f t="shared" si="38"/>
        <v>439.28159165815265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0</v>
      </c>
      <c r="BY14" s="12">
        <f>IF('Données projet'!$A$114&gt;35,BY13+BX14-CG13,IF(A14&lt;'Données projet'!$A$114,$BV$205^A14,IF(A14='Données projet'!$A$114,'Données projet'!$B$114,BY13+BX14-CG13)))</f>
        <v>0</v>
      </c>
      <c r="BZ14" s="13" t="e">
        <f>BY14*VLOOKUP('Données projet'!$B$12,Paramètres!$A$1:$I$89,3,0)*VLOOKUP('Données projet'!$B$12,Paramètres!$A$1:$I$89,5,0)</f>
        <v>#N/A</v>
      </c>
      <c r="CA14" s="13" t="e">
        <f t="shared" si="39"/>
        <v>#N/A</v>
      </c>
      <c r="CB14" s="20" t="e">
        <f t="shared" si="10"/>
        <v>#N/A</v>
      </c>
      <c r="CC14" s="59" t="e">
        <f t="shared" si="11"/>
        <v>#N/A</v>
      </c>
      <c r="CD14" s="59" t="e">
        <f ca="1">AVERAGE(OFFSET($CC$3,0,0,'Données projet'!$E$12+1,1))-AVERAGE(OFFSET($H$3,0,0,'Données projet'!$E$12+1,1))</f>
        <v>#N/A</v>
      </c>
      <c r="CE14" s="59" t="e">
        <f t="shared" si="40"/>
        <v>#N/A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 t="e">
        <f>EXP(-LN(2)/35)*CK13+(1-EXP(-LN(2)/35))/(LN(2)/35)*CG14*CH14*VLOOKUP('Données projet'!$B$12,Paramètres!$A$1:$I$89,3,0)*0.475*44/12</f>
        <v>#N/A</v>
      </c>
      <c r="CL14" s="21" t="e">
        <f>EXP(-LN(2)/25)*CL13+(1-EXP(-LN(2)/25))/(LN(2)/25)*Calculateur!CG14*Calculateur!CI14*VLOOKUP('Données projet'!$B$12,Paramètres!$A$1:$I$89,3,0)*0.475*44/12</f>
        <v>#N/A</v>
      </c>
      <c r="CM14" s="21" t="e">
        <f>EXP(-LN(2)/2)*CM13+(1-EXP(-LN(2)/2))/(LN(2)/2)*CG14*CJ14*VLOOKUP('Données projet'!$B$12,Paramètres!$A$1:$I$89,3,0)*0.475*44/12</f>
        <v>#N/A</v>
      </c>
      <c r="CN14" s="22" t="e">
        <f t="shared" si="12"/>
        <v>#N/A</v>
      </c>
      <c r="CO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5">
      <c r="A15" s="10">
        <f t="shared" si="31"/>
        <v>12</v>
      </c>
      <c r="B15" s="72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1">
        <f t="shared" si="32"/>
        <v>0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66">
        <f t="shared" si="1"/>
        <v>256.66666666666669</v>
      </c>
      <c r="I15" s="6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3.6141025633333332</v>
      </c>
      <c r="N15" s="13">
        <f>IF('Données projet'!$A$36&gt;35,N14+M15-V14,IF(A15&lt;'Données projet'!$A$36,$K$205^A15,IF(A15='Données projet'!$A$36,'Données projet'!$B$36,N14+M15-V14)))</f>
        <v>6.5170145577017573</v>
      </c>
      <c r="O15" s="13">
        <f>N15*VLOOKUP('Données projet'!$B$9,Paramètres!$A$1:$I$89,3,0)*VLOOKUP('Données projet'!$B$9,Paramètres!$A$1:$I$89,5,0)</f>
        <v>5.8965947718085499</v>
      </c>
      <c r="P15" s="13">
        <f t="shared" si="33"/>
        <v>2.2103210441651773</v>
      </c>
      <c r="Q15" s="20">
        <f t="shared" si="2"/>
        <v>14.119545046154242</v>
      </c>
      <c r="R15" s="59">
        <f t="shared" si="0"/>
        <v>285.45287837948757</v>
      </c>
      <c r="S15" s="59">
        <f ca="1">AVERAGE(OFFSET($R$3,0,0,'Données projet'!$E$9+1,1))-AVERAGE(OFFSET($H$3,0,0,'Données projet'!$E$9+1,1))</f>
        <v>700.22008319944644</v>
      </c>
      <c r="T15" s="59">
        <f t="shared" si="34"/>
        <v>253.69632671986739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3.6141025633333332</v>
      </c>
      <c r="AI15" s="13">
        <f>IF('Données projet'!$A$62&gt;35,AI14+AH15-AQ14,IF(A15&lt;'Données projet'!$A$62,$AF$205^A15,IF(A15='Données projet'!$A$62,'Données projet'!$B$62,AI14+AH15-AQ14)))</f>
        <v>6.5170145577017573</v>
      </c>
      <c r="AJ15" s="13">
        <f>AI15*VLOOKUP('Données projet'!$B$10,Paramètres!$A$1:$I$89,3,0)*VLOOKUP('Données projet'!$B$10,Paramètres!$A$1:$I$89,5,0)</f>
        <v>6.2015910531089924</v>
      </c>
      <c r="AK15" s="13">
        <f t="shared" si="35"/>
        <v>2.3110419330240077</v>
      </c>
      <c r="AL15" s="20">
        <f t="shared" si="4"/>
        <v>14.826169117514972</v>
      </c>
      <c r="AM15" s="59">
        <f t="shared" si="5"/>
        <v>286.15950245084827</v>
      </c>
      <c r="AN15" s="59">
        <f ca="1">AVERAGE(OFFSET($AM$3,0,0,'Données projet'!$E$10+1,1))-AVERAGE(OFFSET($H$3,0,0,'Données projet'!$E$10+1,1))</f>
        <v>733.95677909577444</v>
      </c>
      <c r="AO15" s="59">
        <f t="shared" si="36"/>
        <v>264.63778993239799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2">
        <f>VLOOKUP(A15,'Données projet'!$A$87:$I$107,2,0)</f>
        <v>106</v>
      </c>
      <c r="BB15" s="12">
        <f>VLOOKUP(A15,'Données projet'!$A$87:$I$107,9,0)</f>
        <v>23</v>
      </c>
      <c r="BC15" s="12">
        <f t="array" ref="BC15">INDEX(BB:BB,MIN(IF(ISNUMBER(BB15:BB211),ROW(BB15:BB211),"")))</f>
        <v>23</v>
      </c>
      <c r="BD15" s="12">
        <f>IF('Données projet'!$A$88&gt;35,BD14+BC15-BL14,IF(A15&lt;'Données projet'!$A$88,$BA$205^A15,IF(A15='Données projet'!$A$88,'Données projet'!$B$88,BD14+BC15-BL14)))</f>
        <v>106</v>
      </c>
      <c r="BE15" s="13">
        <f>BD15*VLOOKUP('Données projet'!$B$11,Paramètres!$A$1:$I$89,3,0)*VLOOKUP('Données projet'!$B$11,Paramètres!$A$1:$I$89,5,0)</f>
        <v>63.388000000000012</v>
      </c>
      <c r="BF15" s="13">
        <f t="shared" si="37"/>
        <v>18.022104085041263</v>
      </c>
      <c r="BG15" s="20">
        <f t="shared" si="7"/>
        <v>141.78926461478019</v>
      </c>
      <c r="BH15" s="59">
        <f t="shared" si="8"/>
        <v>413.12259794811348</v>
      </c>
      <c r="BI15" s="59">
        <f ca="1">AVERAGE(OFFSET($BH$3,0,0,'Données projet'!$E$11+1,1))-AVERAGE(OFFSET($H$3,0,0,'Données projet'!$E$11+1,1))</f>
        <v>187.80389738728508</v>
      </c>
      <c r="BJ15" s="59">
        <f t="shared" si="38"/>
        <v>439.28159165815265</v>
      </c>
      <c r="BK15" s="15">
        <f>IF(ISNA(VLOOKUP(A15,'Données projet'!$A$87:$I$107,3,0)),0,VLOOKUP(A15,'Données projet'!$A$87:$I$107,3,0))</f>
        <v>1</v>
      </c>
      <c r="BL15" s="15">
        <f>IF(ISNA(VLOOKUP(A15,'Données projet'!$A$87:$I$107,4,0)),0,VLOOKUP(A15,'Données projet'!$A$87:$I$107,4,0))</f>
        <v>34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1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23.020547073308105</v>
      </c>
      <c r="BS15" s="22">
        <f t="shared" si="9"/>
        <v>23.020547073308105</v>
      </c>
      <c r="BT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0</v>
      </c>
      <c r="BY15" s="12">
        <f>IF('Données projet'!$A$114&gt;35,BY14+BX15-CG14,IF(A15&lt;'Données projet'!$A$114,$BV$205^A15,IF(A15='Données projet'!$A$114,'Données projet'!$B$114,BY14+BX15-CG14)))</f>
        <v>0</v>
      </c>
      <c r="BZ15" s="13" t="e">
        <f>BY15*VLOOKUP('Données projet'!$B$12,Paramètres!$A$1:$I$89,3,0)*VLOOKUP('Données projet'!$B$12,Paramètres!$A$1:$I$89,5,0)</f>
        <v>#N/A</v>
      </c>
      <c r="CA15" s="13" t="e">
        <f t="shared" si="39"/>
        <v>#N/A</v>
      </c>
      <c r="CB15" s="20" t="e">
        <f t="shared" si="10"/>
        <v>#N/A</v>
      </c>
      <c r="CC15" s="59" t="e">
        <f t="shared" si="11"/>
        <v>#N/A</v>
      </c>
      <c r="CD15" s="59" t="e">
        <f ca="1">AVERAGE(OFFSET($CC$3,0,0,'Données projet'!$E$12+1,1))-AVERAGE(OFFSET($H$3,0,0,'Données projet'!$E$12+1,1))</f>
        <v>#N/A</v>
      </c>
      <c r="CE15" s="59" t="e">
        <f t="shared" si="40"/>
        <v>#N/A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 t="e">
        <f>EXP(-LN(2)/35)*CK14+(1-EXP(-LN(2)/35))/(LN(2)/35)*CG15*CH15*VLOOKUP('Données projet'!$B$12,Paramètres!$A$1:$I$89,3,0)*0.475*44/12</f>
        <v>#N/A</v>
      </c>
      <c r="CL15" s="21" t="e">
        <f>EXP(-LN(2)/25)*CL14+(1-EXP(-LN(2)/25))/(LN(2)/25)*Calculateur!CG15*Calculateur!CI15*VLOOKUP('Données projet'!$B$12,Paramètres!$A$1:$I$89,3,0)*0.475*44/12</f>
        <v>#N/A</v>
      </c>
      <c r="CM15" s="21" t="e">
        <f>EXP(-LN(2)/2)*CM14+(1-EXP(-LN(2)/2))/(LN(2)/2)*CG15*CJ15*VLOOKUP('Données projet'!$B$12,Paramètres!$A$1:$I$89,3,0)*0.475*44/12</f>
        <v>#N/A</v>
      </c>
      <c r="CN15" s="22" t="e">
        <f t="shared" si="12"/>
        <v>#N/A</v>
      </c>
      <c r="CO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5">
      <c r="A16" s="10">
        <f t="shared" si="31"/>
        <v>13</v>
      </c>
      <c r="B16" s="72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1">
        <f t="shared" si="32"/>
        <v>0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66">
        <f t="shared" si="1"/>
        <v>256.66666666666669</v>
      </c>
      <c r="I16" s="6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3.6141025633333332</v>
      </c>
      <c r="N16" s="13">
        <f>IF('Données projet'!$A$36&gt;35,N15+M16-V15,IF(A16&lt;'Données projet'!$A$36,$K$205^A16,IF(A16='Données projet'!$A$36,'Données projet'!$B$36,N15+M16-V15)))</f>
        <v>7.6187913851659363</v>
      </c>
      <c r="O16" s="13">
        <f>N16*VLOOKUP('Données projet'!$B$9,Paramètres!$A$1:$I$89,3,0)*VLOOKUP('Données projet'!$B$9,Paramètres!$A$1:$I$89,5,0)</f>
        <v>6.8934824452981394</v>
      </c>
      <c r="P16" s="13">
        <f t="shared" si="33"/>
        <v>2.5374440631116602</v>
      </c>
      <c r="Q16" s="20">
        <f t="shared" si="2"/>
        <v>16.425530335480399</v>
      </c>
      <c r="R16" s="59">
        <f t="shared" si="0"/>
        <v>288.98108589103595</v>
      </c>
      <c r="S16" s="59">
        <f ca="1">AVERAGE(OFFSET($R$3,0,0,'Données projet'!$E$9+1,1))-AVERAGE(OFFSET($H$3,0,0,'Données projet'!$E$9+1,1))</f>
        <v>700.22008319944644</v>
      </c>
      <c r="T16" s="59">
        <f t="shared" si="34"/>
        <v>253.69632671986739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3.6141025633333332</v>
      </c>
      <c r="AI16" s="13">
        <f>IF('Données projet'!$A$62&gt;35,AI15+AH16-AQ15,IF(A16&lt;'Données projet'!$A$62,$AF$205^A16,IF(A16='Données projet'!$A$62,'Données projet'!$B$62,AI15+AH16-AQ15)))</f>
        <v>7.6187913851659363</v>
      </c>
      <c r="AJ16" s="13">
        <f>AI16*VLOOKUP('Données projet'!$B$10,Paramètres!$A$1:$I$89,3,0)*VLOOKUP('Données projet'!$B$10,Paramètres!$A$1:$I$89,5,0)</f>
        <v>7.2500418821239041</v>
      </c>
      <c r="AK16" s="13">
        <f t="shared" si="35"/>
        <v>2.6530714386645617</v>
      </c>
      <c r="AL16" s="20">
        <f t="shared" si="4"/>
        <v>17.247922367039909</v>
      </c>
      <c r="AM16" s="59">
        <f t="shared" si="5"/>
        <v>289.80347792259545</v>
      </c>
      <c r="AN16" s="59">
        <f ca="1">AVERAGE(OFFSET($AM$3,0,0,'Données projet'!$E$10+1,1))-AVERAGE(OFFSET($H$3,0,0,'Données projet'!$E$10+1,1))</f>
        <v>733.95677909577444</v>
      </c>
      <c r="AO16" s="59">
        <f t="shared" si="36"/>
        <v>264.63778993239799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2">
        <f>VLOOKUP(A16,'Données projet'!$A$87:$I$107,2,0)</f>
        <v>89</v>
      </c>
      <c r="BB16" s="12">
        <f>VLOOKUP(A16,'Données projet'!$A$87:$I$107,9,0)</f>
        <v>17</v>
      </c>
      <c r="BC16" s="12">
        <f t="array" ref="BC16">INDEX(BB:BB,MIN(IF(ISNUMBER(BB16:BB212),ROW(BB16:BB212),"")))</f>
        <v>17</v>
      </c>
      <c r="BD16" s="12">
        <f>IF('Données projet'!$A$88&gt;35,BD15+BC16-BL15,IF(A16&lt;'Données projet'!$A$88,$BA$205^A16,IF(A16='Données projet'!$A$88,'Données projet'!$B$88,BD15+BC16-BL15)))</f>
        <v>89</v>
      </c>
      <c r="BE16" s="13">
        <f>BD16*VLOOKUP('Données projet'!$B$11,Paramètres!$A$1:$I$89,3,0)*VLOOKUP('Données projet'!$B$11,Paramètres!$A$1:$I$89,5,0)</f>
        <v>53.222000000000008</v>
      </c>
      <c r="BF16" s="13">
        <f t="shared" si="37"/>
        <v>15.442806897867877</v>
      </c>
      <c r="BG16" s="20">
        <f t="shared" si="7"/>
        <v>119.59120534711991</v>
      </c>
      <c r="BH16" s="59">
        <f t="shared" si="8"/>
        <v>392.14676090267545</v>
      </c>
      <c r="BI16" s="59">
        <f ca="1">AVERAGE(OFFSET($BH$3,0,0,'Données projet'!$E$11+1,1))-AVERAGE(OFFSET($H$3,0,0,'Données projet'!$E$11+1,1))</f>
        <v>187.80389738728508</v>
      </c>
      <c r="BJ16" s="59">
        <f t="shared" si="38"/>
        <v>439.28159165815265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16.277984942160291</v>
      </c>
      <c r="BS16" s="22">
        <f t="shared" si="9"/>
        <v>16.277984942160291</v>
      </c>
      <c r="BT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0</v>
      </c>
      <c r="BY16" s="12">
        <f>IF('Données projet'!$A$114&gt;35,BY15+BX16-CG15,IF(A16&lt;'Données projet'!$A$114,$BV$205^A16,IF(A16='Données projet'!$A$114,'Données projet'!$B$114,BY15+BX16-CG15)))</f>
        <v>0</v>
      </c>
      <c r="BZ16" s="13" t="e">
        <f>BY16*VLOOKUP('Données projet'!$B$12,Paramètres!$A$1:$I$89,3,0)*VLOOKUP('Données projet'!$B$12,Paramètres!$A$1:$I$89,5,0)</f>
        <v>#N/A</v>
      </c>
      <c r="CA16" s="13" t="e">
        <f t="shared" si="39"/>
        <v>#N/A</v>
      </c>
      <c r="CB16" s="20" t="e">
        <f t="shared" si="10"/>
        <v>#N/A</v>
      </c>
      <c r="CC16" s="59" t="e">
        <f t="shared" si="11"/>
        <v>#N/A</v>
      </c>
      <c r="CD16" s="59" t="e">
        <f ca="1">AVERAGE(OFFSET($CC$3,0,0,'Données projet'!$E$12+1,1))-AVERAGE(OFFSET($H$3,0,0,'Données projet'!$E$12+1,1))</f>
        <v>#N/A</v>
      </c>
      <c r="CE16" s="59" t="e">
        <f t="shared" si="40"/>
        <v>#N/A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 t="e">
        <f>EXP(-LN(2)/35)*CK15+(1-EXP(-LN(2)/35))/(LN(2)/35)*CG16*CH16*VLOOKUP('Données projet'!$B$12,Paramètres!$A$1:$I$89,3,0)*0.475*44/12</f>
        <v>#N/A</v>
      </c>
      <c r="CL16" s="21" t="e">
        <f>EXP(-LN(2)/25)*CL15+(1-EXP(-LN(2)/25))/(LN(2)/25)*Calculateur!CG16*Calculateur!CI16*VLOOKUP('Données projet'!$B$12,Paramètres!$A$1:$I$89,3,0)*0.475*44/12</f>
        <v>#N/A</v>
      </c>
      <c r="CM16" s="21" t="e">
        <f>EXP(-LN(2)/2)*CM15+(1-EXP(-LN(2)/2))/(LN(2)/2)*CG16*CJ16*VLOOKUP('Données projet'!$B$12,Paramètres!$A$1:$I$89,3,0)*0.475*44/12</f>
        <v>#N/A</v>
      </c>
      <c r="CN16" s="22" t="e">
        <f t="shared" si="12"/>
        <v>#N/A</v>
      </c>
      <c r="CO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5">
      <c r="A17" s="10">
        <f t="shared" si="31"/>
        <v>14</v>
      </c>
      <c r="B17" s="72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1">
        <f t="shared" si="32"/>
        <v>0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66">
        <f t="shared" si="1"/>
        <v>256.66666666666669</v>
      </c>
      <c r="I17" s="6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3.6141025633333332</v>
      </c>
      <c r="N17" s="13">
        <f>IF('Données projet'!$A$36&gt;35,N16+M17-V16,IF(A17&lt;'Données projet'!$A$36,$K$205^A17,IF(A17='Données projet'!$A$36,'Données projet'!$B$36,N16+M17-V16)))</f>
        <v>8.9068363522497265</v>
      </c>
      <c r="O17" s="13">
        <f>N17*VLOOKUP('Données projet'!$B$9,Paramètres!$A$1:$I$89,3,0)*VLOOKUP('Données projet'!$B$9,Paramètres!$A$1:$I$89,5,0)</f>
        <v>8.0589055315155527</v>
      </c>
      <c r="P17" s="13">
        <f t="shared" si="33"/>
        <v>2.9129806235240516</v>
      </c>
      <c r="Q17" s="20">
        <f t="shared" si="2"/>
        <v>19.109368386693976</v>
      </c>
      <c r="R17" s="59">
        <f t="shared" si="0"/>
        <v>292.88714616447174</v>
      </c>
      <c r="S17" s="59">
        <f ca="1">AVERAGE(OFFSET($R$3,0,0,'Données projet'!$E$9+1,1))-AVERAGE(OFFSET($H$3,0,0,'Données projet'!$E$9+1,1))</f>
        <v>700.22008319944644</v>
      </c>
      <c r="T17" s="59">
        <f t="shared" si="34"/>
        <v>253.69632671986739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3.6141025633333332</v>
      </c>
      <c r="AI17" s="13">
        <f>IF('Données projet'!$A$62&gt;35,AI16+AH17-AQ16,IF(A17&lt;'Données projet'!$A$62,$AF$205^A17,IF(A17='Données projet'!$A$62,'Données projet'!$B$62,AI16+AH17-AQ16)))</f>
        <v>8.9068363522497265</v>
      </c>
      <c r="AJ17" s="13">
        <f>AI17*VLOOKUP('Données projet'!$B$10,Paramètres!$A$1:$I$89,3,0)*VLOOKUP('Données projet'!$B$10,Paramètres!$A$1:$I$89,5,0)</f>
        <v>8.4757454728008401</v>
      </c>
      <c r="AK17" s="13">
        <f t="shared" si="35"/>
        <v>3.0457206154833236</v>
      </c>
      <c r="AL17" s="20">
        <f t="shared" si="4"/>
        <v>20.066553437094921</v>
      </c>
      <c r="AM17" s="59">
        <f t="shared" si="5"/>
        <v>293.84433121487268</v>
      </c>
      <c r="AN17" s="59">
        <f ca="1">AVERAGE(OFFSET($AM$3,0,0,'Données projet'!$E$10+1,1))-AVERAGE(OFFSET($H$3,0,0,'Données projet'!$E$10+1,1))</f>
        <v>733.95677909577444</v>
      </c>
      <c r="AO17" s="59">
        <f t="shared" si="36"/>
        <v>264.63778993239799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2">
        <f>VLOOKUP(A17,'Données projet'!$A$87:$I$107,2,0)</f>
        <v>110</v>
      </c>
      <c r="BB17" s="12">
        <f>VLOOKUP(A17,'Données projet'!$A$87:$I$107,9,0)</f>
        <v>21</v>
      </c>
      <c r="BC17" s="12">
        <f t="array" ref="BC17">INDEX(BB:BB,MIN(IF(ISNUMBER(BB17:BB213),ROW(BB17:BB213),"")))</f>
        <v>21</v>
      </c>
      <c r="BD17" s="12">
        <f>IF('Données projet'!$A$88&gt;35,BD16+BC17-BL16,IF(A17&lt;'Données projet'!$A$88,$BA$205^A17,IF(A17='Données projet'!$A$88,'Données projet'!$B$88,BD16+BC17-BL16)))</f>
        <v>110</v>
      </c>
      <c r="BE17" s="13">
        <f>BD17*VLOOKUP('Données projet'!$B$11,Paramètres!$A$1:$I$89,3,0)*VLOOKUP('Données projet'!$B$11,Paramètres!$A$1:$I$89,5,0)</f>
        <v>65.78</v>
      </c>
      <c r="BF17" s="13">
        <f t="shared" si="37"/>
        <v>18.621720661480644</v>
      </c>
      <c r="BG17" s="20">
        <f t="shared" si="7"/>
        <v>146.99966348541213</v>
      </c>
      <c r="BH17" s="59">
        <f t="shared" si="8"/>
        <v>420.77744126318987</v>
      </c>
      <c r="BI17" s="59">
        <f ca="1">AVERAGE(OFFSET($BH$3,0,0,'Données projet'!$E$11+1,1))-AVERAGE(OFFSET($H$3,0,0,'Données projet'!$E$11+1,1))</f>
        <v>187.80389738728508</v>
      </c>
      <c r="BJ17" s="59">
        <f t="shared" si="38"/>
        <v>439.28159165815265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11.510273536654053</v>
      </c>
      <c r="BS17" s="22">
        <f t="shared" si="9"/>
        <v>11.510273536654053</v>
      </c>
      <c r="BT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0</v>
      </c>
      <c r="BY17" s="12">
        <f>IF('Données projet'!$A$114&gt;35,BY16+BX17-CG16,IF(A17&lt;'Données projet'!$A$114,$BV$205^A17,IF(A17='Données projet'!$A$114,'Données projet'!$B$114,BY16+BX17-CG16)))</f>
        <v>0</v>
      </c>
      <c r="BZ17" s="13" t="e">
        <f>BY17*VLOOKUP('Données projet'!$B$12,Paramètres!$A$1:$I$89,3,0)*VLOOKUP('Données projet'!$B$12,Paramètres!$A$1:$I$89,5,0)</f>
        <v>#N/A</v>
      </c>
      <c r="CA17" s="13" t="e">
        <f t="shared" si="39"/>
        <v>#N/A</v>
      </c>
      <c r="CB17" s="20" t="e">
        <f t="shared" si="10"/>
        <v>#N/A</v>
      </c>
      <c r="CC17" s="59" t="e">
        <f t="shared" si="11"/>
        <v>#N/A</v>
      </c>
      <c r="CD17" s="59" t="e">
        <f ca="1">AVERAGE(OFFSET($CC$3,0,0,'Données projet'!$E$12+1,1))-AVERAGE(OFFSET($H$3,0,0,'Données projet'!$E$12+1,1))</f>
        <v>#N/A</v>
      </c>
      <c r="CE17" s="59" t="e">
        <f t="shared" si="40"/>
        <v>#N/A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 t="e">
        <f>EXP(-LN(2)/35)*CK16+(1-EXP(-LN(2)/35))/(LN(2)/35)*CG17*CH17*VLOOKUP('Données projet'!$B$12,Paramètres!$A$1:$I$89,3,0)*0.475*44/12</f>
        <v>#N/A</v>
      </c>
      <c r="CL17" s="21" t="e">
        <f>EXP(-LN(2)/25)*CL16+(1-EXP(-LN(2)/25))/(LN(2)/25)*Calculateur!CG17*Calculateur!CI17*VLOOKUP('Données projet'!$B$12,Paramètres!$A$1:$I$89,3,0)*0.475*44/12</f>
        <v>#N/A</v>
      </c>
      <c r="CM17" s="21" t="e">
        <f>EXP(-LN(2)/2)*CM16+(1-EXP(-LN(2)/2))/(LN(2)/2)*CG17*CJ17*VLOOKUP('Données projet'!$B$12,Paramètres!$A$1:$I$89,3,0)*0.475*44/12</f>
        <v>#N/A</v>
      </c>
      <c r="CN17" s="22" t="e">
        <f t="shared" si="12"/>
        <v>#N/A</v>
      </c>
      <c r="CO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5">
      <c r="A18" s="10">
        <f t="shared" si="31"/>
        <v>15</v>
      </c>
      <c r="B18" s="72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1">
        <f t="shared" si="32"/>
        <v>0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66">
        <f t="shared" si="1"/>
        <v>256.66666666666669</v>
      </c>
      <c r="I18" s="6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3.6141025633333332</v>
      </c>
      <c r="N18" s="13">
        <f>IF('Données projet'!$A$36&gt;35,N17+M18-V17,IF(A18&lt;'Données projet'!$A$36,$K$205^A18,IF(A18='Données projet'!$A$36,'Données projet'!$B$36,N17+M18-V17)))</f>
        <v>10.412640246354426</v>
      </c>
      <c r="O18" s="13">
        <f>N18*VLOOKUP('Données projet'!$B$9,Paramètres!$A$1:$I$89,3,0)*VLOOKUP('Données projet'!$B$9,Paramètres!$A$1:$I$89,5,0)</f>
        <v>9.4213568949014839</v>
      </c>
      <c r="P18" s="13">
        <f t="shared" si="33"/>
        <v>3.3440958310706095</v>
      </c>
      <c r="Q18" s="20">
        <f t="shared" si="2"/>
        <v>22.233163497734726</v>
      </c>
      <c r="R18" s="59">
        <f t="shared" si="0"/>
        <v>297.23316349773472</v>
      </c>
      <c r="S18" s="59">
        <f ca="1">AVERAGE(OFFSET($R$3,0,0,'Données projet'!$E$9+1,1))-AVERAGE(OFFSET($H$3,0,0,'Données projet'!$E$9+1,1))</f>
        <v>700.22008319944644</v>
      </c>
      <c r="T18" s="59">
        <f t="shared" si="34"/>
        <v>253.69632671986739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3.6141025633333332</v>
      </c>
      <c r="AI18" s="13">
        <f>IF('Données projet'!$A$62&gt;35,AI17+AH18-AQ17,IF(A18&lt;'Données projet'!$A$62,$AF$205^A18,IF(A18='Données projet'!$A$62,'Données projet'!$B$62,AI17+AH18-AQ17)))</f>
        <v>10.412640246354426</v>
      </c>
      <c r="AJ18" s="13">
        <f>AI18*VLOOKUP('Données projet'!$B$10,Paramètres!$A$1:$I$89,3,0)*VLOOKUP('Données projet'!$B$10,Paramètres!$A$1:$I$89,5,0)</f>
        <v>9.9086684584308724</v>
      </c>
      <c r="AK18" s="13">
        <f t="shared" si="35"/>
        <v>3.4964810718589039</v>
      </c>
      <c r="AL18" s="20">
        <f t="shared" si="4"/>
        <v>23.347302098588028</v>
      </c>
      <c r="AM18" s="59">
        <f t="shared" si="5"/>
        <v>298.34730209858805</v>
      </c>
      <c r="AN18" s="59">
        <f ca="1">AVERAGE(OFFSET($AM$3,0,0,'Données projet'!$E$10+1,1))-AVERAGE(OFFSET($H$3,0,0,'Données projet'!$E$10+1,1))</f>
        <v>733.95677909577444</v>
      </c>
      <c r="AO18" s="59">
        <f t="shared" si="36"/>
        <v>264.63778993239799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2">
        <f>VLOOKUP(A18,'Données projet'!$A$87:$I$107,2,0)</f>
        <v>131</v>
      </c>
      <c r="BB18" s="12">
        <f>VLOOKUP(A18,'Données projet'!$A$87:$I$107,9,0)</f>
        <v>21</v>
      </c>
      <c r="BC18" s="12">
        <f t="array" ref="BC18">INDEX(BB:BB,MIN(IF(ISNUMBER(BB18:BB214),ROW(BB18:BB214),"")))</f>
        <v>21</v>
      </c>
      <c r="BD18" s="12">
        <f>IF('Données projet'!$A$88&gt;35,BD17+BC18-BL17,IF(A18&lt;'Données projet'!$A$88,$BA$205^A18,IF(A18='Données projet'!$A$88,'Données projet'!$B$88,BD17+BC18-BL17)))</f>
        <v>131</v>
      </c>
      <c r="BE18" s="13">
        <f>BD18*VLOOKUP('Données projet'!$B$11,Paramètres!$A$1:$I$89,3,0)*VLOOKUP('Données projet'!$B$11,Paramètres!$A$1:$I$89,5,0)</f>
        <v>78.338000000000008</v>
      </c>
      <c r="BF18" s="13">
        <f t="shared" si="37"/>
        <v>21.730321306378922</v>
      </c>
      <c r="BG18" s="20">
        <f t="shared" si="7"/>
        <v>174.28565960860999</v>
      </c>
      <c r="BH18" s="59">
        <f t="shared" si="8"/>
        <v>449.28565960860999</v>
      </c>
      <c r="BI18" s="59">
        <f ca="1">AVERAGE(OFFSET($BH$3,0,0,'Données projet'!$E$11+1,1))-AVERAGE(OFFSET($H$3,0,0,'Données projet'!$E$11+1,1))</f>
        <v>187.80389738728508</v>
      </c>
      <c r="BJ18" s="59">
        <f t="shared" si="38"/>
        <v>439.28159165815265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8.1389924710801456</v>
      </c>
      <c r="BS18" s="22">
        <f t="shared" si="9"/>
        <v>8.1389924710801456</v>
      </c>
      <c r="BT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0</v>
      </c>
      <c r="BY18" s="12">
        <f>IF('Données projet'!$A$114&gt;35,BY17+BX18-CG17,IF(A18&lt;'Données projet'!$A$114,$BV$205^A18,IF(A18='Données projet'!$A$114,'Données projet'!$B$114,BY17+BX18-CG17)))</f>
        <v>0</v>
      </c>
      <c r="BZ18" s="13" t="e">
        <f>BY18*VLOOKUP('Données projet'!$B$12,Paramètres!$A$1:$I$89,3,0)*VLOOKUP('Données projet'!$B$12,Paramètres!$A$1:$I$89,5,0)</f>
        <v>#N/A</v>
      </c>
      <c r="CA18" s="13" t="e">
        <f t="shared" si="39"/>
        <v>#N/A</v>
      </c>
      <c r="CB18" s="20" t="e">
        <f t="shared" si="10"/>
        <v>#N/A</v>
      </c>
      <c r="CC18" s="59" t="e">
        <f t="shared" si="11"/>
        <v>#N/A</v>
      </c>
      <c r="CD18" s="59" t="e">
        <f ca="1">AVERAGE(OFFSET($CC$3,0,0,'Données projet'!$E$12+1,1))-AVERAGE(OFFSET($H$3,0,0,'Données projet'!$E$12+1,1))</f>
        <v>#N/A</v>
      </c>
      <c r="CE18" s="59" t="e">
        <f t="shared" si="40"/>
        <v>#N/A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 t="e">
        <f>EXP(-LN(2)/35)*CK17+(1-EXP(-LN(2)/35))/(LN(2)/35)*CG18*CH18*VLOOKUP('Données projet'!$B$12,Paramètres!$A$1:$I$89,3,0)*0.475*44/12</f>
        <v>#N/A</v>
      </c>
      <c r="CL18" s="21" t="e">
        <f>EXP(-LN(2)/25)*CL17+(1-EXP(-LN(2)/25))/(LN(2)/25)*Calculateur!CG18*Calculateur!CI18*VLOOKUP('Données projet'!$B$12,Paramètres!$A$1:$I$89,3,0)*0.475*44/12</f>
        <v>#N/A</v>
      </c>
      <c r="CM18" s="21" t="e">
        <f>EXP(-LN(2)/2)*CM17+(1-EXP(-LN(2)/2))/(LN(2)/2)*CG18*CJ18*VLOOKUP('Données projet'!$B$12,Paramètres!$A$1:$I$89,3,0)*0.475*44/12</f>
        <v>#N/A</v>
      </c>
      <c r="CN18" s="22" t="e">
        <f t="shared" si="12"/>
        <v>#N/A</v>
      </c>
      <c r="CO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5">
      <c r="A19" s="10">
        <f t="shared" si="31"/>
        <v>16</v>
      </c>
      <c r="B19" s="72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1">
        <f t="shared" si="32"/>
        <v>0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66">
        <f t="shared" si="1"/>
        <v>256.66666666666669</v>
      </c>
      <c r="I19" s="6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3.6141025633333332</v>
      </c>
      <c r="N19" s="13">
        <f>IF('Données projet'!$A$36&gt;35,N18+M19-V18,IF(A19&lt;'Données projet'!$A$36,$K$205^A19,IF(A19='Données projet'!$A$36,'Données projet'!$B$36,N18+M19-V18)))</f>
        <v>12.173017737393817</v>
      </c>
      <c r="O19" s="13">
        <f>N19*VLOOKUP('Données projet'!$B$9,Paramètres!$A$1:$I$89,3,0)*VLOOKUP('Données projet'!$B$9,Paramètres!$A$1:$I$89,5,0)</f>
        <v>11.014146448793925</v>
      </c>
      <c r="P19" s="13">
        <f t="shared" si="33"/>
        <v>3.8390152124853296</v>
      </c>
      <c r="Q19" s="20">
        <f t="shared" si="2"/>
        <v>25.86925656006137</v>
      </c>
      <c r="R19" s="59">
        <f t="shared" si="0"/>
        <v>302.09147878228362</v>
      </c>
      <c r="S19" s="59">
        <f ca="1">AVERAGE(OFFSET($R$3,0,0,'Données projet'!$E$9+1,1))-AVERAGE(OFFSET($H$3,0,0,'Données projet'!$E$9+1,1))</f>
        <v>700.22008319944644</v>
      </c>
      <c r="T19" s="59">
        <f t="shared" si="34"/>
        <v>253.69632671986739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3.6141025633333332</v>
      </c>
      <c r="AI19" s="13">
        <f>IF('Données projet'!$A$62&gt;35,AI18+AH19-AQ18,IF(A19&lt;'Données projet'!$A$62,$AF$205^A19,IF(A19='Données projet'!$A$62,'Données projet'!$B$62,AI18+AH19-AQ18)))</f>
        <v>12.173017737393817</v>
      </c>
      <c r="AJ19" s="13">
        <f>AI19*VLOOKUP('Données projet'!$B$10,Paramètres!$A$1:$I$89,3,0)*VLOOKUP('Données projet'!$B$10,Paramètres!$A$1:$I$89,5,0)</f>
        <v>11.583843678903957</v>
      </c>
      <c r="AK19" s="13">
        <f t="shared" si="35"/>
        <v>4.0139531589727078</v>
      </c>
      <c r="AL19" s="20">
        <f t="shared" si="4"/>
        <v>27.166162825968524</v>
      </c>
      <c r="AM19" s="59">
        <f t="shared" si="5"/>
        <v>303.38838504819074</v>
      </c>
      <c r="AN19" s="59">
        <f ca="1">AVERAGE(OFFSET($AM$3,0,0,'Données projet'!$E$10+1,1))-AVERAGE(OFFSET($H$3,0,0,'Données projet'!$E$10+1,1))</f>
        <v>733.95677909577444</v>
      </c>
      <c r="AO19" s="59">
        <f t="shared" si="36"/>
        <v>264.63778993239799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2">
        <f>VLOOKUP(A19,'Données projet'!$A$87:$I$107,2,0)</f>
        <v>153</v>
      </c>
      <c r="BB19" s="12">
        <f>VLOOKUP(A19,'Données projet'!$A$87:$I$107,9,0)</f>
        <v>22</v>
      </c>
      <c r="BC19" s="12">
        <f t="array" ref="BC19">INDEX(BB:BB,MIN(IF(ISNUMBER(BB19:BB215),ROW(BB19:BB215),"")))</f>
        <v>22</v>
      </c>
      <c r="BD19" s="12">
        <f>IF('Données projet'!$A$88&gt;35,BD18+BC19-BL18,IF(A19&lt;'Données projet'!$A$88,$BA$205^A19,IF(A19='Données projet'!$A$88,'Données projet'!$B$88,BD18+BC19-BL18)))</f>
        <v>153</v>
      </c>
      <c r="BE19" s="13">
        <f>BD19*VLOOKUP('Données projet'!$B$11,Paramètres!$A$1:$I$89,3,0)*VLOOKUP('Données projet'!$B$11,Paramètres!$A$1:$I$89,5,0)</f>
        <v>91.494000000000014</v>
      </c>
      <c r="BF19" s="13">
        <f t="shared" si="37"/>
        <v>24.925195840896542</v>
      </c>
      <c r="BG19" s="20">
        <f t="shared" si="7"/>
        <v>202.76343275622813</v>
      </c>
      <c r="BH19" s="59">
        <f t="shared" si="8"/>
        <v>478.98565497845038</v>
      </c>
      <c r="BI19" s="59">
        <f ca="1">AVERAGE(OFFSET($BH$3,0,0,'Données projet'!$E$11+1,1))-AVERAGE(OFFSET($H$3,0,0,'Données projet'!$E$11+1,1))</f>
        <v>187.80389738728508</v>
      </c>
      <c r="BJ19" s="59">
        <f t="shared" si="38"/>
        <v>439.28159165815265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5.7551367683270263</v>
      </c>
      <c r="BS19" s="22">
        <f t="shared" si="9"/>
        <v>5.7551367683270263</v>
      </c>
      <c r="BT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0</v>
      </c>
      <c r="BY19" s="12">
        <f>IF('Données projet'!$A$114&gt;35,BY18+BX19-CG18,IF(A19&lt;'Données projet'!$A$114,$BV$205^A19,IF(A19='Données projet'!$A$114,'Données projet'!$B$114,BY18+BX19-CG18)))</f>
        <v>0</v>
      </c>
      <c r="BZ19" s="13" t="e">
        <f>BY19*VLOOKUP('Données projet'!$B$12,Paramètres!$A$1:$I$89,3,0)*VLOOKUP('Données projet'!$B$12,Paramètres!$A$1:$I$89,5,0)</f>
        <v>#N/A</v>
      </c>
      <c r="CA19" s="13" t="e">
        <f t="shared" si="39"/>
        <v>#N/A</v>
      </c>
      <c r="CB19" s="20" t="e">
        <f t="shared" si="10"/>
        <v>#N/A</v>
      </c>
      <c r="CC19" s="59" t="e">
        <f t="shared" si="11"/>
        <v>#N/A</v>
      </c>
      <c r="CD19" s="59" t="e">
        <f ca="1">AVERAGE(OFFSET($CC$3,0,0,'Données projet'!$E$12+1,1))-AVERAGE(OFFSET($H$3,0,0,'Données projet'!$E$12+1,1))</f>
        <v>#N/A</v>
      </c>
      <c r="CE19" s="59" t="e">
        <f t="shared" si="40"/>
        <v>#N/A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 t="e">
        <f>EXP(-LN(2)/35)*CK18+(1-EXP(-LN(2)/35))/(LN(2)/35)*CG19*CH19*VLOOKUP('Données projet'!$B$12,Paramètres!$A$1:$I$89,3,0)*0.475*44/12</f>
        <v>#N/A</v>
      </c>
      <c r="CL19" s="21" t="e">
        <f>EXP(-LN(2)/25)*CL18+(1-EXP(-LN(2)/25))/(LN(2)/25)*Calculateur!CG19*Calculateur!CI19*VLOOKUP('Données projet'!$B$12,Paramètres!$A$1:$I$89,3,0)*0.475*44/12</f>
        <v>#N/A</v>
      </c>
      <c r="CM19" s="21" t="e">
        <f>EXP(-LN(2)/2)*CM18+(1-EXP(-LN(2)/2))/(LN(2)/2)*CG19*CJ19*VLOOKUP('Données projet'!$B$12,Paramètres!$A$1:$I$89,3,0)*0.475*44/12</f>
        <v>#N/A</v>
      </c>
      <c r="CN19" s="22" t="e">
        <f t="shared" si="12"/>
        <v>#N/A</v>
      </c>
      <c r="CO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5">
      <c r="A20" s="10">
        <f t="shared" si="31"/>
        <v>17</v>
      </c>
      <c r="B20" s="72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1">
        <f t="shared" si="32"/>
        <v>0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66">
        <f t="shared" si="1"/>
        <v>256.66666666666669</v>
      </c>
      <c r="I20" s="6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3.6141025633333332</v>
      </c>
      <c r="N20" s="13">
        <f>IF('Données projet'!$A$36&gt;35,N19+M20-V19,IF(A20&lt;'Données projet'!$A$36,$K$205^A20,IF(A20='Données projet'!$A$36,'Données projet'!$B$36,N19+M20-V19)))</f>
        <v>14.231007441823861</v>
      </c>
      <c r="O20" s="13">
        <f>N20*VLOOKUP('Données projet'!$B$9,Paramètres!$A$1:$I$89,3,0)*VLOOKUP('Données projet'!$B$9,Paramètres!$A$1:$I$89,5,0)</f>
        <v>12.876215533362229</v>
      </c>
      <c r="P20" s="13">
        <f t="shared" si="33"/>
        <v>4.4071816557288699</v>
      </c>
      <c r="Q20" s="20">
        <f t="shared" si="2"/>
        <v>30.101916771000322</v>
      </c>
      <c r="R20" s="59">
        <f t="shared" si="0"/>
        <v>307.54636121544479</v>
      </c>
      <c r="S20" s="59">
        <f ca="1">AVERAGE(OFFSET($R$3,0,0,'Données projet'!$E$9+1,1))-AVERAGE(OFFSET($H$3,0,0,'Données projet'!$E$9+1,1))</f>
        <v>700.22008319944644</v>
      </c>
      <c r="T20" s="59">
        <f t="shared" si="34"/>
        <v>253.69632671986739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3.6141025633333332</v>
      </c>
      <c r="AI20" s="13">
        <f>IF('Données projet'!$A$62&gt;35,AI19+AH20-AQ19,IF(A20&lt;'Données projet'!$A$62,$AF$205^A20,IF(A20='Données projet'!$A$62,'Données projet'!$B$62,AI19+AH20-AQ19)))</f>
        <v>14.231007441823861</v>
      </c>
      <c r="AJ20" s="13">
        <f>AI20*VLOOKUP('Données projet'!$B$10,Paramètres!$A$1:$I$89,3,0)*VLOOKUP('Données projet'!$B$10,Paramètres!$A$1:$I$89,5,0)</f>
        <v>13.542226681639587</v>
      </c>
      <c r="AK20" s="13">
        <f t="shared" si="35"/>
        <v>4.6080100624886668</v>
      </c>
      <c r="AL20" s="20">
        <f t="shared" si="4"/>
        <v>31.611662329356705</v>
      </c>
      <c r="AM20" s="59">
        <f t="shared" si="5"/>
        <v>309.05610677380116</v>
      </c>
      <c r="AN20" s="59">
        <f ca="1">AVERAGE(OFFSET($AM$3,0,0,'Données projet'!$E$10+1,1))-AVERAGE(OFFSET($H$3,0,0,'Données projet'!$E$10+1,1))</f>
        <v>733.95677909577444</v>
      </c>
      <c r="AO20" s="59">
        <f t="shared" si="36"/>
        <v>264.63778993239799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2">
        <f>VLOOKUP(A20,'Données projet'!$A$87:$I$107,2,0)</f>
        <v>176</v>
      </c>
      <c r="BB20" s="12">
        <f>VLOOKUP(A20,'Données projet'!$A$87:$I$107,9,0)</f>
        <v>23</v>
      </c>
      <c r="BC20" s="12">
        <f t="array" ref="BC20">INDEX(BB:BB,MIN(IF(ISNUMBER(BB20:BB216),ROW(BB20:BB216),"")))</f>
        <v>23</v>
      </c>
      <c r="BD20" s="12">
        <f>IF('Données projet'!$A$88&gt;35,BD19+BC20-BL19,IF(A20&lt;'Données projet'!$A$88,$BA$205^A20,IF(A20='Données projet'!$A$88,'Données projet'!$B$88,BD19+BC20-BL19)))</f>
        <v>176</v>
      </c>
      <c r="BE20" s="13">
        <f>BD20*VLOOKUP('Données projet'!$B$11,Paramètres!$A$1:$I$89,3,0)*VLOOKUP('Données projet'!$B$11,Paramètres!$A$1:$I$89,5,0)</f>
        <v>105.24800000000002</v>
      </c>
      <c r="BF20" s="13">
        <f t="shared" si="37"/>
        <v>28.208515027560551</v>
      </c>
      <c r="BG20" s="20">
        <f t="shared" si="7"/>
        <v>232.43676367300131</v>
      </c>
      <c r="BH20" s="59">
        <f t="shared" si="8"/>
        <v>509.88120811744579</v>
      </c>
      <c r="BI20" s="59">
        <f ca="1">AVERAGE(OFFSET($BH$3,0,0,'Données projet'!$E$11+1,1))-AVERAGE(OFFSET($H$3,0,0,'Données projet'!$E$11+1,1))</f>
        <v>187.80389738728508</v>
      </c>
      <c r="BJ20" s="59">
        <f t="shared" si="38"/>
        <v>439.28159165815265</v>
      </c>
      <c r="BK20" s="15">
        <f>IF(ISNA(VLOOKUP(A20,'Données projet'!$A$87:$I$107,3,0)),0,VLOOKUP(A20,'Données projet'!$A$87:$I$107,3,0))</f>
        <v>2</v>
      </c>
      <c r="BL20" s="15">
        <f>IF(ISNA(VLOOKUP(A20,'Données projet'!$A$87:$I$107,4,0)),0,VLOOKUP(A20,'Données projet'!$A$87:$I$107,4,0))</f>
        <v>43</v>
      </c>
      <c r="BM20" s="16">
        <f>IF(ISNA(VLOOKUP(A20,'Données projet'!$A$87:$I$107,5,0)),0%,VLOOKUP(A20,'Données projet'!$A$87:$I$107,5,0)*VLOOKUP('Données projet'!$B$11,Paramètres!$A$1:$I$89,7,0))</f>
        <v>0.1125</v>
      </c>
      <c r="BN20" s="16">
        <f>IF(ISNA(VLOOKUP(A20,'Données projet'!$A$87:$I$107,6,0)),0%,VLOOKUP(A20,'Données projet'!$A$87:$I$107,6,0)*VLOOKUP('Données projet'!$B$11,Paramètres!$A$1:$I$89,7,0))</f>
        <v>0.33750000000000002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3.837518820806888</v>
      </c>
      <c r="BQ20" s="21">
        <f>EXP(-LN(2)/25)*BQ19+(1-EXP(-LN(2)/25))/(LN(2)/25)*Calculateur!BL20*Calculateur!BN20*VLOOKUP('Données projet'!$B$11,Paramètres!$A$1:$I$89,3,0)*0.475*44/12</f>
        <v>11.467227141000196</v>
      </c>
      <c r="BR20" s="21">
        <f>EXP(-LN(2)/2)*BR19+(1-EXP(-LN(2)/2))/(LN(2)/2)*BL20*BO20*VLOOKUP('Données projet'!$B$11,Paramètres!$A$1:$I$89,3,0)*0.475*44/12</f>
        <v>4.0694962355400728</v>
      </c>
      <c r="BS20" s="22">
        <f t="shared" si="9"/>
        <v>19.374242197347158</v>
      </c>
      <c r="BT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0</v>
      </c>
      <c r="BY20" s="12">
        <f>IF('Données projet'!$A$114&gt;35,BY19+BX20-CG19,IF(A20&lt;'Données projet'!$A$114,$BV$205^A20,IF(A20='Données projet'!$A$114,'Données projet'!$B$114,BY19+BX20-CG19)))</f>
        <v>0</v>
      </c>
      <c r="BZ20" s="13" t="e">
        <f>BY20*VLOOKUP('Données projet'!$B$12,Paramètres!$A$1:$I$89,3,0)*VLOOKUP('Données projet'!$B$12,Paramètres!$A$1:$I$89,5,0)</f>
        <v>#N/A</v>
      </c>
      <c r="CA20" s="13" t="e">
        <f t="shared" si="39"/>
        <v>#N/A</v>
      </c>
      <c r="CB20" s="20" t="e">
        <f t="shared" si="10"/>
        <v>#N/A</v>
      </c>
      <c r="CC20" s="59" t="e">
        <f t="shared" si="11"/>
        <v>#N/A</v>
      </c>
      <c r="CD20" s="59" t="e">
        <f ca="1">AVERAGE(OFFSET($CC$3,0,0,'Données projet'!$E$12+1,1))-AVERAGE(OFFSET($H$3,0,0,'Données projet'!$E$12+1,1))</f>
        <v>#N/A</v>
      </c>
      <c r="CE20" s="59" t="e">
        <f t="shared" si="40"/>
        <v>#N/A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 t="e">
        <f>EXP(-LN(2)/35)*CK19+(1-EXP(-LN(2)/35))/(LN(2)/35)*CG20*CH20*VLOOKUP('Données projet'!$B$12,Paramètres!$A$1:$I$89,3,0)*0.475*44/12</f>
        <v>#N/A</v>
      </c>
      <c r="CL20" s="21" t="e">
        <f>EXP(-LN(2)/25)*CL19+(1-EXP(-LN(2)/25))/(LN(2)/25)*Calculateur!CG20*Calculateur!CI20*VLOOKUP('Données projet'!$B$12,Paramètres!$A$1:$I$89,3,0)*0.475*44/12</f>
        <v>#N/A</v>
      </c>
      <c r="CM20" s="21" t="e">
        <f>EXP(-LN(2)/2)*CM19+(1-EXP(-LN(2)/2))/(LN(2)/2)*CG20*CJ20*VLOOKUP('Données projet'!$B$12,Paramètres!$A$1:$I$89,3,0)*0.475*44/12</f>
        <v>#N/A</v>
      </c>
      <c r="CN20" s="22" t="e">
        <f t="shared" si="12"/>
        <v>#N/A</v>
      </c>
      <c r="CO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5">
      <c r="A21" s="10">
        <f t="shared" si="31"/>
        <v>18</v>
      </c>
      <c r="B21" s="72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1">
        <f t="shared" si="32"/>
        <v>0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66">
        <f t="shared" si="1"/>
        <v>256.66666666666669</v>
      </c>
      <c r="I21" s="6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3.6141025633333332</v>
      </c>
      <c r="N21" s="13">
        <f>IF('Données projet'!$A$36&gt;35,N20+M21-V20,IF(A21&lt;'Données projet'!$A$36,$K$205^A21,IF(A21='Données projet'!$A$36,'Données projet'!$B$36,N20+M21-V20)))</f>
        <v>16.636924152926191</v>
      </c>
      <c r="O21" s="13">
        <f>N21*VLOOKUP('Données projet'!$B$9,Paramètres!$A$1:$I$89,3,0)*VLOOKUP('Données projet'!$B$9,Paramètres!$A$1:$I$89,5,0)</f>
        <v>15.053088973567618</v>
      </c>
      <c r="P21" s="13">
        <f t="shared" si="33"/>
        <v>5.0594355769741002</v>
      </c>
      <c r="Q21" s="20">
        <f t="shared" si="2"/>
        <v>35.029313592193489</v>
      </c>
      <c r="R21" s="59">
        <f t="shared" si="0"/>
        <v>313.69598025886017</v>
      </c>
      <c r="S21" s="59">
        <f ca="1">AVERAGE(OFFSET($R$3,0,0,'Données projet'!$E$9+1,1))-AVERAGE(OFFSET($H$3,0,0,'Données projet'!$E$9+1,1))</f>
        <v>700.22008319944644</v>
      </c>
      <c r="T21" s="59">
        <f t="shared" si="34"/>
        <v>253.69632671986739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3.6141025633333332</v>
      </c>
      <c r="AI21" s="13">
        <f>IF('Données projet'!$A$62&gt;35,AI20+AH21-AQ20,IF(A21&lt;'Données projet'!$A$62,$AF$205^A21,IF(A21='Données projet'!$A$62,'Données projet'!$B$62,AI20+AH21-AQ20)))</f>
        <v>16.636924152926191</v>
      </c>
      <c r="AJ21" s="13">
        <f>AI21*VLOOKUP('Données projet'!$B$10,Paramètres!$A$1:$I$89,3,0)*VLOOKUP('Données projet'!$B$10,Paramètres!$A$1:$I$89,5,0)</f>
        <v>15.831697023924564</v>
      </c>
      <c r="AK21" s="13">
        <f t="shared" si="35"/>
        <v>5.2899861794678165</v>
      </c>
      <c r="AL21" s="20">
        <f t="shared" si="4"/>
        <v>36.786931579241731</v>
      </c>
      <c r="AM21" s="59">
        <f t="shared" si="5"/>
        <v>315.45359824590844</v>
      </c>
      <c r="AN21" s="59">
        <f ca="1">AVERAGE(OFFSET($AM$3,0,0,'Données projet'!$E$10+1,1))-AVERAGE(OFFSET($H$3,0,0,'Données projet'!$E$10+1,1))</f>
        <v>733.95677909577444</v>
      </c>
      <c r="AO21" s="59">
        <f t="shared" si="36"/>
        <v>264.63778993239799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2">
        <f>VLOOKUP(A21,'Données projet'!$A$87:$I$107,2,0)</f>
        <v>151</v>
      </c>
      <c r="BB21" s="12">
        <f>VLOOKUP(A21,'Données projet'!$A$87:$I$107,9,0)</f>
        <v>18</v>
      </c>
      <c r="BC21" s="12">
        <f t="array" ref="BC21">INDEX(BB:BB,MIN(IF(ISNUMBER(BB21:BB217),ROW(BB21:BB217),"")))</f>
        <v>18</v>
      </c>
      <c r="BD21" s="12">
        <f>IF('Données projet'!$A$88&gt;35,BD20+BC21-BL20,IF(A21&lt;'Données projet'!$A$88,$BA$205^A21,IF(A21='Données projet'!$A$88,'Données projet'!$B$88,BD20+BC21-BL20)))</f>
        <v>151</v>
      </c>
      <c r="BE21" s="13">
        <f>BD21*VLOOKUP('Données projet'!$B$11,Paramètres!$A$1:$I$89,3,0)*VLOOKUP('Données projet'!$B$11,Paramètres!$A$1:$I$89,5,0)</f>
        <v>90.298000000000016</v>
      </c>
      <c r="BF21" s="13">
        <f t="shared" si="37"/>
        <v>24.637081585210524</v>
      </c>
      <c r="BG21" s="20">
        <f t="shared" si="7"/>
        <v>200.17860042757502</v>
      </c>
      <c r="BH21" s="59">
        <f t="shared" si="8"/>
        <v>478.84526709424171</v>
      </c>
      <c r="BI21" s="59">
        <f ca="1">AVERAGE(OFFSET($BH$3,0,0,'Données projet'!$E$11+1,1))-AVERAGE(OFFSET($H$3,0,0,'Données projet'!$E$11+1,1))</f>
        <v>187.80389738728508</v>
      </c>
      <c r="BJ21" s="59">
        <f t="shared" si="38"/>
        <v>439.28159165815265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3.7622674173862252</v>
      </c>
      <c r="BQ21" s="21">
        <f>EXP(-LN(2)/25)*BQ20+(1-EXP(-LN(2)/25))/(LN(2)/25)*Calculateur!BL21*Calculateur!BN21*VLOOKUP('Données projet'!$B$11,Paramètres!$A$1:$I$89,3,0)*0.475*44/12</f>
        <v>11.153655211794279</v>
      </c>
      <c r="BR21" s="21">
        <f>EXP(-LN(2)/2)*BR20+(1-EXP(-LN(2)/2))/(LN(2)/2)*BL21*BO21*VLOOKUP('Données projet'!$B$11,Paramètres!$A$1:$I$89,3,0)*0.475*44/12</f>
        <v>2.8775683841635131</v>
      </c>
      <c r="BS21" s="22">
        <f t="shared" si="9"/>
        <v>17.793491013344017</v>
      </c>
      <c r="BT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0</v>
      </c>
      <c r="BY21" s="12">
        <f>IF('Données projet'!$A$114&gt;35,BY20+BX21-CG20,IF(A21&lt;'Données projet'!$A$114,$BV$205^A21,IF(A21='Données projet'!$A$114,'Données projet'!$B$114,BY20+BX21-CG20)))</f>
        <v>0</v>
      </c>
      <c r="BZ21" s="13" t="e">
        <f>BY21*VLOOKUP('Données projet'!$B$12,Paramètres!$A$1:$I$89,3,0)*VLOOKUP('Données projet'!$B$12,Paramètres!$A$1:$I$89,5,0)</f>
        <v>#N/A</v>
      </c>
      <c r="CA21" s="13" t="e">
        <f t="shared" si="39"/>
        <v>#N/A</v>
      </c>
      <c r="CB21" s="20" t="e">
        <f t="shared" si="10"/>
        <v>#N/A</v>
      </c>
      <c r="CC21" s="59" t="e">
        <f t="shared" si="11"/>
        <v>#N/A</v>
      </c>
      <c r="CD21" s="59" t="e">
        <f ca="1">AVERAGE(OFFSET($CC$3,0,0,'Données projet'!$E$12+1,1))-AVERAGE(OFFSET($H$3,0,0,'Données projet'!$E$12+1,1))</f>
        <v>#N/A</v>
      </c>
      <c r="CE21" s="59" t="e">
        <f t="shared" si="40"/>
        <v>#N/A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 t="e">
        <f>EXP(-LN(2)/35)*CK20+(1-EXP(-LN(2)/35))/(LN(2)/35)*CG21*CH21*VLOOKUP('Données projet'!$B$12,Paramètres!$A$1:$I$89,3,0)*0.475*44/12</f>
        <v>#N/A</v>
      </c>
      <c r="CL21" s="21" t="e">
        <f>EXP(-LN(2)/25)*CL20+(1-EXP(-LN(2)/25))/(LN(2)/25)*Calculateur!CG21*Calculateur!CI21*VLOOKUP('Données projet'!$B$12,Paramètres!$A$1:$I$89,3,0)*0.475*44/12</f>
        <v>#N/A</v>
      </c>
      <c r="CM21" s="21" t="e">
        <f>EXP(-LN(2)/2)*CM20+(1-EXP(-LN(2)/2))/(LN(2)/2)*CG21*CJ21*VLOOKUP('Données projet'!$B$12,Paramètres!$A$1:$I$89,3,0)*0.475*44/12</f>
        <v>#N/A</v>
      </c>
      <c r="CN21" s="22" t="e">
        <f t="shared" si="12"/>
        <v>#N/A</v>
      </c>
      <c r="CO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5">
      <c r="A22" s="10">
        <f t="shared" si="31"/>
        <v>19</v>
      </c>
      <c r="B22" s="72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1">
        <f t="shared" si="32"/>
        <v>0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66">
        <f t="shared" si="1"/>
        <v>256.66666666666669</v>
      </c>
      <c r="I22" s="6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3.6141025633333332</v>
      </c>
      <c r="N22" s="13">
        <f>IF('Données projet'!$A$36&gt;35,N21+M22-V21,IF(A22&lt;'Données projet'!$A$36,$K$205^A22,IF(A22='Données projet'!$A$36,'Données projet'!$B$36,N21+M22-V21)))</f>
        <v>19.449588962813831</v>
      </c>
      <c r="O22" s="13">
        <f>N22*VLOOKUP('Données projet'!$B$9,Paramètres!$A$1:$I$89,3,0)*VLOOKUP('Données projet'!$B$9,Paramètres!$A$1:$I$89,5,0)</f>
        <v>17.597988093553951</v>
      </c>
      <c r="P22" s="13">
        <f t="shared" si="33"/>
        <v>5.80822175193906</v>
      </c>
      <c r="Q22" s="20">
        <f t="shared" si="2"/>
        <v>40.765815480900322</v>
      </c>
      <c r="R22" s="59">
        <f t="shared" si="0"/>
        <v>320.65470436978916</v>
      </c>
      <c r="S22" s="59">
        <f ca="1">AVERAGE(OFFSET($R$3,0,0,'Données projet'!$E$9+1,1))-AVERAGE(OFFSET($H$3,0,0,'Données projet'!$E$9+1,1))</f>
        <v>700.22008319944644</v>
      </c>
      <c r="T22" s="59">
        <f t="shared" si="34"/>
        <v>253.69632671986739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3.6141025633333332</v>
      </c>
      <c r="AI22" s="13">
        <f>IF('Données projet'!$A$62&gt;35,AI21+AH22-AQ21,IF(A22&lt;'Données projet'!$A$62,$AF$205^A22,IF(A22='Données projet'!$A$62,'Données projet'!$B$62,AI21+AH22-AQ21)))</f>
        <v>19.449588962813831</v>
      </c>
      <c r="AJ22" s="13">
        <f>AI22*VLOOKUP('Données projet'!$B$10,Paramètres!$A$1:$I$89,3,0)*VLOOKUP('Données projet'!$B$10,Paramètres!$A$1:$I$89,5,0)</f>
        <v>18.508228857013641</v>
      </c>
      <c r="AK22" s="13">
        <f t="shared" si="35"/>
        <v>6.0728933746831011</v>
      </c>
      <c r="AL22" s="20">
        <f t="shared" si="4"/>
        <v>42.81212122020515</v>
      </c>
      <c r="AM22" s="59">
        <f t="shared" si="5"/>
        <v>322.701010109094</v>
      </c>
      <c r="AN22" s="59">
        <f ca="1">AVERAGE(OFFSET($AM$3,0,0,'Données projet'!$E$10+1,1))-AVERAGE(OFFSET($H$3,0,0,'Données projet'!$E$10+1,1))</f>
        <v>733.95677909577444</v>
      </c>
      <c r="AO22" s="59">
        <f t="shared" si="36"/>
        <v>264.63778993239799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2">
        <f>VLOOKUP(A22,'Données projet'!$A$87:$I$107,2,0)</f>
        <v>171</v>
      </c>
      <c r="BB22" s="12">
        <f>VLOOKUP(A22,'Données projet'!$A$87:$I$107,9,0)</f>
        <v>20</v>
      </c>
      <c r="BC22" s="12">
        <f t="array" ref="BC22">INDEX(BB:BB,MIN(IF(ISNUMBER(BB22:BB218),ROW(BB22:BB218),"")))</f>
        <v>20</v>
      </c>
      <c r="BD22" s="12">
        <f>IF('Données projet'!$A$88&gt;35,BD21+BC22-BL21,IF(A22&lt;'Données projet'!$A$88,$BA$205^A22,IF(A22='Données projet'!$A$88,'Données projet'!$B$88,BD21+BC22-BL21)))</f>
        <v>171</v>
      </c>
      <c r="BE22" s="13">
        <f>BD22*VLOOKUP('Données projet'!$B$11,Paramètres!$A$1:$I$89,3,0)*VLOOKUP('Données projet'!$B$11,Paramètres!$A$1:$I$89,5,0)</f>
        <v>102.258</v>
      </c>
      <c r="BF22" s="13">
        <f t="shared" si="37"/>
        <v>27.499233847895859</v>
      </c>
      <c r="BG22" s="20">
        <f t="shared" si="7"/>
        <v>225.99384895175194</v>
      </c>
      <c r="BH22" s="59">
        <f t="shared" si="8"/>
        <v>505.8827378406408</v>
      </c>
      <c r="BI22" s="59">
        <f ca="1">AVERAGE(OFFSET($BH$3,0,0,'Données projet'!$E$11+1,1))-AVERAGE(OFFSET($H$3,0,0,'Données projet'!$E$11+1,1))</f>
        <v>187.80389738728508</v>
      </c>
      <c r="BJ22" s="59">
        <f t="shared" si="38"/>
        <v>439.28159165815265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3.6884916480878176</v>
      </c>
      <c r="BQ22" s="21">
        <f>EXP(-LN(2)/25)*BQ21+(1-EXP(-LN(2)/25))/(LN(2)/25)*Calculateur!BL22*Calculateur!BN22*VLOOKUP('Données projet'!$B$11,Paramètres!$A$1:$I$89,3,0)*0.475*44/12</f>
        <v>10.848657923482529</v>
      </c>
      <c r="BR22" s="21">
        <f>EXP(-LN(2)/2)*BR21+(1-EXP(-LN(2)/2))/(LN(2)/2)*BL22*BO22*VLOOKUP('Données projet'!$B$11,Paramètres!$A$1:$I$89,3,0)*0.475*44/12</f>
        <v>2.0347481177700364</v>
      </c>
      <c r="BS22" s="22">
        <f t="shared" si="9"/>
        <v>16.571897689340382</v>
      </c>
      <c r="BT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0</v>
      </c>
      <c r="BY22" s="12">
        <f>IF('Données projet'!$A$114&gt;35,BY21+BX22-CG21,IF(A22&lt;'Données projet'!$A$114,$BV$205^A22,IF(A22='Données projet'!$A$114,'Données projet'!$B$114,BY21+BX22-CG21)))</f>
        <v>0</v>
      </c>
      <c r="BZ22" s="13" t="e">
        <f>BY22*VLOOKUP('Données projet'!$B$12,Paramètres!$A$1:$I$89,3,0)*VLOOKUP('Données projet'!$B$12,Paramètres!$A$1:$I$89,5,0)</f>
        <v>#N/A</v>
      </c>
      <c r="CA22" s="13" t="e">
        <f t="shared" si="39"/>
        <v>#N/A</v>
      </c>
      <c r="CB22" s="20" t="e">
        <f t="shared" si="10"/>
        <v>#N/A</v>
      </c>
      <c r="CC22" s="59" t="e">
        <f t="shared" si="11"/>
        <v>#N/A</v>
      </c>
      <c r="CD22" s="59" t="e">
        <f ca="1">AVERAGE(OFFSET($CC$3,0,0,'Données projet'!$E$12+1,1))-AVERAGE(OFFSET($H$3,0,0,'Données projet'!$E$12+1,1))</f>
        <v>#N/A</v>
      </c>
      <c r="CE22" s="59" t="e">
        <f t="shared" si="40"/>
        <v>#N/A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 t="e">
        <f>EXP(-LN(2)/35)*CK21+(1-EXP(-LN(2)/35))/(LN(2)/35)*CG22*CH22*VLOOKUP('Données projet'!$B$12,Paramètres!$A$1:$I$89,3,0)*0.475*44/12</f>
        <v>#N/A</v>
      </c>
      <c r="CL22" s="21" t="e">
        <f>EXP(-LN(2)/25)*CL21+(1-EXP(-LN(2)/25))/(LN(2)/25)*Calculateur!CG22*Calculateur!CI22*VLOOKUP('Données projet'!$B$12,Paramètres!$A$1:$I$89,3,0)*0.475*44/12</f>
        <v>#N/A</v>
      </c>
      <c r="CM22" s="21" t="e">
        <f>EXP(-LN(2)/2)*CM21+(1-EXP(-LN(2)/2))/(LN(2)/2)*CG22*CJ22*VLOOKUP('Données projet'!$B$12,Paramètres!$A$1:$I$89,3,0)*0.475*44/12</f>
        <v>#N/A</v>
      </c>
      <c r="CN22" s="22" t="e">
        <f t="shared" si="12"/>
        <v>#N/A</v>
      </c>
      <c r="CO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5">
      <c r="A23" s="10">
        <f t="shared" si="31"/>
        <v>20</v>
      </c>
      <c r="B23" s="72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1">
        <f t="shared" si="32"/>
        <v>0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66">
        <f t="shared" si="1"/>
        <v>256.66666666666669</v>
      </c>
      <c r="I23" s="6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2" t="e">
        <f>VLOOKUP(A23,'Données projet'!$A$35:$I$55,2,0)</f>
        <v>#N/A</v>
      </c>
      <c r="L23" s="12" t="e">
        <f>VLOOKUP(A23,'Données projet'!$A$35:$I$55,9,0)</f>
        <v>#N/A</v>
      </c>
      <c r="M23" s="12">
        <f t="array" ref="M23">INDEX(L:L,MIN(IF(ISNUMBER(L23:L219),ROW(L23:L219),"")))</f>
        <v>3.6141025633333332</v>
      </c>
      <c r="N23" s="13">
        <f>IF('Données projet'!$A$36&gt;35,N22+M23-V22,IF(A23&lt;'Données projet'!$A$36,$K$205^A23,IF(A23='Données projet'!$A$36,'Données projet'!$B$36,N22+M23-V22)))</f>
        <v>22.737767350816139</v>
      </c>
      <c r="O23" s="13">
        <f>N23*VLOOKUP('Données projet'!$B$9,Paramètres!$A$1:$I$89,3,0)*VLOOKUP('Données projet'!$B$9,Paramètres!$A$1:$I$89,5,0)</f>
        <v>20.573131899018442</v>
      </c>
      <c r="P23" s="13">
        <f t="shared" si="33"/>
        <v>6.6678267578365462</v>
      </c>
      <c r="Q23" s="20">
        <f t="shared" si="2"/>
        <v>47.444669660689108</v>
      </c>
      <c r="R23" s="59">
        <f t="shared" si="0"/>
        <v>328.55578077180024</v>
      </c>
      <c r="S23" s="59">
        <f ca="1">AVERAGE(OFFSET($R$3,0,0,'Données projet'!$E$9+1,1))-AVERAGE(OFFSET($H$3,0,0,'Données projet'!$E$9+1,1))</f>
        <v>700.22008319944644</v>
      </c>
      <c r="T23" s="59">
        <f t="shared" si="34"/>
        <v>253.69632671986739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0</v>
      </c>
      <c r="AB23" s="21">
        <f>EXP(-LN(2)/2)*AB22+(1-EXP(-LN(2)/2))/(LN(2)/2)*V23*Y23*VLOOKUP('Données projet'!$B$9,Paramètres!$A$1:$I$89,3,0)*0.475*44/12</f>
        <v>0</v>
      </c>
      <c r="AC23" s="22">
        <f t="shared" si="3"/>
        <v>0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2" t="e">
        <f>VLOOKUP(A23,'Données projet'!$A$61:$I$81,2,0)</f>
        <v>#N/A</v>
      </c>
      <c r="AG23" s="12" t="e">
        <f>VLOOKUP(A23,'Données projet'!$A$61:$I$81,9,0)</f>
        <v>#N/A</v>
      </c>
      <c r="AH23" s="12">
        <f t="array" ref="AH23">INDEX(AG:AG,MIN(IF(ISNUMBER(AG23:AG219),ROW(AG23:AG219),"")))</f>
        <v>3.6141025633333332</v>
      </c>
      <c r="AI23" s="13">
        <f>IF('Données projet'!$A$62&gt;35,AI22+AH23-AQ22,IF(A23&lt;'Données projet'!$A$62,$AF$205^A23,IF(A23='Données projet'!$A$62,'Données projet'!$B$62,AI22+AH23-AQ22)))</f>
        <v>22.737767350816139</v>
      </c>
      <c r="AJ23" s="13">
        <f>AI23*VLOOKUP('Données projet'!$B$10,Paramètres!$A$1:$I$89,3,0)*VLOOKUP('Données projet'!$B$10,Paramètres!$A$1:$I$89,5,0)</f>
        <v>21.637259411036638</v>
      </c>
      <c r="AK23" s="13">
        <f t="shared" si="35"/>
        <v>6.971669242428935</v>
      </c>
      <c r="AL23" s="20">
        <f t="shared" si="4"/>
        <v>49.82721740478587</v>
      </c>
      <c r="AM23" s="59">
        <f t="shared" si="5"/>
        <v>330.93832851589701</v>
      </c>
      <c r="AN23" s="59">
        <f ca="1">AVERAGE(OFFSET($AM$3,0,0,'Données projet'!$E$10+1,1))-AVERAGE(OFFSET($H$3,0,0,'Données projet'!$E$10+1,1))</f>
        <v>733.95677909577444</v>
      </c>
      <c r="AO23" s="59">
        <f t="shared" si="36"/>
        <v>264.63778993239799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0</v>
      </c>
      <c r="AY23" s="7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2">
        <f>VLOOKUP(A23,'Données projet'!$A$87:$I$107,2,0)</f>
        <v>192</v>
      </c>
      <c r="BB23" s="12">
        <f>VLOOKUP(A23,'Données projet'!$A$87:$I$107,9,0)</f>
        <v>21</v>
      </c>
      <c r="BC23" s="12">
        <f t="array" ref="BC23">INDEX(BB:BB,MIN(IF(ISNUMBER(BB23:BB219),ROW(BB23:BB219),"")))</f>
        <v>21</v>
      </c>
      <c r="BD23" s="12">
        <f>IF('Données projet'!$A$88&gt;35,BD22+BC23-BL22,IF(A23&lt;'Données projet'!$A$88,$BA$205^A23,IF(A23='Données projet'!$A$88,'Données projet'!$B$88,BD22+BC23-BL22)))</f>
        <v>192</v>
      </c>
      <c r="BE23" s="13">
        <f>BD23*VLOOKUP('Données projet'!$B$11,Paramètres!$A$1:$I$89,3,0)*VLOOKUP('Données projet'!$B$11,Paramètres!$A$1:$I$89,5,0)</f>
        <v>114.81600000000002</v>
      </c>
      <c r="BF23" s="13">
        <f t="shared" si="37"/>
        <v>30.462826482209831</v>
      </c>
      <c r="BG23" s="20">
        <f t="shared" si="7"/>
        <v>253.02728945651543</v>
      </c>
      <c r="BH23" s="59">
        <f t="shared" si="8"/>
        <v>534.1384005676266</v>
      </c>
      <c r="BI23" s="59">
        <f ca="1">AVERAGE(OFFSET($BH$3,0,0,'Données projet'!$E$11+1,1))-AVERAGE(OFFSET($H$3,0,0,'Données projet'!$E$11+1,1))</f>
        <v>187.80389738728508</v>
      </c>
      <c r="BJ23" s="59">
        <f t="shared" si="38"/>
        <v>439.28159165815265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>
        <f>EXP(-LN(2)/35)*BP22+(1-EXP(-LN(2)/35))/(LN(2)/35)*BL23*BM23*VLOOKUP('Données projet'!$B$11,Paramètres!$A$1:$I$89,3,0)*0.475*44/12</f>
        <v>3.6161625766265759</v>
      </c>
      <c r="BQ23" s="21">
        <f>EXP(-LN(2)/25)*BQ22+(1-EXP(-LN(2)/25))/(LN(2)/25)*Calculateur!BL23*Calculateur!BN23*VLOOKUP('Données projet'!$B$11,Paramètres!$A$1:$I$89,3,0)*0.475*44/12</f>
        <v>10.552000802058775</v>
      </c>
      <c r="BR23" s="21">
        <f>EXP(-LN(2)/2)*BR22+(1-EXP(-LN(2)/2))/(LN(2)/2)*BL23*BO23*VLOOKUP('Données projet'!$B$11,Paramètres!$A$1:$I$89,3,0)*0.475*44/12</f>
        <v>1.4387841920817566</v>
      </c>
      <c r="BS23" s="22">
        <f t="shared" si="9"/>
        <v>15.606947570767106</v>
      </c>
      <c r="BT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0</v>
      </c>
      <c r="BY23" s="12">
        <f>IF('Données projet'!$A$114&gt;35,BY22+BX23-CG22,IF(A23&lt;'Données projet'!$A$114,$BV$205^A23,IF(A23='Données projet'!$A$114,'Données projet'!$B$114,BY22+BX23-CG22)))</f>
        <v>0</v>
      </c>
      <c r="BZ23" s="13" t="e">
        <f>BY23*VLOOKUP('Données projet'!$B$12,Paramètres!$A$1:$I$89,3,0)*VLOOKUP('Données projet'!$B$12,Paramètres!$A$1:$I$89,5,0)</f>
        <v>#N/A</v>
      </c>
      <c r="CA23" s="13" t="e">
        <f t="shared" si="39"/>
        <v>#N/A</v>
      </c>
      <c r="CB23" s="20" t="e">
        <f t="shared" si="10"/>
        <v>#N/A</v>
      </c>
      <c r="CC23" s="59" t="e">
        <f t="shared" si="11"/>
        <v>#N/A</v>
      </c>
      <c r="CD23" s="59" t="e">
        <f ca="1">AVERAGE(OFFSET($CC$3,0,0,'Données projet'!$E$12+1,1))-AVERAGE(OFFSET($H$3,0,0,'Données projet'!$E$12+1,1))</f>
        <v>#N/A</v>
      </c>
      <c r="CE23" s="59" t="e">
        <f t="shared" si="40"/>
        <v>#N/A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 t="e">
        <f>EXP(-LN(2)/35)*CK22+(1-EXP(-LN(2)/35))/(LN(2)/35)*CG23*CH23*VLOOKUP('Données projet'!$B$12,Paramètres!$A$1:$I$89,3,0)*0.475*44/12</f>
        <v>#N/A</v>
      </c>
      <c r="CL23" s="21" t="e">
        <f>EXP(-LN(2)/25)*CL22+(1-EXP(-LN(2)/25))/(LN(2)/25)*Calculateur!CG23*Calculateur!CI23*VLOOKUP('Données projet'!$B$12,Paramètres!$A$1:$I$89,3,0)*0.475*44/12</f>
        <v>#N/A</v>
      </c>
      <c r="CM23" s="21" t="e">
        <f>EXP(-LN(2)/2)*CM22+(1-EXP(-LN(2)/2))/(LN(2)/2)*CG23*CJ23*VLOOKUP('Données projet'!$B$12,Paramètres!$A$1:$I$89,3,0)*0.475*44/12</f>
        <v>#N/A</v>
      </c>
      <c r="CN23" s="22" t="e">
        <f t="shared" si="12"/>
        <v>#N/A</v>
      </c>
      <c r="CO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5">
      <c r="A24" s="10">
        <f t="shared" si="31"/>
        <v>21</v>
      </c>
      <c r="B24" s="72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1">
        <f t="shared" si="32"/>
        <v>0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66">
        <f t="shared" si="1"/>
        <v>256.66666666666669</v>
      </c>
      <c r="I24" s="6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3.6141025633333332</v>
      </c>
      <c r="N24" s="13">
        <f>IF('Données projet'!$A$36&gt;35,N23+M24-V23,IF(A24&lt;'Données projet'!$A$36,$K$205^A24,IF(A24='Données projet'!$A$36,'Données projet'!$B$36,N23+M24-V23)))</f>
        <v>26.581850397369195</v>
      </c>
      <c r="O24" s="13">
        <f>N24*VLOOKUP('Données projet'!$B$9,Paramètres!$A$1:$I$89,3,0)*VLOOKUP('Données projet'!$B$9,Paramètres!$A$1:$I$89,5,0)</f>
        <v>24.051258239539646</v>
      </c>
      <c r="P24" s="13">
        <f t="shared" si="33"/>
        <v>7.6546515562492337</v>
      </c>
      <c r="Q24" s="20">
        <f t="shared" si="2"/>
        <v>55.221126227665629</v>
      </c>
      <c r="R24" s="59">
        <f t="shared" si="0"/>
        <v>337.55445956099896</v>
      </c>
      <c r="S24" s="59">
        <f ca="1">AVERAGE(OFFSET($R$3,0,0,'Données projet'!$E$9+1,1))-AVERAGE(OFFSET($H$3,0,0,'Données projet'!$E$9+1,1))</f>
        <v>700.22008319944644</v>
      </c>
      <c r="T24" s="59">
        <f t="shared" si="34"/>
        <v>253.69632671986739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0</v>
      </c>
      <c r="AB24" s="21">
        <f>EXP(-LN(2)/2)*AB23+(1-EXP(-LN(2)/2))/(LN(2)/2)*V24*Y24*VLOOKUP('Données projet'!$B$9,Paramètres!$A$1:$I$89,3,0)*0.475*44/12</f>
        <v>0</v>
      </c>
      <c r="AC24" s="22">
        <f t="shared" si="3"/>
        <v>0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3.6141025633333332</v>
      </c>
      <c r="AI24" s="13">
        <f>IF('Données projet'!$A$62&gt;35,AI23+AH24-AQ23,IF(A24&lt;'Données projet'!$A$62,$AF$205^A24,IF(A24='Données projet'!$A$62,'Données projet'!$B$62,AI23+AH24-AQ23)))</f>
        <v>26.581850397369195</v>
      </c>
      <c r="AJ24" s="13">
        <f>AI24*VLOOKUP('Données projet'!$B$10,Paramètres!$A$1:$I$89,3,0)*VLOOKUP('Données projet'!$B$10,Paramètres!$A$1:$I$89,5,0)</f>
        <v>25.295288838136528</v>
      </c>
      <c r="AK24" s="13">
        <f t="shared" si="35"/>
        <v>8.0034621105735972</v>
      </c>
      <c r="AL24" s="20">
        <f t="shared" si="4"/>
        <v>57.995324569003458</v>
      </c>
      <c r="AM24" s="59">
        <f t="shared" si="5"/>
        <v>340.32865790233677</v>
      </c>
      <c r="AN24" s="59">
        <f ca="1">AVERAGE(OFFSET($AM$3,0,0,'Données projet'!$E$10+1,1))-AVERAGE(OFFSET($H$3,0,0,'Données projet'!$E$10+1,1))</f>
        <v>733.95677909577444</v>
      </c>
      <c r="AO24" s="59">
        <f t="shared" si="36"/>
        <v>264.63778993239799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0</v>
      </c>
      <c r="AW24" s="21">
        <f>EXP(-LN(2)/2)*AW23+(1-EXP(-LN(2)/2))/(LN(2)/2)*AQ24*AT24*VLOOKUP('Données projet'!$B$10,Paramètres!$A$1:$I$89,3,0)*0.475*44/12</f>
        <v>0</v>
      </c>
      <c r="AX24" s="21">
        <f t="shared" si="6"/>
        <v>0</v>
      </c>
      <c r="AY24" s="7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2">
        <f>VLOOKUP(A24,'Données projet'!$A$87:$I$107,2,0)</f>
        <v>212</v>
      </c>
      <c r="BB24" s="12">
        <f>VLOOKUP(A24,'Données projet'!$A$87:$I$107,9,0)</f>
        <v>20</v>
      </c>
      <c r="BC24" s="12">
        <f t="array" ref="BC24">INDEX(BB:BB,MIN(IF(ISNUMBER(BB24:BB220),ROW(BB24:BB220),"")))</f>
        <v>20</v>
      </c>
      <c r="BD24" s="12">
        <f>IF('Données projet'!$A$88&gt;35,BD23+BC24-BL23,IF(A24&lt;'Données projet'!$A$88,$BA$205^A24,IF(A24='Données projet'!$A$88,'Données projet'!$B$88,BD23+BC24-BL23)))</f>
        <v>212</v>
      </c>
      <c r="BE24" s="13">
        <f>BD24*VLOOKUP('Données projet'!$B$11,Paramètres!$A$1:$I$89,3,0)*VLOOKUP('Données projet'!$B$11,Paramètres!$A$1:$I$89,5,0)</f>
        <v>126.77600000000002</v>
      </c>
      <c r="BF24" s="13">
        <f t="shared" si="37"/>
        <v>33.250302273150254</v>
      </c>
      <c r="BG24" s="20">
        <f t="shared" si="7"/>
        <v>278.7124764590701</v>
      </c>
      <c r="BH24" s="59">
        <f t="shared" si="8"/>
        <v>561.04580979240336</v>
      </c>
      <c r="BI24" s="59">
        <f ca="1">AVERAGE(OFFSET($BH$3,0,0,'Données projet'!$E$11+1,1))-AVERAGE(OFFSET($H$3,0,0,'Données projet'!$E$11+1,1))</f>
        <v>187.80389738728508</v>
      </c>
      <c r="BJ24" s="59">
        <f t="shared" si="38"/>
        <v>439.28159165815265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3.5452518341403114</v>
      </c>
      <c r="BQ24" s="21">
        <f>EXP(-LN(2)/25)*BQ23+(1-EXP(-LN(2)/25))/(LN(2)/25)*Calculateur!BL24*Calculateur!BN24*VLOOKUP('Données projet'!$B$11,Paramètres!$A$1:$I$89,3,0)*0.475*44/12</f>
        <v>10.263455785220872</v>
      </c>
      <c r="BR24" s="21">
        <f>EXP(-LN(2)/2)*BR23+(1-EXP(-LN(2)/2))/(LN(2)/2)*BL24*BO24*VLOOKUP('Données projet'!$B$11,Paramètres!$A$1:$I$89,3,0)*0.475*44/12</f>
        <v>1.0173740588850182</v>
      </c>
      <c r="BS24" s="22">
        <f t="shared" si="9"/>
        <v>14.826081678246201</v>
      </c>
      <c r="BT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0</v>
      </c>
      <c r="BY24" s="12">
        <f>IF('Données projet'!$A$114&gt;35,BY23+BX24-CG23,IF(A24&lt;'Données projet'!$A$114,$BV$205^A24,IF(A24='Données projet'!$A$114,'Données projet'!$B$114,BY23+BX24-CG23)))</f>
        <v>0</v>
      </c>
      <c r="BZ24" s="13" t="e">
        <f>BY24*VLOOKUP('Données projet'!$B$12,Paramètres!$A$1:$I$89,3,0)*VLOOKUP('Données projet'!$B$12,Paramètres!$A$1:$I$89,5,0)</f>
        <v>#N/A</v>
      </c>
      <c r="CA24" s="13" t="e">
        <f t="shared" si="39"/>
        <v>#N/A</v>
      </c>
      <c r="CB24" s="20" t="e">
        <f t="shared" si="10"/>
        <v>#N/A</v>
      </c>
      <c r="CC24" s="59" t="e">
        <f t="shared" si="11"/>
        <v>#N/A</v>
      </c>
      <c r="CD24" s="59" t="e">
        <f ca="1">AVERAGE(OFFSET($CC$3,0,0,'Données projet'!$E$12+1,1))-AVERAGE(OFFSET($H$3,0,0,'Données projet'!$E$12+1,1))</f>
        <v>#N/A</v>
      </c>
      <c r="CE24" s="59" t="e">
        <f t="shared" si="40"/>
        <v>#N/A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 t="e">
        <f>EXP(-LN(2)/35)*CK23+(1-EXP(-LN(2)/35))/(LN(2)/35)*CG24*CH24*VLOOKUP('Données projet'!$B$12,Paramètres!$A$1:$I$89,3,0)*0.475*44/12</f>
        <v>#N/A</v>
      </c>
      <c r="CL24" s="21" t="e">
        <f>EXP(-LN(2)/25)*CL23+(1-EXP(-LN(2)/25))/(LN(2)/25)*Calculateur!CG24*Calculateur!CI24*VLOOKUP('Données projet'!$B$12,Paramètres!$A$1:$I$89,3,0)*0.475*44/12</f>
        <v>#N/A</v>
      </c>
      <c r="CM24" s="21" t="e">
        <f>EXP(-LN(2)/2)*CM23+(1-EXP(-LN(2)/2))/(LN(2)/2)*CG24*CJ24*VLOOKUP('Données projet'!$B$12,Paramètres!$A$1:$I$89,3,0)*0.475*44/12</f>
        <v>#N/A</v>
      </c>
      <c r="CN24" s="22" t="e">
        <f t="shared" si="12"/>
        <v>#N/A</v>
      </c>
      <c r="CO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5">
      <c r="A25" s="10">
        <f t="shared" si="31"/>
        <v>22</v>
      </c>
      <c r="B25" s="72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1">
        <f t="shared" si="32"/>
        <v>0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66">
        <f t="shared" si="1"/>
        <v>256.66666666666669</v>
      </c>
      <c r="I25" s="6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3.6141025633333332</v>
      </c>
      <c r="N25" s="13">
        <f>IF('Données projet'!$A$36&gt;35,N24+M25-V24,IF(A25&lt;'Données projet'!$A$36,$K$205^A25,IF(A25='Données projet'!$A$36,'Données projet'!$B$36,N24+M25-V24)))</f>
        <v>31.075820226595585</v>
      </c>
      <c r="O25" s="13">
        <f>N25*VLOOKUP('Données projet'!$B$9,Paramètres!$A$1:$I$89,3,0)*VLOOKUP('Données projet'!$B$9,Paramètres!$A$1:$I$89,5,0)</f>
        <v>28.117402141023685</v>
      </c>
      <c r="P25" s="13">
        <f t="shared" si="33"/>
        <v>8.7875244177160141</v>
      </c>
      <c r="Q25" s="20">
        <f t="shared" si="2"/>
        <v>64.27608042313831</v>
      </c>
      <c r="R25" s="59">
        <f t="shared" si="0"/>
        <v>347.83163597869384</v>
      </c>
      <c r="S25" s="59">
        <f ca="1">AVERAGE(OFFSET($R$3,0,0,'Données projet'!$E$9+1,1))-AVERAGE(OFFSET($H$3,0,0,'Données projet'!$E$9+1,1))</f>
        <v>700.22008319944644</v>
      </c>
      <c r="T25" s="59">
        <f t="shared" si="34"/>
        <v>253.69632671986739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0</v>
      </c>
      <c r="AB25" s="21">
        <f>EXP(-LN(2)/2)*AB24+(1-EXP(-LN(2)/2))/(LN(2)/2)*V25*Y25*VLOOKUP('Données projet'!$B$9,Paramètres!$A$1:$I$89,3,0)*0.475*44/12</f>
        <v>0</v>
      </c>
      <c r="AC25" s="22">
        <f t="shared" si="3"/>
        <v>0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3.6141025633333332</v>
      </c>
      <c r="AI25" s="13">
        <f>IF('Données projet'!$A$62&gt;35,AI24+AH25-AQ24,IF(A25&lt;'Données projet'!$A$62,$AF$205^A25,IF(A25='Données projet'!$A$62,'Données projet'!$B$62,AI24+AH25-AQ24)))</f>
        <v>31.075820226595585</v>
      </c>
      <c r="AJ25" s="13">
        <f>AI25*VLOOKUP('Données projet'!$B$10,Paramètres!$A$1:$I$89,3,0)*VLOOKUP('Données projet'!$B$10,Paramètres!$A$1:$I$89,5,0)</f>
        <v>29.571750527628357</v>
      </c>
      <c r="AK25" s="13">
        <f t="shared" si="35"/>
        <v>9.1879582246317533</v>
      </c>
      <c r="AL25" s="20">
        <f t="shared" si="4"/>
        <v>67.506492743519686</v>
      </c>
      <c r="AM25" s="59">
        <f t="shared" si="5"/>
        <v>351.06204829907523</v>
      </c>
      <c r="AN25" s="59">
        <f ca="1">AVERAGE(OFFSET($AM$3,0,0,'Données projet'!$E$10+1,1))-AVERAGE(OFFSET($H$3,0,0,'Données projet'!$E$10+1,1))</f>
        <v>733.95677909577444</v>
      </c>
      <c r="AO25" s="59">
        <f t="shared" si="36"/>
        <v>264.63778993239799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0</v>
      </c>
      <c r="AW25" s="21">
        <f>EXP(-LN(2)/2)*AW24+(1-EXP(-LN(2)/2))/(LN(2)/2)*AQ25*AT25*VLOOKUP('Données projet'!$B$10,Paramètres!$A$1:$I$89,3,0)*0.475*44/12</f>
        <v>0</v>
      </c>
      <c r="AX25" s="21">
        <f t="shared" si="6"/>
        <v>0</v>
      </c>
      <c r="AY25" s="7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2">
        <f>VLOOKUP(A25,'Données projet'!$A$87:$I$107,2,0)</f>
        <v>232</v>
      </c>
      <c r="BB25" s="12">
        <f>VLOOKUP(A25,'Données projet'!$A$87:$I$107,9,0)</f>
        <v>20</v>
      </c>
      <c r="BC25" s="12">
        <f t="array" ref="BC25">INDEX(BB:BB,MIN(IF(ISNUMBER(BB25:BB221),ROW(BB25:BB221),"")))</f>
        <v>20</v>
      </c>
      <c r="BD25" s="12">
        <f>IF('Données projet'!$A$88&gt;35,BD24+BC25-BL24,IF(A25&lt;'Données projet'!$A$88,$BA$205^A25,IF(A25='Données projet'!$A$88,'Données projet'!$B$88,BD24+BC25-BL24)))</f>
        <v>232</v>
      </c>
      <c r="BE25" s="13">
        <f>BD25*VLOOKUP('Données projet'!$B$11,Paramètres!$A$1:$I$89,3,0)*VLOOKUP('Données projet'!$B$11,Paramètres!$A$1:$I$89,5,0)</f>
        <v>138.73599999999999</v>
      </c>
      <c r="BF25" s="13">
        <f t="shared" si="37"/>
        <v>36.007288175538044</v>
      </c>
      <c r="BG25" s="20">
        <f t="shared" si="7"/>
        <v>304.34456023906205</v>
      </c>
      <c r="BH25" s="59">
        <f t="shared" si="8"/>
        <v>587.90011579461759</v>
      </c>
      <c r="BI25" s="59">
        <f ca="1">AVERAGE(OFFSET($BH$3,0,0,'Données projet'!$E$11+1,1))-AVERAGE(OFFSET($H$3,0,0,'Données projet'!$E$11+1,1))</f>
        <v>187.80389738728508</v>
      </c>
      <c r="BJ25" s="59">
        <f t="shared" si="38"/>
        <v>439.28159165815265</v>
      </c>
      <c r="BK25" s="15">
        <f>IF(ISNA(VLOOKUP(A25,'Données projet'!$A$87:$I$107,3,0)),0,VLOOKUP(A25,'Données projet'!$A$87:$I$107,3,0))</f>
        <v>3</v>
      </c>
      <c r="BL25" s="15">
        <f>IF(ISNA(VLOOKUP(A25,'Données projet'!$A$87:$I$107,4,0)),0,VLOOKUP(A25,'Données projet'!$A$87:$I$107,4,0))</f>
        <v>56</v>
      </c>
      <c r="BM25" s="16">
        <f>IF(ISNA(VLOOKUP(A25,'Données projet'!$A$87:$I$107,5,0)),0%,VLOOKUP(A25,'Données projet'!$A$87:$I$107,5,0)*VLOOKUP('Données projet'!$B$11,Paramètres!$A$1:$I$89,7,0))</f>
        <v>0.27</v>
      </c>
      <c r="BN25" s="16">
        <f>IF(ISNA(VLOOKUP(A25,'Données projet'!$A$87:$I$107,6,0)),0%,VLOOKUP(A25,'Données projet'!$A$87:$I$107,6,0)*VLOOKUP('Données projet'!$B$11,Paramètres!$A$1:$I$89,7,0))</f>
        <v>0.18000000000000002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15.47020903867794</v>
      </c>
      <c r="BQ25" s="21">
        <f>EXP(-LN(2)/25)*BQ24+(1-EXP(-LN(2)/25))/(LN(2)/25)*Calculateur!BL25*Calculateur!BN25*VLOOKUP('Données projet'!$B$11,Paramètres!$A$1:$I$89,3,0)*0.475*44/12</f>
        <v>17.947634782186647</v>
      </c>
      <c r="BR25" s="21">
        <f>EXP(-LN(2)/2)*BR24+(1-EXP(-LN(2)/2))/(LN(2)/2)*BL25*BO25*VLOOKUP('Données projet'!$B$11,Paramètres!$A$1:$I$89,3,0)*0.475*44/12</f>
        <v>0.71939209604087828</v>
      </c>
      <c r="BS25" s="22">
        <f t="shared" si="9"/>
        <v>34.137235916905468</v>
      </c>
      <c r="BT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0</v>
      </c>
      <c r="BY25" s="12">
        <f>IF('Données projet'!$A$114&gt;35,BY24+BX25-CG24,IF(A25&lt;'Données projet'!$A$114,$BV$205^A25,IF(A25='Données projet'!$A$114,'Données projet'!$B$114,BY24+BX25-CG24)))</f>
        <v>0</v>
      </c>
      <c r="BZ25" s="13" t="e">
        <f>BY25*VLOOKUP('Données projet'!$B$12,Paramètres!$A$1:$I$89,3,0)*VLOOKUP('Données projet'!$B$12,Paramètres!$A$1:$I$89,5,0)</f>
        <v>#N/A</v>
      </c>
      <c r="CA25" s="13" t="e">
        <f t="shared" si="39"/>
        <v>#N/A</v>
      </c>
      <c r="CB25" s="20" t="e">
        <f t="shared" si="10"/>
        <v>#N/A</v>
      </c>
      <c r="CC25" s="59" t="e">
        <f t="shared" si="11"/>
        <v>#N/A</v>
      </c>
      <c r="CD25" s="59" t="e">
        <f ca="1">AVERAGE(OFFSET($CC$3,0,0,'Données projet'!$E$12+1,1))-AVERAGE(OFFSET($H$3,0,0,'Données projet'!$E$12+1,1))</f>
        <v>#N/A</v>
      </c>
      <c r="CE25" s="59" t="e">
        <f t="shared" si="40"/>
        <v>#N/A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 t="e">
        <f>EXP(-LN(2)/35)*CK24+(1-EXP(-LN(2)/35))/(LN(2)/35)*CG25*CH25*VLOOKUP('Données projet'!$B$12,Paramètres!$A$1:$I$89,3,0)*0.475*44/12</f>
        <v>#N/A</v>
      </c>
      <c r="CL25" s="21" t="e">
        <f>EXP(-LN(2)/25)*CL24+(1-EXP(-LN(2)/25))/(LN(2)/25)*Calculateur!CG25*Calculateur!CI25*VLOOKUP('Données projet'!$B$12,Paramètres!$A$1:$I$89,3,0)*0.475*44/12</f>
        <v>#N/A</v>
      </c>
      <c r="CM25" s="21" t="e">
        <f>EXP(-LN(2)/2)*CM24+(1-EXP(-LN(2)/2))/(LN(2)/2)*CG25*CJ25*VLOOKUP('Données projet'!$B$12,Paramètres!$A$1:$I$89,3,0)*0.475*44/12</f>
        <v>#N/A</v>
      </c>
      <c r="CN25" s="22" t="e">
        <f t="shared" si="12"/>
        <v>#N/A</v>
      </c>
      <c r="CO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5">
      <c r="A26" s="10">
        <f t="shared" si="31"/>
        <v>23</v>
      </c>
      <c r="B26" s="72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1">
        <f t="shared" si="32"/>
        <v>0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66">
        <f t="shared" si="1"/>
        <v>256.66666666666669</v>
      </c>
      <c r="I26" s="6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3.6141025633333332</v>
      </c>
      <c r="N26" s="13">
        <f>IF('Données projet'!$A$36&gt;35,N25+M26-V25,IF(A26&lt;'Données projet'!$A$36,$K$205^A26,IF(A26='Données projet'!$A$36,'Données projet'!$B$36,N25+M26-V25)))</f>
        <v>36.329547729727011</v>
      </c>
      <c r="O26" s="13">
        <f>N26*VLOOKUP('Données projet'!$B$9,Paramètres!$A$1:$I$89,3,0)*VLOOKUP('Données projet'!$B$9,Paramètres!$A$1:$I$89,5,0)</f>
        <v>32.870974785857001</v>
      </c>
      <c r="P26" s="13">
        <f t="shared" si="33"/>
        <v>10.088060158520545</v>
      </c>
      <c r="Q26" s="20">
        <f t="shared" si="2"/>
        <v>74.820319194790898</v>
      </c>
      <c r="R26" s="59">
        <f t="shared" si="0"/>
        <v>359.59809697256867</v>
      </c>
      <c r="S26" s="59">
        <f ca="1">AVERAGE(OFFSET($R$3,0,0,'Données projet'!$E$9+1,1))-AVERAGE(OFFSET($H$3,0,0,'Données projet'!$E$9+1,1))</f>
        <v>700.22008319944644</v>
      </c>
      <c r="T26" s="59">
        <f t="shared" si="34"/>
        <v>253.69632671986739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0</v>
      </c>
      <c r="AB26" s="21">
        <f>EXP(-LN(2)/2)*AB25+(1-EXP(-LN(2)/2))/(LN(2)/2)*V26*Y26*VLOOKUP('Données projet'!$B$9,Paramètres!$A$1:$I$89,3,0)*0.475*44/12</f>
        <v>0</v>
      </c>
      <c r="AC26" s="22">
        <f t="shared" si="3"/>
        <v>0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3.6141025633333332</v>
      </c>
      <c r="AI26" s="13">
        <f>IF('Données projet'!$A$62&gt;35,AI25+AH26-AQ25,IF(A26&lt;'Données projet'!$A$62,$AF$205^A26,IF(A26='Données projet'!$A$62,'Données projet'!$B$62,AI25+AH26-AQ25)))</f>
        <v>36.329547729727011</v>
      </c>
      <c r="AJ26" s="13">
        <f>AI26*VLOOKUP('Données projet'!$B$10,Paramètres!$A$1:$I$89,3,0)*VLOOKUP('Données projet'!$B$10,Paramètres!$A$1:$I$89,5,0)</f>
        <v>34.57119761960822</v>
      </c>
      <c r="AK26" s="13">
        <f t="shared" si="35"/>
        <v>10.547757354414234</v>
      </c>
      <c r="AL26" s="20">
        <f t="shared" si="4"/>
        <v>78.582179913089107</v>
      </c>
      <c r="AM26" s="59">
        <f t="shared" si="5"/>
        <v>363.35995769086685</v>
      </c>
      <c r="AN26" s="59">
        <f ca="1">AVERAGE(OFFSET($AM$3,0,0,'Données projet'!$E$10+1,1))-AVERAGE(OFFSET($H$3,0,0,'Données projet'!$E$10+1,1))</f>
        <v>733.95677909577444</v>
      </c>
      <c r="AO26" s="59">
        <f t="shared" si="36"/>
        <v>264.63778993239799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0</v>
      </c>
      <c r="AW26" s="21">
        <f>EXP(-LN(2)/2)*AW25+(1-EXP(-LN(2)/2))/(LN(2)/2)*AQ26*AT26*VLOOKUP('Données projet'!$B$10,Paramètres!$A$1:$I$89,3,0)*0.475*44/12</f>
        <v>0</v>
      </c>
      <c r="AX26" s="21">
        <f t="shared" si="6"/>
        <v>0</v>
      </c>
      <c r="AY26" s="7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2">
        <f>VLOOKUP(A26,'Données projet'!$A$87:$I$107,2,0)</f>
        <v>192</v>
      </c>
      <c r="BB26" s="12">
        <f>VLOOKUP(A26,'Données projet'!$A$87:$I$107,9,0)</f>
        <v>16</v>
      </c>
      <c r="BC26" s="12">
        <f t="array" ref="BC26">INDEX(BB:BB,MIN(IF(ISNUMBER(BB26:BB222),ROW(BB26:BB222),"")))</f>
        <v>16</v>
      </c>
      <c r="BD26" s="12">
        <f>IF('Données projet'!$A$88&gt;35,BD25+BC26-BL25,IF(A26&lt;'Données projet'!$A$88,$BA$205^A26,IF(A26='Données projet'!$A$88,'Données projet'!$B$88,BD25+BC26-BL25)))</f>
        <v>192</v>
      </c>
      <c r="BE26" s="13">
        <f>BD26*VLOOKUP('Données projet'!$B$11,Paramètres!$A$1:$I$89,3,0)*VLOOKUP('Données projet'!$B$11,Paramètres!$A$1:$I$89,5,0)</f>
        <v>114.81600000000002</v>
      </c>
      <c r="BF26" s="13">
        <f t="shared" si="37"/>
        <v>30.462826482209831</v>
      </c>
      <c r="BG26" s="20">
        <f t="shared" si="7"/>
        <v>253.02728945651543</v>
      </c>
      <c r="BH26" s="59">
        <f t="shared" si="8"/>
        <v>537.80506723429323</v>
      </c>
      <c r="BI26" s="59">
        <f ca="1">AVERAGE(OFFSET($BH$3,0,0,'Données projet'!$E$11+1,1))-AVERAGE(OFFSET($H$3,0,0,'Données projet'!$E$11+1,1))</f>
        <v>187.80389738728508</v>
      </c>
      <c r="BJ26" s="59">
        <f t="shared" si="38"/>
        <v>439.28159165815265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15.166847675325261</v>
      </c>
      <c r="BQ26" s="21">
        <f>EXP(-LN(2)/25)*BQ25+(1-EXP(-LN(2)/25))/(LN(2)/25)*Calculateur!BL26*Calculateur!BN26*VLOOKUP('Données projet'!$B$11,Paramètres!$A$1:$I$89,3,0)*0.475*44/12</f>
        <v>17.456855765242661</v>
      </c>
      <c r="BR26" s="21">
        <f>EXP(-LN(2)/2)*BR25+(1-EXP(-LN(2)/2))/(LN(2)/2)*BL26*BO26*VLOOKUP('Données projet'!$B$11,Paramètres!$A$1:$I$89,3,0)*0.475*44/12</f>
        <v>0.5086870294425091</v>
      </c>
      <c r="BS26" s="22">
        <f t="shared" si="9"/>
        <v>33.132390470010435</v>
      </c>
      <c r="BT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0</v>
      </c>
      <c r="BY26" s="12">
        <f>IF('Données projet'!$A$114&gt;35,BY25+BX26-CG25,IF(A26&lt;'Données projet'!$A$114,$BV$205^A26,IF(A26='Données projet'!$A$114,'Données projet'!$B$114,BY25+BX26-CG25)))</f>
        <v>0</v>
      </c>
      <c r="BZ26" s="13" t="e">
        <f>BY26*VLOOKUP('Données projet'!$B$12,Paramètres!$A$1:$I$89,3,0)*VLOOKUP('Données projet'!$B$12,Paramètres!$A$1:$I$89,5,0)</f>
        <v>#N/A</v>
      </c>
      <c r="CA26" s="13" t="e">
        <f t="shared" si="39"/>
        <v>#N/A</v>
      </c>
      <c r="CB26" s="20" t="e">
        <f t="shared" si="10"/>
        <v>#N/A</v>
      </c>
      <c r="CC26" s="59" t="e">
        <f t="shared" si="11"/>
        <v>#N/A</v>
      </c>
      <c r="CD26" s="59" t="e">
        <f ca="1">AVERAGE(OFFSET($CC$3,0,0,'Données projet'!$E$12+1,1))-AVERAGE(OFFSET($H$3,0,0,'Données projet'!$E$12+1,1))</f>
        <v>#N/A</v>
      </c>
      <c r="CE26" s="59" t="e">
        <f t="shared" si="40"/>
        <v>#N/A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 t="e">
        <f>EXP(-LN(2)/35)*CK25+(1-EXP(-LN(2)/35))/(LN(2)/35)*CG26*CH26*VLOOKUP('Données projet'!$B$12,Paramètres!$A$1:$I$89,3,0)*0.475*44/12</f>
        <v>#N/A</v>
      </c>
      <c r="CL26" s="21" t="e">
        <f>EXP(-LN(2)/25)*CL25+(1-EXP(-LN(2)/25))/(LN(2)/25)*Calculateur!CG26*Calculateur!CI26*VLOOKUP('Données projet'!$B$12,Paramètres!$A$1:$I$89,3,0)*0.475*44/12</f>
        <v>#N/A</v>
      </c>
      <c r="CM26" s="21" t="e">
        <f>EXP(-LN(2)/2)*CM25+(1-EXP(-LN(2)/2))/(LN(2)/2)*CG26*CJ26*VLOOKUP('Données projet'!$B$12,Paramètres!$A$1:$I$89,3,0)*0.475*44/12</f>
        <v>#N/A</v>
      </c>
      <c r="CN26" s="22" t="e">
        <f t="shared" si="12"/>
        <v>#N/A</v>
      </c>
      <c r="CO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5">
      <c r="A27" s="10">
        <f t="shared" si="31"/>
        <v>24</v>
      </c>
      <c r="B27" s="72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1">
        <f t="shared" si="32"/>
        <v>0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66">
        <f t="shared" si="1"/>
        <v>256.66666666666669</v>
      </c>
      <c r="I27" s="6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3.6141025633333332</v>
      </c>
      <c r="N27" s="13">
        <f>IF('Données projet'!$A$36&gt;35,N26+M27-V26,IF(A27&lt;'Données projet'!$A$36,$K$205^A27,IF(A27='Données projet'!$A$36,'Données projet'!$B$36,N26+M27-V26)))</f>
        <v>42.471478745296629</v>
      </c>
      <c r="O27" s="13">
        <f>N27*VLOOKUP('Données projet'!$B$9,Paramètres!$A$1:$I$89,3,0)*VLOOKUP('Données projet'!$B$9,Paramètres!$A$1:$I$89,5,0)</f>
        <v>38.428193968744388</v>
      </c>
      <c r="P27" s="13">
        <f t="shared" si="33"/>
        <v>11.581072543793917</v>
      </c>
      <c r="Q27" s="20">
        <f t="shared" si="2"/>
        <v>87.099472509337545</v>
      </c>
      <c r="R27" s="59">
        <f t="shared" si="0"/>
        <v>373.09947250933755</v>
      </c>
      <c r="S27" s="59">
        <f ca="1">AVERAGE(OFFSET($R$3,0,0,'Données projet'!$E$9+1,1))-AVERAGE(OFFSET($H$3,0,0,'Données projet'!$E$9+1,1))</f>
        <v>700.22008319944644</v>
      </c>
      <c r="T27" s="59">
        <f t="shared" si="34"/>
        <v>253.69632671986739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0</v>
      </c>
      <c r="AB27" s="21">
        <f>EXP(-LN(2)/2)*AB26+(1-EXP(-LN(2)/2))/(LN(2)/2)*V27*Y27*VLOOKUP('Données projet'!$B$9,Paramètres!$A$1:$I$89,3,0)*0.475*44/12</f>
        <v>0</v>
      </c>
      <c r="AC27" s="22">
        <f t="shared" si="3"/>
        <v>0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3.6141025633333332</v>
      </c>
      <c r="AI27" s="13">
        <f>IF('Données projet'!$A$62&gt;35,AI26+AH27-AQ26,IF(A27&lt;'Données projet'!$A$62,$AF$205^A27,IF(A27='Données projet'!$A$62,'Données projet'!$B$62,AI26+AH27-AQ26)))</f>
        <v>42.471478745296629</v>
      </c>
      <c r="AJ27" s="13">
        <f>AI27*VLOOKUP('Données projet'!$B$10,Paramètres!$A$1:$I$89,3,0)*VLOOKUP('Données projet'!$B$10,Paramètres!$A$1:$I$89,5,0)</f>
        <v>40.415859174024277</v>
      </c>
      <c r="AK27" s="13">
        <f t="shared" si="35"/>
        <v>12.108803989698004</v>
      </c>
      <c r="AL27" s="20">
        <f t="shared" si="4"/>
        <v>91.480455010149626</v>
      </c>
      <c r="AM27" s="59">
        <f t="shared" si="5"/>
        <v>377.48045501014963</v>
      </c>
      <c r="AN27" s="59">
        <f ca="1">AVERAGE(OFFSET($AM$3,0,0,'Données projet'!$E$10+1,1))-AVERAGE(OFFSET($H$3,0,0,'Données projet'!$E$10+1,1))</f>
        <v>733.95677909577444</v>
      </c>
      <c r="AO27" s="59">
        <f t="shared" si="36"/>
        <v>264.63778993239799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0</v>
      </c>
      <c r="AW27" s="21">
        <f>EXP(-LN(2)/2)*AW26+(1-EXP(-LN(2)/2))/(LN(2)/2)*AQ27*AT27*VLOOKUP('Données projet'!$B$10,Paramètres!$A$1:$I$89,3,0)*0.475*44/12</f>
        <v>0</v>
      </c>
      <c r="AX27" s="21">
        <f t="shared" si="6"/>
        <v>0</v>
      </c>
      <c r="AY27" s="7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2">
        <f>VLOOKUP(A27,'Données projet'!$A$87:$I$107,2,0)</f>
        <v>209</v>
      </c>
      <c r="BB27" s="12">
        <f>VLOOKUP(A27,'Données projet'!$A$87:$I$107,9,0)</f>
        <v>17</v>
      </c>
      <c r="BC27" s="12">
        <f t="array" ref="BC27">INDEX(BB:BB,MIN(IF(ISNUMBER(BB27:BB223),ROW(BB27:BB223),"")))</f>
        <v>17</v>
      </c>
      <c r="BD27" s="12">
        <f>IF('Données projet'!$A$88&gt;35,BD26+BC27-BL26,IF(A27&lt;'Données projet'!$A$88,$BA$205^A27,IF(A27='Données projet'!$A$88,'Données projet'!$B$88,BD26+BC27-BL26)))</f>
        <v>209</v>
      </c>
      <c r="BE27" s="13">
        <f>BD27*VLOOKUP('Données projet'!$B$11,Paramètres!$A$1:$I$89,3,0)*VLOOKUP('Données projet'!$B$11,Paramètres!$A$1:$I$89,5,0)</f>
        <v>124.982</v>
      </c>
      <c r="BF27" s="13">
        <f t="shared" si="37"/>
        <v>32.834203796212122</v>
      </c>
      <c r="BG27" s="20">
        <f t="shared" si="7"/>
        <v>274.86322161173604</v>
      </c>
      <c r="BH27" s="59">
        <f t="shared" si="8"/>
        <v>560.86322161173598</v>
      </c>
      <c r="BI27" s="59">
        <f ca="1">AVERAGE(OFFSET($BH$3,0,0,'Données projet'!$E$11+1,1))-AVERAGE(OFFSET($H$3,0,0,'Données projet'!$E$11+1,1))</f>
        <v>187.80389738728508</v>
      </c>
      <c r="BJ27" s="59">
        <f t="shared" si="38"/>
        <v>439.28159165815265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14.869435043275768</v>
      </c>
      <c r="BQ27" s="21">
        <f>EXP(-LN(2)/25)*BQ26+(1-EXP(-LN(2)/25))/(LN(2)/25)*Calculateur!BL27*Calculateur!BN27*VLOOKUP('Données projet'!$B$11,Paramètres!$A$1:$I$89,3,0)*0.475*44/12</f>
        <v>16.979497126325953</v>
      </c>
      <c r="BR27" s="21">
        <f>EXP(-LN(2)/2)*BR26+(1-EXP(-LN(2)/2))/(LN(2)/2)*BL27*BO27*VLOOKUP('Données projet'!$B$11,Paramètres!$A$1:$I$89,3,0)*0.475*44/12</f>
        <v>0.35969604802043914</v>
      </c>
      <c r="BS27" s="22">
        <f t="shared" si="9"/>
        <v>32.208628217622163</v>
      </c>
      <c r="BT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0</v>
      </c>
      <c r="BY27" s="12">
        <f>IF('Données projet'!$A$114&gt;35,BY26+BX27-CG26,IF(A27&lt;'Données projet'!$A$114,$BV$205^A27,IF(A27='Données projet'!$A$114,'Données projet'!$B$114,BY26+BX27-CG26)))</f>
        <v>0</v>
      </c>
      <c r="BZ27" s="13" t="e">
        <f>BY27*VLOOKUP('Données projet'!$B$12,Paramètres!$A$1:$I$89,3,0)*VLOOKUP('Données projet'!$B$12,Paramètres!$A$1:$I$89,5,0)</f>
        <v>#N/A</v>
      </c>
      <c r="CA27" s="13" t="e">
        <f t="shared" si="39"/>
        <v>#N/A</v>
      </c>
      <c r="CB27" s="20" t="e">
        <f t="shared" si="10"/>
        <v>#N/A</v>
      </c>
      <c r="CC27" s="59" t="e">
        <f t="shared" si="11"/>
        <v>#N/A</v>
      </c>
      <c r="CD27" s="59" t="e">
        <f ca="1">AVERAGE(OFFSET($CC$3,0,0,'Données projet'!$E$12+1,1))-AVERAGE(OFFSET($H$3,0,0,'Données projet'!$E$12+1,1))</f>
        <v>#N/A</v>
      </c>
      <c r="CE27" s="59" t="e">
        <f t="shared" si="40"/>
        <v>#N/A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 t="e">
        <f>EXP(-LN(2)/35)*CK26+(1-EXP(-LN(2)/35))/(LN(2)/35)*CG27*CH27*VLOOKUP('Données projet'!$B$12,Paramètres!$A$1:$I$89,3,0)*0.475*44/12</f>
        <v>#N/A</v>
      </c>
      <c r="CL27" s="21" t="e">
        <f>EXP(-LN(2)/25)*CL26+(1-EXP(-LN(2)/25))/(LN(2)/25)*Calculateur!CG27*Calculateur!CI27*VLOOKUP('Données projet'!$B$12,Paramètres!$A$1:$I$89,3,0)*0.475*44/12</f>
        <v>#N/A</v>
      </c>
      <c r="CM27" s="21" t="e">
        <f>EXP(-LN(2)/2)*CM26+(1-EXP(-LN(2)/2))/(LN(2)/2)*CG27*CJ27*VLOOKUP('Données projet'!$B$12,Paramètres!$A$1:$I$89,3,0)*0.475*44/12</f>
        <v>#N/A</v>
      </c>
      <c r="CN27" s="22" t="e">
        <f t="shared" si="12"/>
        <v>#N/A</v>
      </c>
      <c r="CO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5">
      <c r="A28" s="10">
        <f t="shared" si="31"/>
        <v>25</v>
      </c>
      <c r="B28" s="72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1">
        <f t="shared" si="32"/>
        <v>0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66">
        <f t="shared" si="1"/>
        <v>256.66666666666669</v>
      </c>
      <c r="I28" s="6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3.6141025633333332</v>
      </c>
      <c r="N28" s="13">
        <f>IF('Données projet'!$A$36&gt;35,N27+M28-V27,IF(A28&lt;'Données projet'!$A$36,$K$205^A28,IF(A28='Données projet'!$A$36,'Données projet'!$B$36,N27+M28-V27)))</f>
        <v>49.65177436921914</v>
      </c>
      <c r="O28" s="13">
        <f>N28*VLOOKUP('Données projet'!$B$9,Paramètres!$A$1:$I$89,3,0)*VLOOKUP('Données projet'!$B$9,Paramètres!$A$1:$I$89,5,0)</f>
        <v>44.92492544926948</v>
      </c>
      <c r="P28" s="13">
        <f t="shared" si="33"/>
        <v>13.295047725437698</v>
      </c>
      <c r="Q28" s="20">
        <f t="shared" si="2"/>
        <v>101.399786612615</v>
      </c>
      <c r="R28" s="59">
        <f t="shared" si="0"/>
        <v>388.62200883483723</v>
      </c>
      <c r="S28" s="59">
        <f ca="1">AVERAGE(OFFSET($R$3,0,0,'Données projet'!$E$9+1,1))-AVERAGE(OFFSET($H$3,0,0,'Données projet'!$E$9+1,1))</f>
        <v>700.22008319944644</v>
      </c>
      <c r="T28" s="59">
        <f t="shared" si="34"/>
        <v>253.69632671986739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0</v>
      </c>
      <c r="AA28" s="21">
        <f>EXP(-LN(2)/25)*AA27+(1-EXP(-LN(2)/25))/(LN(2)/25)*Calculateur!V28*Calculateur!X28*VLOOKUP('Données projet'!$B$9,Paramètres!$A$1:$I$89,3,0)*0.475*44/12</f>
        <v>0</v>
      </c>
      <c r="AB28" s="21">
        <f>EXP(-LN(2)/2)*AB27+(1-EXP(-LN(2)/2))/(LN(2)/2)*V28*Y28*VLOOKUP('Données projet'!$B$9,Paramètres!$A$1:$I$89,3,0)*0.475*44/12</f>
        <v>0</v>
      </c>
      <c r="AC28" s="22">
        <f t="shared" si="3"/>
        <v>0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3.6141025633333332</v>
      </c>
      <c r="AI28" s="13">
        <f>IF('Données projet'!$A$62&gt;35,AI27+AH28-AQ27,IF(A28&lt;'Données projet'!$A$62,$AF$205^A28,IF(A28='Données projet'!$A$62,'Données projet'!$B$62,AI27+AH28-AQ27)))</f>
        <v>49.65177436921914</v>
      </c>
      <c r="AJ28" s="13">
        <f>AI28*VLOOKUP('Données projet'!$B$10,Paramètres!$A$1:$I$89,3,0)*VLOOKUP('Données projet'!$B$10,Paramètres!$A$1:$I$89,5,0)</f>
        <v>47.248628489748931</v>
      </c>
      <c r="AK28" s="13">
        <f t="shared" si="35"/>
        <v>13.900882351978305</v>
      </c>
      <c r="AL28" s="20">
        <f t="shared" si="4"/>
        <v>106.50206471600826</v>
      </c>
      <c r="AM28" s="59">
        <f t="shared" si="5"/>
        <v>393.72428693823048</v>
      </c>
      <c r="AN28" s="59">
        <f ca="1">AVERAGE(OFFSET($AM$3,0,0,'Données projet'!$E$10+1,1))-AVERAGE(OFFSET($H$3,0,0,'Données projet'!$E$10+1,1))</f>
        <v>733.95677909577444</v>
      </c>
      <c r="AO28" s="59">
        <f t="shared" si="36"/>
        <v>264.63778993239799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0</v>
      </c>
      <c r="AW28" s="21">
        <f>EXP(-LN(2)/2)*AW27+(1-EXP(-LN(2)/2))/(LN(2)/2)*AQ28*AT28*VLOOKUP('Données projet'!$B$10,Paramètres!$A$1:$I$89,3,0)*0.475*44/12</f>
        <v>0</v>
      </c>
      <c r="AX28" s="21">
        <f t="shared" si="6"/>
        <v>0</v>
      </c>
      <c r="AY28" s="7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2">
        <f>VLOOKUP(A28,'Données projet'!$A$87:$I$107,2,0)</f>
        <v>226</v>
      </c>
      <c r="BB28" s="12">
        <f>VLOOKUP(A28,'Données projet'!$A$87:$I$107,9,0)</f>
        <v>17</v>
      </c>
      <c r="BC28" s="12">
        <f t="array" ref="BC28">INDEX(BB:BB,MIN(IF(ISNUMBER(BB28:BB224),ROW(BB28:BB224),"")))</f>
        <v>17</v>
      </c>
      <c r="BD28" s="12">
        <f>IF('Données projet'!$A$88&gt;35,BD27+BC28-BL27,IF(A28&lt;'Données projet'!$A$88,$BA$205^A28,IF(A28='Données projet'!$A$88,'Données projet'!$B$88,BD27+BC28-BL27)))</f>
        <v>226</v>
      </c>
      <c r="BE28" s="13">
        <f>BD28*VLOOKUP('Données projet'!$B$11,Paramètres!$A$1:$I$89,3,0)*VLOOKUP('Données projet'!$B$11,Paramètres!$A$1:$I$89,5,0)</f>
        <v>135.14800000000002</v>
      </c>
      <c r="BF28" s="13">
        <f t="shared" si="37"/>
        <v>35.183208974998173</v>
      </c>
      <c r="BG28" s="20">
        <f t="shared" si="7"/>
        <v>296.66018896478852</v>
      </c>
      <c r="BH28" s="59">
        <f t="shared" si="8"/>
        <v>583.8824111870108</v>
      </c>
      <c r="BI28" s="59">
        <f ca="1">AVERAGE(OFFSET($BH$3,0,0,'Données projet'!$E$11+1,1))-AVERAGE(OFFSET($H$3,0,0,'Données projet'!$E$11+1,1))</f>
        <v>187.80389738728508</v>
      </c>
      <c r="BJ28" s="59">
        <f t="shared" si="38"/>
        <v>439.28159165815265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14.577854491536971</v>
      </c>
      <c r="BQ28" s="21">
        <f>EXP(-LN(2)/25)*BQ27+(1-EXP(-LN(2)/25))/(LN(2)/25)*Calculateur!BL28*Calculateur!BN28*VLOOKUP('Données projet'!$B$11,Paramètres!$A$1:$I$89,3,0)*0.475*44/12</f>
        <v>16.515191884493621</v>
      </c>
      <c r="BR28" s="21">
        <f>EXP(-LN(2)/2)*BR27+(1-EXP(-LN(2)/2))/(LN(2)/2)*BL28*BO28*VLOOKUP('Données projet'!$B$11,Paramètres!$A$1:$I$89,3,0)*0.475*44/12</f>
        <v>0.25434351472125455</v>
      </c>
      <c r="BS28" s="22">
        <f t="shared" si="9"/>
        <v>31.347389890751849</v>
      </c>
      <c r="BT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0</v>
      </c>
      <c r="BY28" s="12">
        <f>IF('Données projet'!$A$114&gt;35,BY27+BX28-CG27,IF(A28&lt;'Données projet'!$A$114,$BV$205^A28,IF(A28='Données projet'!$A$114,'Données projet'!$B$114,BY27+BX28-CG27)))</f>
        <v>0</v>
      </c>
      <c r="BZ28" s="13" t="e">
        <f>BY28*VLOOKUP('Données projet'!$B$12,Paramètres!$A$1:$I$89,3,0)*VLOOKUP('Données projet'!$B$12,Paramètres!$A$1:$I$89,5,0)</f>
        <v>#N/A</v>
      </c>
      <c r="CA28" s="13" t="e">
        <f t="shared" si="39"/>
        <v>#N/A</v>
      </c>
      <c r="CB28" s="20" t="e">
        <f t="shared" si="10"/>
        <v>#N/A</v>
      </c>
      <c r="CC28" s="59" t="e">
        <f t="shared" si="11"/>
        <v>#N/A</v>
      </c>
      <c r="CD28" s="59" t="e">
        <f ca="1">AVERAGE(OFFSET($CC$3,0,0,'Données projet'!$E$12+1,1))-AVERAGE(OFFSET($H$3,0,0,'Données projet'!$E$12+1,1))</f>
        <v>#N/A</v>
      </c>
      <c r="CE28" s="59" t="e">
        <f t="shared" si="40"/>
        <v>#N/A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 t="e">
        <f>EXP(-LN(2)/35)*CK27+(1-EXP(-LN(2)/35))/(LN(2)/35)*CG28*CH28*VLOOKUP('Données projet'!$B$12,Paramètres!$A$1:$I$89,3,0)*0.475*44/12</f>
        <v>#N/A</v>
      </c>
      <c r="CL28" s="21" t="e">
        <f>EXP(-LN(2)/25)*CL27+(1-EXP(-LN(2)/25))/(LN(2)/25)*Calculateur!CG28*Calculateur!CI28*VLOOKUP('Données projet'!$B$12,Paramètres!$A$1:$I$89,3,0)*0.475*44/12</f>
        <v>#N/A</v>
      </c>
      <c r="CM28" s="21" t="e">
        <f>EXP(-LN(2)/2)*CM27+(1-EXP(-LN(2)/2))/(LN(2)/2)*CG28*CJ28*VLOOKUP('Données projet'!$B$12,Paramètres!$A$1:$I$89,3,0)*0.475*44/12</f>
        <v>#N/A</v>
      </c>
      <c r="CN28" s="22" t="e">
        <f t="shared" si="12"/>
        <v>#N/A</v>
      </c>
      <c r="CO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5">
      <c r="A29" s="10">
        <f t="shared" si="31"/>
        <v>26</v>
      </c>
      <c r="B29" s="72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1">
        <f t="shared" si="32"/>
        <v>0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66">
        <f t="shared" si="1"/>
        <v>256.66666666666669</v>
      </c>
      <c r="I29" s="6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3.6141025633333332</v>
      </c>
      <c r="N29" s="13">
        <f>IF('Données projet'!$A$36&gt;35,N28+M29-V28,IF(A29&lt;'Données projet'!$A$36,$K$205^A29,IF(A29='Données projet'!$A$36,'Données projet'!$B$36,N28+M29-V28)))</f>
        <v>58.045982170678677</v>
      </c>
      <c r="O29" s="13">
        <f>N29*VLOOKUP('Données projet'!$B$9,Paramètres!$A$1:$I$89,3,0)*VLOOKUP('Données projet'!$B$9,Paramètres!$A$1:$I$89,5,0)</f>
        <v>52.520004668030069</v>
      </c>
      <c r="P29" s="13">
        <f t="shared" si="33"/>
        <v>15.262687747896692</v>
      </c>
      <c r="Q29" s="20">
        <f t="shared" si="2"/>
        <v>118.05485595773911</v>
      </c>
      <c r="R29" s="59">
        <f t="shared" si="0"/>
        <v>406.49930040218356</v>
      </c>
      <c r="S29" s="59">
        <f ca="1">AVERAGE(OFFSET($R$3,0,0,'Données projet'!$E$9+1,1))-AVERAGE(OFFSET($H$3,0,0,'Données projet'!$E$9+1,1))</f>
        <v>700.22008319944644</v>
      </c>
      <c r="T29" s="59">
        <f t="shared" si="34"/>
        <v>253.69632671986739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0</v>
      </c>
      <c r="AA29" s="21">
        <f>EXP(-LN(2)/25)*AA28+(1-EXP(-LN(2)/25))/(LN(2)/25)*Calculateur!V29*Calculateur!X29*VLOOKUP('Données projet'!$B$9,Paramètres!$A$1:$I$89,3,0)*0.475*44/12</f>
        <v>0</v>
      </c>
      <c r="AB29" s="21">
        <f>EXP(-LN(2)/2)*AB28+(1-EXP(-LN(2)/2))/(LN(2)/2)*V29*Y29*VLOOKUP('Données projet'!$B$9,Paramètres!$A$1:$I$89,3,0)*0.475*44/12</f>
        <v>0</v>
      </c>
      <c r="AC29" s="22">
        <f t="shared" si="3"/>
        <v>0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3.6141025633333332</v>
      </c>
      <c r="AI29" s="13">
        <f>IF('Données projet'!$A$62&gt;35,AI28+AH29-AQ28,IF(A29&lt;'Données projet'!$A$62,$AF$205^A29,IF(A29='Données projet'!$A$62,'Données projet'!$B$62,AI28+AH29-AQ28)))</f>
        <v>58.045982170678677</v>
      </c>
      <c r="AJ29" s="13">
        <f>AI29*VLOOKUP('Données projet'!$B$10,Paramètres!$A$1:$I$89,3,0)*VLOOKUP('Données projet'!$B$10,Paramètres!$A$1:$I$89,5,0)</f>
        <v>55.23655663361783</v>
      </c>
      <c r="AK29" s="13">
        <f t="shared" si="35"/>
        <v>15.958184666953333</v>
      </c>
      <c r="AL29" s="20">
        <f t="shared" si="4"/>
        <v>123.99750776516146</v>
      </c>
      <c r="AM29" s="59">
        <f t="shared" si="5"/>
        <v>412.44195220960592</v>
      </c>
      <c r="AN29" s="59">
        <f ca="1">AVERAGE(OFFSET($AM$3,0,0,'Données projet'!$E$10+1,1))-AVERAGE(OFFSET($H$3,0,0,'Données projet'!$E$10+1,1))</f>
        <v>733.95677909577444</v>
      </c>
      <c r="AO29" s="59">
        <f t="shared" si="36"/>
        <v>264.63778993239799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0</v>
      </c>
      <c r="AW29" s="21">
        <f>EXP(-LN(2)/2)*AW28+(1-EXP(-LN(2)/2))/(LN(2)/2)*AQ29*AT29*VLOOKUP('Données projet'!$B$10,Paramètres!$A$1:$I$89,3,0)*0.475*44/12</f>
        <v>0</v>
      </c>
      <c r="AX29" s="21">
        <f t="shared" si="6"/>
        <v>0</v>
      </c>
      <c r="AY29" s="7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2">
        <f>VLOOKUP(A29,'Données projet'!$A$87:$I$107,2,0)</f>
        <v>244</v>
      </c>
      <c r="BB29" s="12">
        <f>VLOOKUP(A29,'Données projet'!$A$87:$I$107,9,0)</f>
        <v>18</v>
      </c>
      <c r="BC29" s="12">
        <f t="array" ref="BC29">INDEX(BB:BB,MIN(IF(ISNUMBER(BB29:BB225),ROW(BB29:BB225),"")))</f>
        <v>18</v>
      </c>
      <c r="BD29" s="12">
        <f>IF('Données projet'!$A$88&gt;35,BD28+BC29-BL28,IF(A29&lt;'Données projet'!$A$88,$BA$205^A29,IF(A29='Données projet'!$A$88,'Données projet'!$B$88,BD28+BC29-BL28)))</f>
        <v>244</v>
      </c>
      <c r="BE29" s="13">
        <f>BD29*VLOOKUP('Données projet'!$B$11,Paramètres!$A$1:$I$89,3,0)*VLOOKUP('Données projet'!$B$11,Paramètres!$A$1:$I$89,5,0)</f>
        <v>145.91200000000001</v>
      </c>
      <c r="BF29" s="13">
        <f t="shared" si="37"/>
        <v>37.648084239987625</v>
      </c>
      <c r="BG29" s="20">
        <f t="shared" si="7"/>
        <v>319.70048005131179</v>
      </c>
      <c r="BH29" s="59">
        <f t="shared" si="8"/>
        <v>608.14492449575619</v>
      </c>
      <c r="BI29" s="59">
        <f ca="1">AVERAGE(OFFSET($BH$3,0,0,'Données projet'!$E$11+1,1))-AVERAGE(OFFSET($H$3,0,0,'Données projet'!$E$11+1,1))</f>
        <v>187.80389738728508</v>
      </c>
      <c r="BJ29" s="59">
        <f t="shared" si="38"/>
        <v>439.28159165815265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14.291991656571197</v>
      </c>
      <c r="BQ29" s="21">
        <f>EXP(-LN(2)/25)*BQ28+(1-EXP(-LN(2)/25))/(LN(2)/25)*Calculateur!BL29*Calculateur!BN29*VLOOKUP('Données projet'!$B$11,Paramètres!$A$1:$I$89,3,0)*0.475*44/12</f>
        <v>16.063583093915948</v>
      </c>
      <c r="BR29" s="21">
        <f>EXP(-LN(2)/2)*BR28+(1-EXP(-LN(2)/2))/(LN(2)/2)*BL29*BO29*VLOOKUP('Données projet'!$B$11,Paramètres!$A$1:$I$89,3,0)*0.475*44/12</f>
        <v>0.17984802401021957</v>
      </c>
      <c r="BS29" s="22">
        <f t="shared" si="9"/>
        <v>30.535422774497363</v>
      </c>
      <c r="BT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0</v>
      </c>
      <c r="BY29" s="12">
        <f>IF('Données projet'!$A$114&gt;35,BY28+BX29-CG28,IF(A29&lt;'Données projet'!$A$114,$BV$205^A29,IF(A29='Données projet'!$A$114,'Données projet'!$B$114,BY28+BX29-CG28)))</f>
        <v>0</v>
      </c>
      <c r="BZ29" s="13" t="e">
        <f>BY29*VLOOKUP('Données projet'!$B$12,Paramètres!$A$1:$I$89,3,0)*VLOOKUP('Données projet'!$B$12,Paramètres!$A$1:$I$89,5,0)</f>
        <v>#N/A</v>
      </c>
      <c r="CA29" s="13" t="e">
        <f t="shared" si="39"/>
        <v>#N/A</v>
      </c>
      <c r="CB29" s="20" t="e">
        <f t="shared" si="10"/>
        <v>#N/A</v>
      </c>
      <c r="CC29" s="59" t="e">
        <f t="shared" si="11"/>
        <v>#N/A</v>
      </c>
      <c r="CD29" s="59" t="e">
        <f ca="1">AVERAGE(OFFSET($CC$3,0,0,'Données projet'!$E$12+1,1))-AVERAGE(OFFSET($H$3,0,0,'Données projet'!$E$12+1,1))</f>
        <v>#N/A</v>
      </c>
      <c r="CE29" s="59" t="e">
        <f t="shared" si="40"/>
        <v>#N/A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 t="e">
        <f>EXP(-LN(2)/35)*CK28+(1-EXP(-LN(2)/35))/(LN(2)/35)*CG29*CH29*VLOOKUP('Données projet'!$B$12,Paramètres!$A$1:$I$89,3,0)*0.475*44/12</f>
        <v>#N/A</v>
      </c>
      <c r="CL29" s="21" t="e">
        <f>EXP(-LN(2)/25)*CL28+(1-EXP(-LN(2)/25))/(LN(2)/25)*Calculateur!CG29*Calculateur!CI29*VLOOKUP('Données projet'!$B$12,Paramètres!$A$1:$I$89,3,0)*0.475*44/12</f>
        <v>#N/A</v>
      </c>
      <c r="CM29" s="21" t="e">
        <f>EXP(-LN(2)/2)*CM28+(1-EXP(-LN(2)/2))/(LN(2)/2)*CG29*CJ29*VLOOKUP('Données projet'!$B$12,Paramètres!$A$1:$I$89,3,0)*0.475*44/12</f>
        <v>#N/A</v>
      </c>
      <c r="CN29" s="22" t="e">
        <f t="shared" si="12"/>
        <v>#N/A</v>
      </c>
      <c r="CO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5">
      <c r="A30" s="10">
        <f t="shared" si="31"/>
        <v>27</v>
      </c>
      <c r="B30" s="72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1">
        <f t="shared" si="32"/>
        <v>0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66">
        <f t="shared" si="1"/>
        <v>256.66666666666669</v>
      </c>
      <c r="I30" s="6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3.6141025633333332</v>
      </c>
      <c r="N30" s="13">
        <f>IF('Données projet'!$A$36&gt;35,N29+M30-V29,IF(A30&lt;'Données projet'!$A$36,$K$205^A30,IF(A30='Données projet'!$A$36,'Données projet'!$B$36,N29+M30-V29)))</f>
        <v>67.859328069602995</v>
      </c>
      <c r="O30" s="13">
        <f>N30*VLOOKUP('Données projet'!$B$9,Paramètres!$A$1:$I$89,3,0)*VLOOKUP('Données projet'!$B$9,Paramètres!$A$1:$I$89,5,0)</f>
        <v>61.399120037376782</v>
      </c>
      <c r="P30" s="13">
        <f t="shared" si="33"/>
        <v>17.521534491680562</v>
      </c>
      <c r="Q30" s="20">
        <f t="shared" si="2"/>
        <v>137.45347330477486</v>
      </c>
      <c r="R30" s="59">
        <f t="shared" si="0"/>
        <v>427.12013997144152</v>
      </c>
      <c r="S30" s="59">
        <f ca="1">AVERAGE(OFFSET($R$3,0,0,'Données projet'!$E$9+1,1))-AVERAGE(OFFSET($H$3,0,0,'Données projet'!$E$9+1,1))</f>
        <v>700.22008319944644</v>
      </c>
      <c r="T30" s="59">
        <f t="shared" si="34"/>
        <v>253.69632671986739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0</v>
      </c>
      <c r="AA30" s="21">
        <f>EXP(-LN(2)/25)*AA29+(1-EXP(-LN(2)/25))/(LN(2)/25)*Calculateur!V30*Calculateur!X30*VLOOKUP('Données projet'!$B$9,Paramètres!$A$1:$I$89,3,0)*0.475*44/12</f>
        <v>0</v>
      </c>
      <c r="AB30" s="21">
        <f>EXP(-LN(2)/2)*AB29+(1-EXP(-LN(2)/2))/(LN(2)/2)*V30*Y30*VLOOKUP('Données projet'!$B$9,Paramètres!$A$1:$I$89,3,0)*0.475*44/12</f>
        <v>0</v>
      </c>
      <c r="AC30" s="22">
        <f t="shared" si="3"/>
        <v>0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3.6141025633333332</v>
      </c>
      <c r="AI30" s="13">
        <f>IF('Données projet'!$A$62&gt;35,AI29+AH30-AQ29,IF(A30&lt;'Données projet'!$A$62,$AF$205^A30,IF(A30='Données projet'!$A$62,'Données projet'!$B$62,AI29+AH30-AQ29)))</f>
        <v>67.859328069602995</v>
      </c>
      <c r="AJ30" s="13">
        <f>AI30*VLOOKUP('Données projet'!$B$10,Paramètres!$A$1:$I$89,3,0)*VLOOKUP('Données projet'!$B$10,Paramètres!$A$1:$I$89,5,0)</f>
        <v>64.574936591034216</v>
      </c>
      <c r="AK30" s="13">
        <f t="shared" si="35"/>
        <v>18.31996354018073</v>
      </c>
      <c r="AL30" s="20">
        <f t="shared" si="4"/>
        <v>144.37528439519934</v>
      </c>
      <c r="AM30" s="59">
        <f t="shared" si="5"/>
        <v>434.04195106186603</v>
      </c>
      <c r="AN30" s="59">
        <f ca="1">AVERAGE(OFFSET($AM$3,0,0,'Données projet'!$E$10+1,1))-AVERAGE(OFFSET($H$3,0,0,'Données projet'!$E$10+1,1))</f>
        <v>733.95677909577444</v>
      </c>
      <c r="AO30" s="59">
        <f t="shared" si="36"/>
        <v>264.63778993239799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0</v>
      </c>
      <c r="AW30" s="21">
        <f>EXP(-LN(2)/2)*AW29+(1-EXP(-LN(2)/2))/(LN(2)/2)*AQ30*AT30*VLOOKUP('Données projet'!$B$10,Paramètres!$A$1:$I$89,3,0)*0.475*44/12</f>
        <v>0</v>
      </c>
      <c r="AX30" s="21">
        <f t="shared" si="6"/>
        <v>0</v>
      </c>
      <c r="AY30" s="7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2">
        <f>VLOOKUP(A30,'Données projet'!$A$87:$I$107,2,0)</f>
        <v>261</v>
      </c>
      <c r="BB30" s="12">
        <f>VLOOKUP(A30,'Données projet'!$A$87:$I$107,9,0)</f>
        <v>17</v>
      </c>
      <c r="BC30" s="12">
        <f t="array" ref="BC30">INDEX(BB:BB,MIN(IF(ISNUMBER(BB30:BB226),ROW(BB30:BB226),"")))</f>
        <v>17</v>
      </c>
      <c r="BD30" s="12">
        <f>IF('Données projet'!$A$88&gt;35,BD29+BC30-BL29,IF(A30&lt;'Données projet'!$A$88,$BA$205^A30,IF(A30='Données projet'!$A$88,'Données projet'!$B$88,BD29+BC30-BL29)))</f>
        <v>261</v>
      </c>
      <c r="BE30" s="13">
        <f>BD30*VLOOKUP('Données projet'!$B$11,Paramètres!$A$1:$I$89,3,0)*VLOOKUP('Données projet'!$B$11,Paramètres!$A$1:$I$89,5,0)</f>
        <v>156.078</v>
      </c>
      <c r="BF30" s="13">
        <f t="shared" si="37"/>
        <v>39.956623674978466</v>
      </c>
      <c r="BG30" s="20">
        <f t="shared" si="7"/>
        <v>341.42696956725416</v>
      </c>
      <c r="BH30" s="59">
        <f t="shared" si="8"/>
        <v>631.09363623392085</v>
      </c>
      <c r="BI30" s="59">
        <f ca="1">AVERAGE(OFFSET($BH$3,0,0,'Données projet'!$E$11+1,1))-AVERAGE(OFFSET($H$3,0,0,'Données projet'!$E$11+1,1))</f>
        <v>187.80389738728508</v>
      </c>
      <c r="BJ30" s="59">
        <f t="shared" si="38"/>
        <v>439.28159165815265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14.011734417439989</v>
      </c>
      <c r="BQ30" s="21">
        <f>EXP(-LN(2)/25)*BQ29+(1-EXP(-LN(2)/25))/(LN(2)/25)*Calculateur!BL30*Calculateur!BN30*VLOOKUP('Données projet'!$B$11,Paramètres!$A$1:$I$89,3,0)*0.475*44/12</f>
        <v>15.624323569465696</v>
      </c>
      <c r="BR30" s="21">
        <f>EXP(-LN(2)/2)*BR29+(1-EXP(-LN(2)/2))/(LN(2)/2)*BL30*BO30*VLOOKUP('Données projet'!$B$11,Paramètres!$A$1:$I$89,3,0)*0.475*44/12</f>
        <v>0.12717175736062727</v>
      </c>
      <c r="BS30" s="22">
        <f t="shared" si="9"/>
        <v>29.763229744266312</v>
      </c>
      <c r="BT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0</v>
      </c>
      <c r="BY30" s="12">
        <f>IF('Données projet'!$A$114&gt;35,BY29+BX30-CG29,IF(A30&lt;'Données projet'!$A$114,$BV$205^A30,IF(A30='Données projet'!$A$114,'Données projet'!$B$114,BY29+BX30-CG29)))</f>
        <v>0</v>
      </c>
      <c r="BZ30" s="13" t="e">
        <f>BY30*VLOOKUP('Données projet'!$B$12,Paramètres!$A$1:$I$89,3,0)*VLOOKUP('Données projet'!$B$12,Paramètres!$A$1:$I$89,5,0)</f>
        <v>#N/A</v>
      </c>
      <c r="CA30" s="13" t="e">
        <f t="shared" si="39"/>
        <v>#N/A</v>
      </c>
      <c r="CB30" s="20" t="e">
        <f t="shared" si="10"/>
        <v>#N/A</v>
      </c>
      <c r="CC30" s="59" t="e">
        <f t="shared" si="11"/>
        <v>#N/A</v>
      </c>
      <c r="CD30" s="59" t="e">
        <f ca="1">AVERAGE(OFFSET($CC$3,0,0,'Données projet'!$E$12+1,1))-AVERAGE(OFFSET($H$3,0,0,'Données projet'!$E$12+1,1))</f>
        <v>#N/A</v>
      </c>
      <c r="CE30" s="59" t="e">
        <f t="shared" si="40"/>
        <v>#N/A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 t="e">
        <f>EXP(-LN(2)/35)*CK29+(1-EXP(-LN(2)/35))/(LN(2)/35)*CG30*CH30*VLOOKUP('Données projet'!$B$12,Paramètres!$A$1:$I$89,3,0)*0.475*44/12</f>
        <v>#N/A</v>
      </c>
      <c r="CL30" s="21" t="e">
        <f>EXP(-LN(2)/25)*CL29+(1-EXP(-LN(2)/25))/(LN(2)/25)*Calculateur!CG30*Calculateur!CI30*VLOOKUP('Données projet'!$B$12,Paramètres!$A$1:$I$89,3,0)*0.475*44/12</f>
        <v>#N/A</v>
      </c>
      <c r="CM30" s="21" t="e">
        <f>EXP(-LN(2)/2)*CM29+(1-EXP(-LN(2)/2))/(LN(2)/2)*CG30*CJ30*VLOOKUP('Données projet'!$B$12,Paramètres!$A$1:$I$89,3,0)*0.475*44/12</f>
        <v>#N/A</v>
      </c>
      <c r="CN30" s="22" t="e">
        <f t="shared" si="12"/>
        <v>#N/A</v>
      </c>
      <c r="CO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5">
      <c r="A31" s="10">
        <f t="shared" si="31"/>
        <v>28</v>
      </c>
      <c r="B31" s="72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1">
        <f t="shared" si="32"/>
        <v>0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66">
        <f t="shared" si="1"/>
        <v>256.66666666666669</v>
      </c>
      <c r="I31" s="6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3.6141025633333332</v>
      </c>
      <c r="N31" s="13">
        <f>IF('Données projet'!$A$36&gt;35,N30+M31-V30,IF(A31&lt;'Données projet'!$A$36,$K$205^A31,IF(A31='Données projet'!$A$36,'Données projet'!$B$36,N30+M31-V30)))</f>
        <v>79.33173380575721</v>
      </c>
      <c r="O31" s="13">
        <f>N31*VLOOKUP('Données projet'!$B$9,Paramètres!$A$1:$I$89,3,0)*VLOOKUP('Données projet'!$B$9,Paramètres!$A$1:$I$89,5,0)</f>
        <v>71.77935274744911</v>
      </c>
      <c r="P31" s="13">
        <f t="shared" si="33"/>
        <v>20.114685959257653</v>
      </c>
      <c r="Q31" s="20">
        <f t="shared" si="2"/>
        <v>160.04878408084764</v>
      </c>
      <c r="R31" s="59">
        <f t="shared" si="0"/>
        <v>450.93767296973647</v>
      </c>
      <c r="S31" s="59">
        <f ca="1">AVERAGE(OFFSET($R$3,0,0,'Données projet'!$E$9+1,1))-AVERAGE(OFFSET($H$3,0,0,'Données projet'!$E$9+1,1))</f>
        <v>700.22008319944644</v>
      </c>
      <c r="T31" s="59">
        <f t="shared" si="34"/>
        <v>253.69632671986739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0</v>
      </c>
      <c r="AA31" s="21">
        <f>EXP(-LN(2)/25)*AA30+(1-EXP(-LN(2)/25))/(LN(2)/25)*Calculateur!V31*Calculateur!X31*VLOOKUP('Données projet'!$B$9,Paramètres!$A$1:$I$89,3,0)*0.475*44/12</f>
        <v>0</v>
      </c>
      <c r="AB31" s="21">
        <f>EXP(-LN(2)/2)*AB30+(1-EXP(-LN(2)/2))/(LN(2)/2)*V31*Y31*VLOOKUP('Données projet'!$B$9,Paramètres!$A$1:$I$89,3,0)*0.475*44/12</f>
        <v>0</v>
      </c>
      <c r="AC31" s="22">
        <f t="shared" si="3"/>
        <v>0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3.6141025633333332</v>
      </c>
      <c r="AI31" s="13">
        <f>IF('Données projet'!$A$62&gt;35,AI30+AH31-AQ30,IF(A31&lt;'Données projet'!$A$62,$AF$205^A31,IF(A31='Données projet'!$A$62,'Données projet'!$B$62,AI30+AH31-AQ30)))</f>
        <v>79.33173380575721</v>
      </c>
      <c r="AJ31" s="13">
        <f>AI31*VLOOKUP('Données projet'!$B$10,Paramètres!$A$1:$I$89,3,0)*VLOOKUP('Données projet'!$B$10,Paramètres!$A$1:$I$89,5,0)</f>
        <v>75.492077889558558</v>
      </c>
      <c r="AK31" s="13">
        <f t="shared" si="35"/>
        <v>21.031280883004527</v>
      </c>
      <c r="AL31" s="20">
        <f t="shared" si="4"/>
        <v>168.11151652888068</v>
      </c>
      <c r="AM31" s="59">
        <f t="shared" si="5"/>
        <v>459.00040541776957</v>
      </c>
      <c r="AN31" s="59">
        <f ca="1">AVERAGE(OFFSET($AM$3,0,0,'Données projet'!$E$10+1,1))-AVERAGE(OFFSET($H$3,0,0,'Données projet'!$E$10+1,1))</f>
        <v>733.95677909577444</v>
      </c>
      <c r="AO31" s="59">
        <f t="shared" si="36"/>
        <v>264.63778993239799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0</v>
      </c>
      <c r="AW31" s="21">
        <f>EXP(-LN(2)/2)*AW30+(1-EXP(-LN(2)/2))/(LN(2)/2)*AQ31*AT31*VLOOKUP('Données projet'!$B$10,Paramètres!$A$1:$I$89,3,0)*0.475*44/12</f>
        <v>0</v>
      </c>
      <c r="AX31" s="21">
        <f t="shared" si="6"/>
        <v>0</v>
      </c>
      <c r="AY31" s="7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2">
        <f>VLOOKUP(A31,'Données projet'!$A$87:$I$107,2,0)</f>
        <v>277</v>
      </c>
      <c r="BB31" s="12">
        <f>VLOOKUP(A31,'Données projet'!$A$87:$I$107,9,0)</f>
        <v>16</v>
      </c>
      <c r="BC31" s="12">
        <f t="array" ref="BC31">INDEX(BB:BB,MIN(IF(ISNUMBER(BB31:BB227),ROW(BB31:BB227),"")))</f>
        <v>16</v>
      </c>
      <c r="BD31" s="12">
        <f>IF('Données projet'!$A$88&gt;35,BD30+BC31-BL30,IF(A31&lt;'Données projet'!$A$88,$BA$205^A31,IF(A31='Données projet'!$A$88,'Données projet'!$B$88,BD30+BC31-BL30)))</f>
        <v>277</v>
      </c>
      <c r="BE31" s="13">
        <f>BD31*VLOOKUP('Données projet'!$B$11,Paramètres!$A$1:$I$89,3,0)*VLOOKUP('Données projet'!$B$11,Paramètres!$A$1:$I$89,5,0)</f>
        <v>165.64600000000002</v>
      </c>
      <c r="BF31" s="13">
        <f t="shared" si="37"/>
        <v>42.113404814327666</v>
      </c>
      <c r="BG31" s="20">
        <f t="shared" si="7"/>
        <v>361.84763005162068</v>
      </c>
      <c r="BH31" s="59">
        <f t="shared" si="8"/>
        <v>652.73651894050954</v>
      </c>
      <c r="BI31" s="59">
        <f ca="1">AVERAGE(OFFSET($BH$3,0,0,'Données projet'!$E$11+1,1))-AVERAGE(OFFSET($H$3,0,0,'Données projet'!$E$11+1,1))</f>
        <v>187.80389738728508</v>
      </c>
      <c r="BJ31" s="59">
        <f t="shared" si="38"/>
        <v>439.28159165815265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13.736972851828106</v>
      </c>
      <c r="BQ31" s="21">
        <f>EXP(-LN(2)/25)*BQ30+(1-EXP(-LN(2)/25))/(LN(2)/25)*Calculateur!BL31*Calculateur!BN31*VLOOKUP('Données projet'!$B$11,Paramètres!$A$1:$I$89,3,0)*0.475*44/12</f>
        <v>15.197075619811191</v>
      </c>
      <c r="BR31" s="21">
        <f>EXP(-LN(2)/2)*BR30+(1-EXP(-LN(2)/2))/(LN(2)/2)*BL31*BO31*VLOOKUP('Données projet'!$B$11,Paramètres!$A$1:$I$89,3,0)*0.475*44/12</f>
        <v>8.9924012005109785E-2</v>
      </c>
      <c r="BS31" s="22">
        <f t="shared" si="9"/>
        <v>29.023972483644407</v>
      </c>
      <c r="BT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0</v>
      </c>
      <c r="BY31" s="12">
        <f>IF('Données projet'!$A$114&gt;35,BY30+BX31-CG30,IF(A31&lt;'Données projet'!$A$114,$BV$205^A31,IF(A31='Données projet'!$A$114,'Données projet'!$B$114,BY30+BX31-CG30)))</f>
        <v>0</v>
      </c>
      <c r="BZ31" s="13" t="e">
        <f>BY31*VLOOKUP('Données projet'!$B$12,Paramètres!$A$1:$I$89,3,0)*VLOOKUP('Données projet'!$B$12,Paramètres!$A$1:$I$89,5,0)</f>
        <v>#N/A</v>
      </c>
      <c r="CA31" s="13" t="e">
        <f t="shared" si="39"/>
        <v>#N/A</v>
      </c>
      <c r="CB31" s="20" t="e">
        <f t="shared" si="10"/>
        <v>#N/A</v>
      </c>
      <c r="CC31" s="59" t="e">
        <f t="shared" si="11"/>
        <v>#N/A</v>
      </c>
      <c r="CD31" s="59" t="e">
        <f ca="1">AVERAGE(OFFSET($CC$3,0,0,'Données projet'!$E$12+1,1))-AVERAGE(OFFSET($H$3,0,0,'Données projet'!$E$12+1,1))</f>
        <v>#N/A</v>
      </c>
      <c r="CE31" s="59" t="e">
        <f t="shared" si="40"/>
        <v>#N/A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 t="e">
        <f>EXP(-LN(2)/35)*CK30+(1-EXP(-LN(2)/35))/(LN(2)/35)*CG31*CH31*VLOOKUP('Données projet'!$B$12,Paramètres!$A$1:$I$89,3,0)*0.475*44/12</f>
        <v>#N/A</v>
      </c>
      <c r="CL31" s="21" t="e">
        <f>EXP(-LN(2)/25)*CL30+(1-EXP(-LN(2)/25))/(LN(2)/25)*Calculateur!CG31*Calculateur!CI31*VLOOKUP('Données projet'!$B$12,Paramètres!$A$1:$I$89,3,0)*0.475*44/12</f>
        <v>#N/A</v>
      </c>
      <c r="CM31" s="21" t="e">
        <f>EXP(-LN(2)/2)*CM30+(1-EXP(-LN(2)/2))/(LN(2)/2)*CG31*CJ31*VLOOKUP('Données projet'!$B$12,Paramètres!$A$1:$I$89,3,0)*0.475*44/12</f>
        <v>#N/A</v>
      </c>
      <c r="CN31" s="22" t="e">
        <f t="shared" si="12"/>
        <v>#N/A</v>
      </c>
      <c r="CO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5">
      <c r="A32" s="10">
        <f t="shared" si="31"/>
        <v>29</v>
      </c>
      <c r="B32" s="72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1">
        <f t="shared" si="32"/>
        <v>0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66">
        <f t="shared" si="1"/>
        <v>256.66666666666669</v>
      </c>
      <c r="I32" s="6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3.6141025633333332</v>
      </c>
      <c r="N32" s="13">
        <f>IF('Données projet'!$A$36&gt;35,N31+M32-V31,IF(A32&lt;'Données projet'!$A$36,$K$205^A32,IF(A32='Données projet'!$A$36,'Données projet'!$B$36,N31+M32-V31)))</f>
        <v>92.743682669128148</v>
      </c>
      <c r="O32" s="13">
        <f>N32*VLOOKUP('Données projet'!$B$9,Paramètres!$A$1:$I$89,3,0)*VLOOKUP('Données projet'!$B$9,Paramètres!$A$1:$I$89,5,0)</f>
        <v>83.914484079027147</v>
      </c>
      <c r="P32" s="13">
        <f t="shared" si="33"/>
        <v>23.09161856980429</v>
      </c>
      <c r="Q32" s="20">
        <f t="shared" si="2"/>
        <v>186.3689621133814</v>
      </c>
      <c r="R32" s="59">
        <f t="shared" si="0"/>
        <v>478.48007322449257</v>
      </c>
      <c r="S32" s="59">
        <f ca="1">AVERAGE(OFFSET($R$3,0,0,'Données projet'!$E$9+1,1))-AVERAGE(OFFSET($H$3,0,0,'Données projet'!$E$9+1,1))</f>
        <v>700.22008319944644</v>
      </c>
      <c r="T32" s="59">
        <f t="shared" si="34"/>
        <v>253.69632671986739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0</v>
      </c>
      <c r="AA32" s="21">
        <f>EXP(-LN(2)/25)*AA31+(1-EXP(-LN(2)/25))/(LN(2)/25)*Calculateur!V32*Calculateur!X32*VLOOKUP('Données projet'!$B$9,Paramètres!$A$1:$I$89,3,0)*0.475*44/12</f>
        <v>0</v>
      </c>
      <c r="AB32" s="21">
        <f>EXP(-LN(2)/2)*AB31+(1-EXP(-LN(2)/2))/(LN(2)/2)*V32*Y32*VLOOKUP('Données projet'!$B$9,Paramètres!$A$1:$I$89,3,0)*0.475*44/12</f>
        <v>0</v>
      </c>
      <c r="AC32" s="22">
        <f t="shared" si="3"/>
        <v>0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3.6141025633333332</v>
      </c>
      <c r="AI32" s="13">
        <f>IF('Données projet'!$A$62&gt;35,AI31+AH32-AQ31,IF(A32&lt;'Données projet'!$A$62,$AF$205^A32,IF(A32='Données projet'!$A$62,'Données projet'!$B$62,AI31+AH32-AQ31)))</f>
        <v>92.743682669128148</v>
      </c>
      <c r="AJ32" s="13">
        <f>AI32*VLOOKUP('Données projet'!$B$10,Paramètres!$A$1:$I$89,3,0)*VLOOKUP('Données projet'!$B$10,Paramètres!$A$1:$I$89,5,0)</f>
        <v>88.254888427942348</v>
      </c>
      <c r="AK32" s="13">
        <f t="shared" si="35"/>
        <v>24.143867677995821</v>
      </c>
      <c r="AL32" s="20">
        <f t="shared" si="4"/>
        <v>195.76116688450895</v>
      </c>
      <c r="AM32" s="59">
        <f t="shared" si="5"/>
        <v>487.8722779956201</v>
      </c>
      <c r="AN32" s="59">
        <f ca="1">AVERAGE(OFFSET($AM$3,0,0,'Données projet'!$E$10+1,1))-AVERAGE(OFFSET($H$3,0,0,'Données projet'!$E$10+1,1))</f>
        <v>733.95677909577444</v>
      </c>
      <c r="AO32" s="59">
        <f t="shared" si="36"/>
        <v>264.63778993239799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0</v>
      </c>
      <c r="AW32" s="21">
        <f>EXP(-LN(2)/2)*AW31+(1-EXP(-LN(2)/2))/(LN(2)/2)*AQ32*AT32*VLOOKUP('Données projet'!$B$10,Paramètres!$A$1:$I$89,3,0)*0.475*44/12</f>
        <v>0</v>
      </c>
      <c r="AX32" s="21">
        <f t="shared" si="6"/>
        <v>0</v>
      </c>
      <c r="AY32" s="7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2">
        <f>VLOOKUP(A32,'Données projet'!$A$87:$I$107,2,0)</f>
        <v>293</v>
      </c>
      <c r="BB32" s="12">
        <f>VLOOKUP(A32,'Données projet'!$A$87:$I$107,9,0)</f>
        <v>16</v>
      </c>
      <c r="BC32" s="12">
        <f t="array" ref="BC32">INDEX(BB:BB,MIN(IF(ISNUMBER(BB32:BB228),ROW(BB32:BB228),"")))</f>
        <v>16</v>
      </c>
      <c r="BD32" s="12">
        <f>IF('Données projet'!$A$88&gt;35,BD31+BC32-BL31,IF(A32&lt;'Données projet'!$A$88,$BA$205^A32,IF(A32='Données projet'!$A$88,'Données projet'!$B$88,BD31+BC32-BL31)))</f>
        <v>293</v>
      </c>
      <c r="BE32" s="13">
        <f>BD32*VLOOKUP('Données projet'!$B$11,Paramètres!$A$1:$I$89,3,0)*VLOOKUP('Données projet'!$B$11,Paramètres!$A$1:$I$89,5,0)</f>
        <v>175.214</v>
      </c>
      <c r="BF32" s="13">
        <f t="shared" si="37"/>
        <v>44.255725061661991</v>
      </c>
      <c r="BG32" s="20">
        <f t="shared" si="7"/>
        <v>382.24310448239459</v>
      </c>
      <c r="BH32" s="59">
        <f t="shared" si="8"/>
        <v>674.35421559350573</v>
      </c>
      <c r="BI32" s="59">
        <f ca="1">AVERAGE(OFFSET($BH$3,0,0,'Données projet'!$E$11+1,1))-AVERAGE(OFFSET($H$3,0,0,'Données projet'!$E$11+1,1))</f>
        <v>187.80389738728508</v>
      </c>
      <c r="BJ32" s="59">
        <f t="shared" si="38"/>
        <v>439.28159165815265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13.467599192929866</v>
      </c>
      <c r="BQ32" s="21">
        <f>EXP(-LN(2)/25)*BQ31+(1-EXP(-LN(2)/25))/(LN(2)/25)*Calculateur!BL32*Calculateur!BN32*VLOOKUP('Données projet'!$B$11,Paramètres!$A$1:$I$89,3,0)*0.475*44/12</f>
        <v>14.78151078780798</v>
      </c>
      <c r="BR32" s="21">
        <f>EXP(-LN(2)/2)*BR31+(1-EXP(-LN(2)/2))/(LN(2)/2)*BL32*BO32*VLOOKUP('Données projet'!$B$11,Paramètres!$A$1:$I$89,3,0)*0.475*44/12</f>
        <v>6.3585878680313637E-2</v>
      </c>
      <c r="BS32" s="22">
        <f t="shared" si="9"/>
        <v>28.312695859418159</v>
      </c>
      <c r="BT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0</v>
      </c>
      <c r="BY32" s="12">
        <f>IF('Données projet'!$A$114&gt;35,BY31+BX32-CG31,IF(A32&lt;'Données projet'!$A$114,$BV$205^A32,IF(A32='Données projet'!$A$114,'Données projet'!$B$114,BY31+BX32-CG31)))</f>
        <v>0</v>
      </c>
      <c r="BZ32" s="13" t="e">
        <f>BY32*VLOOKUP('Données projet'!$B$12,Paramètres!$A$1:$I$89,3,0)*VLOOKUP('Données projet'!$B$12,Paramètres!$A$1:$I$89,5,0)</f>
        <v>#N/A</v>
      </c>
      <c r="CA32" s="13" t="e">
        <f t="shared" si="39"/>
        <v>#N/A</v>
      </c>
      <c r="CB32" s="20" t="e">
        <f t="shared" si="10"/>
        <v>#N/A</v>
      </c>
      <c r="CC32" s="59" t="e">
        <f t="shared" si="11"/>
        <v>#N/A</v>
      </c>
      <c r="CD32" s="59" t="e">
        <f ca="1">AVERAGE(OFFSET($CC$3,0,0,'Données projet'!$E$12+1,1))-AVERAGE(OFFSET($H$3,0,0,'Données projet'!$E$12+1,1))</f>
        <v>#N/A</v>
      </c>
      <c r="CE32" s="59" t="e">
        <f t="shared" si="40"/>
        <v>#N/A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 t="e">
        <f>EXP(-LN(2)/35)*CK31+(1-EXP(-LN(2)/35))/(LN(2)/35)*CG32*CH32*VLOOKUP('Données projet'!$B$12,Paramètres!$A$1:$I$89,3,0)*0.475*44/12</f>
        <v>#N/A</v>
      </c>
      <c r="CL32" s="21" t="e">
        <f>EXP(-LN(2)/25)*CL31+(1-EXP(-LN(2)/25))/(LN(2)/25)*Calculateur!CG32*Calculateur!CI32*VLOOKUP('Données projet'!$B$12,Paramètres!$A$1:$I$89,3,0)*0.475*44/12</f>
        <v>#N/A</v>
      </c>
      <c r="CM32" s="21" t="e">
        <f>EXP(-LN(2)/2)*CM31+(1-EXP(-LN(2)/2))/(LN(2)/2)*CG32*CJ32*VLOOKUP('Données projet'!$B$12,Paramètres!$A$1:$I$89,3,0)*0.475*44/12</f>
        <v>#N/A</v>
      </c>
      <c r="CN32" s="22" t="e">
        <f t="shared" si="12"/>
        <v>#N/A</v>
      </c>
      <c r="CO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5">
      <c r="A33" s="10">
        <f t="shared" si="31"/>
        <v>30</v>
      </c>
      <c r="B33" s="72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1">
        <f t="shared" si="32"/>
        <v>0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66">
        <f t="shared" si="1"/>
        <v>256.66666666666669</v>
      </c>
      <c r="I33" s="6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108.4230769</v>
      </c>
      <c r="L33" s="12">
        <f>VLOOKUP(A33,'Données projet'!$A$35:$I$55,9,0)</f>
        <v>3.6141025633333332</v>
      </c>
      <c r="M33" s="12">
        <f t="array" ref="M33">INDEX(L:L,MIN(IF(ISNUMBER(L33:L229),ROW(L33:L229),"")))</f>
        <v>3.6141025633333332</v>
      </c>
      <c r="N33" s="13">
        <f>IF('Données projet'!$A$36&gt;35,N32+M33-V32,IF(A33&lt;'Données projet'!$A$36,$K$205^A33,IF(A33='Données projet'!$A$36,'Données projet'!$B$36,N32+M33-V32)))</f>
        <v>108.4230769</v>
      </c>
      <c r="O33" s="13">
        <f>N33*VLOOKUP('Données projet'!$B$9,Paramètres!$A$1:$I$89,3,0)*VLOOKUP('Données projet'!$B$9,Paramètres!$A$1:$I$89,5,0)</f>
        <v>98.101199979119997</v>
      </c>
      <c r="P33" s="13">
        <f t="shared" si="33"/>
        <v>26.509131151904384</v>
      </c>
      <c r="Q33" s="20">
        <f t="shared" si="2"/>
        <v>217.02966005320079</v>
      </c>
      <c r="R33" s="59">
        <f t="shared" si="0"/>
        <v>510.36299338653407</v>
      </c>
      <c r="S33" s="59">
        <f ca="1">AVERAGE(OFFSET($R$3,0,0,'Données projet'!$E$9+1,1))-AVERAGE(OFFSET($H$3,0,0,'Données projet'!$E$9+1,1))</f>
        <v>700.22008319944644</v>
      </c>
      <c r="T33" s="59">
        <f t="shared" si="34"/>
        <v>253.69632671986739</v>
      </c>
      <c r="U33" s="15">
        <f>IF(ISNA(VLOOKUP(A33,'Données projet'!$A$35:$I$55,3,0)),0,VLOOKUP(A33,'Données projet'!$A$35:$I$55,3,0))</f>
        <v>0</v>
      </c>
      <c r="V33" s="15">
        <f>IF(ISNA(VLOOKUP(A33,'Données projet'!$A$35:$I$55,4,0)),0,VLOOKUP(A33,'Données projet'!$A$35:$I$55,4,0))</f>
        <v>0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0</v>
      </c>
      <c r="AA33" s="21">
        <f>EXP(-LN(2)/25)*AA32+(1-EXP(-LN(2)/25))/(LN(2)/25)*Calculateur!V33*Calculateur!X33*VLOOKUP('Données projet'!$B$9,Paramètres!$A$1:$I$89,3,0)*0.475*44/12</f>
        <v>0</v>
      </c>
      <c r="AB33" s="21">
        <f>EXP(-LN(2)/2)*AB32+(1-EXP(-LN(2)/2))/(LN(2)/2)*V33*Y33*VLOOKUP('Données projet'!$B$9,Paramètres!$A$1:$I$89,3,0)*0.475*44/12</f>
        <v>0</v>
      </c>
      <c r="AC33" s="22">
        <f t="shared" si="3"/>
        <v>0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108.4230769</v>
      </c>
      <c r="AG33" s="12">
        <f>VLOOKUP(A33,'Données projet'!$A$61:$I$81,9,0)</f>
        <v>3.6141025633333332</v>
      </c>
      <c r="AH33" s="12">
        <f t="array" ref="AH33">INDEX(AG:AG,MIN(IF(ISNUMBER(AG33:AG229),ROW(AG33:AG229),"")))</f>
        <v>3.6141025633333332</v>
      </c>
      <c r="AI33" s="13">
        <f>IF('Données projet'!$A$62&gt;35,AI32+AH33-AQ32,IF(A33&lt;'Données projet'!$A$62,$AF$205^A33,IF(A33='Données projet'!$A$62,'Données projet'!$B$62,AI32+AH33-AQ32)))</f>
        <v>108.4230769</v>
      </c>
      <c r="AJ33" s="13">
        <f>AI33*VLOOKUP('Données projet'!$B$10,Paramètres!$A$1:$I$89,3,0)*VLOOKUP('Données projet'!$B$10,Paramètres!$A$1:$I$89,5,0)</f>
        <v>103.17539997803999</v>
      </c>
      <c r="AK33" s="13">
        <f t="shared" si="35"/>
        <v>27.717110987930202</v>
      </c>
      <c r="AL33" s="20">
        <f t="shared" si="4"/>
        <v>227.97112326573142</v>
      </c>
      <c r="AM33" s="59">
        <f t="shared" si="5"/>
        <v>521.30445659906468</v>
      </c>
      <c r="AN33" s="59">
        <f ca="1">AVERAGE(OFFSET($AM$3,0,0,'Données projet'!$E$10+1,1))-AVERAGE(OFFSET($H$3,0,0,'Données projet'!$E$10+1,1))</f>
        <v>733.95677909577444</v>
      </c>
      <c r="AO33" s="59">
        <f t="shared" si="36"/>
        <v>264.63778993239799</v>
      </c>
      <c r="AP33" s="15">
        <f>IF(ISNA(VLOOKUP(A33,'Données projet'!$A$61:$I$81,3,0)),0,VLOOKUP(A33,'Données projet'!$A$61:$I$81,3,0))</f>
        <v>0</v>
      </c>
      <c r="AQ33" s="15">
        <f>IF(ISNA(VLOOKUP(A33,'Données projet'!$A$61:$I$81,4,0)),0,VLOOKUP(A33,'Données projet'!$A$61:$I$81,4,0))</f>
        <v>0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0</v>
      </c>
      <c r="AV33" s="21">
        <f>EXP(-LN(2)/25)*AV32+(1-EXP(-LN(2)/25))/(LN(2)/25)*Calculateur!AQ33*Calculateur!AS33*VLOOKUP('Données projet'!$B$10,Paramètres!$A$1:$I$89,3,0)*0.475*44/12</f>
        <v>0</v>
      </c>
      <c r="AW33" s="21">
        <f>EXP(-LN(2)/2)*AW32+(1-EXP(-LN(2)/2))/(LN(2)/2)*AQ33*AT33*VLOOKUP('Données projet'!$B$10,Paramètres!$A$1:$I$89,3,0)*0.475*44/12</f>
        <v>0</v>
      </c>
      <c r="AX33" s="21">
        <f t="shared" si="6"/>
        <v>0</v>
      </c>
      <c r="AY33" s="7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>
        <f>VLOOKUP(A33,'Données projet'!$A$87:$I$107,2,0)</f>
        <v>309</v>
      </c>
      <c r="BB33" s="12">
        <f>VLOOKUP(A33,'Données projet'!$A$87:$I$107,9,0)</f>
        <v>16</v>
      </c>
      <c r="BC33" s="12">
        <f t="array" ref="BC33">INDEX(BB:BB,MIN(IF(ISNUMBER(BB33:BB229),ROW(BB33:BB229),"")))</f>
        <v>16</v>
      </c>
      <c r="BD33" s="12">
        <f>IF('Données projet'!$A$88&gt;35,BD32+BC33-BL32,IF(A33&lt;'Données projet'!$A$88,$BA$205^A33,IF(A33='Données projet'!$A$88,'Données projet'!$B$88,BD32+BC33-BL32)))</f>
        <v>309</v>
      </c>
      <c r="BE33" s="13">
        <f>BD33*VLOOKUP('Données projet'!$B$11,Paramètres!$A$1:$I$89,3,0)*VLOOKUP('Données projet'!$B$11,Paramètres!$A$1:$I$89,5,0)</f>
        <v>184.78200000000004</v>
      </c>
      <c r="BF33" s="13">
        <f t="shared" si="37"/>
        <v>46.384464109944147</v>
      </c>
      <c r="BG33" s="20">
        <f t="shared" si="7"/>
        <v>402.61492499148608</v>
      </c>
      <c r="BH33" s="59">
        <f t="shared" si="8"/>
        <v>695.94825832481934</v>
      </c>
      <c r="BI33" s="59">
        <f ca="1">AVERAGE(OFFSET($BH$3,0,0,'Données projet'!$E$11+1,1))-AVERAGE(OFFSET($H$3,0,0,'Données projet'!$E$11+1,1))</f>
        <v>187.80389738728508</v>
      </c>
      <c r="BJ33" s="59">
        <f t="shared" si="38"/>
        <v>439.28159165815265</v>
      </c>
      <c r="BK33" s="15">
        <f>IF(ISNA(VLOOKUP(A33,'Données projet'!$A$87:$I$107,3,0)),0,VLOOKUP(A33,'Données projet'!$A$87:$I$107,3,0))</f>
        <v>4</v>
      </c>
      <c r="BL33" s="15">
        <f>IF(ISNA(VLOOKUP(A33,'Données projet'!$A$87:$I$107,4,0)),0,VLOOKUP(A33,'Données projet'!$A$87:$I$107,4,0))</f>
        <v>309</v>
      </c>
      <c r="BM33" s="16">
        <f>IF(ISNA(VLOOKUP(A33,'Données projet'!$A$87:$I$107,5,0)),0%,VLOOKUP(A33,'Données projet'!$A$87:$I$107,5,0)*VLOOKUP('Données projet'!$B$11,Paramètres!$A$1:$I$89,7,0))</f>
        <v>0.45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>
        <f>EXP(-LN(2)/35)*BP32+(1-EXP(-LN(2)/35))/(LN(2)/35)*BL33*BM33*VLOOKUP('Données projet'!$B$11,Paramètres!$A$1:$I$89,3,0)*0.475*44/12</f>
        <v>123.50986272944402</v>
      </c>
      <c r="BQ33" s="21">
        <f>EXP(-LN(2)/25)*BQ32+(1-EXP(-LN(2)/25))/(LN(2)/25)*Calculateur!BL33*Calculateur!BN33*VLOOKUP('Données projet'!$B$11,Paramètres!$A$1:$I$89,3,0)*0.475*44/12</f>
        <v>14.377309597989502</v>
      </c>
      <c r="BR33" s="21">
        <f>EXP(-LN(2)/2)*BR32+(1-EXP(-LN(2)/2))/(LN(2)/2)*BL33*BO33*VLOOKUP('Données projet'!$B$11,Paramètres!$A$1:$I$89,3,0)*0.475*44/12</f>
        <v>4.4962006002554893E-2</v>
      </c>
      <c r="BS33" s="22">
        <f t="shared" si="9"/>
        <v>137.93213433343607</v>
      </c>
      <c r="BT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0</v>
      </c>
      <c r="BY33" s="12">
        <f>IF('Données projet'!$A$114&gt;35,BY32+BX33-CG32,IF(A33&lt;'Données projet'!$A$114,$BV$205^A33,IF(A33='Données projet'!$A$114,'Données projet'!$B$114,BY32+BX33-CG32)))</f>
        <v>0</v>
      </c>
      <c r="BZ33" s="13" t="e">
        <f>BY33*VLOOKUP('Données projet'!$B$12,Paramètres!$A$1:$I$89,3,0)*VLOOKUP('Données projet'!$B$12,Paramètres!$A$1:$I$89,5,0)</f>
        <v>#N/A</v>
      </c>
      <c r="CA33" s="13" t="e">
        <f t="shared" si="39"/>
        <v>#N/A</v>
      </c>
      <c r="CB33" s="20" t="e">
        <f t="shared" si="10"/>
        <v>#N/A</v>
      </c>
      <c r="CC33" s="59" t="e">
        <f t="shared" si="11"/>
        <v>#N/A</v>
      </c>
      <c r="CD33" s="59" t="e">
        <f ca="1">AVERAGE(OFFSET($CC$3,0,0,'Données projet'!$E$12+1,1))-AVERAGE(OFFSET($H$3,0,0,'Données projet'!$E$12+1,1))</f>
        <v>#N/A</v>
      </c>
      <c r="CE33" s="59" t="e">
        <f t="shared" si="40"/>
        <v>#N/A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 t="e">
        <f>EXP(-LN(2)/35)*CK32+(1-EXP(-LN(2)/35))/(LN(2)/35)*CG33*CH33*VLOOKUP('Données projet'!$B$12,Paramètres!$A$1:$I$89,3,0)*0.475*44/12</f>
        <v>#N/A</v>
      </c>
      <c r="CL33" s="21" t="e">
        <f>EXP(-LN(2)/25)*CL32+(1-EXP(-LN(2)/25))/(LN(2)/25)*Calculateur!CG33*Calculateur!CI33*VLOOKUP('Données projet'!$B$12,Paramètres!$A$1:$I$89,3,0)*0.475*44/12</f>
        <v>#N/A</v>
      </c>
      <c r="CM33" s="21" t="e">
        <f>EXP(-LN(2)/2)*CM32+(1-EXP(-LN(2)/2))/(LN(2)/2)*CG33*CJ33*VLOOKUP('Données projet'!$B$12,Paramètres!$A$1:$I$89,3,0)*0.475*44/12</f>
        <v>#N/A</v>
      </c>
      <c r="CN33" s="22" t="e">
        <f t="shared" si="12"/>
        <v>#N/A</v>
      </c>
      <c r="CO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5">
      <c r="A34" s="10">
        <f t="shared" si="31"/>
        <v>31</v>
      </c>
      <c r="B34" s="72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1">
        <f t="shared" si="32"/>
        <v>0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66">
        <f t="shared" si="1"/>
        <v>256.66666666666669</v>
      </c>
      <c r="I34" s="6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16.154230774999998</v>
      </c>
      <c r="N34" s="13">
        <f>IF('Données projet'!$A$36&gt;35,N33+M34-V33,IF(A34&lt;'Données projet'!$A$36,$K$205^A34,IF(A34='Données projet'!$A$36,'Données projet'!$B$36,N33+M34-V33)))</f>
        <v>124.577307675</v>
      </c>
      <c r="O34" s="13">
        <f>N34*VLOOKUP('Données projet'!$B$9,Paramètres!$A$1:$I$89,3,0)*VLOOKUP('Données projet'!$B$9,Paramètres!$A$1:$I$89,5,0)</f>
        <v>112.71754798433999</v>
      </c>
      <c r="P34" s="13">
        <f t="shared" si="33"/>
        <v>29.97034782116954</v>
      </c>
      <c r="Q34" s="20">
        <f t="shared" si="2"/>
        <v>248.51475186126243</v>
      </c>
      <c r="R34" s="59">
        <f t="shared" si="0"/>
        <v>541.8480851945958</v>
      </c>
      <c r="S34" s="59">
        <f ca="1">AVERAGE(OFFSET($R$3,0,0,'Données projet'!$E$9+1,1))-AVERAGE(OFFSET($H$3,0,0,'Données projet'!$E$9+1,1))</f>
        <v>700.22008319944644</v>
      </c>
      <c r="T34" s="59">
        <f t="shared" si="34"/>
        <v>253.69632671986739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0</v>
      </c>
      <c r="AA34" s="21">
        <f>EXP(-LN(2)/25)*AA33+(1-EXP(-LN(2)/25))/(LN(2)/25)*Calculateur!V34*Calculateur!X34*VLOOKUP('Données projet'!$B$9,Paramètres!$A$1:$I$89,3,0)*0.475*44/12</f>
        <v>0</v>
      </c>
      <c r="AB34" s="21">
        <f>EXP(-LN(2)/2)*AB33+(1-EXP(-LN(2)/2))/(LN(2)/2)*V34*Y34*VLOOKUP('Données projet'!$B$9,Paramètres!$A$1:$I$89,3,0)*0.475*44/12</f>
        <v>0</v>
      </c>
      <c r="AC34" s="22">
        <f t="shared" si="3"/>
        <v>0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16.154230774999998</v>
      </c>
      <c r="AI34" s="13">
        <f>IF('Données projet'!$A$62&gt;35,AI33+AH34-AQ33,IF(A34&lt;'Données projet'!$A$62,$AF$205^A34,IF(A34='Données projet'!$A$62,'Données projet'!$B$62,AI33+AH34-AQ33)))</f>
        <v>124.577307675</v>
      </c>
      <c r="AJ34" s="13">
        <f>AI34*VLOOKUP('Données projet'!$B$10,Paramètres!$A$1:$I$89,3,0)*VLOOKUP('Données projet'!$B$10,Paramètres!$A$1:$I$89,5,0)</f>
        <v>118.54776598353</v>
      </c>
      <c r="AK34" s="13">
        <f t="shared" si="35"/>
        <v>31.336049912241396</v>
      </c>
      <c r="AL34" s="20">
        <f t="shared" si="4"/>
        <v>261.04764601846847</v>
      </c>
      <c r="AM34" s="59">
        <f t="shared" si="5"/>
        <v>554.38097935180178</v>
      </c>
      <c r="AN34" s="59">
        <f ca="1">AVERAGE(OFFSET($AM$3,0,0,'Données projet'!$E$10+1,1))-AVERAGE(OFFSET($H$3,0,0,'Données projet'!$E$10+1,1))</f>
        <v>733.95677909577444</v>
      </c>
      <c r="AO34" s="59">
        <f t="shared" si="36"/>
        <v>264.63778993239799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0</v>
      </c>
      <c r="AV34" s="21">
        <f>EXP(-LN(2)/25)*AV33+(1-EXP(-LN(2)/25))/(LN(2)/25)*Calculateur!AQ34*Calculateur!AS34*VLOOKUP('Données projet'!$B$10,Paramètres!$A$1:$I$89,3,0)*0.475*44/12</f>
        <v>0</v>
      </c>
      <c r="AW34" s="21">
        <f>EXP(-LN(2)/2)*AW33+(1-EXP(-LN(2)/2))/(LN(2)/2)*AQ34*AT34*VLOOKUP('Données projet'!$B$10,Paramètres!$A$1:$I$89,3,0)*0.475*44/12</f>
        <v>0</v>
      </c>
      <c r="AX34" s="21">
        <f t="shared" si="6"/>
        <v>0</v>
      </c>
      <c r="AY34" s="7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0</v>
      </c>
      <c r="BD34" s="12">
        <f>IF('Données projet'!$A$88&gt;35,BD33+BC34-BL33,IF(A34&lt;'Données projet'!$A$88,$BA$205^A34,IF(A34='Données projet'!$A$88,'Données projet'!$B$88,BD33+BC34-BL33)))</f>
        <v>0</v>
      </c>
      <c r="BE34" s="13">
        <f>BD34*VLOOKUP('Données projet'!$B$11,Paramètres!$A$1:$I$89,3,0)*VLOOKUP('Données projet'!$B$11,Paramètres!$A$1:$I$89,5,0)</f>
        <v>0</v>
      </c>
      <c r="BF34" s="13" t="e">
        <f t="shared" si="37"/>
        <v>#NUM!</v>
      </c>
      <c r="BG34" s="20" t="e">
        <f t="shared" si="7"/>
        <v>#NUM!</v>
      </c>
      <c r="BH34" s="59" t="e">
        <f t="shared" si="8"/>
        <v>#NUM!</v>
      </c>
      <c r="BI34" s="59">
        <f ca="1">AVERAGE(OFFSET($BH$3,0,0,'Données projet'!$E$11+1,1))-AVERAGE(OFFSET($H$3,0,0,'Données projet'!$E$11+1,1))</f>
        <v>187.80389738728508</v>
      </c>
      <c r="BJ34" s="59">
        <f t="shared" si="38"/>
        <v>439.28159165815265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121.08790965489732</v>
      </c>
      <c r="BQ34" s="21">
        <f>EXP(-LN(2)/25)*BQ33+(1-EXP(-LN(2)/25))/(LN(2)/25)*Calculateur!BL34*Calculateur!BN34*VLOOKUP('Données projet'!$B$11,Paramètres!$A$1:$I$89,3,0)*0.475*44/12</f>
        <v>13.984161310962627</v>
      </c>
      <c r="BR34" s="21">
        <f>EXP(-LN(2)/2)*BR33+(1-EXP(-LN(2)/2))/(LN(2)/2)*BL34*BO34*VLOOKUP('Données projet'!$B$11,Paramètres!$A$1:$I$89,3,0)*0.475*44/12</f>
        <v>3.1792939340156819E-2</v>
      </c>
      <c r="BS34" s="22">
        <f t="shared" si="9"/>
        <v>135.10386390520011</v>
      </c>
      <c r="BT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0</v>
      </c>
      <c r="BY34" s="12">
        <f>IF('Données projet'!$A$114&gt;35,BY33+BX34-CG33,IF(A34&lt;'Données projet'!$A$114,$BV$205^A34,IF(A34='Données projet'!$A$114,'Données projet'!$B$114,BY33+BX34-CG33)))</f>
        <v>0</v>
      </c>
      <c r="BZ34" s="13" t="e">
        <f>BY34*VLOOKUP('Données projet'!$B$12,Paramètres!$A$1:$I$89,3,0)*VLOOKUP('Données projet'!$B$12,Paramètres!$A$1:$I$89,5,0)</f>
        <v>#N/A</v>
      </c>
      <c r="CA34" s="13" t="e">
        <f t="shared" si="39"/>
        <v>#N/A</v>
      </c>
      <c r="CB34" s="20" t="e">
        <f t="shared" si="10"/>
        <v>#N/A</v>
      </c>
      <c r="CC34" s="59" t="e">
        <f t="shared" si="11"/>
        <v>#N/A</v>
      </c>
      <c r="CD34" s="59" t="e">
        <f ca="1">AVERAGE(OFFSET($CC$3,0,0,'Données projet'!$E$12+1,1))-AVERAGE(OFFSET($H$3,0,0,'Données projet'!$E$12+1,1))</f>
        <v>#N/A</v>
      </c>
      <c r="CE34" s="59" t="e">
        <f t="shared" si="40"/>
        <v>#N/A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 t="e">
        <f>EXP(-LN(2)/35)*CK33+(1-EXP(-LN(2)/35))/(LN(2)/35)*CG34*CH34*VLOOKUP('Données projet'!$B$12,Paramètres!$A$1:$I$89,3,0)*0.475*44/12</f>
        <v>#N/A</v>
      </c>
      <c r="CL34" s="21" t="e">
        <f>EXP(-LN(2)/25)*CL33+(1-EXP(-LN(2)/25))/(LN(2)/25)*Calculateur!CG34*Calculateur!CI34*VLOOKUP('Données projet'!$B$12,Paramètres!$A$1:$I$89,3,0)*0.475*44/12</f>
        <v>#N/A</v>
      </c>
      <c r="CM34" s="21" t="e">
        <f>EXP(-LN(2)/2)*CM33+(1-EXP(-LN(2)/2))/(LN(2)/2)*CG34*CJ34*VLOOKUP('Données projet'!$B$12,Paramètres!$A$1:$I$89,3,0)*0.475*44/12</f>
        <v>#N/A</v>
      </c>
      <c r="CN34" s="22" t="e">
        <f t="shared" si="12"/>
        <v>#N/A</v>
      </c>
      <c r="CO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5">
      <c r="A35" s="10">
        <f t="shared" si="31"/>
        <v>32</v>
      </c>
      <c r="B35" s="72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1">
        <f t="shared" si="32"/>
        <v>0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66">
        <f t="shared" si="1"/>
        <v>256.66666666666669</v>
      </c>
      <c r="I35" s="6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16.154230774999998</v>
      </c>
      <c r="N35" s="13">
        <f>IF('Données projet'!$A$36&gt;35,N34+M35-V34,IF(A35&lt;'Données projet'!$A$36,$K$205^A35,IF(A35='Données projet'!$A$36,'Données projet'!$B$36,N34+M35-V34)))</f>
        <v>140.73153844999999</v>
      </c>
      <c r="O35" s="13">
        <f>N35*VLOOKUP('Données projet'!$B$9,Paramètres!$A$1:$I$89,3,0)*VLOOKUP('Données projet'!$B$9,Paramètres!$A$1:$I$89,5,0)</f>
        <v>127.33389598955998</v>
      </c>
      <c r="P35" s="13">
        <f t="shared" si="33"/>
        <v>33.379559976962113</v>
      </c>
      <c r="Q35" s="20">
        <f t="shared" ref="Q35:Q66" si="53">(O35+P35)*0.475*44/12</f>
        <v>279.90926914169262</v>
      </c>
      <c r="R35" s="59">
        <f t="shared" si="0"/>
        <v>573.24260247502593</v>
      </c>
      <c r="S35" s="59">
        <f ca="1">AVERAGE(OFFSET($R$3,0,0,'Données projet'!$E$9+1,1))-AVERAGE(OFFSET($H$3,0,0,'Données projet'!$E$9+1,1))</f>
        <v>700.22008319944644</v>
      </c>
      <c r="T35" s="59">
        <f t="shared" si="34"/>
        <v>253.69632671986739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0</v>
      </c>
      <c r="AA35" s="21">
        <f>EXP(-LN(2)/25)*AA34+(1-EXP(-LN(2)/25))/(LN(2)/25)*Calculateur!V35*Calculateur!X35*VLOOKUP('Données projet'!$B$9,Paramètres!$A$1:$I$89,3,0)*0.475*44/12</f>
        <v>0</v>
      </c>
      <c r="AB35" s="21">
        <f>EXP(-LN(2)/2)*AB34+(1-EXP(-LN(2)/2))/(LN(2)/2)*V35*Y35*VLOOKUP('Données projet'!$B$9,Paramètres!$A$1:$I$89,3,0)*0.475*44/12</f>
        <v>0</v>
      </c>
      <c r="AC35" s="22">
        <f t="shared" si="3"/>
        <v>0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16.154230774999998</v>
      </c>
      <c r="AI35" s="13">
        <f>IF('Données projet'!$A$62&gt;35,AI34+AH35-AQ34,IF(A35&lt;'Données projet'!$A$62,$AF$205^A35,IF(A35='Données projet'!$A$62,'Données projet'!$B$62,AI34+AH35-AQ34)))</f>
        <v>140.73153844999999</v>
      </c>
      <c r="AJ35" s="13">
        <f>AI35*VLOOKUP('Données projet'!$B$10,Paramètres!$A$1:$I$89,3,0)*VLOOKUP('Données projet'!$B$10,Paramètres!$A$1:$I$89,5,0)</f>
        <v>133.92013198902001</v>
      </c>
      <c r="AK35" s="13">
        <f t="shared" si="35"/>
        <v>34.90061455836392</v>
      </c>
      <c r="AL35" s="20">
        <f t="shared" si="4"/>
        <v>294.02946690336029</v>
      </c>
      <c r="AM35" s="59">
        <f t="shared" si="5"/>
        <v>587.3628002366936</v>
      </c>
      <c r="AN35" s="59">
        <f ca="1">AVERAGE(OFFSET($AM$3,0,0,'Données projet'!$E$10+1,1))-AVERAGE(OFFSET($H$3,0,0,'Données projet'!$E$10+1,1))</f>
        <v>733.95677909577444</v>
      </c>
      <c r="AO35" s="59">
        <f t="shared" si="36"/>
        <v>264.63778993239799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0</v>
      </c>
      <c r="AV35" s="21">
        <f>EXP(-LN(2)/25)*AV34+(1-EXP(-LN(2)/25))/(LN(2)/25)*Calculateur!AQ35*Calculateur!AS35*VLOOKUP('Données projet'!$B$10,Paramètres!$A$1:$I$89,3,0)*0.475*44/12</f>
        <v>0</v>
      </c>
      <c r="AW35" s="21">
        <f>EXP(-LN(2)/2)*AW34+(1-EXP(-LN(2)/2))/(LN(2)/2)*AQ35*AT35*VLOOKUP('Données projet'!$B$10,Paramètres!$A$1:$I$89,3,0)*0.475*44/12</f>
        <v>0</v>
      </c>
      <c r="AX35" s="21">
        <f t="shared" si="6"/>
        <v>0</v>
      </c>
      <c r="AY35" s="7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0</v>
      </c>
      <c r="BD35" s="12">
        <f>IF('Données projet'!$A$88&gt;35,BD34+BC35-BL34,IF(A35&lt;'Données projet'!$A$88,$BA$205^A35,IF(A35='Données projet'!$A$88,'Données projet'!$B$88,BD34+BC35-BL34)))</f>
        <v>0</v>
      </c>
      <c r="BE35" s="13">
        <f>BD35*VLOOKUP('Données projet'!$B$11,Paramètres!$A$1:$I$89,3,0)*VLOOKUP('Données projet'!$B$11,Paramètres!$A$1:$I$89,5,0)</f>
        <v>0</v>
      </c>
      <c r="BF35" s="13" t="e">
        <f t="shared" si="37"/>
        <v>#NUM!</v>
      </c>
      <c r="BG35" s="20" t="e">
        <f t="shared" si="7"/>
        <v>#NUM!</v>
      </c>
      <c r="BH35" s="59" t="e">
        <f t="shared" si="8"/>
        <v>#NUM!</v>
      </c>
      <c r="BI35" s="59">
        <f ca="1">AVERAGE(OFFSET($BH$3,0,0,'Données projet'!$E$11+1,1))-AVERAGE(OFFSET($H$3,0,0,'Données projet'!$E$11+1,1))</f>
        <v>187.80389738728508</v>
      </c>
      <c r="BJ35" s="59">
        <f t="shared" si="38"/>
        <v>439.28159165815265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118.71344960289696</v>
      </c>
      <c r="BQ35" s="21">
        <f>EXP(-LN(2)/25)*BQ34+(1-EXP(-LN(2)/25))/(LN(2)/25)*Calculateur!BL35*Calculateur!BN35*VLOOKUP('Données projet'!$B$11,Paramètres!$A$1:$I$89,3,0)*0.475*44/12</f>
        <v>13.601763684519272</v>
      </c>
      <c r="BR35" s="21">
        <f>EXP(-LN(2)/2)*BR34+(1-EXP(-LN(2)/2))/(LN(2)/2)*BL35*BO35*VLOOKUP('Données projet'!$B$11,Paramètres!$A$1:$I$89,3,0)*0.475*44/12</f>
        <v>2.2481003001277446E-2</v>
      </c>
      <c r="BS35" s="22">
        <f t="shared" si="9"/>
        <v>132.33769429041752</v>
      </c>
      <c r="BT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0</v>
      </c>
      <c r="BY35" s="12">
        <f>IF('Données projet'!$A$114&gt;35,BY34+BX35-CG34,IF(A35&lt;'Données projet'!$A$114,$BV$205^A35,IF(A35='Données projet'!$A$114,'Données projet'!$B$114,BY34+BX35-CG34)))</f>
        <v>0</v>
      </c>
      <c r="BZ35" s="13" t="e">
        <f>BY35*VLOOKUP('Données projet'!$B$12,Paramètres!$A$1:$I$89,3,0)*VLOOKUP('Données projet'!$B$12,Paramètres!$A$1:$I$89,5,0)</f>
        <v>#N/A</v>
      </c>
      <c r="CA35" s="13" t="e">
        <f t="shared" si="39"/>
        <v>#N/A</v>
      </c>
      <c r="CB35" s="20" t="e">
        <f t="shared" si="10"/>
        <v>#N/A</v>
      </c>
      <c r="CC35" s="59" t="e">
        <f t="shared" si="11"/>
        <v>#N/A</v>
      </c>
      <c r="CD35" s="59" t="e">
        <f ca="1">AVERAGE(OFFSET($CC$3,0,0,'Données projet'!$E$12+1,1))-AVERAGE(OFFSET($H$3,0,0,'Données projet'!$E$12+1,1))</f>
        <v>#N/A</v>
      </c>
      <c r="CE35" s="59" t="e">
        <f t="shared" si="40"/>
        <v>#N/A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 t="e">
        <f>EXP(-LN(2)/35)*CK34+(1-EXP(-LN(2)/35))/(LN(2)/35)*CG35*CH35*VLOOKUP('Données projet'!$B$12,Paramètres!$A$1:$I$89,3,0)*0.475*44/12</f>
        <v>#N/A</v>
      </c>
      <c r="CL35" s="21" t="e">
        <f>EXP(-LN(2)/25)*CL34+(1-EXP(-LN(2)/25))/(LN(2)/25)*Calculateur!CG35*Calculateur!CI35*VLOOKUP('Données projet'!$B$12,Paramètres!$A$1:$I$89,3,0)*0.475*44/12</f>
        <v>#N/A</v>
      </c>
      <c r="CM35" s="21" t="e">
        <f>EXP(-LN(2)/2)*CM34+(1-EXP(-LN(2)/2))/(LN(2)/2)*CG35*CJ35*VLOOKUP('Données projet'!$B$12,Paramètres!$A$1:$I$89,3,0)*0.475*44/12</f>
        <v>#N/A</v>
      </c>
      <c r="CN35" s="22" t="e">
        <f t="shared" si="12"/>
        <v>#N/A</v>
      </c>
      <c r="CO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5">
      <c r="A36" s="10">
        <f t="shared" si="31"/>
        <v>33</v>
      </c>
      <c r="B36" s="72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1">
        <f t="shared" si="32"/>
        <v>0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66">
        <f t="shared" si="1"/>
        <v>256.66666666666669</v>
      </c>
      <c r="I36" s="6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16.154230774999998</v>
      </c>
      <c r="N36" s="13">
        <f>IF('Données projet'!$A$36&gt;35,N35+M36-V35,IF(A36&lt;'Données projet'!$A$36,$K$205^A36,IF(A36='Données projet'!$A$36,'Données projet'!$B$36,N35+M36-V35)))</f>
        <v>156.88576922499999</v>
      </c>
      <c r="O36" s="13">
        <f>N36*VLOOKUP('Données projet'!$B$9,Paramètres!$A$1:$I$89,3,0)*VLOOKUP('Données projet'!$B$9,Paramètres!$A$1:$I$89,5,0)</f>
        <v>141.95024399477998</v>
      </c>
      <c r="P36" s="13">
        <f t="shared" si="33"/>
        <v>36.743418652910712</v>
      </c>
      <c r="Q36" s="20">
        <f t="shared" si="53"/>
        <v>311.22479577806126</v>
      </c>
      <c r="R36" s="59">
        <f t="shared" si="0"/>
        <v>604.55812911139458</v>
      </c>
      <c r="S36" s="59">
        <f ca="1">AVERAGE(OFFSET($R$3,0,0,'Données projet'!$E$9+1,1))-AVERAGE(OFFSET($H$3,0,0,'Données projet'!$E$9+1,1))</f>
        <v>700.22008319944644</v>
      </c>
      <c r="T36" s="59">
        <f t="shared" si="34"/>
        <v>253.69632671986739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0</v>
      </c>
      <c r="AA36" s="21">
        <f>EXP(-LN(2)/25)*AA35+(1-EXP(-LN(2)/25))/(LN(2)/25)*Calculateur!V36*Calculateur!X36*VLOOKUP('Données projet'!$B$9,Paramètres!$A$1:$I$89,3,0)*0.475*44/12</f>
        <v>0</v>
      </c>
      <c r="AB36" s="21">
        <f>EXP(-LN(2)/2)*AB35+(1-EXP(-LN(2)/2))/(LN(2)/2)*V36*Y36*VLOOKUP('Données projet'!$B$9,Paramètres!$A$1:$I$89,3,0)*0.475*44/12</f>
        <v>0</v>
      </c>
      <c r="AC36" s="22">
        <f t="shared" si="3"/>
        <v>0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16.154230774999998</v>
      </c>
      <c r="AI36" s="13">
        <f>IF('Données projet'!$A$62&gt;35,AI35+AH36-AQ35,IF(A36&lt;'Données projet'!$A$62,$AF$205^A36,IF(A36='Données projet'!$A$62,'Données projet'!$B$62,AI35+AH36-AQ35)))</f>
        <v>156.88576922499999</v>
      </c>
      <c r="AJ36" s="13">
        <f>AI36*VLOOKUP('Données projet'!$B$10,Paramètres!$A$1:$I$89,3,0)*VLOOKUP('Données projet'!$B$10,Paramètres!$A$1:$I$89,5,0)</f>
        <v>149.29249799451</v>
      </c>
      <c r="AK36" s="13">
        <f t="shared" si="35"/>
        <v>38.417759037174278</v>
      </c>
      <c r="AL36" s="20">
        <f t="shared" si="4"/>
        <v>326.92869766351674</v>
      </c>
      <c r="AM36" s="59">
        <f t="shared" si="5"/>
        <v>620.26203099685006</v>
      </c>
      <c r="AN36" s="59">
        <f ca="1">AVERAGE(OFFSET($AM$3,0,0,'Données projet'!$E$10+1,1))-AVERAGE(OFFSET($H$3,0,0,'Données projet'!$E$10+1,1))</f>
        <v>733.95677909577444</v>
      </c>
      <c r="AO36" s="59">
        <f t="shared" si="36"/>
        <v>264.63778993239799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0</v>
      </c>
      <c r="AV36" s="21">
        <f>EXP(-LN(2)/25)*AV35+(1-EXP(-LN(2)/25))/(LN(2)/25)*Calculateur!AQ36*Calculateur!AS36*VLOOKUP('Données projet'!$B$10,Paramètres!$A$1:$I$89,3,0)*0.475*44/12</f>
        <v>0</v>
      </c>
      <c r="AW36" s="21">
        <f>EXP(-LN(2)/2)*AW35+(1-EXP(-LN(2)/2))/(LN(2)/2)*AQ36*AT36*VLOOKUP('Données projet'!$B$10,Paramètres!$A$1:$I$89,3,0)*0.475*44/12</f>
        <v>0</v>
      </c>
      <c r="AX36" s="21">
        <f t="shared" si="6"/>
        <v>0</v>
      </c>
      <c r="AY36" s="7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0</v>
      </c>
      <c r="BD36" s="12">
        <f>IF('Données projet'!$A$88&gt;35,BD35+BC36-BL35,IF(A36&lt;'Données projet'!$A$88,$BA$205^A36,IF(A36='Données projet'!$A$88,'Données projet'!$B$88,BD35+BC36-BL35)))</f>
        <v>0</v>
      </c>
      <c r="BE36" s="13">
        <f>BD36*VLOOKUP('Données projet'!$B$11,Paramètres!$A$1:$I$89,3,0)*VLOOKUP('Données projet'!$B$11,Paramètres!$A$1:$I$89,5,0)</f>
        <v>0</v>
      </c>
      <c r="BF36" s="13" t="e">
        <f t="shared" si="37"/>
        <v>#NUM!</v>
      </c>
      <c r="BG36" s="20" t="e">
        <f t="shared" si="7"/>
        <v>#NUM!</v>
      </c>
      <c r="BH36" s="59" t="e">
        <f t="shared" si="8"/>
        <v>#NUM!</v>
      </c>
      <c r="BI36" s="59">
        <f ca="1">AVERAGE(OFFSET($BH$3,0,0,'Données projet'!$E$11+1,1))-AVERAGE(OFFSET($H$3,0,0,'Données projet'!$E$11+1,1))</f>
        <v>187.80389738728508</v>
      </c>
      <c r="BJ36" s="59">
        <f t="shared" si="38"/>
        <v>439.28159165815265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116.3855512642387</v>
      </c>
      <c r="BQ36" s="21">
        <f>EXP(-LN(2)/25)*BQ35+(1-EXP(-LN(2)/25))/(LN(2)/25)*Calculateur!BL36*Calculateur!BN36*VLOOKUP('Données projet'!$B$11,Paramètres!$A$1:$I$89,3,0)*0.475*44/12</f>
        <v>13.229822741280428</v>
      </c>
      <c r="BR36" s="21">
        <f>EXP(-LN(2)/2)*BR35+(1-EXP(-LN(2)/2))/(LN(2)/2)*BL36*BO36*VLOOKUP('Données projet'!$B$11,Paramètres!$A$1:$I$89,3,0)*0.475*44/12</f>
        <v>1.5896469670078409E-2</v>
      </c>
      <c r="BS36" s="22">
        <f t="shared" si="9"/>
        <v>129.63127047518921</v>
      </c>
      <c r="BT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0</v>
      </c>
      <c r="BY36" s="12">
        <f>IF('Données projet'!$A$114&gt;35,BY35+BX36-CG35,IF(A36&lt;'Données projet'!$A$114,$BV$205^A36,IF(A36='Données projet'!$A$114,'Données projet'!$B$114,BY35+BX36-CG35)))</f>
        <v>0</v>
      </c>
      <c r="BZ36" s="13" t="e">
        <f>BY36*VLOOKUP('Données projet'!$B$12,Paramètres!$A$1:$I$89,3,0)*VLOOKUP('Données projet'!$B$12,Paramètres!$A$1:$I$89,5,0)</f>
        <v>#N/A</v>
      </c>
      <c r="CA36" s="13" t="e">
        <f t="shared" si="39"/>
        <v>#N/A</v>
      </c>
      <c r="CB36" s="20" t="e">
        <f t="shared" si="10"/>
        <v>#N/A</v>
      </c>
      <c r="CC36" s="59" t="e">
        <f t="shared" si="11"/>
        <v>#N/A</v>
      </c>
      <c r="CD36" s="59" t="e">
        <f ca="1">AVERAGE(OFFSET($CC$3,0,0,'Données projet'!$E$12+1,1))-AVERAGE(OFFSET($H$3,0,0,'Données projet'!$E$12+1,1))</f>
        <v>#N/A</v>
      </c>
      <c r="CE36" s="59" t="e">
        <f t="shared" si="40"/>
        <v>#N/A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 t="e">
        <f>EXP(-LN(2)/35)*CK35+(1-EXP(-LN(2)/35))/(LN(2)/35)*CG36*CH36*VLOOKUP('Données projet'!$B$12,Paramètres!$A$1:$I$89,3,0)*0.475*44/12</f>
        <v>#N/A</v>
      </c>
      <c r="CL36" s="21" t="e">
        <f>EXP(-LN(2)/25)*CL35+(1-EXP(-LN(2)/25))/(LN(2)/25)*Calculateur!CG36*Calculateur!CI36*VLOOKUP('Données projet'!$B$12,Paramètres!$A$1:$I$89,3,0)*0.475*44/12</f>
        <v>#N/A</v>
      </c>
      <c r="CM36" s="21" t="e">
        <f>EXP(-LN(2)/2)*CM35+(1-EXP(-LN(2)/2))/(LN(2)/2)*CG36*CJ36*VLOOKUP('Données projet'!$B$12,Paramètres!$A$1:$I$89,3,0)*0.475*44/12</f>
        <v>#N/A</v>
      </c>
      <c r="CN36" s="22" t="e">
        <f t="shared" si="12"/>
        <v>#N/A</v>
      </c>
      <c r="CO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5">
      <c r="A37" s="10">
        <f t="shared" si="31"/>
        <v>34</v>
      </c>
      <c r="B37" s="72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1">
        <f t="shared" si="32"/>
        <v>0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66">
        <f t="shared" si="1"/>
        <v>256.66666666666669</v>
      </c>
      <c r="I37" s="6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>
        <f>VLOOKUP(A37,'Données projet'!$A$35:$I$55,2,0)</f>
        <v>173.04</v>
      </c>
      <c r="L37" s="12">
        <f>VLOOKUP(A37,'Données projet'!$A$35:$I$55,9,0)</f>
        <v>16.154230774999998</v>
      </c>
      <c r="M37" s="12">
        <f t="array" ref="M37">INDEX(L:L,MIN(IF(ISNUMBER(L37:L233),ROW(L37:L233),"")))</f>
        <v>16.154230774999998</v>
      </c>
      <c r="N37" s="13">
        <f>IF('Données projet'!$A$36&gt;35,N36+M37-V36,IF(A37&lt;'Données projet'!$A$36,$K$205^A37,IF(A37='Données projet'!$A$36,'Données projet'!$B$36,N36+M37-V36)))</f>
        <v>173.04</v>
      </c>
      <c r="O37" s="13">
        <f>N37*VLOOKUP('Données projet'!$B$9,Paramètres!$A$1:$I$89,3,0)*VLOOKUP('Données projet'!$B$9,Paramètres!$A$1:$I$89,5,0)</f>
        <v>156.56659199999999</v>
      </c>
      <c r="P37" s="13">
        <f t="shared" si="33"/>
        <v>40.067125668008877</v>
      </c>
      <c r="Q37" s="20">
        <f t="shared" si="53"/>
        <v>342.47039160511548</v>
      </c>
      <c r="R37" s="59">
        <f t="shared" si="0"/>
        <v>635.8037249384488</v>
      </c>
      <c r="S37" s="59">
        <f ca="1">AVERAGE(OFFSET($R$3,0,0,'Données projet'!$E$9+1,1))-AVERAGE(OFFSET($H$3,0,0,'Données projet'!$E$9+1,1))</f>
        <v>700.22008319944644</v>
      </c>
      <c r="T37" s="59">
        <f t="shared" si="34"/>
        <v>253.69632671986739</v>
      </c>
      <c r="U37" s="15">
        <f>IF(ISNA(VLOOKUP(A37,'Données projet'!$A$35:$I$55,3,0)),0,VLOOKUP(A37,'Données projet'!$A$35:$I$55,3,0))</f>
        <v>1</v>
      </c>
      <c r="V37" s="15">
        <f>IF(ISNA(VLOOKUP(A37,'Données projet'!$A$35:$I$55,4,0)),0,VLOOKUP(A37,'Données projet'!$A$35:$I$55,4,0))</f>
        <v>35.450000000000003</v>
      </c>
      <c r="W37" s="16">
        <f>IF(ISNA(VLOOKUP(A37,'Données projet'!$A$35:$I$55,5,0)),0%,VLOOKUP(A37,'Données projet'!$A$35:$I$55,5,0)*VLOOKUP('Données projet'!$B$9,Paramètres!$A$1:$I$89,7,0))</f>
        <v>0.43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15.246999898475442</v>
      </c>
      <c r="AA37" s="21">
        <f>EXP(-LN(2)/25)*AA36+(1-EXP(-LN(2)/25))/(LN(2)/25)*Calculateur!V37*Calculateur!X37*VLOOKUP('Données projet'!$B$9,Paramètres!$A$1:$I$89,3,0)*0.475*44/12</f>
        <v>0</v>
      </c>
      <c r="AB37" s="21">
        <f>EXP(-LN(2)/2)*AB36+(1-EXP(-LN(2)/2))/(LN(2)/2)*V37*Y37*VLOOKUP('Données projet'!$B$9,Paramètres!$A$1:$I$89,3,0)*0.475*44/12</f>
        <v>0</v>
      </c>
      <c r="AC37" s="22">
        <f t="shared" si="3"/>
        <v>15.246999898475442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>
        <f>VLOOKUP(A37,'Données projet'!$A$61:$I$81,2,0)</f>
        <v>173.04</v>
      </c>
      <c r="AG37" s="12">
        <f>VLOOKUP(A37,'Données projet'!$A$61:$I$81,9,0)</f>
        <v>16.154230774999998</v>
      </c>
      <c r="AH37" s="12">
        <f t="array" ref="AH37">INDEX(AG:AG,MIN(IF(ISNUMBER(AG37:AG233),ROW(AG37:AG233),"")))</f>
        <v>16.154230774999998</v>
      </c>
      <c r="AI37" s="13">
        <f>IF('Données projet'!$A$62&gt;35,AI36+AH37-AQ36,IF(A37&lt;'Données projet'!$A$62,$AF$205^A37,IF(A37='Données projet'!$A$62,'Données projet'!$B$62,AI36+AH37-AQ36)))</f>
        <v>173.04</v>
      </c>
      <c r="AJ37" s="13">
        <f>AI37*VLOOKUP('Données projet'!$B$10,Paramètres!$A$1:$I$89,3,0)*VLOOKUP('Données projet'!$B$10,Paramètres!$A$1:$I$89,5,0)</f>
        <v>164.66486399999999</v>
      </c>
      <c r="AK37" s="13">
        <f t="shared" si="35"/>
        <v>41.892922206459033</v>
      </c>
      <c r="AL37" s="20">
        <f t="shared" si="4"/>
        <v>359.75481097624942</v>
      </c>
      <c r="AM37" s="59">
        <f t="shared" si="5"/>
        <v>653.08814430958273</v>
      </c>
      <c r="AN37" s="59">
        <f ca="1">AVERAGE(OFFSET($AM$3,0,0,'Données projet'!$E$10+1,1))-AVERAGE(OFFSET($H$3,0,0,'Données projet'!$E$10+1,1))</f>
        <v>733.95677909577444</v>
      </c>
      <c r="AO37" s="59">
        <f t="shared" si="36"/>
        <v>264.63778993239799</v>
      </c>
      <c r="AP37" s="15">
        <f>IF(ISNA(VLOOKUP(A37,'Données projet'!$A$61:$I$81,3,0)),0,VLOOKUP(A37,'Données projet'!$A$61:$I$81,3,0))</f>
        <v>1</v>
      </c>
      <c r="AQ37" s="15">
        <f>IF(ISNA(VLOOKUP(A37,'Données projet'!$A$61:$I$81,4,0)),0,VLOOKUP(A37,'Données projet'!$A$61:$I$81,4,0))</f>
        <v>35.450000000000003</v>
      </c>
      <c r="AR37" s="16">
        <f>IF(ISNA(VLOOKUP(A37,'Données projet'!$A$61:$I$81,5,0)),0%,VLOOKUP(A37,'Données projet'!$A$61:$I$81,5,0)*VLOOKUP('Données projet'!$B$10,Paramètres!$A$1:$I$89,7,0))</f>
        <v>0.43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16.035637824258654</v>
      </c>
      <c r="AV37" s="21">
        <f>EXP(-LN(2)/25)*AV36+(1-EXP(-LN(2)/25))/(LN(2)/25)*Calculateur!AQ37*Calculateur!AS37*VLOOKUP('Données projet'!$B$10,Paramètres!$A$1:$I$89,3,0)*0.475*44/12</f>
        <v>0</v>
      </c>
      <c r="AW37" s="21">
        <f>EXP(-LN(2)/2)*AW36+(1-EXP(-LN(2)/2))/(LN(2)/2)*AQ37*AT37*VLOOKUP('Données projet'!$B$10,Paramètres!$A$1:$I$89,3,0)*0.475*44/12</f>
        <v>0</v>
      </c>
      <c r="AX37" s="21">
        <f t="shared" si="6"/>
        <v>16.035637824258654</v>
      </c>
      <c r="AY37" s="7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0</v>
      </c>
      <c r="BD37" s="12">
        <f>IF('Données projet'!$A$88&gt;35,BD36+BC37-BL36,IF(A37&lt;'Données projet'!$A$88,$BA$205^A37,IF(A37='Données projet'!$A$88,'Données projet'!$B$88,BD36+BC37-BL36)))</f>
        <v>0</v>
      </c>
      <c r="BE37" s="13">
        <f>BD37*VLOOKUP('Données projet'!$B$11,Paramètres!$A$1:$I$89,3,0)*VLOOKUP('Données projet'!$B$11,Paramètres!$A$1:$I$89,5,0)</f>
        <v>0</v>
      </c>
      <c r="BF37" s="13" t="e">
        <f t="shared" si="37"/>
        <v>#NUM!</v>
      </c>
      <c r="BG37" s="20" t="e">
        <f t="shared" si="7"/>
        <v>#NUM!</v>
      </c>
      <c r="BH37" s="59" t="e">
        <f t="shared" si="8"/>
        <v>#NUM!</v>
      </c>
      <c r="BI37" s="59">
        <f ca="1">AVERAGE(OFFSET($BH$3,0,0,'Données projet'!$E$11+1,1))-AVERAGE(OFFSET($H$3,0,0,'Données projet'!$E$11+1,1))</f>
        <v>187.80389738728508</v>
      </c>
      <c r="BJ37" s="59">
        <f t="shared" si="38"/>
        <v>439.28159165815265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114.10330159212376</v>
      </c>
      <c r="BQ37" s="21">
        <f>EXP(-LN(2)/25)*BQ36+(1-EXP(-LN(2)/25))/(LN(2)/25)*Calculateur!BL37*Calculateur!BN37*VLOOKUP('Données projet'!$B$11,Paramètres!$A$1:$I$89,3,0)*0.475*44/12</f>
        <v>12.868052542693974</v>
      </c>
      <c r="BR37" s="21">
        <f>EXP(-LN(2)/2)*BR36+(1-EXP(-LN(2)/2))/(LN(2)/2)*BL37*BO37*VLOOKUP('Données projet'!$B$11,Paramètres!$A$1:$I$89,3,0)*0.475*44/12</f>
        <v>1.1240501500638723E-2</v>
      </c>
      <c r="BS37" s="22">
        <f t="shared" si="9"/>
        <v>126.98259463631837</v>
      </c>
      <c r="BT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0</v>
      </c>
      <c r="BY37" s="12">
        <f>IF('Données projet'!$A$114&gt;35,BY36+BX37-CG36,IF(A37&lt;'Données projet'!$A$114,$BV$205^A37,IF(A37='Données projet'!$A$114,'Données projet'!$B$114,BY36+BX37-CG36)))</f>
        <v>0</v>
      </c>
      <c r="BZ37" s="13" t="e">
        <f>BY37*VLOOKUP('Données projet'!$B$12,Paramètres!$A$1:$I$89,3,0)*VLOOKUP('Données projet'!$B$12,Paramètres!$A$1:$I$89,5,0)</f>
        <v>#N/A</v>
      </c>
      <c r="CA37" s="13" t="e">
        <f t="shared" si="39"/>
        <v>#N/A</v>
      </c>
      <c r="CB37" s="20" t="e">
        <f t="shared" si="10"/>
        <v>#N/A</v>
      </c>
      <c r="CC37" s="59" t="e">
        <f t="shared" si="11"/>
        <v>#N/A</v>
      </c>
      <c r="CD37" s="59" t="e">
        <f ca="1">AVERAGE(OFFSET($CC$3,0,0,'Données projet'!$E$12+1,1))-AVERAGE(OFFSET($H$3,0,0,'Données projet'!$E$12+1,1))</f>
        <v>#N/A</v>
      </c>
      <c r="CE37" s="59" t="e">
        <f t="shared" si="40"/>
        <v>#N/A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 t="e">
        <f>EXP(-LN(2)/35)*CK36+(1-EXP(-LN(2)/35))/(LN(2)/35)*CG37*CH37*VLOOKUP('Données projet'!$B$12,Paramètres!$A$1:$I$89,3,0)*0.475*44/12</f>
        <v>#N/A</v>
      </c>
      <c r="CL37" s="21" t="e">
        <f>EXP(-LN(2)/25)*CL36+(1-EXP(-LN(2)/25))/(LN(2)/25)*Calculateur!CG37*Calculateur!CI37*VLOOKUP('Données projet'!$B$12,Paramètres!$A$1:$I$89,3,0)*0.475*44/12</f>
        <v>#N/A</v>
      </c>
      <c r="CM37" s="21" t="e">
        <f>EXP(-LN(2)/2)*CM36+(1-EXP(-LN(2)/2))/(LN(2)/2)*CG37*CJ37*VLOOKUP('Données projet'!$B$12,Paramètres!$A$1:$I$89,3,0)*0.475*44/12</f>
        <v>#N/A</v>
      </c>
      <c r="CN37" s="22" t="e">
        <f t="shared" si="12"/>
        <v>#N/A</v>
      </c>
      <c r="CO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5">
      <c r="A38" s="10">
        <f t="shared" si="31"/>
        <v>35</v>
      </c>
      <c r="B38" s="72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1">
        <f t="shared" si="32"/>
        <v>0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66">
        <f t="shared" si="1"/>
        <v>256.66666666666669</v>
      </c>
      <c r="I38" s="6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13.802500000000002</v>
      </c>
      <c r="N38" s="13">
        <f>IF('Données projet'!$A$36&gt;35,N37+M38-V37,IF(A38&lt;'Données projet'!$A$36,$K$205^A38,IF(A38='Données projet'!$A$36,'Données projet'!$B$36,N37+M38-V37)))</f>
        <v>151.39249999999998</v>
      </c>
      <c r="O38" s="13">
        <f>N38*VLOOKUP('Données projet'!$B$9,Paramètres!$A$1:$I$89,3,0)*VLOOKUP('Données projet'!$B$9,Paramètres!$A$1:$I$89,5,0)</f>
        <v>136.97993399999999</v>
      </c>
      <c r="P38" s="13">
        <f t="shared" si="33"/>
        <v>35.604275117076945</v>
      </c>
      <c r="Q38" s="20">
        <f t="shared" si="53"/>
        <v>300.58416421224229</v>
      </c>
      <c r="R38" s="59">
        <f t="shared" si="0"/>
        <v>593.91749754557554</v>
      </c>
      <c r="S38" s="59">
        <f ca="1">AVERAGE(OFFSET($R$3,0,0,'Données projet'!$E$9+1,1))-AVERAGE(OFFSET($H$3,0,0,'Données projet'!$E$9+1,1))</f>
        <v>700.22008319944644</v>
      </c>
      <c r="T38" s="59">
        <f t="shared" si="34"/>
        <v>253.69632671986739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14.948015530218003</v>
      </c>
      <c r="AA38" s="21">
        <f>EXP(-LN(2)/25)*AA37+(1-EXP(-LN(2)/25))/(LN(2)/25)*Calculateur!V38*Calculateur!X38*VLOOKUP('Données projet'!$B$9,Paramètres!$A$1:$I$89,3,0)*0.475*44/12</f>
        <v>0</v>
      </c>
      <c r="AB38" s="21">
        <f>EXP(-LN(2)/2)*AB37+(1-EXP(-LN(2)/2))/(LN(2)/2)*V38*Y38*VLOOKUP('Données projet'!$B$9,Paramètres!$A$1:$I$89,3,0)*0.475*44/12</f>
        <v>0</v>
      </c>
      <c r="AC38" s="22">
        <f t="shared" si="3"/>
        <v>14.948015530218003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13.802500000000002</v>
      </c>
      <c r="AI38" s="13">
        <f>IF('Données projet'!$A$62&gt;35,AI37+AH38-AQ37,IF(A38&lt;'Données projet'!$A$62,$AF$205^A38,IF(A38='Données projet'!$A$62,'Données projet'!$B$62,AI37+AH38-AQ37)))</f>
        <v>151.39249999999998</v>
      </c>
      <c r="AJ38" s="13">
        <f>AI38*VLOOKUP('Données projet'!$B$10,Paramètres!$A$1:$I$89,3,0)*VLOOKUP('Données projet'!$B$10,Paramètres!$A$1:$I$89,5,0)</f>
        <v>144.06510299999997</v>
      </c>
      <c r="AK38" s="13">
        <f t="shared" si="35"/>
        <v>37.226706503880685</v>
      </c>
      <c r="AL38" s="20">
        <f t="shared" si="4"/>
        <v>315.74990155259206</v>
      </c>
      <c r="AM38" s="59">
        <f t="shared" si="5"/>
        <v>609.08323488592532</v>
      </c>
      <c r="AN38" s="59">
        <f ca="1">AVERAGE(OFFSET($AM$3,0,0,'Données projet'!$E$10+1,1))-AVERAGE(OFFSET($H$3,0,0,'Données projet'!$E$10+1,1))</f>
        <v>733.95677909577444</v>
      </c>
      <c r="AO38" s="59">
        <f t="shared" si="36"/>
        <v>264.63778993239799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15.721188747298243</v>
      </c>
      <c r="AV38" s="21">
        <f>EXP(-LN(2)/25)*AV37+(1-EXP(-LN(2)/25))/(LN(2)/25)*Calculateur!AQ38*Calculateur!AS38*VLOOKUP('Données projet'!$B$10,Paramètres!$A$1:$I$89,3,0)*0.475*44/12</f>
        <v>0</v>
      </c>
      <c r="AW38" s="21">
        <f>EXP(-LN(2)/2)*AW37+(1-EXP(-LN(2)/2))/(LN(2)/2)*AQ38*AT38*VLOOKUP('Données projet'!$B$10,Paramètres!$A$1:$I$89,3,0)*0.475*44/12</f>
        <v>0</v>
      </c>
      <c r="AX38" s="21">
        <f t="shared" si="6"/>
        <v>15.721188747298243</v>
      </c>
      <c r="AY38" s="7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0</v>
      </c>
      <c r="BD38" s="12">
        <f>IF('Données projet'!$A$88&gt;35,BD37+BC38-BL37,IF(A38&lt;'Données projet'!$A$88,$BA$205^A38,IF(A38='Données projet'!$A$88,'Données projet'!$B$88,BD37+BC38-BL37)))</f>
        <v>0</v>
      </c>
      <c r="BE38" s="13">
        <f>BD38*VLOOKUP('Données projet'!$B$11,Paramètres!$A$1:$I$89,3,0)*VLOOKUP('Données projet'!$B$11,Paramètres!$A$1:$I$89,5,0)</f>
        <v>0</v>
      </c>
      <c r="BF38" s="13" t="e">
        <f t="shared" si="37"/>
        <v>#NUM!</v>
      </c>
      <c r="BG38" s="20" t="e">
        <f t="shared" si="7"/>
        <v>#NUM!</v>
      </c>
      <c r="BH38" s="59" t="e">
        <f t="shared" si="8"/>
        <v>#NUM!</v>
      </c>
      <c r="BI38" s="59">
        <f ca="1">AVERAGE(OFFSET($BH$3,0,0,'Données projet'!$E$11+1,1))-AVERAGE(OFFSET($H$3,0,0,'Données projet'!$E$11+1,1))</f>
        <v>187.80389738728508</v>
      </c>
      <c r="BJ38" s="59">
        <f t="shared" si="38"/>
        <v>439.28159165815265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111.86580544404413</v>
      </c>
      <c r="BQ38" s="21">
        <f>EXP(-LN(2)/25)*BQ37+(1-EXP(-LN(2)/25))/(LN(2)/25)*Calculateur!BL38*Calculateur!BN38*VLOOKUP('Données projet'!$B$11,Paramètres!$A$1:$I$89,3,0)*0.475*44/12</f>
        <v>12.516174969212534</v>
      </c>
      <c r="BR38" s="21">
        <f>EXP(-LN(2)/2)*BR37+(1-EXP(-LN(2)/2))/(LN(2)/2)*BL38*BO38*VLOOKUP('Données projet'!$B$11,Paramètres!$A$1:$I$89,3,0)*0.475*44/12</f>
        <v>7.9482348350392047E-3</v>
      </c>
      <c r="BS38" s="22">
        <f t="shared" si="9"/>
        <v>124.3899286480917</v>
      </c>
      <c r="BT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0</v>
      </c>
      <c r="BY38" s="12">
        <f>IF('Données projet'!$A$114&gt;35,BY37+BX38-CG37,IF(A38&lt;'Données projet'!$A$114,$BV$205^A38,IF(A38='Données projet'!$A$114,'Données projet'!$B$114,BY37+BX38-CG37)))</f>
        <v>0</v>
      </c>
      <c r="BZ38" s="13" t="e">
        <f>BY38*VLOOKUP('Données projet'!$B$12,Paramètres!$A$1:$I$89,3,0)*VLOOKUP('Données projet'!$B$12,Paramètres!$A$1:$I$89,5,0)</f>
        <v>#N/A</v>
      </c>
      <c r="CA38" s="13" t="e">
        <f t="shared" si="39"/>
        <v>#N/A</v>
      </c>
      <c r="CB38" s="20" t="e">
        <f t="shared" si="10"/>
        <v>#N/A</v>
      </c>
      <c r="CC38" s="59" t="e">
        <f t="shared" si="11"/>
        <v>#N/A</v>
      </c>
      <c r="CD38" s="59" t="e">
        <f ca="1">AVERAGE(OFFSET($CC$3,0,0,'Données projet'!$E$12+1,1))-AVERAGE(OFFSET($H$3,0,0,'Données projet'!$E$12+1,1))</f>
        <v>#N/A</v>
      </c>
      <c r="CE38" s="59" t="e">
        <f t="shared" si="40"/>
        <v>#N/A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 t="e">
        <f>EXP(-LN(2)/35)*CK37+(1-EXP(-LN(2)/35))/(LN(2)/35)*CG38*CH38*VLOOKUP('Données projet'!$B$12,Paramètres!$A$1:$I$89,3,0)*0.475*44/12</f>
        <v>#N/A</v>
      </c>
      <c r="CL38" s="21" t="e">
        <f>EXP(-LN(2)/25)*CL37+(1-EXP(-LN(2)/25))/(LN(2)/25)*Calculateur!CG38*Calculateur!CI38*VLOOKUP('Données projet'!$B$12,Paramètres!$A$1:$I$89,3,0)*0.475*44/12</f>
        <v>#N/A</v>
      </c>
      <c r="CM38" s="21" t="e">
        <f>EXP(-LN(2)/2)*CM37+(1-EXP(-LN(2)/2))/(LN(2)/2)*CG38*CJ38*VLOOKUP('Données projet'!$B$12,Paramètres!$A$1:$I$89,3,0)*0.475*44/12</f>
        <v>#N/A</v>
      </c>
      <c r="CN38" s="22" t="e">
        <f t="shared" si="12"/>
        <v>#N/A</v>
      </c>
      <c r="CO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5">
      <c r="A39" s="10">
        <f t="shared" si="31"/>
        <v>36</v>
      </c>
      <c r="B39" s="72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1">
        <f t="shared" si="32"/>
        <v>0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66">
        <f t="shared" si="1"/>
        <v>256.66666666666669</v>
      </c>
      <c r="I39" s="6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13.802500000000002</v>
      </c>
      <c r="N39" s="13">
        <f>IF('Données projet'!$A$36&gt;35,N38+M39-V38,IF(A39&lt;'Données projet'!$A$36,$K$205^A39,IF(A39='Données projet'!$A$36,'Données projet'!$B$36,N38+M39-V38)))</f>
        <v>165.19499999999999</v>
      </c>
      <c r="O39" s="13">
        <f>N39*VLOOKUP('Données projet'!$B$9,Paramètres!$A$1:$I$89,3,0)*VLOOKUP('Données projet'!$B$9,Paramètres!$A$1:$I$89,5,0)</f>
        <v>149.468436</v>
      </c>
      <c r="P39" s="13">
        <f t="shared" si="33"/>
        <v>38.457760846909196</v>
      </c>
      <c r="Q39" s="20">
        <f t="shared" si="53"/>
        <v>327.30479284170019</v>
      </c>
      <c r="R39" s="59">
        <f t="shared" si="0"/>
        <v>620.63812617503345</v>
      </c>
      <c r="S39" s="59">
        <f ca="1">AVERAGE(OFFSET($R$3,0,0,'Données projet'!$E$9+1,1))-AVERAGE(OFFSET($H$3,0,0,'Données projet'!$E$9+1,1))</f>
        <v>700.22008319944644</v>
      </c>
      <c r="T39" s="59">
        <f t="shared" si="34"/>
        <v>253.69632671986739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14.654894063059634</v>
      </c>
      <c r="AA39" s="21">
        <f>EXP(-LN(2)/25)*AA38+(1-EXP(-LN(2)/25))/(LN(2)/25)*Calculateur!V39*Calculateur!X39*VLOOKUP('Données projet'!$B$9,Paramètres!$A$1:$I$89,3,0)*0.475*44/12</f>
        <v>0</v>
      </c>
      <c r="AB39" s="21">
        <f>EXP(-LN(2)/2)*AB38+(1-EXP(-LN(2)/2))/(LN(2)/2)*V39*Y39*VLOOKUP('Données projet'!$B$9,Paramètres!$A$1:$I$89,3,0)*0.475*44/12</f>
        <v>0</v>
      </c>
      <c r="AC39" s="22">
        <f t="shared" si="3"/>
        <v>14.654894063059634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13.802500000000002</v>
      </c>
      <c r="AI39" s="13">
        <f>IF('Données projet'!$A$62&gt;35,AI38+AH39-AQ38,IF(A39&lt;'Données projet'!$A$62,$AF$205^A39,IF(A39='Données projet'!$A$62,'Données projet'!$B$62,AI38+AH39-AQ38)))</f>
        <v>165.19499999999999</v>
      </c>
      <c r="AJ39" s="13">
        <f>AI39*VLOOKUP('Données projet'!$B$10,Paramètres!$A$1:$I$89,3,0)*VLOOKUP('Données projet'!$B$10,Paramètres!$A$1:$I$89,5,0)</f>
        <v>157.19956199999999</v>
      </c>
      <c r="AK39" s="13">
        <f t="shared" si="35"/>
        <v>40.210221135990906</v>
      </c>
      <c r="AL39" s="20">
        <f t="shared" si="4"/>
        <v>343.82203896185075</v>
      </c>
      <c r="AM39" s="59">
        <f t="shared" si="5"/>
        <v>637.15537229518407</v>
      </c>
      <c r="AN39" s="59">
        <f ca="1">AVERAGE(OFFSET($AM$3,0,0,'Données projet'!$E$10+1,1))-AVERAGE(OFFSET($H$3,0,0,'Données projet'!$E$10+1,1))</f>
        <v>733.95677909577444</v>
      </c>
      <c r="AO39" s="59">
        <f t="shared" si="36"/>
        <v>264.63778993239799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15.412905824942026</v>
      </c>
      <c r="AV39" s="21">
        <f>EXP(-LN(2)/25)*AV38+(1-EXP(-LN(2)/25))/(LN(2)/25)*Calculateur!AQ39*Calculateur!AS39*VLOOKUP('Données projet'!$B$10,Paramètres!$A$1:$I$89,3,0)*0.475*44/12</f>
        <v>0</v>
      </c>
      <c r="AW39" s="21">
        <f>EXP(-LN(2)/2)*AW38+(1-EXP(-LN(2)/2))/(LN(2)/2)*AQ39*AT39*VLOOKUP('Données projet'!$B$10,Paramètres!$A$1:$I$89,3,0)*0.475*44/12</f>
        <v>0</v>
      </c>
      <c r="AX39" s="21">
        <f t="shared" si="6"/>
        <v>15.412905824942026</v>
      </c>
      <c r="AY39" s="7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0</v>
      </c>
      <c r="BD39" s="12">
        <f>IF('Données projet'!$A$88&gt;35,BD38+BC39-BL38,IF(A39&lt;'Données projet'!$A$88,$BA$205^A39,IF(A39='Données projet'!$A$88,'Données projet'!$B$88,BD38+BC39-BL38)))</f>
        <v>0</v>
      </c>
      <c r="BE39" s="13">
        <f>BD39*VLOOKUP('Données projet'!$B$11,Paramètres!$A$1:$I$89,3,0)*VLOOKUP('Données projet'!$B$11,Paramètres!$A$1:$I$89,5,0)</f>
        <v>0</v>
      </c>
      <c r="BF39" s="13" t="e">
        <f t="shared" si="37"/>
        <v>#NUM!</v>
      </c>
      <c r="BG39" s="20" t="e">
        <f t="shared" si="7"/>
        <v>#NUM!</v>
      </c>
      <c r="BH39" s="59" t="e">
        <f t="shared" si="8"/>
        <v>#NUM!</v>
      </c>
      <c r="BI39" s="59">
        <f ca="1">AVERAGE(OFFSET($BH$3,0,0,'Données projet'!$E$11+1,1))-AVERAGE(OFFSET($H$3,0,0,'Données projet'!$E$11+1,1))</f>
        <v>187.80389738728508</v>
      </c>
      <c r="BJ39" s="59">
        <f t="shared" si="38"/>
        <v>439.28159165815265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109.67218523069045</v>
      </c>
      <c r="BQ39" s="21">
        <f>EXP(-LN(2)/25)*BQ38+(1-EXP(-LN(2)/25))/(LN(2)/25)*Calculateur!BL39*Calculateur!BN39*VLOOKUP('Données projet'!$B$11,Paramètres!$A$1:$I$89,3,0)*0.475*44/12</f>
        <v>12.173919506482381</v>
      </c>
      <c r="BR39" s="21">
        <f>EXP(-LN(2)/2)*BR38+(1-EXP(-LN(2)/2))/(LN(2)/2)*BL39*BO39*VLOOKUP('Données projet'!$B$11,Paramètres!$A$1:$I$89,3,0)*0.475*44/12</f>
        <v>5.6202507503193616E-3</v>
      </c>
      <c r="BS39" s="22">
        <f t="shared" si="9"/>
        <v>121.85172498792315</v>
      </c>
      <c r="BT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0</v>
      </c>
      <c r="BY39" s="12">
        <f>IF('Données projet'!$A$114&gt;35,BY38+BX39-CG38,IF(A39&lt;'Données projet'!$A$114,$BV$205^A39,IF(A39='Données projet'!$A$114,'Données projet'!$B$114,BY38+BX39-CG38)))</f>
        <v>0</v>
      </c>
      <c r="BZ39" s="13" t="e">
        <f>BY39*VLOOKUP('Données projet'!$B$12,Paramètres!$A$1:$I$89,3,0)*VLOOKUP('Données projet'!$B$12,Paramètres!$A$1:$I$89,5,0)</f>
        <v>#N/A</v>
      </c>
      <c r="CA39" s="13" t="e">
        <f t="shared" si="39"/>
        <v>#N/A</v>
      </c>
      <c r="CB39" s="20" t="e">
        <f t="shared" si="10"/>
        <v>#N/A</v>
      </c>
      <c r="CC39" s="59" t="e">
        <f t="shared" si="11"/>
        <v>#N/A</v>
      </c>
      <c r="CD39" s="59" t="e">
        <f ca="1">AVERAGE(OFFSET($CC$3,0,0,'Données projet'!$E$12+1,1))-AVERAGE(OFFSET($H$3,0,0,'Données projet'!$E$12+1,1))</f>
        <v>#N/A</v>
      </c>
      <c r="CE39" s="59" t="e">
        <f t="shared" si="40"/>
        <v>#N/A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 t="e">
        <f>EXP(-LN(2)/35)*CK38+(1-EXP(-LN(2)/35))/(LN(2)/35)*CG39*CH39*VLOOKUP('Données projet'!$B$12,Paramètres!$A$1:$I$89,3,0)*0.475*44/12</f>
        <v>#N/A</v>
      </c>
      <c r="CL39" s="21" t="e">
        <f>EXP(-LN(2)/25)*CL38+(1-EXP(-LN(2)/25))/(LN(2)/25)*Calculateur!CG39*Calculateur!CI39*VLOOKUP('Données projet'!$B$12,Paramètres!$A$1:$I$89,3,0)*0.475*44/12</f>
        <v>#N/A</v>
      </c>
      <c r="CM39" s="21" t="e">
        <f>EXP(-LN(2)/2)*CM38+(1-EXP(-LN(2)/2))/(LN(2)/2)*CG39*CJ39*VLOOKUP('Données projet'!$B$12,Paramètres!$A$1:$I$89,3,0)*0.475*44/12</f>
        <v>#N/A</v>
      </c>
      <c r="CN39" s="22" t="e">
        <f t="shared" si="12"/>
        <v>#N/A</v>
      </c>
      <c r="CO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5">
      <c r="A40" s="10">
        <f t="shared" si="31"/>
        <v>37</v>
      </c>
      <c r="B40" s="72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1">
        <f t="shared" si="32"/>
        <v>0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66">
        <f t="shared" si="1"/>
        <v>256.66666666666669</v>
      </c>
      <c r="I40" s="6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13.802500000000002</v>
      </c>
      <c r="N40" s="13">
        <f>IF('Données projet'!$A$36&gt;35,N39+M40-V39,IF(A40&lt;'Données projet'!$A$36,$K$205^A40,IF(A40='Données projet'!$A$36,'Données projet'!$B$36,N39+M40-V39)))</f>
        <v>178.9975</v>
      </c>
      <c r="O40" s="13">
        <f>N40*VLOOKUP('Données projet'!$B$9,Paramètres!$A$1:$I$89,3,0)*VLOOKUP('Données projet'!$B$9,Paramètres!$A$1:$I$89,5,0)</f>
        <v>161.95693799999998</v>
      </c>
      <c r="P40" s="13">
        <f t="shared" si="33"/>
        <v>41.283595456567447</v>
      </c>
      <c r="Q40" s="20">
        <f t="shared" si="53"/>
        <v>353.97726243685491</v>
      </c>
      <c r="R40" s="59">
        <f t="shared" si="0"/>
        <v>647.31059577018823</v>
      </c>
      <c r="S40" s="59">
        <f ca="1">AVERAGE(OFFSET($R$3,0,0,'Données projet'!$E$9+1,1))-AVERAGE(OFFSET($H$3,0,0,'Données projet'!$E$9+1,1))</f>
        <v>700.22008319944644</v>
      </c>
      <c r="T40" s="59">
        <f t="shared" si="34"/>
        <v>253.69632671986739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14.3675205290858</v>
      </c>
      <c r="AA40" s="21">
        <f>EXP(-LN(2)/25)*AA39+(1-EXP(-LN(2)/25))/(LN(2)/25)*Calculateur!V40*Calculateur!X40*VLOOKUP('Données projet'!$B$9,Paramètres!$A$1:$I$89,3,0)*0.475*44/12</f>
        <v>0</v>
      </c>
      <c r="AB40" s="21">
        <f>EXP(-LN(2)/2)*AB39+(1-EXP(-LN(2)/2))/(LN(2)/2)*V40*Y40*VLOOKUP('Données projet'!$B$9,Paramètres!$A$1:$I$89,3,0)*0.475*44/12</f>
        <v>0</v>
      </c>
      <c r="AC40" s="22">
        <f t="shared" si="3"/>
        <v>14.3675205290858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13.802500000000002</v>
      </c>
      <c r="AI40" s="13">
        <f>IF('Données projet'!$A$62&gt;35,AI39+AH40-AQ39,IF(A40&lt;'Données projet'!$A$62,$AF$205^A40,IF(A40='Données projet'!$A$62,'Données projet'!$B$62,AI39+AH40-AQ39)))</f>
        <v>178.9975</v>
      </c>
      <c r="AJ40" s="13">
        <f>AI40*VLOOKUP('Données projet'!$B$10,Paramètres!$A$1:$I$89,3,0)*VLOOKUP('Données projet'!$B$10,Paramètres!$A$1:$I$89,5,0)</f>
        <v>170.33402100000001</v>
      </c>
      <c r="AK40" s="13">
        <f t="shared" si="35"/>
        <v>43.164824629429191</v>
      </c>
      <c r="AL40" s="20">
        <f t="shared" si="4"/>
        <v>371.84382280458914</v>
      </c>
      <c r="AM40" s="59">
        <f t="shared" si="5"/>
        <v>665.17715613792245</v>
      </c>
      <c r="AN40" s="59">
        <f ca="1">AVERAGE(OFFSET($AM$3,0,0,'Données projet'!$E$10+1,1))-AVERAGE(OFFSET($H$3,0,0,'Données projet'!$E$10+1,1))</f>
        <v>733.95677909577444</v>
      </c>
      <c r="AO40" s="59">
        <f t="shared" si="36"/>
        <v>264.63778993239799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15.1106681426592</v>
      </c>
      <c r="AV40" s="21">
        <f>EXP(-LN(2)/25)*AV39+(1-EXP(-LN(2)/25))/(LN(2)/25)*Calculateur!AQ40*Calculateur!AS40*VLOOKUP('Données projet'!$B$10,Paramètres!$A$1:$I$89,3,0)*0.475*44/12</f>
        <v>0</v>
      </c>
      <c r="AW40" s="21">
        <f>EXP(-LN(2)/2)*AW39+(1-EXP(-LN(2)/2))/(LN(2)/2)*AQ40*AT40*VLOOKUP('Données projet'!$B$10,Paramètres!$A$1:$I$89,3,0)*0.475*44/12</f>
        <v>0</v>
      </c>
      <c r="AX40" s="21">
        <f t="shared" si="6"/>
        <v>15.1106681426592</v>
      </c>
      <c r="AY40" s="7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0</v>
      </c>
      <c r="BD40" s="12">
        <f>IF('Données projet'!$A$88&gt;35,BD39+BC40-BL39,IF(A40&lt;'Données projet'!$A$88,$BA$205^A40,IF(A40='Données projet'!$A$88,'Données projet'!$B$88,BD39+BC40-BL39)))</f>
        <v>0</v>
      </c>
      <c r="BE40" s="13">
        <f>BD40*VLOOKUP('Données projet'!$B$11,Paramètres!$A$1:$I$89,3,0)*VLOOKUP('Données projet'!$B$11,Paramètres!$A$1:$I$89,5,0)</f>
        <v>0</v>
      </c>
      <c r="BF40" s="13" t="e">
        <f t="shared" si="37"/>
        <v>#NUM!</v>
      </c>
      <c r="BG40" s="20" t="e">
        <f t="shared" si="7"/>
        <v>#NUM!</v>
      </c>
      <c r="BH40" s="59" t="e">
        <f t="shared" si="8"/>
        <v>#NUM!</v>
      </c>
      <c r="BI40" s="59">
        <f ca="1">AVERAGE(OFFSET($BH$3,0,0,'Données projet'!$E$11+1,1))-AVERAGE(OFFSET($H$3,0,0,'Données projet'!$E$11+1,1))</f>
        <v>187.80389738728508</v>
      </c>
      <c r="BJ40" s="59">
        <f t="shared" si="38"/>
        <v>439.28159165815265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107.52158057174442</v>
      </c>
      <c r="BQ40" s="21">
        <f>EXP(-LN(2)/25)*BQ39+(1-EXP(-LN(2)/25))/(LN(2)/25)*Calculateur!BL40*Calculateur!BN40*VLOOKUP('Données projet'!$B$11,Paramètres!$A$1:$I$89,3,0)*0.475*44/12</f>
        <v>11.841023037379017</v>
      </c>
      <c r="BR40" s="21">
        <f>EXP(-LN(2)/2)*BR39+(1-EXP(-LN(2)/2))/(LN(2)/2)*BL40*BO40*VLOOKUP('Données projet'!$B$11,Paramètres!$A$1:$I$89,3,0)*0.475*44/12</f>
        <v>3.9741174175196023E-3</v>
      </c>
      <c r="BS40" s="22">
        <f t="shared" si="9"/>
        <v>119.36657772654095</v>
      </c>
      <c r="BT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0</v>
      </c>
      <c r="BY40" s="12">
        <f>IF('Données projet'!$A$114&gt;35,BY39+BX40-CG39,IF(A40&lt;'Données projet'!$A$114,$BV$205^A40,IF(A40='Données projet'!$A$114,'Données projet'!$B$114,BY39+BX40-CG39)))</f>
        <v>0</v>
      </c>
      <c r="BZ40" s="13" t="e">
        <f>BY40*VLOOKUP('Données projet'!$B$12,Paramètres!$A$1:$I$89,3,0)*VLOOKUP('Données projet'!$B$12,Paramètres!$A$1:$I$89,5,0)</f>
        <v>#N/A</v>
      </c>
      <c r="CA40" s="13" t="e">
        <f t="shared" si="39"/>
        <v>#N/A</v>
      </c>
      <c r="CB40" s="20" t="e">
        <f t="shared" si="10"/>
        <v>#N/A</v>
      </c>
      <c r="CC40" s="59" t="e">
        <f t="shared" si="11"/>
        <v>#N/A</v>
      </c>
      <c r="CD40" s="59" t="e">
        <f ca="1">AVERAGE(OFFSET($CC$3,0,0,'Données projet'!$E$12+1,1))-AVERAGE(OFFSET($H$3,0,0,'Données projet'!$E$12+1,1))</f>
        <v>#N/A</v>
      </c>
      <c r="CE40" s="59" t="e">
        <f t="shared" si="40"/>
        <v>#N/A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 t="e">
        <f>EXP(-LN(2)/35)*CK39+(1-EXP(-LN(2)/35))/(LN(2)/35)*CG40*CH40*VLOOKUP('Données projet'!$B$12,Paramètres!$A$1:$I$89,3,0)*0.475*44/12</f>
        <v>#N/A</v>
      </c>
      <c r="CL40" s="21" t="e">
        <f>EXP(-LN(2)/25)*CL39+(1-EXP(-LN(2)/25))/(LN(2)/25)*Calculateur!CG40*Calculateur!CI40*VLOOKUP('Données projet'!$B$12,Paramètres!$A$1:$I$89,3,0)*0.475*44/12</f>
        <v>#N/A</v>
      </c>
      <c r="CM40" s="21" t="e">
        <f>EXP(-LN(2)/2)*CM39+(1-EXP(-LN(2)/2))/(LN(2)/2)*CG40*CJ40*VLOOKUP('Données projet'!$B$12,Paramètres!$A$1:$I$89,3,0)*0.475*44/12</f>
        <v>#N/A</v>
      </c>
      <c r="CN40" s="22" t="e">
        <f t="shared" si="12"/>
        <v>#N/A</v>
      </c>
      <c r="CO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5">
      <c r="A41" s="10">
        <f t="shared" si="31"/>
        <v>38</v>
      </c>
      <c r="B41" s="72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1">
        <f t="shared" si="32"/>
        <v>0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66">
        <f t="shared" si="1"/>
        <v>256.66666666666669</v>
      </c>
      <c r="I41" s="6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13.802500000000002</v>
      </c>
      <c r="N41" s="13">
        <f>IF('Données projet'!$A$36&gt;35,N40+M41-V40,IF(A41&lt;'Données projet'!$A$36,$K$205^A41,IF(A41='Données projet'!$A$36,'Données projet'!$B$36,N40+M41-V40)))</f>
        <v>192.8</v>
      </c>
      <c r="O41" s="13">
        <f>N41*VLOOKUP('Données projet'!$B$9,Paramètres!$A$1:$I$89,3,0)*VLOOKUP('Données projet'!$B$9,Paramètres!$A$1:$I$89,5,0)</f>
        <v>174.44543999999999</v>
      </c>
      <c r="P41" s="13">
        <f t="shared" si="33"/>
        <v>44.08415354960767</v>
      </c>
      <c r="Q41" s="20">
        <f t="shared" si="53"/>
        <v>380.6057087655667</v>
      </c>
      <c r="R41" s="59">
        <f t="shared" si="0"/>
        <v>673.93904209890002</v>
      </c>
      <c r="S41" s="59">
        <f ca="1">AVERAGE(OFFSET($R$3,0,0,'Données projet'!$E$9+1,1))-AVERAGE(OFFSET($H$3,0,0,'Données projet'!$E$9+1,1))</f>
        <v>700.22008319944644</v>
      </c>
      <c r="T41" s="59">
        <f t="shared" si="34"/>
        <v>253.69632671986739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14.085782214832644</v>
      </c>
      <c r="AA41" s="21">
        <f>EXP(-LN(2)/25)*AA40+(1-EXP(-LN(2)/25))/(LN(2)/25)*Calculateur!V41*Calculateur!X41*VLOOKUP('Données projet'!$B$9,Paramètres!$A$1:$I$89,3,0)*0.475*44/12</f>
        <v>0</v>
      </c>
      <c r="AB41" s="21">
        <f>EXP(-LN(2)/2)*AB40+(1-EXP(-LN(2)/2))/(LN(2)/2)*V41*Y41*VLOOKUP('Données projet'!$B$9,Paramètres!$A$1:$I$89,3,0)*0.475*44/12</f>
        <v>0</v>
      </c>
      <c r="AC41" s="22">
        <f t="shared" si="3"/>
        <v>14.085782214832644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13.802500000000002</v>
      </c>
      <c r="AI41" s="13">
        <f>IF('Données projet'!$A$62&gt;35,AI40+AH41-AQ40,IF(A41&lt;'Données projet'!$A$62,$AF$205^A41,IF(A41='Données projet'!$A$62,'Données projet'!$B$62,AI40+AH41-AQ40)))</f>
        <v>192.8</v>
      </c>
      <c r="AJ41" s="13">
        <f>AI41*VLOOKUP('Données projet'!$B$10,Paramètres!$A$1:$I$89,3,0)*VLOOKUP('Données projet'!$B$10,Paramètres!$A$1:$I$89,5,0)</f>
        <v>183.46848</v>
      </c>
      <c r="AK41" s="13">
        <f t="shared" si="35"/>
        <v>46.092999794738887</v>
      </c>
      <c r="AL41" s="20">
        <f t="shared" si="4"/>
        <v>399.8195773091702</v>
      </c>
      <c r="AM41" s="59">
        <f t="shared" si="5"/>
        <v>693.15291064250346</v>
      </c>
      <c r="AN41" s="59">
        <f ca="1">AVERAGE(OFFSET($AM$3,0,0,'Données projet'!$E$10+1,1))-AVERAGE(OFFSET($H$3,0,0,'Données projet'!$E$10+1,1))</f>
        <v>733.95677909577444</v>
      </c>
      <c r="AO41" s="59">
        <f t="shared" si="36"/>
        <v>264.63778993239799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14.814357156979158</v>
      </c>
      <c r="AV41" s="21">
        <f>EXP(-LN(2)/25)*AV40+(1-EXP(-LN(2)/25))/(LN(2)/25)*Calculateur!AQ41*Calculateur!AS41*VLOOKUP('Données projet'!$B$10,Paramètres!$A$1:$I$89,3,0)*0.475*44/12</f>
        <v>0</v>
      </c>
      <c r="AW41" s="21">
        <f>EXP(-LN(2)/2)*AW40+(1-EXP(-LN(2)/2))/(LN(2)/2)*AQ41*AT41*VLOOKUP('Données projet'!$B$10,Paramètres!$A$1:$I$89,3,0)*0.475*44/12</f>
        <v>0</v>
      </c>
      <c r="AX41" s="21">
        <f t="shared" si="6"/>
        <v>14.814357156979158</v>
      </c>
      <c r="AY41" s="7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0</v>
      </c>
      <c r="BD41" s="12">
        <f>IF('Données projet'!$A$88&gt;35,BD40+BC41-BL40,IF(A41&lt;'Données projet'!$A$88,$BA$205^A41,IF(A41='Données projet'!$A$88,'Données projet'!$B$88,BD40+BC41-BL40)))</f>
        <v>0</v>
      </c>
      <c r="BE41" s="13">
        <f>BD41*VLOOKUP('Données projet'!$B$11,Paramètres!$A$1:$I$89,3,0)*VLOOKUP('Données projet'!$B$11,Paramètres!$A$1:$I$89,5,0)</f>
        <v>0</v>
      </c>
      <c r="BF41" s="13" t="e">
        <f t="shared" si="37"/>
        <v>#NUM!</v>
      </c>
      <c r="BG41" s="20" t="e">
        <f t="shared" si="7"/>
        <v>#NUM!</v>
      </c>
      <c r="BH41" s="59" t="e">
        <f t="shared" si="8"/>
        <v>#NUM!</v>
      </c>
      <c r="BI41" s="59">
        <f ca="1">AVERAGE(OFFSET($BH$3,0,0,'Données projet'!$E$11+1,1))-AVERAGE(OFFSET($H$3,0,0,'Données projet'!$E$11+1,1))</f>
        <v>187.80389738728508</v>
      </c>
      <c r="BJ41" s="59">
        <f t="shared" si="38"/>
        <v>439.28159165815265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105.41314795842101</v>
      </c>
      <c r="BQ41" s="21">
        <f>EXP(-LN(2)/25)*BQ40+(1-EXP(-LN(2)/25))/(LN(2)/25)*Calculateur!BL41*Calculateur!BN41*VLOOKUP('Données projet'!$B$11,Paramètres!$A$1:$I$89,3,0)*0.475*44/12</f>
        <v>11.51722963972955</v>
      </c>
      <c r="BR41" s="21">
        <f>EXP(-LN(2)/2)*BR40+(1-EXP(-LN(2)/2))/(LN(2)/2)*BL41*BO41*VLOOKUP('Données projet'!$B$11,Paramètres!$A$1:$I$89,3,0)*0.475*44/12</f>
        <v>2.8101253751596808E-3</v>
      </c>
      <c r="BS41" s="22">
        <f t="shared" si="9"/>
        <v>116.93318772352572</v>
      </c>
      <c r="BT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0</v>
      </c>
      <c r="BY41" s="12">
        <f>IF('Données projet'!$A$114&gt;35,BY40+BX41-CG40,IF(A41&lt;'Données projet'!$A$114,$BV$205^A41,IF(A41='Données projet'!$A$114,'Données projet'!$B$114,BY40+BX41-CG40)))</f>
        <v>0</v>
      </c>
      <c r="BZ41" s="13" t="e">
        <f>BY41*VLOOKUP('Données projet'!$B$12,Paramètres!$A$1:$I$89,3,0)*VLOOKUP('Données projet'!$B$12,Paramètres!$A$1:$I$89,5,0)</f>
        <v>#N/A</v>
      </c>
      <c r="CA41" s="13" t="e">
        <f t="shared" si="39"/>
        <v>#N/A</v>
      </c>
      <c r="CB41" s="20" t="e">
        <f t="shared" si="10"/>
        <v>#N/A</v>
      </c>
      <c r="CC41" s="59" t="e">
        <f t="shared" si="11"/>
        <v>#N/A</v>
      </c>
      <c r="CD41" s="59" t="e">
        <f ca="1">AVERAGE(OFFSET($CC$3,0,0,'Données projet'!$E$12+1,1))-AVERAGE(OFFSET($H$3,0,0,'Données projet'!$E$12+1,1))</f>
        <v>#N/A</v>
      </c>
      <c r="CE41" s="59" t="e">
        <f t="shared" si="40"/>
        <v>#N/A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 t="e">
        <f>EXP(-LN(2)/35)*CK40+(1-EXP(-LN(2)/35))/(LN(2)/35)*CG41*CH41*VLOOKUP('Données projet'!$B$12,Paramètres!$A$1:$I$89,3,0)*0.475*44/12</f>
        <v>#N/A</v>
      </c>
      <c r="CL41" s="21" t="e">
        <f>EXP(-LN(2)/25)*CL40+(1-EXP(-LN(2)/25))/(LN(2)/25)*Calculateur!CG41*Calculateur!CI41*VLOOKUP('Données projet'!$B$12,Paramètres!$A$1:$I$89,3,0)*0.475*44/12</f>
        <v>#N/A</v>
      </c>
      <c r="CM41" s="21" t="e">
        <f>EXP(-LN(2)/2)*CM40+(1-EXP(-LN(2)/2))/(LN(2)/2)*CG41*CJ41*VLOOKUP('Données projet'!$B$12,Paramètres!$A$1:$I$89,3,0)*0.475*44/12</f>
        <v>#N/A</v>
      </c>
      <c r="CN41" s="22" t="e">
        <f t="shared" si="12"/>
        <v>#N/A</v>
      </c>
      <c r="CO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5">
      <c r="A42" s="10">
        <f t="shared" si="31"/>
        <v>39</v>
      </c>
      <c r="B42" s="72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1">
        <f t="shared" si="32"/>
        <v>0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66">
        <f t="shared" si="1"/>
        <v>256.66666666666669</v>
      </c>
      <c r="I42" s="6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13.802500000000002</v>
      </c>
      <c r="N42" s="13">
        <f>IF('Données projet'!$A$36&gt;35,N41+M42-V41,IF(A42&lt;'Données projet'!$A$36,$K$205^A42,IF(A42='Données projet'!$A$36,'Données projet'!$B$36,N41+M42-V41)))</f>
        <v>206.60250000000002</v>
      </c>
      <c r="O42" s="13">
        <f>N42*VLOOKUP('Données projet'!$B$9,Paramètres!$A$1:$I$89,3,0)*VLOOKUP('Données projet'!$B$9,Paramètres!$A$1:$I$89,5,0)</f>
        <v>186.93394200000003</v>
      </c>
      <c r="P42" s="13">
        <f t="shared" si="33"/>
        <v>46.86145046822454</v>
      </c>
      <c r="Q42" s="20">
        <f t="shared" si="53"/>
        <v>407.19364188215781</v>
      </c>
      <c r="R42" s="59">
        <f t="shared" si="0"/>
        <v>700.52697521549112</v>
      </c>
      <c r="S42" s="59">
        <f ca="1">AVERAGE(OFFSET($R$3,0,0,'Données projet'!$E$9+1,1))-AVERAGE(OFFSET($H$3,0,0,'Données projet'!$E$9+1,1))</f>
        <v>700.22008319944644</v>
      </c>
      <c r="T42" s="59">
        <f t="shared" si="34"/>
        <v>253.69632671986739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13.80956861707859</v>
      </c>
      <c r="AA42" s="21">
        <f>EXP(-LN(2)/25)*AA41+(1-EXP(-LN(2)/25))/(LN(2)/25)*Calculateur!V42*Calculateur!X42*VLOOKUP('Données projet'!$B$9,Paramètres!$A$1:$I$89,3,0)*0.475*44/12</f>
        <v>0</v>
      </c>
      <c r="AB42" s="21">
        <f>EXP(-LN(2)/2)*AB41+(1-EXP(-LN(2)/2))/(LN(2)/2)*V42*Y42*VLOOKUP('Données projet'!$B$9,Paramètres!$A$1:$I$89,3,0)*0.475*44/12</f>
        <v>0</v>
      </c>
      <c r="AC42" s="22">
        <f t="shared" si="3"/>
        <v>13.80956861707859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13.802500000000002</v>
      </c>
      <c r="AI42" s="13">
        <f>IF('Données projet'!$A$62&gt;35,AI41+AH42-AQ41,IF(A42&lt;'Données projet'!$A$62,$AF$205^A42,IF(A42='Données projet'!$A$62,'Données projet'!$B$62,AI41+AH42-AQ41)))</f>
        <v>206.60250000000002</v>
      </c>
      <c r="AJ42" s="13">
        <f>AI42*VLOOKUP('Données projet'!$B$10,Paramètres!$A$1:$I$89,3,0)*VLOOKUP('Données projet'!$B$10,Paramètres!$A$1:$I$89,5,0)</f>
        <v>196.60293900000002</v>
      </c>
      <c r="AK42" s="13">
        <f t="shared" si="35"/>
        <v>48.996853810120612</v>
      </c>
      <c r="AL42" s="20">
        <f t="shared" si="4"/>
        <v>427.75297247762677</v>
      </c>
      <c r="AM42" s="59">
        <f t="shared" si="5"/>
        <v>721.08630581096008</v>
      </c>
      <c r="AN42" s="59">
        <f ca="1">AVERAGE(OFFSET($AM$3,0,0,'Données projet'!$E$10+1,1))-AVERAGE(OFFSET($H$3,0,0,'Données projet'!$E$10+1,1))</f>
        <v>733.95677909577444</v>
      </c>
      <c r="AO42" s="59">
        <f t="shared" si="36"/>
        <v>264.63778993239799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14.523856648996444</v>
      </c>
      <c r="AV42" s="21">
        <f>EXP(-LN(2)/25)*AV41+(1-EXP(-LN(2)/25))/(LN(2)/25)*Calculateur!AQ42*Calculateur!AS42*VLOOKUP('Données projet'!$B$10,Paramètres!$A$1:$I$89,3,0)*0.475*44/12</f>
        <v>0</v>
      </c>
      <c r="AW42" s="21">
        <f>EXP(-LN(2)/2)*AW41+(1-EXP(-LN(2)/2))/(LN(2)/2)*AQ42*AT42*VLOOKUP('Données projet'!$B$10,Paramètres!$A$1:$I$89,3,0)*0.475*44/12</f>
        <v>0</v>
      </c>
      <c r="AX42" s="21">
        <f t="shared" si="6"/>
        <v>14.523856648996444</v>
      </c>
      <c r="AY42" s="7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0</v>
      </c>
      <c r="BD42" s="12">
        <f>IF('Données projet'!$A$88&gt;35,BD41+BC42-BL41,IF(A42&lt;'Données projet'!$A$88,$BA$205^A42,IF(A42='Données projet'!$A$88,'Données projet'!$B$88,BD41+BC42-BL41)))</f>
        <v>0</v>
      </c>
      <c r="BE42" s="13">
        <f>BD42*VLOOKUP('Données projet'!$B$11,Paramètres!$A$1:$I$89,3,0)*VLOOKUP('Données projet'!$B$11,Paramètres!$A$1:$I$89,5,0)</f>
        <v>0</v>
      </c>
      <c r="BF42" s="13" t="e">
        <f t="shared" si="37"/>
        <v>#NUM!</v>
      </c>
      <c r="BG42" s="20" t="e">
        <f t="shared" si="7"/>
        <v>#NUM!</v>
      </c>
      <c r="BH42" s="59" t="e">
        <f t="shared" si="8"/>
        <v>#NUM!</v>
      </c>
      <c r="BI42" s="59">
        <f ca="1">AVERAGE(OFFSET($BH$3,0,0,'Données projet'!$E$11+1,1))-AVERAGE(OFFSET($H$3,0,0,'Données projet'!$E$11+1,1))</f>
        <v>187.80389738728508</v>
      </c>
      <c r="BJ42" s="59">
        <f t="shared" si="38"/>
        <v>439.28159165815265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103.34606042262796</v>
      </c>
      <c r="BQ42" s="21">
        <f>EXP(-LN(2)/25)*BQ41+(1-EXP(-LN(2)/25))/(LN(2)/25)*Calculateur!BL42*Calculateur!BN42*VLOOKUP('Données projet'!$B$11,Paramètres!$A$1:$I$89,3,0)*0.475*44/12</f>
        <v>11.202290389566361</v>
      </c>
      <c r="BR42" s="21">
        <f>EXP(-LN(2)/2)*BR41+(1-EXP(-LN(2)/2))/(LN(2)/2)*BL42*BO42*VLOOKUP('Données projet'!$B$11,Paramètres!$A$1:$I$89,3,0)*0.475*44/12</f>
        <v>1.9870587087598012E-3</v>
      </c>
      <c r="BS42" s="22">
        <f t="shared" si="9"/>
        <v>114.55033787090308</v>
      </c>
      <c r="BT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0</v>
      </c>
      <c r="BY42" s="12">
        <f>IF('Données projet'!$A$114&gt;35,BY41+BX42-CG41,IF(A42&lt;'Données projet'!$A$114,$BV$205^A42,IF(A42='Données projet'!$A$114,'Données projet'!$B$114,BY41+BX42-CG41)))</f>
        <v>0</v>
      </c>
      <c r="BZ42" s="13" t="e">
        <f>BY42*VLOOKUP('Données projet'!$B$12,Paramètres!$A$1:$I$89,3,0)*VLOOKUP('Données projet'!$B$12,Paramètres!$A$1:$I$89,5,0)</f>
        <v>#N/A</v>
      </c>
      <c r="CA42" s="13" t="e">
        <f t="shared" si="39"/>
        <v>#N/A</v>
      </c>
      <c r="CB42" s="20" t="e">
        <f t="shared" si="10"/>
        <v>#N/A</v>
      </c>
      <c r="CC42" s="59" t="e">
        <f t="shared" si="11"/>
        <v>#N/A</v>
      </c>
      <c r="CD42" s="59" t="e">
        <f ca="1">AVERAGE(OFFSET($CC$3,0,0,'Données projet'!$E$12+1,1))-AVERAGE(OFFSET($H$3,0,0,'Données projet'!$E$12+1,1))</f>
        <v>#N/A</v>
      </c>
      <c r="CE42" s="59" t="e">
        <f t="shared" si="40"/>
        <v>#N/A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 t="e">
        <f>EXP(-LN(2)/35)*CK41+(1-EXP(-LN(2)/35))/(LN(2)/35)*CG42*CH42*VLOOKUP('Données projet'!$B$12,Paramètres!$A$1:$I$89,3,0)*0.475*44/12</f>
        <v>#N/A</v>
      </c>
      <c r="CL42" s="21" t="e">
        <f>EXP(-LN(2)/25)*CL41+(1-EXP(-LN(2)/25))/(LN(2)/25)*Calculateur!CG42*Calculateur!CI42*VLOOKUP('Données projet'!$B$12,Paramètres!$A$1:$I$89,3,0)*0.475*44/12</f>
        <v>#N/A</v>
      </c>
      <c r="CM42" s="21" t="e">
        <f>EXP(-LN(2)/2)*CM41+(1-EXP(-LN(2)/2))/(LN(2)/2)*CG42*CJ42*VLOOKUP('Données projet'!$B$12,Paramètres!$A$1:$I$89,3,0)*0.475*44/12</f>
        <v>#N/A</v>
      </c>
      <c r="CN42" s="22" t="e">
        <f t="shared" si="12"/>
        <v>#N/A</v>
      </c>
      <c r="CO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5">
      <c r="A43" s="10">
        <f t="shared" si="31"/>
        <v>40</v>
      </c>
      <c r="B43" s="72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1">
        <f t="shared" si="32"/>
        <v>0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66">
        <f t="shared" si="1"/>
        <v>256.66666666666669</v>
      </c>
      <c r="I43" s="6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 t="e">
        <f>VLOOKUP(A43,'Données projet'!$A$35:$I$55,2,0)</f>
        <v>#N/A</v>
      </c>
      <c r="L43" s="12" t="e">
        <f>VLOOKUP(A43,'Données projet'!$A$35:$I$55,9,0)</f>
        <v>#N/A</v>
      </c>
      <c r="M43" s="12">
        <f t="array" ref="M43">INDEX(L:L,MIN(IF(ISNUMBER(L43:L239),ROW(L43:L239),"")))</f>
        <v>13.802500000000002</v>
      </c>
      <c r="N43" s="13">
        <f>IF('Données projet'!$A$36&gt;35,N42+M43-V42,IF(A43&lt;'Données projet'!$A$36,$K$205^A43,IF(A43='Données projet'!$A$36,'Données projet'!$B$36,N42+M43-V42)))</f>
        <v>220.40500000000003</v>
      </c>
      <c r="O43" s="13">
        <f>N43*VLOOKUP('Données projet'!$B$9,Paramètres!$A$1:$I$89,3,0)*VLOOKUP('Données projet'!$B$9,Paramètres!$A$1:$I$89,5,0)</f>
        <v>199.42244400000001</v>
      </c>
      <c r="P43" s="13">
        <f t="shared" si="33"/>
        <v>49.617217041644913</v>
      </c>
      <c r="Q43" s="20">
        <f t="shared" si="53"/>
        <v>433.74407631419825</v>
      </c>
      <c r="R43" s="59">
        <f t="shared" si="0"/>
        <v>727.07740964753157</v>
      </c>
      <c r="S43" s="59">
        <f ca="1">AVERAGE(OFFSET($R$3,0,0,'Données projet'!$E$9+1,1))-AVERAGE(OFFSET($H$3,0,0,'Données projet'!$E$9+1,1))</f>
        <v>700.22008319944644</v>
      </c>
      <c r="T43" s="59">
        <f t="shared" si="34"/>
        <v>253.69632671986739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13.538771399502831</v>
      </c>
      <c r="AA43" s="21">
        <f>EXP(-LN(2)/25)*AA42+(1-EXP(-LN(2)/25))/(LN(2)/25)*Calculateur!V43*Calculateur!X43*VLOOKUP('Données projet'!$B$9,Paramètres!$A$1:$I$89,3,0)*0.475*44/12</f>
        <v>0</v>
      </c>
      <c r="AB43" s="21">
        <f>EXP(-LN(2)/2)*AB42+(1-EXP(-LN(2)/2))/(LN(2)/2)*V43*Y43*VLOOKUP('Données projet'!$B$9,Paramètres!$A$1:$I$89,3,0)*0.475*44/12</f>
        <v>0</v>
      </c>
      <c r="AC43" s="22">
        <f t="shared" si="3"/>
        <v>13.538771399502831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 t="e">
        <f>VLOOKUP(A43,'Données projet'!$A$61:$I$81,2,0)</f>
        <v>#N/A</v>
      </c>
      <c r="AG43" s="12" t="e">
        <f>VLOOKUP(A43,'Données projet'!$A$61:$I$81,9,0)</f>
        <v>#N/A</v>
      </c>
      <c r="AH43" s="12">
        <f t="array" ref="AH43">INDEX(AG:AG,MIN(IF(ISNUMBER(AG43:AG239),ROW(AG43:AG239),"")))</f>
        <v>13.802500000000002</v>
      </c>
      <c r="AI43" s="13">
        <f>IF('Données projet'!$A$62&gt;35,AI42+AH43-AQ42,IF(A43&lt;'Données projet'!$A$62,$AF$205^A43,IF(A43='Données projet'!$A$62,'Données projet'!$B$62,AI42+AH43-AQ42)))</f>
        <v>220.40500000000003</v>
      </c>
      <c r="AJ43" s="13">
        <f>AI43*VLOOKUP('Données projet'!$B$10,Paramètres!$A$1:$I$89,3,0)*VLOOKUP('Données projet'!$B$10,Paramètres!$A$1:$I$89,5,0)</f>
        <v>209.73739800000004</v>
      </c>
      <c r="AK43" s="13">
        <f t="shared" si="35"/>
        <v>51.87819637599474</v>
      </c>
      <c r="AL43" s="20">
        <f t="shared" si="4"/>
        <v>455.64716020485753</v>
      </c>
      <c r="AM43" s="59">
        <f t="shared" si="5"/>
        <v>748.98049353819079</v>
      </c>
      <c r="AN43" s="59">
        <f ca="1">AVERAGE(OFFSET($AM$3,0,0,'Données projet'!$E$10+1,1))-AVERAGE(OFFSET($H$3,0,0,'Données projet'!$E$10+1,1))</f>
        <v>733.95677909577444</v>
      </c>
      <c r="AO43" s="59">
        <f t="shared" si="36"/>
        <v>264.63778993239799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14.239052678787459</v>
      </c>
      <c r="AV43" s="21">
        <f>EXP(-LN(2)/25)*AV42+(1-EXP(-LN(2)/25))/(LN(2)/25)*Calculateur!AQ43*Calculateur!AS43*VLOOKUP('Données projet'!$B$10,Paramètres!$A$1:$I$89,3,0)*0.475*44/12</f>
        <v>0</v>
      </c>
      <c r="AW43" s="21">
        <f>EXP(-LN(2)/2)*AW42+(1-EXP(-LN(2)/2))/(LN(2)/2)*AQ43*AT43*VLOOKUP('Données projet'!$B$10,Paramètres!$A$1:$I$89,3,0)*0.475*44/12</f>
        <v>0</v>
      </c>
      <c r="AX43" s="21">
        <f t="shared" si="6"/>
        <v>14.239052678787459</v>
      </c>
      <c r="AY43" s="7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0</v>
      </c>
      <c r="BD43" s="12">
        <f>IF('Données projet'!$A$88&gt;35,BD42+BC43-BL42,IF(A43&lt;'Données projet'!$A$88,$BA$205^A43,IF(A43='Données projet'!$A$88,'Données projet'!$B$88,BD42+BC43-BL42)))</f>
        <v>0</v>
      </c>
      <c r="BE43" s="13">
        <f>BD43*VLOOKUP('Données projet'!$B$11,Paramètres!$A$1:$I$89,3,0)*VLOOKUP('Données projet'!$B$11,Paramètres!$A$1:$I$89,5,0)</f>
        <v>0</v>
      </c>
      <c r="BF43" s="13" t="e">
        <f t="shared" si="37"/>
        <v>#NUM!</v>
      </c>
      <c r="BG43" s="20" t="e">
        <f t="shared" si="7"/>
        <v>#NUM!</v>
      </c>
      <c r="BH43" s="59" t="e">
        <f t="shared" si="8"/>
        <v>#NUM!</v>
      </c>
      <c r="BI43" s="59">
        <f ca="1">AVERAGE(OFFSET($BH$3,0,0,'Données projet'!$E$11+1,1))-AVERAGE(OFFSET($H$3,0,0,'Données projet'!$E$11+1,1))</f>
        <v>187.80389738728508</v>
      </c>
      <c r="BJ43" s="59">
        <f t="shared" si="38"/>
        <v>439.28159165815265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101.3195072126129</v>
      </c>
      <c r="BQ43" s="21">
        <f>EXP(-LN(2)/25)*BQ42+(1-EXP(-LN(2)/25))/(LN(2)/25)*Calculateur!BL43*Calculateur!BN43*VLOOKUP('Données projet'!$B$11,Paramètres!$A$1:$I$89,3,0)*0.475*44/12</f>
        <v>10.895963169760821</v>
      </c>
      <c r="BR43" s="21">
        <f>EXP(-LN(2)/2)*BR42+(1-EXP(-LN(2)/2))/(LN(2)/2)*BL43*BO43*VLOOKUP('Données projet'!$B$11,Paramètres!$A$1:$I$89,3,0)*0.475*44/12</f>
        <v>1.4050626875798404E-3</v>
      </c>
      <c r="BS43" s="22">
        <f t="shared" si="9"/>
        <v>112.21687544506131</v>
      </c>
      <c r="BT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0</v>
      </c>
      <c r="BY43" s="12">
        <f>IF('Données projet'!$A$114&gt;35,BY42+BX43-CG42,IF(A43&lt;'Données projet'!$A$114,$BV$205^A43,IF(A43='Données projet'!$A$114,'Données projet'!$B$114,BY42+BX43-CG42)))</f>
        <v>0</v>
      </c>
      <c r="BZ43" s="13" t="e">
        <f>BY43*VLOOKUP('Données projet'!$B$12,Paramètres!$A$1:$I$89,3,0)*VLOOKUP('Données projet'!$B$12,Paramètres!$A$1:$I$89,5,0)</f>
        <v>#N/A</v>
      </c>
      <c r="CA43" s="13" t="e">
        <f t="shared" si="39"/>
        <v>#N/A</v>
      </c>
      <c r="CB43" s="20" t="e">
        <f t="shared" si="10"/>
        <v>#N/A</v>
      </c>
      <c r="CC43" s="59" t="e">
        <f t="shared" si="11"/>
        <v>#N/A</v>
      </c>
      <c r="CD43" s="59" t="e">
        <f ca="1">AVERAGE(OFFSET($CC$3,0,0,'Données projet'!$E$12+1,1))-AVERAGE(OFFSET($H$3,0,0,'Données projet'!$E$12+1,1))</f>
        <v>#N/A</v>
      </c>
      <c r="CE43" s="59" t="e">
        <f t="shared" si="40"/>
        <v>#N/A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 t="e">
        <f>EXP(-LN(2)/35)*CK42+(1-EXP(-LN(2)/35))/(LN(2)/35)*CG43*CH43*VLOOKUP('Données projet'!$B$12,Paramètres!$A$1:$I$89,3,0)*0.475*44/12</f>
        <v>#N/A</v>
      </c>
      <c r="CL43" s="21" t="e">
        <f>EXP(-LN(2)/25)*CL42+(1-EXP(-LN(2)/25))/(LN(2)/25)*Calculateur!CG43*Calculateur!CI43*VLOOKUP('Données projet'!$B$12,Paramètres!$A$1:$I$89,3,0)*0.475*44/12</f>
        <v>#N/A</v>
      </c>
      <c r="CM43" s="21" t="e">
        <f>EXP(-LN(2)/2)*CM42+(1-EXP(-LN(2)/2))/(LN(2)/2)*CG43*CJ43*VLOOKUP('Données projet'!$B$12,Paramètres!$A$1:$I$89,3,0)*0.475*44/12</f>
        <v>#N/A</v>
      </c>
      <c r="CN43" s="22" t="e">
        <f t="shared" si="12"/>
        <v>#N/A</v>
      </c>
      <c r="CO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5">
      <c r="A44" s="10">
        <f t="shared" si="31"/>
        <v>41</v>
      </c>
      <c r="B44" s="72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1">
        <f t="shared" si="32"/>
        <v>0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66">
        <f t="shared" si="1"/>
        <v>256.66666666666669</v>
      </c>
      <c r="I44" s="6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13.802500000000002</v>
      </c>
      <c r="N44" s="13">
        <f>IF('Données projet'!$A$36&gt;35,N43+M44-V43,IF(A44&lt;'Données projet'!$A$36,$K$205^A44,IF(A44='Données projet'!$A$36,'Données projet'!$B$36,N43+M44-V43)))</f>
        <v>234.20750000000004</v>
      </c>
      <c r="O44" s="13">
        <f>N44*VLOOKUP('Données projet'!$B$9,Paramètres!$A$1:$I$89,3,0)*VLOOKUP('Données projet'!$B$9,Paramètres!$A$1:$I$89,5,0)</f>
        <v>211.910946</v>
      </c>
      <c r="P44" s="13">
        <f t="shared" si="33"/>
        <v>52.352955065676788</v>
      </c>
      <c r="Q44" s="20">
        <f t="shared" si="53"/>
        <v>460.25962768938712</v>
      </c>
      <c r="R44" s="59">
        <f t="shared" si="0"/>
        <v>753.59296102272037</v>
      </c>
      <c r="S44" s="59">
        <f ca="1">AVERAGE(OFFSET($R$3,0,0,'Données projet'!$E$9+1,1))-AVERAGE(OFFSET($H$3,0,0,'Données projet'!$E$9+1,1))</f>
        <v>700.22008319944644</v>
      </c>
      <c r="T44" s="59">
        <f t="shared" si="34"/>
        <v>253.69632671986739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13.273284350193741</v>
      </c>
      <c r="AA44" s="21">
        <f>EXP(-LN(2)/25)*AA43+(1-EXP(-LN(2)/25))/(LN(2)/25)*Calculateur!V44*Calculateur!X44*VLOOKUP('Données projet'!$B$9,Paramètres!$A$1:$I$89,3,0)*0.475*44/12</f>
        <v>0</v>
      </c>
      <c r="AB44" s="21">
        <f>EXP(-LN(2)/2)*AB43+(1-EXP(-LN(2)/2))/(LN(2)/2)*V44*Y44*VLOOKUP('Données projet'!$B$9,Paramètres!$A$1:$I$89,3,0)*0.475*44/12</f>
        <v>0</v>
      </c>
      <c r="AC44" s="22">
        <f t="shared" si="3"/>
        <v>13.273284350193741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13.802500000000002</v>
      </c>
      <c r="AI44" s="13">
        <f>IF('Données projet'!$A$62&gt;35,AI43+AH44-AQ43,IF(A44&lt;'Données projet'!$A$62,$AF$205^A44,IF(A44='Données projet'!$A$62,'Données projet'!$B$62,AI43+AH44-AQ43)))</f>
        <v>234.20750000000004</v>
      </c>
      <c r="AJ44" s="13">
        <f>AI44*VLOOKUP('Données projet'!$B$10,Paramètres!$A$1:$I$89,3,0)*VLOOKUP('Données projet'!$B$10,Paramètres!$A$1:$I$89,5,0)</f>
        <v>222.87185700000003</v>
      </c>
      <c r="AK44" s="13">
        <f t="shared" si="35"/>
        <v>54.738597722666043</v>
      </c>
      <c r="AL44" s="20">
        <f t="shared" si="4"/>
        <v>483.50487530864331</v>
      </c>
      <c r="AM44" s="59">
        <f t="shared" si="5"/>
        <v>776.83820864197662</v>
      </c>
      <c r="AN44" s="59">
        <f ca="1">AVERAGE(OFFSET($AM$3,0,0,'Données projet'!$E$10+1,1))-AVERAGE(OFFSET($H$3,0,0,'Données projet'!$E$10+1,1))</f>
        <v>733.95677909577444</v>
      </c>
      <c r="AO44" s="59">
        <f t="shared" si="36"/>
        <v>264.63778993239799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13.959833540721002</v>
      </c>
      <c r="AV44" s="21">
        <f>EXP(-LN(2)/25)*AV43+(1-EXP(-LN(2)/25))/(LN(2)/25)*Calculateur!AQ44*Calculateur!AS44*VLOOKUP('Données projet'!$B$10,Paramètres!$A$1:$I$89,3,0)*0.475*44/12</f>
        <v>0</v>
      </c>
      <c r="AW44" s="21">
        <f>EXP(-LN(2)/2)*AW43+(1-EXP(-LN(2)/2))/(LN(2)/2)*AQ44*AT44*VLOOKUP('Données projet'!$B$10,Paramètres!$A$1:$I$89,3,0)*0.475*44/12</f>
        <v>0</v>
      </c>
      <c r="AX44" s="21">
        <f t="shared" si="6"/>
        <v>13.959833540721002</v>
      </c>
      <c r="AY44" s="7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0</v>
      </c>
      <c r="BD44" s="12">
        <f>IF('Données projet'!$A$88&gt;35,BD43+BC44-BL43,IF(A44&lt;'Données projet'!$A$88,$BA$205^A44,IF(A44='Données projet'!$A$88,'Données projet'!$B$88,BD43+BC44-BL43)))</f>
        <v>0</v>
      </c>
      <c r="BE44" s="13">
        <f>BD44*VLOOKUP('Données projet'!$B$11,Paramètres!$A$1:$I$89,3,0)*VLOOKUP('Données projet'!$B$11,Paramètres!$A$1:$I$89,5,0)</f>
        <v>0</v>
      </c>
      <c r="BF44" s="13" t="e">
        <f t="shared" si="37"/>
        <v>#NUM!</v>
      </c>
      <c r="BG44" s="20" t="e">
        <f t="shared" si="7"/>
        <v>#NUM!</v>
      </c>
      <c r="BH44" s="59" t="e">
        <f t="shared" si="8"/>
        <v>#NUM!</v>
      </c>
      <c r="BI44" s="59">
        <f ca="1">AVERAGE(OFFSET($BH$3,0,0,'Données projet'!$E$11+1,1))-AVERAGE(OFFSET($H$3,0,0,'Données projet'!$E$11+1,1))</f>
        <v>187.80389738728508</v>
      </c>
      <c r="BJ44" s="59">
        <f t="shared" si="38"/>
        <v>439.28159165815265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99.332693474970839</v>
      </c>
      <c r="BQ44" s="21">
        <f>EXP(-LN(2)/25)*BQ43+(1-EXP(-LN(2)/25))/(LN(2)/25)*Calculateur!BL44*Calculateur!BN44*VLOOKUP('Données projet'!$B$11,Paramètres!$A$1:$I$89,3,0)*0.475*44/12</f>
        <v>10.59801248388991</v>
      </c>
      <c r="BR44" s="21">
        <f>EXP(-LN(2)/2)*BR43+(1-EXP(-LN(2)/2))/(LN(2)/2)*BL44*BO44*VLOOKUP('Données projet'!$B$11,Paramètres!$A$1:$I$89,3,0)*0.475*44/12</f>
        <v>9.9352935437990058E-4</v>
      </c>
      <c r="BS44" s="22">
        <f t="shared" si="9"/>
        <v>109.93169948821513</v>
      </c>
      <c r="BT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0</v>
      </c>
      <c r="BY44" s="12">
        <f>IF('Données projet'!$A$114&gt;35,BY43+BX44-CG43,IF(A44&lt;'Données projet'!$A$114,$BV$205^A44,IF(A44='Données projet'!$A$114,'Données projet'!$B$114,BY43+BX44-CG43)))</f>
        <v>0</v>
      </c>
      <c r="BZ44" s="13" t="e">
        <f>BY44*VLOOKUP('Données projet'!$B$12,Paramètres!$A$1:$I$89,3,0)*VLOOKUP('Données projet'!$B$12,Paramètres!$A$1:$I$89,5,0)</f>
        <v>#N/A</v>
      </c>
      <c r="CA44" s="13" t="e">
        <f t="shared" si="39"/>
        <v>#N/A</v>
      </c>
      <c r="CB44" s="20" t="e">
        <f t="shared" si="10"/>
        <v>#N/A</v>
      </c>
      <c r="CC44" s="59" t="e">
        <f t="shared" si="11"/>
        <v>#N/A</v>
      </c>
      <c r="CD44" s="59" t="e">
        <f ca="1">AVERAGE(OFFSET($CC$3,0,0,'Données projet'!$E$12+1,1))-AVERAGE(OFFSET($H$3,0,0,'Données projet'!$E$12+1,1))</f>
        <v>#N/A</v>
      </c>
      <c r="CE44" s="59" t="e">
        <f t="shared" si="40"/>
        <v>#N/A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 t="e">
        <f>EXP(-LN(2)/35)*CK43+(1-EXP(-LN(2)/35))/(LN(2)/35)*CG44*CH44*VLOOKUP('Données projet'!$B$12,Paramètres!$A$1:$I$89,3,0)*0.475*44/12</f>
        <v>#N/A</v>
      </c>
      <c r="CL44" s="21" t="e">
        <f>EXP(-LN(2)/25)*CL43+(1-EXP(-LN(2)/25))/(LN(2)/25)*Calculateur!CG44*Calculateur!CI44*VLOOKUP('Données projet'!$B$12,Paramètres!$A$1:$I$89,3,0)*0.475*44/12</f>
        <v>#N/A</v>
      </c>
      <c r="CM44" s="21" t="e">
        <f>EXP(-LN(2)/2)*CM43+(1-EXP(-LN(2)/2))/(LN(2)/2)*CG44*CJ44*VLOOKUP('Données projet'!$B$12,Paramètres!$A$1:$I$89,3,0)*0.475*44/12</f>
        <v>#N/A</v>
      </c>
      <c r="CN44" s="22" t="e">
        <f t="shared" si="12"/>
        <v>#N/A</v>
      </c>
      <c r="CO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5">
      <c r="A45" s="10">
        <f t="shared" si="31"/>
        <v>42</v>
      </c>
      <c r="B45" s="72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1">
        <f t="shared" si="32"/>
        <v>0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66">
        <f t="shared" si="1"/>
        <v>256.66666666666669</v>
      </c>
      <c r="I45" s="6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>
        <f>VLOOKUP(A45,'Données projet'!$A$35:$I$55,2,0)</f>
        <v>248.01</v>
      </c>
      <c r="L45" s="12">
        <f>VLOOKUP(A45,'Données projet'!$A$35:$I$55,9,0)</f>
        <v>13.802500000000002</v>
      </c>
      <c r="M45" s="12">
        <f t="array" ref="M45">INDEX(L:L,MIN(IF(ISNUMBER(L45:L241),ROW(L45:L241),"")))</f>
        <v>13.802500000000002</v>
      </c>
      <c r="N45" s="13">
        <f>IF('Données projet'!$A$36&gt;35,N44+M45-V44,IF(A45&lt;'Données projet'!$A$36,$K$205^A45,IF(A45='Données projet'!$A$36,'Données projet'!$B$36,N44+M45-V44)))</f>
        <v>248.01000000000005</v>
      </c>
      <c r="O45" s="13">
        <f>N45*VLOOKUP('Données projet'!$B$9,Paramètres!$A$1:$I$89,3,0)*VLOOKUP('Données projet'!$B$9,Paramètres!$A$1:$I$89,5,0)</f>
        <v>224.39944800000004</v>
      </c>
      <c r="P45" s="13">
        <f t="shared" si="33"/>
        <v>55.06997932657665</v>
      </c>
      <c r="Q45" s="20">
        <f t="shared" si="53"/>
        <v>486.74258592712107</v>
      </c>
      <c r="R45" s="59">
        <f t="shared" si="0"/>
        <v>780.07591926045438</v>
      </c>
      <c r="S45" s="59">
        <f ca="1">AVERAGE(OFFSET($R$3,0,0,'Données projet'!$E$9+1,1))-AVERAGE(OFFSET($H$3,0,0,'Données projet'!$E$9+1,1))</f>
        <v>700.22008319944644</v>
      </c>
      <c r="T45" s="59">
        <f t="shared" si="34"/>
        <v>253.69632671986739</v>
      </c>
      <c r="U45" s="15">
        <f>IF(ISNA(VLOOKUP(A45,'Données projet'!$A$35:$I$55,3,0)),0,VLOOKUP(A45,'Données projet'!$A$35:$I$55,3,0))</f>
        <v>2</v>
      </c>
      <c r="V45" s="15">
        <f>IF(ISNA(VLOOKUP(A45,'Données projet'!$A$35:$I$55,4,0)),0,VLOOKUP(A45,'Données projet'!$A$35:$I$55,4,0))</f>
        <v>55.41</v>
      </c>
      <c r="W45" s="16">
        <f>IF(ISNA(VLOOKUP(A45,'Données projet'!$A$35:$I$55,5,0)),0%,VLOOKUP(A45,'Données projet'!$A$35:$I$55,5,0)*VLOOKUP('Données projet'!$B$9,Paramètres!$A$1:$I$89,7,0))</f>
        <v>0.43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36.844773844208383</v>
      </c>
      <c r="AA45" s="21">
        <f>EXP(-LN(2)/25)*AA44+(1-EXP(-LN(2)/25))/(LN(2)/25)*Calculateur!V45*Calculateur!X45*VLOOKUP('Données projet'!$B$9,Paramètres!$A$1:$I$89,3,0)*0.475*44/12</f>
        <v>0</v>
      </c>
      <c r="AB45" s="21">
        <f>EXP(-LN(2)/2)*AB44+(1-EXP(-LN(2)/2))/(LN(2)/2)*V45*Y45*VLOOKUP('Données projet'!$B$9,Paramètres!$A$1:$I$89,3,0)*0.475*44/12</f>
        <v>0</v>
      </c>
      <c r="AC45" s="22">
        <f t="shared" si="3"/>
        <v>36.844773844208383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>
        <f>VLOOKUP(A45,'Données projet'!$A$61:$I$81,2,0)</f>
        <v>248.01</v>
      </c>
      <c r="AG45" s="12">
        <f>VLOOKUP(A45,'Données projet'!$A$61:$I$81,9,0)</f>
        <v>13.802500000000002</v>
      </c>
      <c r="AH45" s="12">
        <f t="array" ref="AH45">INDEX(AG:AG,MIN(IF(ISNUMBER(AG45:AG241),ROW(AG45:AG241),"")))</f>
        <v>13.802500000000002</v>
      </c>
      <c r="AI45" s="13">
        <f>IF('Données projet'!$A$62&gt;35,AI44+AH45-AQ44,IF(A45&lt;'Données projet'!$A$62,$AF$205^A45,IF(A45='Données projet'!$A$62,'Données projet'!$B$62,AI44+AH45-AQ44)))</f>
        <v>248.01000000000005</v>
      </c>
      <c r="AJ45" s="13">
        <f>AI45*VLOOKUP('Données projet'!$B$10,Paramètres!$A$1:$I$89,3,0)*VLOOKUP('Données projet'!$B$10,Paramètres!$A$1:$I$89,5,0)</f>
        <v>236.00631600000006</v>
      </c>
      <c r="AK45" s="13">
        <f t="shared" si="35"/>
        <v>57.579432549153722</v>
      </c>
      <c r="AL45" s="20">
        <f t="shared" si="4"/>
        <v>511.32851205644278</v>
      </c>
      <c r="AM45" s="59">
        <f t="shared" si="5"/>
        <v>804.66184538977609</v>
      </c>
      <c r="AN45" s="59">
        <f ca="1">AVERAGE(OFFSET($AM$3,0,0,'Données projet'!$E$10+1,1))-AVERAGE(OFFSET($H$3,0,0,'Données projet'!$E$10+1,1))</f>
        <v>733.95677909577444</v>
      </c>
      <c r="AO45" s="59">
        <f t="shared" si="36"/>
        <v>264.63778993239799</v>
      </c>
      <c r="AP45" s="15">
        <f>IF(ISNA(VLOOKUP(A45,'Données projet'!$A$61:$I$81,3,0)),0,VLOOKUP(A45,'Données projet'!$A$61:$I$81,3,0))</f>
        <v>2</v>
      </c>
      <c r="AQ45" s="15">
        <f>IF(ISNA(VLOOKUP(A45,'Données projet'!$A$61:$I$81,4,0)),0,VLOOKUP(A45,'Données projet'!$A$61:$I$81,4,0))</f>
        <v>55.41</v>
      </c>
      <c r="AR45" s="16">
        <f>IF(ISNA(VLOOKUP(A45,'Données projet'!$A$61:$I$81,5,0)),0%,VLOOKUP(A45,'Données projet'!$A$61:$I$81,5,0)*VLOOKUP('Données projet'!$B$10,Paramètres!$A$1:$I$89,7,0))</f>
        <v>0.43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38.750538008563986</v>
      </c>
      <c r="AV45" s="21">
        <f>EXP(-LN(2)/25)*AV44+(1-EXP(-LN(2)/25))/(LN(2)/25)*Calculateur!AQ45*Calculateur!AS45*VLOOKUP('Données projet'!$B$10,Paramètres!$A$1:$I$89,3,0)*0.475*44/12</f>
        <v>0</v>
      </c>
      <c r="AW45" s="21">
        <f>EXP(-LN(2)/2)*AW44+(1-EXP(-LN(2)/2))/(LN(2)/2)*AQ45*AT45*VLOOKUP('Données projet'!$B$10,Paramètres!$A$1:$I$89,3,0)*0.475*44/12</f>
        <v>0</v>
      </c>
      <c r="AX45" s="21">
        <f t="shared" si="6"/>
        <v>38.750538008563986</v>
      </c>
      <c r="AY45" s="7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0</v>
      </c>
      <c r="BD45" s="12">
        <f>IF('Données projet'!$A$88&gt;35,BD44+BC45-BL44,IF(A45&lt;'Données projet'!$A$88,$BA$205^A45,IF(A45='Données projet'!$A$88,'Données projet'!$B$88,BD44+BC45-BL44)))</f>
        <v>0</v>
      </c>
      <c r="BE45" s="13">
        <f>BD45*VLOOKUP('Données projet'!$B$11,Paramètres!$A$1:$I$89,3,0)*VLOOKUP('Données projet'!$B$11,Paramètres!$A$1:$I$89,5,0)</f>
        <v>0</v>
      </c>
      <c r="BF45" s="13" t="e">
        <f t="shared" si="37"/>
        <v>#NUM!</v>
      </c>
      <c r="BG45" s="20" t="e">
        <f t="shared" si="7"/>
        <v>#NUM!</v>
      </c>
      <c r="BH45" s="59" t="e">
        <f t="shared" si="8"/>
        <v>#NUM!</v>
      </c>
      <c r="BI45" s="59">
        <f ca="1">AVERAGE(OFFSET($BH$3,0,0,'Données projet'!$E$11+1,1))-AVERAGE(OFFSET($H$3,0,0,'Données projet'!$E$11+1,1))</f>
        <v>187.80389738728508</v>
      </c>
      <c r="BJ45" s="59">
        <f t="shared" si="38"/>
        <v>439.28159165815265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97.384839942887211</v>
      </c>
      <c r="BQ45" s="21">
        <f>EXP(-LN(2)/25)*BQ44+(1-EXP(-LN(2)/25))/(LN(2)/25)*Calculateur!BL45*Calculateur!BN45*VLOOKUP('Données projet'!$B$11,Paramètres!$A$1:$I$89,3,0)*0.475*44/12</f>
        <v>10.308209275192686</v>
      </c>
      <c r="BR45" s="21">
        <f>EXP(-LN(2)/2)*BR44+(1-EXP(-LN(2)/2))/(LN(2)/2)*BL45*BO45*VLOOKUP('Données projet'!$B$11,Paramètres!$A$1:$I$89,3,0)*0.475*44/12</f>
        <v>7.025313437899202E-4</v>
      </c>
      <c r="BS45" s="22">
        <f t="shared" si="9"/>
        <v>107.69375174942368</v>
      </c>
      <c r="BT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0</v>
      </c>
      <c r="BY45" s="12">
        <f>IF('Données projet'!$A$114&gt;35,BY44+BX45-CG44,IF(A45&lt;'Données projet'!$A$114,$BV$205^A45,IF(A45='Données projet'!$A$114,'Données projet'!$B$114,BY44+BX45-CG44)))</f>
        <v>0</v>
      </c>
      <c r="BZ45" s="13" t="e">
        <f>BY45*VLOOKUP('Données projet'!$B$12,Paramètres!$A$1:$I$89,3,0)*VLOOKUP('Données projet'!$B$12,Paramètres!$A$1:$I$89,5,0)</f>
        <v>#N/A</v>
      </c>
      <c r="CA45" s="13" t="e">
        <f t="shared" si="39"/>
        <v>#N/A</v>
      </c>
      <c r="CB45" s="20" t="e">
        <f t="shared" si="10"/>
        <v>#N/A</v>
      </c>
      <c r="CC45" s="59" t="e">
        <f t="shared" si="11"/>
        <v>#N/A</v>
      </c>
      <c r="CD45" s="59" t="e">
        <f ca="1">AVERAGE(OFFSET($CC$3,0,0,'Données projet'!$E$12+1,1))-AVERAGE(OFFSET($H$3,0,0,'Données projet'!$E$12+1,1))</f>
        <v>#N/A</v>
      </c>
      <c r="CE45" s="59" t="e">
        <f t="shared" si="40"/>
        <v>#N/A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 t="e">
        <f>EXP(-LN(2)/35)*CK44+(1-EXP(-LN(2)/35))/(LN(2)/35)*CG45*CH45*VLOOKUP('Données projet'!$B$12,Paramètres!$A$1:$I$89,3,0)*0.475*44/12</f>
        <v>#N/A</v>
      </c>
      <c r="CL45" s="21" t="e">
        <f>EXP(-LN(2)/25)*CL44+(1-EXP(-LN(2)/25))/(LN(2)/25)*Calculateur!CG45*Calculateur!CI45*VLOOKUP('Données projet'!$B$12,Paramètres!$A$1:$I$89,3,0)*0.475*44/12</f>
        <v>#N/A</v>
      </c>
      <c r="CM45" s="21" t="e">
        <f>EXP(-LN(2)/2)*CM44+(1-EXP(-LN(2)/2))/(LN(2)/2)*CG45*CJ45*VLOOKUP('Données projet'!$B$12,Paramètres!$A$1:$I$89,3,0)*0.475*44/12</f>
        <v>#N/A</v>
      </c>
      <c r="CN45" s="22" t="e">
        <f t="shared" si="12"/>
        <v>#N/A</v>
      </c>
      <c r="CO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5">
      <c r="A46" s="10">
        <f t="shared" si="31"/>
        <v>43</v>
      </c>
      <c r="B46" s="72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1">
        <f t="shared" si="32"/>
        <v>0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66">
        <f t="shared" si="1"/>
        <v>256.66666666666669</v>
      </c>
      <c r="I46" s="6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14.015000000000004</v>
      </c>
      <c r="N46" s="13">
        <f>IF('Données projet'!$A$36&gt;35,N45+M46-V45,IF(A46&lt;'Données projet'!$A$36,$K$205^A46,IF(A46='Données projet'!$A$36,'Données projet'!$B$36,N45+M46-V45)))</f>
        <v>206.61500000000004</v>
      </c>
      <c r="O46" s="13">
        <f>N46*VLOOKUP('Données projet'!$B$9,Paramètres!$A$1:$I$89,3,0)*VLOOKUP('Données projet'!$B$9,Paramètres!$A$1:$I$89,5,0)</f>
        <v>186.94525200000001</v>
      </c>
      <c r="P46" s="13">
        <f t="shared" si="33"/>
        <v>46.863955679429196</v>
      </c>
      <c r="Q46" s="20">
        <f t="shared" si="53"/>
        <v>407.21770337500584</v>
      </c>
      <c r="R46" s="59">
        <f t="shared" si="0"/>
        <v>700.5510367083391</v>
      </c>
      <c r="S46" s="59">
        <f ca="1">AVERAGE(OFFSET($R$3,0,0,'Données projet'!$E$9+1,1))-AVERAGE(OFFSET($H$3,0,0,'Données projet'!$E$9+1,1))</f>
        <v>700.22008319944644</v>
      </c>
      <c r="T46" s="59">
        <f t="shared" si="34"/>
        <v>253.69632671986739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36.122270302216471</v>
      </c>
      <c r="AA46" s="21">
        <f>EXP(-LN(2)/25)*AA45+(1-EXP(-LN(2)/25))/(LN(2)/25)*Calculateur!V46*Calculateur!X46*VLOOKUP('Données projet'!$B$9,Paramètres!$A$1:$I$89,3,0)*0.475*44/12</f>
        <v>0</v>
      </c>
      <c r="AB46" s="21">
        <f>EXP(-LN(2)/2)*AB45+(1-EXP(-LN(2)/2))/(LN(2)/2)*V46*Y46*VLOOKUP('Données projet'!$B$9,Paramètres!$A$1:$I$89,3,0)*0.475*44/12</f>
        <v>0</v>
      </c>
      <c r="AC46" s="22">
        <f t="shared" si="3"/>
        <v>36.122270302216471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14.015000000000004</v>
      </c>
      <c r="AI46" s="13">
        <f>IF('Données projet'!$A$62&gt;35,AI45+AH46-AQ45,IF(A46&lt;'Données projet'!$A$62,$AF$205^A46,IF(A46='Données projet'!$A$62,'Données projet'!$B$62,AI45+AH46-AQ45)))</f>
        <v>206.61500000000004</v>
      </c>
      <c r="AJ46" s="13">
        <f>AI46*VLOOKUP('Données projet'!$B$10,Paramètres!$A$1:$I$89,3,0)*VLOOKUP('Données projet'!$B$10,Paramètres!$A$1:$I$89,5,0)</f>
        <v>196.61483400000003</v>
      </c>
      <c r="AK46" s="13">
        <f t="shared" si="35"/>
        <v>48.999473179899688</v>
      </c>
      <c r="AL46" s="20">
        <f t="shared" si="4"/>
        <v>427.77825167165867</v>
      </c>
      <c r="AM46" s="59">
        <f t="shared" si="5"/>
        <v>721.11158500499198</v>
      </c>
      <c r="AN46" s="59">
        <f ca="1">AVERAGE(OFFSET($AM$3,0,0,'Données projet'!$E$10+1,1))-AVERAGE(OFFSET($H$3,0,0,'Données projet'!$E$10+1,1))</f>
        <v>733.95677909577444</v>
      </c>
      <c r="AO46" s="59">
        <f t="shared" si="36"/>
        <v>264.63778993239799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37.990663593710423</v>
      </c>
      <c r="AV46" s="21">
        <f>EXP(-LN(2)/25)*AV45+(1-EXP(-LN(2)/25))/(LN(2)/25)*Calculateur!AQ46*Calculateur!AS46*VLOOKUP('Données projet'!$B$10,Paramètres!$A$1:$I$89,3,0)*0.475*44/12</f>
        <v>0</v>
      </c>
      <c r="AW46" s="21">
        <f>EXP(-LN(2)/2)*AW45+(1-EXP(-LN(2)/2))/(LN(2)/2)*AQ46*AT46*VLOOKUP('Données projet'!$B$10,Paramètres!$A$1:$I$89,3,0)*0.475*44/12</f>
        <v>0</v>
      </c>
      <c r="AX46" s="21">
        <f t="shared" si="6"/>
        <v>37.990663593710423</v>
      </c>
      <c r="AY46" s="7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0</v>
      </c>
      <c r="BD46" s="12">
        <f>IF('Données projet'!$A$88&gt;35,BD45+BC46-BL45,IF(A46&lt;'Données projet'!$A$88,$BA$205^A46,IF(A46='Données projet'!$A$88,'Données projet'!$B$88,BD45+BC46-BL45)))</f>
        <v>0</v>
      </c>
      <c r="BE46" s="13">
        <f>BD46*VLOOKUP('Données projet'!$B$11,Paramètres!$A$1:$I$89,3,0)*VLOOKUP('Données projet'!$B$11,Paramètres!$A$1:$I$89,5,0)</f>
        <v>0</v>
      </c>
      <c r="BF46" s="13" t="e">
        <f t="shared" si="37"/>
        <v>#NUM!</v>
      </c>
      <c r="BG46" s="20" t="e">
        <f t="shared" si="7"/>
        <v>#NUM!</v>
      </c>
      <c r="BH46" s="59" t="e">
        <f t="shared" si="8"/>
        <v>#NUM!</v>
      </c>
      <c r="BI46" s="59">
        <f ca="1">AVERAGE(OFFSET($BH$3,0,0,'Données projet'!$E$11+1,1))-AVERAGE(OFFSET($H$3,0,0,'Données projet'!$E$11+1,1))</f>
        <v>187.80389738728508</v>
      </c>
      <c r="BJ46" s="59">
        <f t="shared" si="38"/>
        <v>439.28159165815265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95.475182630494402</v>
      </c>
      <c r="BQ46" s="21">
        <f>EXP(-LN(2)/25)*BQ45+(1-EXP(-LN(2)/25))/(LN(2)/25)*Calculateur!BL46*Calculateur!BN46*VLOOKUP('Données projet'!$B$11,Paramètres!$A$1:$I$89,3,0)*0.475*44/12</f>
        <v>10.026330750477376</v>
      </c>
      <c r="BR46" s="21">
        <f>EXP(-LN(2)/2)*BR45+(1-EXP(-LN(2)/2))/(LN(2)/2)*BL46*BO46*VLOOKUP('Données projet'!$B$11,Paramètres!$A$1:$I$89,3,0)*0.475*44/12</f>
        <v>4.9676467718995029E-4</v>
      </c>
      <c r="BS46" s="22">
        <f t="shared" si="9"/>
        <v>105.50201014564897</v>
      </c>
      <c r="BT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0</v>
      </c>
      <c r="BY46" s="12">
        <f>IF('Données projet'!$A$114&gt;35,BY45+BX46-CG45,IF(A46&lt;'Données projet'!$A$114,$BV$205^A46,IF(A46='Données projet'!$A$114,'Données projet'!$B$114,BY45+BX46-CG45)))</f>
        <v>0</v>
      </c>
      <c r="BZ46" s="13" t="e">
        <f>BY46*VLOOKUP('Données projet'!$B$12,Paramètres!$A$1:$I$89,3,0)*VLOOKUP('Données projet'!$B$12,Paramètres!$A$1:$I$89,5,0)</f>
        <v>#N/A</v>
      </c>
      <c r="CA46" s="13" t="e">
        <f t="shared" si="39"/>
        <v>#N/A</v>
      </c>
      <c r="CB46" s="20" t="e">
        <f t="shared" si="10"/>
        <v>#N/A</v>
      </c>
      <c r="CC46" s="59" t="e">
        <f t="shared" si="11"/>
        <v>#N/A</v>
      </c>
      <c r="CD46" s="59" t="e">
        <f ca="1">AVERAGE(OFFSET($CC$3,0,0,'Données projet'!$E$12+1,1))-AVERAGE(OFFSET($H$3,0,0,'Données projet'!$E$12+1,1))</f>
        <v>#N/A</v>
      </c>
      <c r="CE46" s="59" t="e">
        <f t="shared" si="40"/>
        <v>#N/A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 t="e">
        <f>EXP(-LN(2)/35)*CK45+(1-EXP(-LN(2)/35))/(LN(2)/35)*CG46*CH46*VLOOKUP('Données projet'!$B$12,Paramètres!$A$1:$I$89,3,0)*0.475*44/12</f>
        <v>#N/A</v>
      </c>
      <c r="CL46" s="21" t="e">
        <f>EXP(-LN(2)/25)*CL45+(1-EXP(-LN(2)/25))/(LN(2)/25)*Calculateur!CG46*Calculateur!CI46*VLOOKUP('Données projet'!$B$12,Paramètres!$A$1:$I$89,3,0)*0.475*44/12</f>
        <v>#N/A</v>
      </c>
      <c r="CM46" s="21" t="e">
        <f>EXP(-LN(2)/2)*CM45+(1-EXP(-LN(2)/2))/(LN(2)/2)*CG46*CJ46*VLOOKUP('Données projet'!$B$12,Paramètres!$A$1:$I$89,3,0)*0.475*44/12</f>
        <v>#N/A</v>
      </c>
      <c r="CN46" s="22" t="e">
        <f t="shared" si="12"/>
        <v>#N/A</v>
      </c>
      <c r="CO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5">
      <c r="A47" s="10">
        <f t="shared" si="31"/>
        <v>44</v>
      </c>
      <c r="B47" s="72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1">
        <f t="shared" si="32"/>
        <v>0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66">
        <f t="shared" si="1"/>
        <v>256.66666666666669</v>
      </c>
      <c r="I47" s="6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14.015000000000004</v>
      </c>
      <c r="N47" s="13">
        <f>IF('Données projet'!$A$36&gt;35,N46+M47-V46,IF(A47&lt;'Données projet'!$A$36,$K$205^A47,IF(A47='Données projet'!$A$36,'Données projet'!$B$36,N46+M47-V46)))</f>
        <v>220.63000000000005</v>
      </c>
      <c r="O47" s="13">
        <f>N47*VLOOKUP('Données projet'!$B$9,Paramètres!$A$1:$I$89,3,0)*VLOOKUP('Données projet'!$B$9,Paramètres!$A$1:$I$89,5,0)</f>
        <v>199.62602400000003</v>
      </c>
      <c r="P47" s="13">
        <f t="shared" si="33"/>
        <v>49.661970169140027</v>
      </c>
      <c r="Q47" s="20">
        <f t="shared" si="53"/>
        <v>434.17658984458558</v>
      </c>
      <c r="R47" s="59">
        <f t="shared" si="0"/>
        <v>727.50992317791884</v>
      </c>
      <c r="S47" s="59">
        <f ca="1">AVERAGE(OFFSET($R$3,0,0,'Données projet'!$E$9+1,1))-AVERAGE(OFFSET($H$3,0,0,'Données projet'!$E$9+1,1))</f>
        <v>700.22008319944644</v>
      </c>
      <c r="T47" s="59">
        <f t="shared" si="34"/>
        <v>253.69632671986739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35.413934613999373</v>
      </c>
      <c r="AA47" s="21">
        <f>EXP(-LN(2)/25)*AA46+(1-EXP(-LN(2)/25))/(LN(2)/25)*Calculateur!V47*Calculateur!X47*VLOOKUP('Données projet'!$B$9,Paramètres!$A$1:$I$89,3,0)*0.475*44/12</f>
        <v>0</v>
      </c>
      <c r="AB47" s="21">
        <f>EXP(-LN(2)/2)*AB46+(1-EXP(-LN(2)/2))/(LN(2)/2)*V47*Y47*VLOOKUP('Données projet'!$B$9,Paramètres!$A$1:$I$89,3,0)*0.475*44/12</f>
        <v>0</v>
      </c>
      <c r="AC47" s="22">
        <f t="shared" si="3"/>
        <v>35.413934613999373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14.015000000000004</v>
      </c>
      <c r="AI47" s="13">
        <f>IF('Données projet'!$A$62&gt;35,AI46+AH47-AQ46,IF(A47&lt;'Données projet'!$A$62,$AF$205^A47,IF(A47='Données projet'!$A$62,'Données projet'!$B$62,AI46+AH47-AQ46)))</f>
        <v>220.63000000000005</v>
      </c>
      <c r="AJ47" s="13">
        <f>AI47*VLOOKUP('Données projet'!$B$10,Paramètres!$A$1:$I$89,3,0)*VLOOKUP('Données projet'!$B$10,Paramètres!$A$1:$I$89,5,0)</f>
        <v>209.95150800000008</v>
      </c>
      <c r="AK47" s="13">
        <f t="shared" si="35"/>
        <v>51.924988833836188</v>
      </c>
      <c r="AL47" s="20">
        <f t="shared" si="4"/>
        <v>456.10156531893148</v>
      </c>
      <c r="AM47" s="59">
        <f t="shared" si="5"/>
        <v>749.43489865226479</v>
      </c>
      <c r="AN47" s="59">
        <f ca="1">AVERAGE(OFFSET($AM$3,0,0,'Données projet'!$E$10+1,1))-AVERAGE(OFFSET($H$3,0,0,'Données projet'!$E$10+1,1))</f>
        <v>733.95677909577444</v>
      </c>
      <c r="AO47" s="59">
        <f t="shared" si="36"/>
        <v>264.63778993239799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37.245689852654507</v>
      </c>
      <c r="AV47" s="21">
        <f>EXP(-LN(2)/25)*AV46+(1-EXP(-LN(2)/25))/(LN(2)/25)*Calculateur!AQ47*Calculateur!AS47*VLOOKUP('Données projet'!$B$10,Paramètres!$A$1:$I$89,3,0)*0.475*44/12</f>
        <v>0</v>
      </c>
      <c r="AW47" s="21">
        <f>EXP(-LN(2)/2)*AW46+(1-EXP(-LN(2)/2))/(LN(2)/2)*AQ47*AT47*VLOOKUP('Données projet'!$B$10,Paramètres!$A$1:$I$89,3,0)*0.475*44/12</f>
        <v>0</v>
      </c>
      <c r="AX47" s="21">
        <f t="shared" si="6"/>
        <v>37.245689852654507</v>
      </c>
      <c r="AY47" s="7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0</v>
      </c>
      <c r="BD47" s="12">
        <f>IF('Données projet'!$A$88&gt;35,BD46+BC47-BL46,IF(A47&lt;'Données projet'!$A$88,$BA$205^A47,IF(A47='Données projet'!$A$88,'Données projet'!$B$88,BD46+BC47-BL46)))</f>
        <v>0</v>
      </c>
      <c r="BE47" s="13">
        <f>BD47*VLOOKUP('Données projet'!$B$11,Paramètres!$A$1:$I$89,3,0)*VLOOKUP('Données projet'!$B$11,Paramètres!$A$1:$I$89,5,0)</f>
        <v>0</v>
      </c>
      <c r="BF47" s="13" t="e">
        <f t="shared" si="37"/>
        <v>#NUM!</v>
      </c>
      <c r="BG47" s="20" t="e">
        <f t="shared" si="7"/>
        <v>#NUM!</v>
      </c>
      <c r="BH47" s="59" t="e">
        <f t="shared" si="8"/>
        <v>#NUM!</v>
      </c>
      <c r="BI47" s="59">
        <f ca="1">AVERAGE(OFFSET($BH$3,0,0,'Données projet'!$E$11+1,1))-AVERAGE(OFFSET($H$3,0,0,'Données projet'!$E$11+1,1))</f>
        <v>187.80389738728508</v>
      </c>
      <c r="BJ47" s="59">
        <f t="shared" si="38"/>
        <v>439.28159165815265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93.602972533221674</v>
      </c>
      <c r="BQ47" s="21">
        <f>EXP(-LN(2)/25)*BQ46+(1-EXP(-LN(2)/25))/(LN(2)/25)*Calculateur!BL47*Calculateur!BN47*VLOOKUP('Données projet'!$B$11,Paramètres!$A$1:$I$89,3,0)*0.475*44/12</f>
        <v>9.7521602088437529</v>
      </c>
      <c r="BR47" s="21">
        <f>EXP(-LN(2)/2)*BR46+(1-EXP(-LN(2)/2))/(LN(2)/2)*BL47*BO47*VLOOKUP('Données projet'!$B$11,Paramètres!$A$1:$I$89,3,0)*0.475*44/12</f>
        <v>3.512656718949601E-4</v>
      </c>
      <c r="BS47" s="22">
        <f t="shared" si="9"/>
        <v>103.35548400773732</v>
      </c>
      <c r="BT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0</v>
      </c>
      <c r="BY47" s="12">
        <f>IF('Données projet'!$A$114&gt;35,BY46+BX47-CG46,IF(A47&lt;'Données projet'!$A$114,$BV$205^A47,IF(A47='Données projet'!$A$114,'Données projet'!$B$114,BY46+BX47-CG46)))</f>
        <v>0</v>
      </c>
      <c r="BZ47" s="13" t="e">
        <f>BY47*VLOOKUP('Données projet'!$B$12,Paramètres!$A$1:$I$89,3,0)*VLOOKUP('Données projet'!$B$12,Paramètres!$A$1:$I$89,5,0)</f>
        <v>#N/A</v>
      </c>
      <c r="CA47" s="13" t="e">
        <f t="shared" si="39"/>
        <v>#N/A</v>
      </c>
      <c r="CB47" s="20" t="e">
        <f t="shared" si="10"/>
        <v>#N/A</v>
      </c>
      <c r="CC47" s="59" t="e">
        <f t="shared" si="11"/>
        <v>#N/A</v>
      </c>
      <c r="CD47" s="59" t="e">
        <f ca="1">AVERAGE(OFFSET($CC$3,0,0,'Données projet'!$E$12+1,1))-AVERAGE(OFFSET($H$3,0,0,'Données projet'!$E$12+1,1))</f>
        <v>#N/A</v>
      </c>
      <c r="CE47" s="59" t="e">
        <f t="shared" si="40"/>
        <v>#N/A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 t="e">
        <f>EXP(-LN(2)/35)*CK46+(1-EXP(-LN(2)/35))/(LN(2)/35)*CG47*CH47*VLOOKUP('Données projet'!$B$12,Paramètres!$A$1:$I$89,3,0)*0.475*44/12</f>
        <v>#N/A</v>
      </c>
      <c r="CL47" s="21" t="e">
        <f>EXP(-LN(2)/25)*CL46+(1-EXP(-LN(2)/25))/(LN(2)/25)*Calculateur!CG47*Calculateur!CI47*VLOOKUP('Données projet'!$B$12,Paramètres!$A$1:$I$89,3,0)*0.475*44/12</f>
        <v>#N/A</v>
      </c>
      <c r="CM47" s="21" t="e">
        <f>EXP(-LN(2)/2)*CM46+(1-EXP(-LN(2)/2))/(LN(2)/2)*CG47*CJ47*VLOOKUP('Données projet'!$B$12,Paramètres!$A$1:$I$89,3,0)*0.475*44/12</f>
        <v>#N/A</v>
      </c>
      <c r="CN47" s="22" t="e">
        <f t="shared" si="12"/>
        <v>#N/A</v>
      </c>
      <c r="CO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5">
      <c r="A48" s="10">
        <f t="shared" si="31"/>
        <v>45</v>
      </c>
      <c r="B48" s="72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1">
        <f t="shared" si="32"/>
        <v>0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66">
        <f t="shared" si="1"/>
        <v>256.66666666666669</v>
      </c>
      <c r="I48" s="6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14.015000000000004</v>
      </c>
      <c r="N48" s="13">
        <f>IF('Données projet'!$A$36&gt;35,N47+M48-V47,IF(A48&lt;'Données projet'!$A$36,$K$205^A48,IF(A48='Données projet'!$A$36,'Données projet'!$B$36,N47+M48-V47)))</f>
        <v>234.64500000000007</v>
      </c>
      <c r="O48" s="13">
        <f>N48*VLOOKUP('Données projet'!$B$9,Paramètres!$A$1:$I$89,3,0)*VLOOKUP('Données projet'!$B$9,Paramètres!$A$1:$I$89,5,0)</f>
        <v>212.30679600000005</v>
      </c>
      <c r="P48" s="13">
        <f t="shared" si="33"/>
        <v>52.439357699522503</v>
      </c>
      <c r="Q48" s="20">
        <f t="shared" si="53"/>
        <v>461.09955102666845</v>
      </c>
      <c r="R48" s="59">
        <f t="shared" si="0"/>
        <v>754.43288436000171</v>
      </c>
      <c r="S48" s="59">
        <f ca="1">AVERAGE(OFFSET($R$3,0,0,'Données projet'!$E$9+1,1))-AVERAGE(OFFSET($H$3,0,0,'Données projet'!$E$9+1,1))</f>
        <v>700.22008319944644</v>
      </c>
      <c r="T48" s="59">
        <f t="shared" si="34"/>
        <v>253.69632671986739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34.719488956586098</v>
      </c>
      <c r="AA48" s="21">
        <f>EXP(-LN(2)/25)*AA47+(1-EXP(-LN(2)/25))/(LN(2)/25)*Calculateur!V48*Calculateur!X48*VLOOKUP('Données projet'!$B$9,Paramètres!$A$1:$I$89,3,0)*0.475*44/12</f>
        <v>0</v>
      </c>
      <c r="AB48" s="21">
        <f>EXP(-LN(2)/2)*AB47+(1-EXP(-LN(2)/2))/(LN(2)/2)*V48*Y48*VLOOKUP('Données projet'!$B$9,Paramètres!$A$1:$I$89,3,0)*0.475*44/12</f>
        <v>0</v>
      </c>
      <c r="AC48" s="22">
        <f t="shared" si="3"/>
        <v>34.719488956586098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14.015000000000004</v>
      </c>
      <c r="AI48" s="13">
        <f>IF('Données projet'!$A$62&gt;35,AI47+AH48-AQ47,IF(A48&lt;'Données projet'!$A$62,$AF$205^A48,IF(A48='Données projet'!$A$62,'Données projet'!$B$62,AI47+AH48-AQ47)))</f>
        <v>234.64500000000007</v>
      </c>
      <c r="AJ48" s="13">
        <f>AI48*VLOOKUP('Données projet'!$B$10,Paramètres!$A$1:$I$89,3,0)*VLOOKUP('Données projet'!$B$10,Paramètres!$A$1:$I$89,5,0)</f>
        <v>223.28818200000006</v>
      </c>
      <c r="AK48" s="13">
        <f t="shared" si="35"/>
        <v>54.828937590020637</v>
      </c>
      <c r="AL48" s="20">
        <f t="shared" si="4"/>
        <v>484.38731661928608</v>
      </c>
      <c r="AM48" s="59">
        <f t="shared" si="5"/>
        <v>777.7206499526194</v>
      </c>
      <c r="AN48" s="59">
        <f ca="1">AVERAGE(OFFSET($AM$3,0,0,'Données projet'!$E$10+1,1))-AVERAGE(OFFSET($H$3,0,0,'Données projet'!$E$10+1,1))</f>
        <v>733.95677909577444</v>
      </c>
      <c r="AO48" s="59">
        <f t="shared" si="36"/>
        <v>264.63778993239799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36.515324592271583</v>
      </c>
      <c r="AV48" s="21">
        <f>EXP(-LN(2)/25)*AV47+(1-EXP(-LN(2)/25))/(LN(2)/25)*Calculateur!AQ48*Calculateur!AS48*VLOOKUP('Données projet'!$B$10,Paramètres!$A$1:$I$89,3,0)*0.475*44/12</f>
        <v>0</v>
      </c>
      <c r="AW48" s="21">
        <f>EXP(-LN(2)/2)*AW47+(1-EXP(-LN(2)/2))/(LN(2)/2)*AQ48*AT48*VLOOKUP('Données projet'!$B$10,Paramètres!$A$1:$I$89,3,0)*0.475*44/12</f>
        <v>0</v>
      </c>
      <c r="AX48" s="21">
        <f t="shared" si="6"/>
        <v>36.515324592271583</v>
      </c>
      <c r="AY48" s="7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0</v>
      </c>
      <c r="BD48" s="12">
        <f>IF('Données projet'!$A$88&gt;35,BD47+BC48-BL47,IF(A48&lt;'Données projet'!$A$88,$BA$205^A48,IF(A48='Données projet'!$A$88,'Données projet'!$B$88,BD47+BC48-BL47)))</f>
        <v>0</v>
      </c>
      <c r="BE48" s="13">
        <f>BD48*VLOOKUP('Données projet'!$B$11,Paramètres!$A$1:$I$89,3,0)*VLOOKUP('Données projet'!$B$11,Paramètres!$A$1:$I$89,5,0)</f>
        <v>0</v>
      </c>
      <c r="BF48" s="13" t="e">
        <f t="shared" si="37"/>
        <v>#NUM!</v>
      </c>
      <c r="BG48" s="20" t="e">
        <f t="shared" si="7"/>
        <v>#NUM!</v>
      </c>
      <c r="BH48" s="59" t="e">
        <f t="shared" si="8"/>
        <v>#NUM!</v>
      </c>
      <c r="BI48" s="59">
        <f ca="1">AVERAGE(OFFSET($BH$3,0,0,'Données projet'!$E$11+1,1))-AVERAGE(OFFSET($H$3,0,0,'Données projet'!$E$11+1,1))</f>
        <v>187.80389738728508</v>
      </c>
      <c r="BJ48" s="59">
        <f t="shared" si="38"/>
        <v>439.28159165815265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91.767475334021057</v>
      </c>
      <c r="BQ48" s="21">
        <f>EXP(-LN(2)/25)*BQ47+(1-EXP(-LN(2)/25))/(LN(2)/25)*Calculateur!BL48*Calculateur!BN48*VLOOKUP('Données projet'!$B$11,Paramètres!$A$1:$I$89,3,0)*0.475*44/12</f>
        <v>9.4854868750891033</v>
      </c>
      <c r="BR48" s="21">
        <f>EXP(-LN(2)/2)*BR47+(1-EXP(-LN(2)/2))/(LN(2)/2)*BL48*BO48*VLOOKUP('Données projet'!$B$11,Paramètres!$A$1:$I$89,3,0)*0.475*44/12</f>
        <v>2.4838233859497515E-4</v>
      </c>
      <c r="BS48" s="22">
        <f t="shared" si="9"/>
        <v>101.25321059144876</v>
      </c>
      <c r="BT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0</v>
      </c>
      <c r="BY48" s="12">
        <f>IF('Données projet'!$A$114&gt;35,BY47+BX48-CG47,IF(A48&lt;'Données projet'!$A$114,$BV$205^A48,IF(A48='Données projet'!$A$114,'Données projet'!$B$114,BY47+BX48-CG47)))</f>
        <v>0</v>
      </c>
      <c r="BZ48" s="13" t="e">
        <f>BY48*VLOOKUP('Données projet'!$B$12,Paramètres!$A$1:$I$89,3,0)*VLOOKUP('Données projet'!$B$12,Paramètres!$A$1:$I$89,5,0)</f>
        <v>#N/A</v>
      </c>
      <c r="CA48" s="13" t="e">
        <f t="shared" si="39"/>
        <v>#N/A</v>
      </c>
      <c r="CB48" s="20" t="e">
        <f t="shared" si="10"/>
        <v>#N/A</v>
      </c>
      <c r="CC48" s="59" t="e">
        <f t="shared" si="11"/>
        <v>#N/A</v>
      </c>
      <c r="CD48" s="59" t="e">
        <f ca="1">AVERAGE(OFFSET($CC$3,0,0,'Données projet'!$E$12+1,1))-AVERAGE(OFFSET($H$3,0,0,'Données projet'!$E$12+1,1))</f>
        <v>#N/A</v>
      </c>
      <c r="CE48" s="59" t="e">
        <f t="shared" si="40"/>
        <v>#N/A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 t="e">
        <f>EXP(-LN(2)/35)*CK47+(1-EXP(-LN(2)/35))/(LN(2)/35)*CG48*CH48*VLOOKUP('Données projet'!$B$12,Paramètres!$A$1:$I$89,3,0)*0.475*44/12</f>
        <v>#N/A</v>
      </c>
      <c r="CL48" s="21" t="e">
        <f>EXP(-LN(2)/25)*CL47+(1-EXP(-LN(2)/25))/(LN(2)/25)*Calculateur!CG48*Calculateur!CI48*VLOOKUP('Données projet'!$B$12,Paramètres!$A$1:$I$89,3,0)*0.475*44/12</f>
        <v>#N/A</v>
      </c>
      <c r="CM48" s="21" t="e">
        <f>EXP(-LN(2)/2)*CM47+(1-EXP(-LN(2)/2))/(LN(2)/2)*CG48*CJ48*VLOOKUP('Données projet'!$B$12,Paramètres!$A$1:$I$89,3,0)*0.475*44/12</f>
        <v>#N/A</v>
      </c>
      <c r="CN48" s="22" t="e">
        <f t="shared" si="12"/>
        <v>#N/A</v>
      </c>
      <c r="CO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5">
      <c r="A49" s="10">
        <f t="shared" si="31"/>
        <v>46</v>
      </c>
      <c r="B49" s="72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1">
        <f t="shared" si="32"/>
        <v>0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66">
        <f t="shared" si="1"/>
        <v>256.66666666666669</v>
      </c>
      <c r="I49" s="6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14.015000000000004</v>
      </c>
      <c r="N49" s="13">
        <f>IF('Données projet'!$A$36&gt;35,N48+M49-V48,IF(A49&lt;'Données projet'!$A$36,$K$205^A49,IF(A49='Données projet'!$A$36,'Données projet'!$B$36,N48+M49-V48)))</f>
        <v>248.66000000000008</v>
      </c>
      <c r="O49" s="13">
        <f>N49*VLOOKUP('Données projet'!$B$9,Paramètres!$A$1:$I$89,3,0)*VLOOKUP('Données projet'!$B$9,Paramètres!$A$1:$I$89,5,0)</f>
        <v>224.98756800000007</v>
      </c>
      <c r="P49" s="13">
        <f t="shared" si="33"/>
        <v>55.197490604905951</v>
      </c>
      <c r="Q49" s="20">
        <f t="shared" si="53"/>
        <v>487.98897707021132</v>
      </c>
      <c r="R49" s="59">
        <f t="shared" si="0"/>
        <v>781.32231040354463</v>
      </c>
      <c r="S49" s="59">
        <f ca="1">AVERAGE(OFFSET($R$3,0,0,'Données projet'!$E$9+1,1))-AVERAGE(OFFSET($H$3,0,0,'Données projet'!$E$9+1,1))</f>
        <v>700.22008319944644</v>
      </c>
      <c r="T49" s="59">
        <f t="shared" si="34"/>
        <v>253.69632671986739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34.038660954944675</v>
      </c>
      <c r="AA49" s="21">
        <f>EXP(-LN(2)/25)*AA48+(1-EXP(-LN(2)/25))/(LN(2)/25)*Calculateur!V49*Calculateur!X49*VLOOKUP('Données projet'!$B$9,Paramètres!$A$1:$I$89,3,0)*0.475*44/12</f>
        <v>0</v>
      </c>
      <c r="AB49" s="21">
        <f>EXP(-LN(2)/2)*AB48+(1-EXP(-LN(2)/2))/(LN(2)/2)*V49*Y49*VLOOKUP('Données projet'!$B$9,Paramètres!$A$1:$I$89,3,0)*0.475*44/12</f>
        <v>0</v>
      </c>
      <c r="AC49" s="22">
        <f t="shared" si="3"/>
        <v>34.038660954944675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14.015000000000004</v>
      </c>
      <c r="AI49" s="13">
        <f>IF('Données projet'!$A$62&gt;35,AI48+AH49-AQ48,IF(A49&lt;'Données projet'!$A$62,$AF$205^A49,IF(A49='Données projet'!$A$62,'Données projet'!$B$62,AI48+AH49-AQ48)))</f>
        <v>248.66000000000008</v>
      </c>
      <c r="AJ49" s="13">
        <f>AI49*VLOOKUP('Données projet'!$B$10,Paramètres!$A$1:$I$89,3,0)*VLOOKUP('Données projet'!$B$10,Paramètres!$A$1:$I$89,5,0)</f>
        <v>236.62485600000005</v>
      </c>
      <c r="AK49" s="13">
        <f t="shared" si="35"/>
        <v>57.712754317921387</v>
      </c>
      <c r="AL49" s="20">
        <f t="shared" si="4"/>
        <v>512.63800463704649</v>
      </c>
      <c r="AM49" s="59">
        <f t="shared" si="5"/>
        <v>805.97133797037986</v>
      </c>
      <c r="AN49" s="59">
        <f ca="1">AVERAGE(OFFSET($AM$3,0,0,'Données projet'!$E$10+1,1))-AVERAGE(OFFSET($H$3,0,0,'Données projet'!$E$10+1,1))</f>
        <v>733.95677909577444</v>
      </c>
      <c r="AO49" s="59">
        <f t="shared" si="36"/>
        <v>264.63778993239799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35.799281349165945</v>
      </c>
      <c r="AV49" s="21">
        <f>EXP(-LN(2)/25)*AV48+(1-EXP(-LN(2)/25))/(LN(2)/25)*Calculateur!AQ49*Calculateur!AS49*VLOOKUP('Données projet'!$B$10,Paramètres!$A$1:$I$89,3,0)*0.475*44/12</f>
        <v>0</v>
      </c>
      <c r="AW49" s="21">
        <f>EXP(-LN(2)/2)*AW48+(1-EXP(-LN(2)/2))/(LN(2)/2)*AQ49*AT49*VLOOKUP('Données projet'!$B$10,Paramètres!$A$1:$I$89,3,0)*0.475*44/12</f>
        <v>0</v>
      </c>
      <c r="AX49" s="21">
        <f t="shared" si="6"/>
        <v>35.799281349165945</v>
      </c>
      <c r="AY49" s="7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0</v>
      </c>
      <c r="BD49" s="12">
        <f>IF('Données projet'!$A$88&gt;35,BD48+BC49-BL48,IF(A49&lt;'Données projet'!$A$88,$BA$205^A49,IF(A49='Données projet'!$A$88,'Données projet'!$B$88,BD48+BC49-BL48)))</f>
        <v>0</v>
      </c>
      <c r="BE49" s="13">
        <f>BD49*VLOOKUP('Données projet'!$B$11,Paramètres!$A$1:$I$89,3,0)*VLOOKUP('Données projet'!$B$11,Paramètres!$A$1:$I$89,5,0)</f>
        <v>0</v>
      </c>
      <c r="BF49" s="13" t="e">
        <f t="shared" si="37"/>
        <v>#NUM!</v>
      </c>
      <c r="BG49" s="20" t="e">
        <f t="shared" si="7"/>
        <v>#NUM!</v>
      </c>
      <c r="BH49" s="59" t="e">
        <f t="shared" si="8"/>
        <v>#NUM!</v>
      </c>
      <c r="BI49" s="59">
        <f ca="1">AVERAGE(OFFSET($BH$3,0,0,'Données projet'!$E$11+1,1))-AVERAGE(OFFSET($H$3,0,0,'Données projet'!$E$11+1,1))</f>
        <v>187.80389738728508</v>
      </c>
      <c r="BJ49" s="59">
        <f t="shared" si="38"/>
        <v>439.28159165815265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89.967971115354018</v>
      </c>
      <c r="BQ49" s="21">
        <f>EXP(-LN(2)/25)*BQ48+(1-EXP(-LN(2)/25))/(LN(2)/25)*Calculateur!BL49*Calculateur!BN49*VLOOKUP('Données projet'!$B$11,Paramètres!$A$1:$I$89,3,0)*0.475*44/12</f>
        <v>9.226105737669716</v>
      </c>
      <c r="BR49" s="21">
        <f>EXP(-LN(2)/2)*BR48+(1-EXP(-LN(2)/2))/(LN(2)/2)*BL49*BO49*VLOOKUP('Données projet'!$B$11,Paramètres!$A$1:$I$89,3,0)*0.475*44/12</f>
        <v>1.7563283594748005E-4</v>
      </c>
      <c r="BS49" s="22">
        <f t="shared" si="9"/>
        <v>99.194252485859678</v>
      </c>
      <c r="BT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0</v>
      </c>
      <c r="BY49" s="12">
        <f>IF('Données projet'!$A$114&gt;35,BY48+BX49-CG48,IF(A49&lt;'Données projet'!$A$114,$BV$205^A49,IF(A49='Données projet'!$A$114,'Données projet'!$B$114,BY48+BX49-CG48)))</f>
        <v>0</v>
      </c>
      <c r="BZ49" s="13" t="e">
        <f>BY49*VLOOKUP('Données projet'!$B$12,Paramètres!$A$1:$I$89,3,0)*VLOOKUP('Données projet'!$B$12,Paramètres!$A$1:$I$89,5,0)</f>
        <v>#N/A</v>
      </c>
      <c r="CA49" s="13" t="e">
        <f t="shared" si="39"/>
        <v>#N/A</v>
      </c>
      <c r="CB49" s="20" t="e">
        <f t="shared" si="10"/>
        <v>#N/A</v>
      </c>
      <c r="CC49" s="59" t="e">
        <f t="shared" si="11"/>
        <v>#N/A</v>
      </c>
      <c r="CD49" s="59" t="e">
        <f ca="1">AVERAGE(OFFSET($CC$3,0,0,'Données projet'!$E$12+1,1))-AVERAGE(OFFSET($H$3,0,0,'Données projet'!$E$12+1,1))</f>
        <v>#N/A</v>
      </c>
      <c r="CE49" s="59" t="e">
        <f t="shared" si="40"/>
        <v>#N/A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 t="e">
        <f>EXP(-LN(2)/35)*CK48+(1-EXP(-LN(2)/35))/(LN(2)/35)*CG49*CH49*VLOOKUP('Données projet'!$B$12,Paramètres!$A$1:$I$89,3,0)*0.475*44/12</f>
        <v>#N/A</v>
      </c>
      <c r="CL49" s="21" t="e">
        <f>EXP(-LN(2)/25)*CL48+(1-EXP(-LN(2)/25))/(LN(2)/25)*Calculateur!CG49*Calculateur!CI49*VLOOKUP('Données projet'!$B$12,Paramètres!$A$1:$I$89,3,0)*0.475*44/12</f>
        <v>#N/A</v>
      </c>
      <c r="CM49" s="21" t="e">
        <f>EXP(-LN(2)/2)*CM48+(1-EXP(-LN(2)/2))/(LN(2)/2)*CG49*CJ49*VLOOKUP('Données projet'!$B$12,Paramètres!$A$1:$I$89,3,0)*0.475*44/12</f>
        <v>#N/A</v>
      </c>
      <c r="CN49" s="22" t="e">
        <f t="shared" si="12"/>
        <v>#N/A</v>
      </c>
      <c r="CO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5">
      <c r="A50" s="10">
        <f t="shared" si="31"/>
        <v>47</v>
      </c>
      <c r="B50" s="72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1">
        <f t="shared" si="32"/>
        <v>0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66">
        <f t="shared" si="1"/>
        <v>256.66666666666669</v>
      </c>
      <c r="I50" s="6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14.015000000000004</v>
      </c>
      <c r="N50" s="13">
        <f>IF('Données projet'!$A$36&gt;35,N49+M50-V49,IF(A50&lt;'Données projet'!$A$36,$K$205^A50,IF(A50='Données projet'!$A$36,'Données projet'!$B$36,N49+M50-V49)))</f>
        <v>262.67500000000007</v>
      </c>
      <c r="O50" s="13">
        <f>N50*VLOOKUP('Données projet'!$B$9,Paramètres!$A$1:$I$89,3,0)*VLOOKUP('Données projet'!$B$9,Paramètres!$A$1:$I$89,5,0)</f>
        <v>237.66834000000003</v>
      </c>
      <c r="P50" s="13">
        <f t="shared" si="33"/>
        <v>57.937577787044361</v>
      </c>
      <c r="Q50" s="20">
        <f t="shared" si="53"/>
        <v>514.8469734791023</v>
      </c>
      <c r="R50" s="59">
        <f t="shared" si="0"/>
        <v>808.18030681243567</v>
      </c>
      <c r="S50" s="59">
        <f ca="1">AVERAGE(OFFSET($R$3,0,0,'Données projet'!$E$9+1,1))-AVERAGE(OFFSET($H$3,0,0,'Données projet'!$E$9+1,1))</f>
        <v>700.22008319944644</v>
      </c>
      <c r="T50" s="59">
        <f t="shared" si="34"/>
        <v>253.69632671986739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33.371183575151363</v>
      </c>
      <c r="AA50" s="21">
        <f>EXP(-LN(2)/25)*AA49+(1-EXP(-LN(2)/25))/(LN(2)/25)*Calculateur!V50*Calculateur!X50*VLOOKUP('Données projet'!$B$9,Paramètres!$A$1:$I$89,3,0)*0.475*44/12</f>
        <v>0</v>
      </c>
      <c r="AB50" s="21">
        <f>EXP(-LN(2)/2)*AB49+(1-EXP(-LN(2)/2))/(LN(2)/2)*V50*Y50*VLOOKUP('Données projet'!$B$9,Paramètres!$A$1:$I$89,3,0)*0.475*44/12</f>
        <v>0</v>
      </c>
      <c r="AC50" s="22">
        <f t="shared" si="3"/>
        <v>33.371183575151363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14.015000000000004</v>
      </c>
      <c r="AI50" s="13">
        <f>IF('Données projet'!$A$62&gt;35,AI49+AH50-AQ49,IF(A50&lt;'Données projet'!$A$62,$AF$205^A50,IF(A50='Données projet'!$A$62,'Données projet'!$B$62,AI49+AH50-AQ49)))</f>
        <v>262.67500000000007</v>
      </c>
      <c r="AJ50" s="13">
        <f>AI50*VLOOKUP('Données projet'!$B$10,Paramètres!$A$1:$I$89,3,0)*VLOOKUP('Données projet'!$B$10,Paramètres!$A$1:$I$89,5,0)</f>
        <v>249.96153000000007</v>
      </c>
      <c r="AK50" s="13">
        <f t="shared" si="35"/>
        <v>60.577703007063143</v>
      </c>
      <c r="AL50" s="20">
        <f t="shared" si="4"/>
        <v>540.85583082063511</v>
      </c>
      <c r="AM50" s="59">
        <f t="shared" si="5"/>
        <v>834.18916415396848</v>
      </c>
      <c r="AN50" s="59">
        <f ca="1">AVERAGE(OFFSET($AM$3,0,0,'Données projet'!$E$10+1,1))-AVERAGE(OFFSET($H$3,0,0,'Données projet'!$E$10+1,1))</f>
        <v>733.95677909577444</v>
      </c>
      <c r="AO50" s="59">
        <f t="shared" si="36"/>
        <v>264.63778993239799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35.097279277314357</v>
      </c>
      <c r="AV50" s="21">
        <f>EXP(-LN(2)/25)*AV49+(1-EXP(-LN(2)/25))/(LN(2)/25)*Calculateur!AQ50*Calculateur!AS50*VLOOKUP('Données projet'!$B$10,Paramètres!$A$1:$I$89,3,0)*0.475*44/12</f>
        <v>0</v>
      </c>
      <c r="AW50" s="21">
        <f>EXP(-LN(2)/2)*AW49+(1-EXP(-LN(2)/2))/(LN(2)/2)*AQ50*AT50*VLOOKUP('Données projet'!$B$10,Paramètres!$A$1:$I$89,3,0)*0.475*44/12</f>
        <v>0</v>
      </c>
      <c r="AX50" s="21">
        <f t="shared" si="6"/>
        <v>35.097279277314357</v>
      </c>
      <c r="AY50" s="7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0</v>
      </c>
      <c r="BD50" s="12">
        <f>IF('Données projet'!$A$88&gt;35,BD49+BC50-BL49,IF(A50&lt;'Données projet'!$A$88,$BA$205^A50,IF(A50='Données projet'!$A$88,'Données projet'!$B$88,BD49+BC50-BL49)))</f>
        <v>0</v>
      </c>
      <c r="BE50" s="13">
        <f>BD50*VLOOKUP('Données projet'!$B$11,Paramètres!$A$1:$I$89,3,0)*VLOOKUP('Données projet'!$B$11,Paramètres!$A$1:$I$89,5,0)</f>
        <v>0</v>
      </c>
      <c r="BF50" s="13" t="e">
        <f t="shared" si="37"/>
        <v>#NUM!</v>
      </c>
      <c r="BG50" s="20" t="e">
        <f t="shared" si="7"/>
        <v>#NUM!</v>
      </c>
      <c r="BH50" s="59" t="e">
        <f t="shared" si="8"/>
        <v>#NUM!</v>
      </c>
      <c r="BI50" s="59">
        <f ca="1">AVERAGE(OFFSET($BH$3,0,0,'Données projet'!$E$11+1,1))-AVERAGE(OFFSET($H$3,0,0,'Données projet'!$E$11+1,1))</f>
        <v>187.80389738728508</v>
      </c>
      <c r="BJ50" s="59">
        <f t="shared" si="38"/>
        <v>439.28159165815265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88.203754076825845</v>
      </c>
      <c r="BQ50" s="21">
        <f>EXP(-LN(2)/25)*BQ49+(1-EXP(-LN(2)/25))/(LN(2)/25)*Calculateur!BL50*Calculateur!BN50*VLOOKUP('Données projet'!$B$11,Paramètres!$A$1:$I$89,3,0)*0.475*44/12</f>
        <v>8.9738173910933234</v>
      </c>
      <c r="BR50" s="21">
        <f>EXP(-LN(2)/2)*BR49+(1-EXP(-LN(2)/2))/(LN(2)/2)*BL50*BO50*VLOOKUP('Données projet'!$B$11,Paramètres!$A$1:$I$89,3,0)*0.475*44/12</f>
        <v>1.2419116929748757E-4</v>
      </c>
      <c r="BS50" s="22">
        <f t="shared" si="9"/>
        <v>97.177695659088457</v>
      </c>
      <c r="BT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0</v>
      </c>
      <c r="BY50" s="12">
        <f>IF('Données projet'!$A$114&gt;35,BY49+BX50-CG49,IF(A50&lt;'Données projet'!$A$114,$BV$205^A50,IF(A50='Données projet'!$A$114,'Données projet'!$B$114,BY49+BX50-CG49)))</f>
        <v>0</v>
      </c>
      <c r="BZ50" s="13" t="e">
        <f>BY50*VLOOKUP('Données projet'!$B$12,Paramètres!$A$1:$I$89,3,0)*VLOOKUP('Données projet'!$B$12,Paramètres!$A$1:$I$89,5,0)</f>
        <v>#N/A</v>
      </c>
      <c r="CA50" s="13" t="e">
        <f t="shared" si="39"/>
        <v>#N/A</v>
      </c>
      <c r="CB50" s="20" t="e">
        <f t="shared" si="10"/>
        <v>#N/A</v>
      </c>
      <c r="CC50" s="59" t="e">
        <f t="shared" si="11"/>
        <v>#N/A</v>
      </c>
      <c r="CD50" s="59" t="e">
        <f ca="1">AVERAGE(OFFSET($CC$3,0,0,'Données projet'!$E$12+1,1))-AVERAGE(OFFSET($H$3,0,0,'Données projet'!$E$12+1,1))</f>
        <v>#N/A</v>
      </c>
      <c r="CE50" s="59" t="e">
        <f t="shared" si="40"/>
        <v>#N/A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 t="e">
        <f>EXP(-LN(2)/35)*CK49+(1-EXP(-LN(2)/35))/(LN(2)/35)*CG50*CH50*VLOOKUP('Données projet'!$B$12,Paramètres!$A$1:$I$89,3,0)*0.475*44/12</f>
        <v>#N/A</v>
      </c>
      <c r="CL50" s="21" t="e">
        <f>EXP(-LN(2)/25)*CL49+(1-EXP(-LN(2)/25))/(LN(2)/25)*Calculateur!CG50*Calculateur!CI50*VLOOKUP('Données projet'!$B$12,Paramètres!$A$1:$I$89,3,0)*0.475*44/12</f>
        <v>#N/A</v>
      </c>
      <c r="CM50" s="21" t="e">
        <f>EXP(-LN(2)/2)*CM49+(1-EXP(-LN(2)/2))/(LN(2)/2)*CG50*CJ50*VLOOKUP('Données projet'!$B$12,Paramètres!$A$1:$I$89,3,0)*0.475*44/12</f>
        <v>#N/A</v>
      </c>
      <c r="CN50" s="22" t="e">
        <f t="shared" si="12"/>
        <v>#N/A</v>
      </c>
      <c r="CO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5">
      <c r="A51" s="10">
        <f t="shared" si="31"/>
        <v>48</v>
      </c>
      <c r="B51" s="72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1">
        <f t="shared" si="32"/>
        <v>0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66">
        <f t="shared" si="1"/>
        <v>256.66666666666669</v>
      </c>
      <c r="I51" s="6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14.015000000000004</v>
      </c>
      <c r="N51" s="13">
        <f>IF('Données projet'!$A$36&gt;35,N50+M51-V50,IF(A51&lt;'Données projet'!$A$36,$K$205^A51,IF(A51='Données projet'!$A$36,'Données projet'!$B$36,N50+M51-V50)))</f>
        <v>276.69000000000005</v>
      </c>
      <c r="O51" s="13">
        <f>N51*VLOOKUP('Données projet'!$B$9,Paramètres!$A$1:$I$89,3,0)*VLOOKUP('Données projet'!$B$9,Paramètres!$A$1:$I$89,5,0)</f>
        <v>250.34911200000005</v>
      </c>
      <c r="P51" s="13">
        <f t="shared" si="33"/>
        <v>60.660691860184102</v>
      </c>
      <c r="Q51" s="20">
        <f t="shared" si="53"/>
        <v>541.67540838982075</v>
      </c>
      <c r="R51" s="59">
        <f t="shared" si="0"/>
        <v>835.00874172315412</v>
      </c>
      <c r="S51" s="59">
        <f ca="1">AVERAGE(OFFSET($R$3,0,0,'Données projet'!$E$9+1,1))-AVERAGE(OFFSET($H$3,0,0,'Données projet'!$E$9+1,1))</f>
        <v>700.22008319944644</v>
      </c>
      <c r="T51" s="59">
        <f t="shared" si="34"/>
        <v>253.69632671986739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32.716795019654796</v>
      </c>
      <c r="AA51" s="21">
        <f>EXP(-LN(2)/25)*AA50+(1-EXP(-LN(2)/25))/(LN(2)/25)*Calculateur!V51*Calculateur!X51*VLOOKUP('Données projet'!$B$9,Paramètres!$A$1:$I$89,3,0)*0.475*44/12</f>
        <v>0</v>
      </c>
      <c r="AB51" s="21">
        <f>EXP(-LN(2)/2)*AB50+(1-EXP(-LN(2)/2))/(LN(2)/2)*V51*Y51*VLOOKUP('Données projet'!$B$9,Paramètres!$A$1:$I$89,3,0)*0.475*44/12</f>
        <v>0</v>
      </c>
      <c r="AC51" s="22">
        <f t="shared" si="3"/>
        <v>32.716795019654796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14.015000000000004</v>
      </c>
      <c r="AI51" s="13">
        <f>IF('Données projet'!$A$62&gt;35,AI50+AH51-AQ50,IF(A51&lt;'Données projet'!$A$62,$AF$205^A51,IF(A51='Données projet'!$A$62,'Données projet'!$B$62,AI50+AH51-AQ50)))</f>
        <v>276.69000000000005</v>
      </c>
      <c r="AJ51" s="13">
        <f>AI51*VLOOKUP('Données projet'!$B$10,Paramètres!$A$1:$I$89,3,0)*VLOOKUP('Données projet'!$B$10,Paramètres!$A$1:$I$89,5,0)</f>
        <v>263.29820400000006</v>
      </c>
      <c r="AK51" s="13">
        <f t="shared" si="35"/>
        <v>63.424905149053629</v>
      </c>
      <c r="AL51" s="20">
        <f t="shared" si="4"/>
        <v>569.04274843460178</v>
      </c>
      <c r="AM51" s="59">
        <f t="shared" si="5"/>
        <v>862.37608176793515</v>
      </c>
      <c r="AN51" s="59">
        <f ca="1">AVERAGE(OFFSET($AM$3,0,0,'Données projet'!$E$10+1,1))-AVERAGE(OFFSET($H$3,0,0,'Données projet'!$E$10+1,1))</f>
        <v>733.95677909577444</v>
      </c>
      <c r="AO51" s="59">
        <f t="shared" si="36"/>
        <v>264.63778993239799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34.409043037912795</v>
      </c>
      <c r="AV51" s="21">
        <f>EXP(-LN(2)/25)*AV50+(1-EXP(-LN(2)/25))/(LN(2)/25)*Calculateur!AQ51*Calculateur!AS51*VLOOKUP('Données projet'!$B$10,Paramètres!$A$1:$I$89,3,0)*0.475*44/12</f>
        <v>0</v>
      </c>
      <c r="AW51" s="21">
        <f>EXP(-LN(2)/2)*AW50+(1-EXP(-LN(2)/2))/(LN(2)/2)*AQ51*AT51*VLOOKUP('Données projet'!$B$10,Paramètres!$A$1:$I$89,3,0)*0.475*44/12</f>
        <v>0</v>
      </c>
      <c r="AX51" s="21">
        <f t="shared" si="6"/>
        <v>34.409043037912795</v>
      </c>
      <c r="AY51" s="7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0</v>
      </c>
      <c r="BD51" s="12">
        <f>IF('Données projet'!$A$88&gt;35,BD50+BC51-BL50,IF(A51&lt;'Données projet'!$A$88,$BA$205^A51,IF(A51='Données projet'!$A$88,'Données projet'!$B$88,BD50+BC51-BL50)))</f>
        <v>0</v>
      </c>
      <c r="BE51" s="13">
        <f>BD51*VLOOKUP('Données projet'!$B$11,Paramètres!$A$1:$I$89,3,0)*VLOOKUP('Données projet'!$B$11,Paramètres!$A$1:$I$89,5,0)</f>
        <v>0</v>
      </c>
      <c r="BF51" s="13" t="e">
        <f t="shared" si="37"/>
        <v>#NUM!</v>
      </c>
      <c r="BG51" s="20" t="e">
        <f t="shared" si="7"/>
        <v>#NUM!</v>
      </c>
      <c r="BH51" s="59" t="e">
        <f t="shared" si="8"/>
        <v>#NUM!</v>
      </c>
      <c r="BI51" s="59">
        <f ca="1">AVERAGE(OFFSET($BH$3,0,0,'Données projet'!$E$11+1,1))-AVERAGE(OFFSET($H$3,0,0,'Données projet'!$E$11+1,1))</f>
        <v>187.80389738728508</v>
      </c>
      <c r="BJ51" s="59">
        <f t="shared" si="38"/>
        <v>439.28159165815265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86.474132258357074</v>
      </c>
      <c r="BQ51" s="21">
        <f>EXP(-LN(2)/25)*BQ50+(1-EXP(-LN(2)/25))/(LN(2)/25)*Calculateur!BL51*Calculateur!BN51*VLOOKUP('Données projet'!$B$11,Paramètres!$A$1:$I$89,3,0)*0.475*44/12</f>
        <v>8.7284278826213306</v>
      </c>
      <c r="BR51" s="21">
        <f>EXP(-LN(2)/2)*BR50+(1-EXP(-LN(2)/2))/(LN(2)/2)*BL51*BO51*VLOOKUP('Données projet'!$B$11,Paramètres!$A$1:$I$89,3,0)*0.475*44/12</f>
        <v>8.7816417973740025E-5</v>
      </c>
      <c r="BS51" s="22">
        <f t="shared" si="9"/>
        <v>95.20264795739638</v>
      </c>
      <c r="BT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0</v>
      </c>
      <c r="BY51" s="12">
        <f>IF('Données projet'!$A$114&gt;35,BY50+BX51-CG50,IF(A51&lt;'Données projet'!$A$114,$BV$205^A51,IF(A51='Données projet'!$A$114,'Données projet'!$B$114,BY50+BX51-CG50)))</f>
        <v>0</v>
      </c>
      <c r="BZ51" s="13" t="e">
        <f>BY51*VLOOKUP('Données projet'!$B$12,Paramètres!$A$1:$I$89,3,0)*VLOOKUP('Données projet'!$B$12,Paramètres!$A$1:$I$89,5,0)</f>
        <v>#N/A</v>
      </c>
      <c r="CA51" s="13" t="e">
        <f t="shared" si="39"/>
        <v>#N/A</v>
      </c>
      <c r="CB51" s="20" t="e">
        <f t="shared" si="10"/>
        <v>#N/A</v>
      </c>
      <c r="CC51" s="59" t="e">
        <f t="shared" si="11"/>
        <v>#N/A</v>
      </c>
      <c r="CD51" s="59" t="e">
        <f ca="1">AVERAGE(OFFSET($CC$3,0,0,'Données projet'!$E$12+1,1))-AVERAGE(OFFSET($H$3,0,0,'Données projet'!$E$12+1,1))</f>
        <v>#N/A</v>
      </c>
      <c r="CE51" s="59" t="e">
        <f t="shared" si="40"/>
        <v>#N/A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 t="e">
        <f>EXP(-LN(2)/35)*CK50+(1-EXP(-LN(2)/35))/(LN(2)/35)*CG51*CH51*VLOOKUP('Données projet'!$B$12,Paramètres!$A$1:$I$89,3,0)*0.475*44/12</f>
        <v>#N/A</v>
      </c>
      <c r="CL51" s="21" t="e">
        <f>EXP(-LN(2)/25)*CL50+(1-EXP(-LN(2)/25))/(LN(2)/25)*Calculateur!CG51*Calculateur!CI51*VLOOKUP('Données projet'!$B$12,Paramètres!$A$1:$I$89,3,0)*0.475*44/12</f>
        <v>#N/A</v>
      </c>
      <c r="CM51" s="21" t="e">
        <f>EXP(-LN(2)/2)*CM50+(1-EXP(-LN(2)/2))/(LN(2)/2)*CG51*CJ51*VLOOKUP('Données projet'!$B$12,Paramètres!$A$1:$I$89,3,0)*0.475*44/12</f>
        <v>#N/A</v>
      </c>
      <c r="CN51" s="22" t="e">
        <f t="shared" si="12"/>
        <v>#N/A</v>
      </c>
      <c r="CO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5">
      <c r="A52" s="10">
        <f t="shared" si="31"/>
        <v>49</v>
      </c>
      <c r="B52" s="72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1">
        <f t="shared" si="32"/>
        <v>0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66">
        <f t="shared" si="1"/>
        <v>256.66666666666669</v>
      </c>
      <c r="I52" s="6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14.015000000000004</v>
      </c>
      <c r="N52" s="13">
        <f>IF('Données projet'!$A$36&gt;35,N51+M52-V51,IF(A52&lt;'Données projet'!$A$36,$K$205^A52,IF(A52='Données projet'!$A$36,'Données projet'!$B$36,N51+M52-V51)))</f>
        <v>290.70500000000004</v>
      </c>
      <c r="O52" s="13">
        <f>N52*VLOOKUP('Données projet'!$B$9,Paramètres!$A$1:$I$89,3,0)*VLOOKUP('Données projet'!$B$9,Paramètres!$A$1:$I$89,5,0)</f>
        <v>263.02988400000004</v>
      </c>
      <c r="P52" s="13">
        <f t="shared" si="33"/>
        <v>63.367790639848458</v>
      </c>
      <c r="Q52" s="20">
        <f t="shared" si="53"/>
        <v>568.47594999773617</v>
      </c>
      <c r="R52" s="59">
        <f t="shared" si="0"/>
        <v>861.80928333106954</v>
      </c>
      <c r="S52" s="59">
        <f ca="1">AVERAGE(OFFSET($R$3,0,0,'Données projet'!$E$9+1,1))-AVERAGE(OFFSET($H$3,0,0,'Données projet'!$E$9+1,1))</f>
        <v>700.22008319944644</v>
      </c>
      <c r="T52" s="59">
        <f t="shared" si="34"/>
        <v>253.69632671986739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32.075238624593908</v>
      </c>
      <c r="AA52" s="21">
        <f>EXP(-LN(2)/25)*AA51+(1-EXP(-LN(2)/25))/(LN(2)/25)*Calculateur!V52*Calculateur!X52*VLOOKUP('Données projet'!$B$9,Paramètres!$A$1:$I$89,3,0)*0.475*44/12</f>
        <v>0</v>
      </c>
      <c r="AB52" s="21">
        <f>EXP(-LN(2)/2)*AB51+(1-EXP(-LN(2)/2))/(LN(2)/2)*V52*Y52*VLOOKUP('Données projet'!$B$9,Paramètres!$A$1:$I$89,3,0)*0.475*44/12</f>
        <v>0</v>
      </c>
      <c r="AC52" s="22">
        <f t="shared" si="3"/>
        <v>32.075238624593908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14.015000000000004</v>
      </c>
      <c r="AI52" s="13">
        <f>IF('Données projet'!$A$62&gt;35,AI51+AH52-AQ51,IF(A52&lt;'Données projet'!$A$62,$AF$205^A52,IF(A52='Données projet'!$A$62,'Données projet'!$B$62,AI51+AH52-AQ51)))</f>
        <v>290.70500000000004</v>
      </c>
      <c r="AJ52" s="13">
        <f>AI52*VLOOKUP('Données projet'!$B$10,Paramètres!$A$1:$I$89,3,0)*VLOOKUP('Données projet'!$B$10,Paramètres!$A$1:$I$89,5,0)</f>
        <v>276.63487800000007</v>
      </c>
      <c r="AK52" s="13">
        <f t="shared" si="35"/>
        <v>66.255362205578308</v>
      </c>
      <c r="AL52" s="20">
        <f t="shared" si="4"/>
        <v>597.20050169138233</v>
      </c>
      <c r="AM52" s="59">
        <f t="shared" si="5"/>
        <v>890.5338350247157</v>
      </c>
      <c r="AN52" s="59">
        <f ca="1">AVERAGE(OFFSET($AM$3,0,0,'Données projet'!$E$10+1,1))-AVERAGE(OFFSET($H$3,0,0,'Données projet'!$E$10+1,1))</f>
        <v>733.95677909577444</v>
      </c>
      <c r="AO52" s="59">
        <f t="shared" si="36"/>
        <v>264.63778993239799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33.734302691383242</v>
      </c>
      <c r="AV52" s="21">
        <f>EXP(-LN(2)/25)*AV51+(1-EXP(-LN(2)/25))/(LN(2)/25)*Calculateur!AQ52*Calculateur!AS52*VLOOKUP('Données projet'!$B$10,Paramètres!$A$1:$I$89,3,0)*0.475*44/12</f>
        <v>0</v>
      </c>
      <c r="AW52" s="21">
        <f>EXP(-LN(2)/2)*AW51+(1-EXP(-LN(2)/2))/(LN(2)/2)*AQ52*AT52*VLOOKUP('Données projet'!$B$10,Paramètres!$A$1:$I$89,3,0)*0.475*44/12</f>
        <v>0</v>
      </c>
      <c r="AX52" s="21">
        <f t="shared" si="6"/>
        <v>33.734302691383242</v>
      </c>
      <c r="AY52" s="7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0</v>
      </c>
      <c r="BD52" s="12">
        <f>IF('Données projet'!$A$88&gt;35,BD51+BC52-BL51,IF(A52&lt;'Données projet'!$A$88,$BA$205^A52,IF(A52='Données projet'!$A$88,'Données projet'!$B$88,BD51+BC52-BL51)))</f>
        <v>0</v>
      </c>
      <c r="BE52" s="13">
        <f>BD52*VLOOKUP('Données projet'!$B$11,Paramètres!$A$1:$I$89,3,0)*VLOOKUP('Données projet'!$B$11,Paramètres!$A$1:$I$89,5,0)</f>
        <v>0</v>
      </c>
      <c r="BF52" s="13" t="e">
        <f t="shared" si="37"/>
        <v>#NUM!</v>
      </c>
      <c r="BG52" s="20" t="e">
        <f t="shared" si="7"/>
        <v>#NUM!</v>
      </c>
      <c r="BH52" s="59" t="e">
        <f t="shared" si="8"/>
        <v>#NUM!</v>
      </c>
      <c r="BI52" s="59">
        <f ca="1">AVERAGE(OFFSET($BH$3,0,0,'Données projet'!$E$11+1,1))-AVERAGE(OFFSET($H$3,0,0,'Données projet'!$E$11+1,1))</f>
        <v>187.80389738728508</v>
      </c>
      <c r="BJ52" s="59">
        <f t="shared" si="38"/>
        <v>439.28159165815265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84.778427268783332</v>
      </c>
      <c r="BQ52" s="21">
        <f>EXP(-LN(2)/25)*BQ51+(1-EXP(-LN(2)/25))/(LN(2)/25)*Calculateur!BL52*Calculateur!BN52*VLOOKUP('Données projet'!$B$11,Paramètres!$A$1:$I$89,3,0)*0.475*44/12</f>
        <v>8.4897485631629763</v>
      </c>
      <c r="BR52" s="21">
        <f>EXP(-LN(2)/2)*BR51+(1-EXP(-LN(2)/2))/(LN(2)/2)*BL52*BO52*VLOOKUP('Données projet'!$B$11,Paramètres!$A$1:$I$89,3,0)*0.475*44/12</f>
        <v>6.2095584648743786E-5</v>
      </c>
      <c r="BS52" s="22">
        <f t="shared" si="9"/>
        <v>93.268237927530961</v>
      </c>
      <c r="BT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0</v>
      </c>
      <c r="BY52" s="12">
        <f>IF('Données projet'!$A$114&gt;35,BY51+BX52-CG51,IF(A52&lt;'Données projet'!$A$114,$BV$205^A52,IF(A52='Données projet'!$A$114,'Données projet'!$B$114,BY51+BX52-CG51)))</f>
        <v>0</v>
      </c>
      <c r="BZ52" s="13" t="e">
        <f>BY52*VLOOKUP('Données projet'!$B$12,Paramètres!$A$1:$I$89,3,0)*VLOOKUP('Données projet'!$B$12,Paramètres!$A$1:$I$89,5,0)</f>
        <v>#N/A</v>
      </c>
      <c r="CA52" s="13" t="e">
        <f t="shared" si="39"/>
        <v>#N/A</v>
      </c>
      <c r="CB52" s="20" t="e">
        <f t="shared" si="10"/>
        <v>#N/A</v>
      </c>
      <c r="CC52" s="59" t="e">
        <f t="shared" si="11"/>
        <v>#N/A</v>
      </c>
      <c r="CD52" s="59" t="e">
        <f ca="1">AVERAGE(OFFSET($CC$3,0,0,'Données projet'!$E$12+1,1))-AVERAGE(OFFSET($H$3,0,0,'Données projet'!$E$12+1,1))</f>
        <v>#N/A</v>
      </c>
      <c r="CE52" s="59" t="e">
        <f t="shared" si="40"/>
        <v>#N/A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 t="e">
        <f>EXP(-LN(2)/35)*CK51+(1-EXP(-LN(2)/35))/(LN(2)/35)*CG52*CH52*VLOOKUP('Données projet'!$B$12,Paramètres!$A$1:$I$89,3,0)*0.475*44/12</f>
        <v>#N/A</v>
      </c>
      <c r="CL52" s="21" t="e">
        <f>EXP(-LN(2)/25)*CL51+(1-EXP(-LN(2)/25))/(LN(2)/25)*Calculateur!CG52*Calculateur!CI52*VLOOKUP('Données projet'!$B$12,Paramètres!$A$1:$I$89,3,0)*0.475*44/12</f>
        <v>#N/A</v>
      </c>
      <c r="CM52" s="21" t="e">
        <f>EXP(-LN(2)/2)*CM51+(1-EXP(-LN(2)/2))/(LN(2)/2)*CG52*CJ52*VLOOKUP('Données projet'!$B$12,Paramètres!$A$1:$I$89,3,0)*0.475*44/12</f>
        <v>#N/A</v>
      </c>
      <c r="CN52" s="22" t="e">
        <f t="shared" si="12"/>
        <v>#N/A</v>
      </c>
      <c r="CO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5">
      <c r="A53" s="10">
        <f t="shared" si="31"/>
        <v>50</v>
      </c>
      <c r="B53" s="72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1">
        <f t="shared" si="32"/>
        <v>0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66">
        <f t="shared" si="1"/>
        <v>256.66666666666669</v>
      </c>
      <c r="I53" s="6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>
        <f>VLOOKUP(A53,'Données projet'!$A$35:$I$55,2,0)</f>
        <v>304.72000000000003</v>
      </c>
      <c r="L53" s="12">
        <f>VLOOKUP(A53,'Données projet'!$A$35:$I$55,9,0)</f>
        <v>14.015000000000004</v>
      </c>
      <c r="M53" s="12">
        <f t="array" ref="M53">INDEX(L:L,MIN(IF(ISNUMBER(L53:L249),ROW(L53:L249),"")))</f>
        <v>14.015000000000004</v>
      </c>
      <c r="N53" s="13">
        <f>IF('Données projet'!$A$36&gt;35,N52+M53-V52,IF(A53&lt;'Données projet'!$A$36,$K$205^A53,IF(A53='Données projet'!$A$36,'Données projet'!$B$36,N52+M53-V52)))</f>
        <v>304.72000000000003</v>
      </c>
      <c r="O53" s="13">
        <f>N53*VLOOKUP('Données projet'!$B$9,Paramètres!$A$1:$I$89,3,0)*VLOOKUP('Données projet'!$B$9,Paramètres!$A$1:$I$89,5,0)</f>
        <v>275.71065600000003</v>
      </c>
      <c r="P53" s="13">
        <f t="shared" si="33"/>
        <v>66.059734370197603</v>
      </c>
      <c r="Q53" s="20">
        <f t="shared" si="53"/>
        <v>595.25009656142754</v>
      </c>
      <c r="R53" s="59">
        <f t="shared" si="0"/>
        <v>888.58342989476091</v>
      </c>
      <c r="S53" s="59">
        <f ca="1">AVERAGE(OFFSET($R$3,0,0,'Données projet'!$E$9+1,1))-AVERAGE(OFFSET($H$3,0,0,'Données projet'!$E$9+1,1))</f>
        <v>700.22008319944644</v>
      </c>
      <c r="T53" s="59">
        <f t="shared" si="34"/>
        <v>253.69632671986739</v>
      </c>
      <c r="U53" s="15">
        <f>IF(ISNA(VLOOKUP(A53,'Données projet'!$A$35:$I$55,3,0)),0,VLOOKUP(A53,'Données projet'!$A$35:$I$55,3,0))</f>
        <v>3</v>
      </c>
      <c r="V53" s="15">
        <f>IF(ISNA(VLOOKUP(A53,'Données projet'!$A$35:$I$55,4,0)),0,VLOOKUP(A53,'Données projet'!$A$35:$I$55,4,0))</f>
        <v>66.62</v>
      </c>
      <c r="W53" s="16">
        <f>IF(ISNA(VLOOKUP(A53,'Données projet'!$A$35:$I$55,5,0)),0%,VLOOKUP(A53,'Données projet'!$A$35:$I$55,5,0)*VLOOKUP('Données projet'!$B$9,Paramètres!$A$1:$I$89,7,0))</f>
        <v>0.43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60.099440001341925</v>
      </c>
      <c r="AA53" s="21">
        <f>EXP(-LN(2)/25)*AA52+(1-EXP(-LN(2)/25))/(LN(2)/25)*Calculateur!V53*Calculateur!X53*VLOOKUP('Données projet'!$B$9,Paramètres!$A$1:$I$89,3,0)*0.475*44/12</f>
        <v>0</v>
      </c>
      <c r="AB53" s="21">
        <f>EXP(-LN(2)/2)*AB52+(1-EXP(-LN(2)/2))/(LN(2)/2)*V53*Y53*VLOOKUP('Données projet'!$B$9,Paramètres!$A$1:$I$89,3,0)*0.475*44/12</f>
        <v>0</v>
      </c>
      <c r="AC53" s="22">
        <f t="shared" si="3"/>
        <v>60.099440001341925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>
        <f>VLOOKUP(A53,'Données projet'!$A$61:$I$81,2,0)</f>
        <v>304.72000000000003</v>
      </c>
      <c r="AG53" s="12">
        <f>VLOOKUP(A53,'Données projet'!$A$61:$I$81,9,0)</f>
        <v>14.015000000000004</v>
      </c>
      <c r="AH53" s="12">
        <f t="array" ref="AH53">INDEX(AG:AG,MIN(IF(ISNUMBER(AG53:AG249),ROW(AG53:AG249),"")))</f>
        <v>14.015000000000004</v>
      </c>
      <c r="AI53" s="13">
        <f>IF('Données projet'!$A$62&gt;35,AI52+AH53-AQ52,IF(A53&lt;'Données projet'!$A$62,$AF$205^A53,IF(A53='Données projet'!$A$62,'Données projet'!$B$62,AI52+AH53-AQ52)))</f>
        <v>304.72000000000003</v>
      </c>
      <c r="AJ53" s="13">
        <f>AI53*VLOOKUP('Données projet'!$B$10,Paramètres!$A$1:$I$89,3,0)*VLOOKUP('Données projet'!$B$10,Paramètres!$A$1:$I$89,5,0)</f>
        <v>289.97155200000003</v>
      </c>
      <c r="AK53" s="13">
        <f t="shared" si="35"/>
        <v>69.069973620784566</v>
      </c>
      <c r="AL53" s="20">
        <f t="shared" si="4"/>
        <v>625.33065712286646</v>
      </c>
      <c r="AM53" s="59">
        <f t="shared" si="5"/>
        <v>918.66399045619983</v>
      </c>
      <c r="AN53" s="59">
        <f ca="1">AVERAGE(OFFSET($AM$3,0,0,'Données projet'!$E$10+1,1))-AVERAGE(OFFSET($H$3,0,0,'Données projet'!$E$10+1,1))</f>
        <v>733.95677909577444</v>
      </c>
      <c r="AO53" s="59">
        <f t="shared" si="36"/>
        <v>264.63778993239799</v>
      </c>
      <c r="AP53" s="15">
        <f>IF(ISNA(VLOOKUP(A53,'Données projet'!$A$61:$I$81,3,0)),0,VLOOKUP(A53,'Données projet'!$A$61:$I$81,3,0))</f>
        <v>3</v>
      </c>
      <c r="AQ53" s="15">
        <f>IF(ISNA(VLOOKUP(A53,'Données projet'!$A$61:$I$81,4,0)),0,VLOOKUP(A53,'Données projet'!$A$61:$I$81,4,0))</f>
        <v>66.62</v>
      </c>
      <c r="AR53" s="16">
        <f>IF(ISNA(VLOOKUP(A53,'Données projet'!$A$61:$I$81,5,0)),0%,VLOOKUP(A53,'Données projet'!$A$61:$I$81,5,0)*VLOOKUP('Données projet'!$B$10,Paramètres!$A$1:$I$89,7,0))</f>
        <v>0.43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63.208031725549262</v>
      </c>
      <c r="AV53" s="21">
        <f>EXP(-LN(2)/25)*AV52+(1-EXP(-LN(2)/25))/(LN(2)/25)*Calculateur!AQ53*Calculateur!AS53*VLOOKUP('Données projet'!$B$10,Paramètres!$A$1:$I$89,3,0)*0.475*44/12</f>
        <v>0</v>
      </c>
      <c r="AW53" s="21">
        <f>EXP(-LN(2)/2)*AW52+(1-EXP(-LN(2)/2))/(LN(2)/2)*AQ53*AT53*VLOOKUP('Données projet'!$B$10,Paramètres!$A$1:$I$89,3,0)*0.475*44/12</f>
        <v>0</v>
      </c>
      <c r="AX53" s="21">
        <f t="shared" si="6"/>
        <v>63.208031725549262</v>
      </c>
      <c r="AY53" s="7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 t="e">
        <f>VLOOKUP(A53,'Données projet'!$A$87:$I$107,2,0)</f>
        <v>#N/A</v>
      </c>
      <c r="BB53" s="12" t="e">
        <f>VLOOKUP(A53,'Données projet'!$A$87:$I$107,9,0)</f>
        <v>#N/A</v>
      </c>
      <c r="BC53" s="12">
        <f t="array" ref="BC53">INDEX(BB:BB,MIN(IF(ISNUMBER(BB53:BB249),ROW(BB53:BB249),"")))</f>
        <v>0</v>
      </c>
      <c r="BD53" s="12">
        <f>IF('Données projet'!$A$88&gt;35,BD52+BC53-BL52,IF(A53&lt;'Données projet'!$A$88,$BA$205^A53,IF(A53='Données projet'!$A$88,'Données projet'!$B$88,BD52+BC53-BL52)))</f>
        <v>0</v>
      </c>
      <c r="BE53" s="13">
        <f>BD53*VLOOKUP('Données projet'!$B$11,Paramètres!$A$1:$I$89,3,0)*VLOOKUP('Données projet'!$B$11,Paramètres!$A$1:$I$89,5,0)</f>
        <v>0</v>
      </c>
      <c r="BF53" s="13" t="e">
        <f t="shared" si="37"/>
        <v>#NUM!</v>
      </c>
      <c r="BG53" s="20" t="e">
        <f t="shared" si="7"/>
        <v>#NUM!</v>
      </c>
      <c r="BH53" s="59" t="e">
        <f t="shared" si="8"/>
        <v>#NUM!</v>
      </c>
      <c r="BI53" s="59">
        <f ca="1">AVERAGE(OFFSET($BH$3,0,0,'Données projet'!$E$11+1,1))-AVERAGE(OFFSET($H$3,0,0,'Données projet'!$E$11+1,1))</f>
        <v>187.80389738728508</v>
      </c>
      <c r="BJ53" s="59">
        <f t="shared" si="38"/>
        <v>439.28159165815265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83.115974019777212</v>
      </c>
      <c r="BQ53" s="21">
        <f>EXP(-LN(2)/25)*BQ52+(1-EXP(-LN(2)/25))/(LN(2)/25)*Calculateur!BL53*Calculateur!BN53*VLOOKUP('Données projet'!$B$11,Paramètres!$A$1:$I$89,3,0)*0.475*44/12</f>
        <v>8.2575959422468106</v>
      </c>
      <c r="BR53" s="21">
        <f>EXP(-LN(2)/2)*BR52+(1-EXP(-LN(2)/2))/(LN(2)/2)*BL53*BO53*VLOOKUP('Données projet'!$B$11,Paramètres!$A$1:$I$89,3,0)*0.475*44/12</f>
        <v>4.3908208986870012E-5</v>
      </c>
      <c r="BS53" s="22">
        <f t="shared" si="9"/>
        <v>91.373613870233001</v>
      </c>
      <c r="BT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0</v>
      </c>
      <c r="BY53" s="12">
        <f>IF('Données projet'!$A$114&gt;35,BY52+BX53-CG52,IF(A53&lt;'Données projet'!$A$114,$BV$205^A53,IF(A53='Données projet'!$A$114,'Données projet'!$B$114,BY52+BX53-CG52)))</f>
        <v>0</v>
      </c>
      <c r="BZ53" s="13" t="e">
        <f>BY53*VLOOKUP('Données projet'!$B$12,Paramètres!$A$1:$I$89,3,0)*VLOOKUP('Données projet'!$B$12,Paramètres!$A$1:$I$89,5,0)</f>
        <v>#N/A</v>
      </c>
      <c r="CA53" s="13" t="e">
        <f t="shared" si="39"/>
        <v>#N/A</v>
      </c>
      <c r="CB53" s="20" t="e">
        <f t="shared" si="10"/>
        <v>#N/A</v>
      </c>
      <c r="CC53" s="59" t="e">
        <f t="shared" si="11"/>
        <v>#N/A</v>
      </c>
      <c r="CD53" s="59" t="e">
        <f ca="1">AVERAGE(OFFSET($CC$3,0,0,'Données projet'!$E$12+1,1))-AVERAGE(OFFSET($H$3,0,0,'Données projet'!$E$12+1,1))</f>
        <v>#N/A</v>
      </c>
      <c r="CE53" s="59" t="e">
        <f t="shared" si="40"/>
        <v>#N/A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 t="e">
        <f>EXP(-LN(2)/35)*CK52+(1-EXP(-LN(2)/35))/(LN(2)/35)*CG53*CH53*VLOOKUP('Données projet'!$B$12,Paramètres!$A$1:$I$89,3,0)*0.475*44/12</f>
        <v>#N/A</v>
      </c>
      <c r="CL53" s="21" t="e">
        <f>EXP(-LN(2)/25)*CL52+(1-EXP(-LN(2)/25))/(LN(2)/25)*Calculateur!CG53*Calculateur!CI53*VLOOKUP('Données projet'!$B$12,Paramètres!$A$1:$I$89,3,0)*0.475*44/12</f>
        <v>#N/A</v>
      </c>
      <c r="CM53" s="21" t="e">
        <f>EXP(-LN(2)/2)*CM52+(1-EXP(-LN(2)/2))/(LN(2)/2)*CG53*CJ53*VLOOKUP('Données projet'!$B$12,Paramètres!$A$1:$I$89,3,0)*0.475*44/12</f>
        <v>#N/A</v>
      </c>
      <c r="CN53" s="22" t="e">
        <f t="shared" si="12"/>
        <v>#N/A</v>
      </c>
      <c r="CO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5">
      <c r="A54" s="10">
        <f t="shared" si="31"/>
        <v>51</v>
      </c>
      <c r="B54" s="72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1">
        <f t="shared" si="32"/>
        <v>0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66">
        <f t="shared" si="1"/>
        <v>256.66666666666669</v>
      </c>
      <c r="I54" s="6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13.559999999999995</v>
      </c>
      <c r="N54" s="13">
        <f>IF('Données projet'!$A$36&gt;35,N53+M54-V53,IF(A54&lt;'Données projet'!$A$36,$K$205^A54,IF(A54='Données projet'!$A$36,'Données projet'!$B$36,N53+M54-V53)))</f>
        <v>251.66000000000003</v>
      </c>
      <c r="O54" s="13">
        <f>N54*VLOOKUP('Données projet'!$B$9,Paramètres!$A$1:$I$89,3,0)*VLOOKUP('Données projet'!$B$9,Paramètres!$A$1:$I$89,5,0)</f>
        <v>227.70196800000002</v>
      </c>
      <c r="P54" s="13">
        <f t="shared" si="33"/>
        <v>55.785503263186797</v>
      </c>
      <c r="Q54" s="20">
        <f t="shared" si="53"/>
        <v>493.74067911671705</v>
      </c>
      <c r="R54" s="59">
        <f t="shared" si="0"/>
        <v>787.0740124500503</v>
      </c>
      <c r="S54" s="59">
        <f ca="1">AVERAGE(OFFSET($R$3,0,0,'Données projet'!$E$9+1,1))-AVERAGE(OFFSET($H$3,0,0,'Données projet'!$E$9+1,1))</f>
        <v>700.22008319944644</v>
      </c>
      <c r="T54" s="59">
        <f t="shared" si="34"/>
        <v>253.69632671986739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58.92092663995443</v>
      </c>
      <c r="AA54" s="21">
        <f>EXP(-LN(2)/25)*AA53+(1-EXP(-LN(2)/25))/(LN(2)/25)*Calculateur!V54*Calculateur!X54*VLOOKUP('Données projet'!$B$9,Paramètres!$A$1:$I$89,3,0)*0.475*44/12</f>
        <v>0</v>
      </c>
      <c r="AB54" s="21">
        <f>EXP(-LN(2)/2)*AB53+(1-EXP(-LN(2)/2))/(LN(2)/2)*V54*Y54*VLOOKUP('Données projet'!$B$9,Paramètres!$A$1:$I$89,3,0)*0.475*44/12</f>
        <v>0</v>
      </c>
      <c r="AC54" s="22">
        <f t="shared" si="3"/>
        <v>58.92092663995443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13.559999999999995</v>
      </c>
      <c r="AI54" s="13">
        <f>IF('Données projet'!$A$62&gt;35,AI53+AH54-AQ53,IF(A54&lt;'Données projet'!$A$62,$AF$205^A54,IF(A54='Données projet'!$A$62,'Données projet'!$B$62,AI53+AH54-AQ53)))</f>
        <v>251.66000000000003</v>
      </c>
      <c r="AJ54" s="13">
        <f>AI54*VLOOKUP('Données projet'!$B$10,Paramètres!$A$1:$I$89,3,0)*VLOOKUP('Données projet'!$B$10,Paramètres!$A$1:$I$89,5,0)</f>
        <v>239.47965600000003</v>
      </c>
      <c r="AK54" s="13">
        <f t="shared" si="35"/>
        <v>58.327561797596459</v>
      </c>
      <c r="AL54" s="20">
        <f t="shared" si="4"/>
        <v>518.68090433081386</v>
      </c>
      <c r="AM54" s="59">
        <f t="shared" si="5"/>
        <v>812.01423766414723</v>
      </c>
      <c r="AN54" s="59">
        <f ca="1">AVERAGE(OFFSET($AM$3,0,0,'Données projet'!$E$10+1,1))-AVERAGE(OFFSET($H$3,0,0,'Données projet'!$E$10+1,1))</f>
        <v>733.95677909577444</v>
      </c>
      <c r="AO54" s="59">
        <f t="shared" si="36"/>
        <v>264.63778993239799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61.968560776503793</v>
      </c>
      <c r="AV54" s="21">
        <f>EXP(-LN(2)/25)*AV53+(1-EXP(-LN(2)/25))/(LN(2)/25)*Calculateur!AQ54*Calculateur!AS54*VLOOKUP('Données projet'!$B$10,Paramètres!$A$1:$I$89,3,0)*0.475*44/12</f>
        <v>0</v>
      </c>
      <c r="AW54" s="21">
        <f>EXP(-LN(2)/2)*AW53+(1-EXP(-LN(2)/2))/(LN(2)/2)*AQ54*AT54*VLOOKUP('Données projet'!$B$10,Paramètres!$A$1:$I$89,3,0)*0.475*44/12</f>
        <v>0</v>
      </c>
      <c r="AX54" s="21">
        <f t="shared" si="6"/>
        <v>61.968560776503793</v>
      </c>
      <c r="AY54" s="7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0</v>
      </c>
      <c r="BD54" s="12">
        <f>IF('Données projet'!$A$88&gt;35,BD53+BC54-BL53,IF(A54&lt;'Données projet'!$A$88,$BA$205^A54,IF(A54='Données projet'!$A$88,'Données projet'!$B$88,BD53+BC54-BL53)))</f>
        <v>0</v>
      </c>
      <c r="BE54" s="13">
        <f>BD54*VLOOKUP('Données projet'!$B$11,Paramètres!$A$1:$I$89,3,0)*VLOOKUP('Données projet'!$B$11,Paramètres!$A$1:$I$89,5,0)</f>
        <v>0</v>
      </c>
      <c r="BF54" s="13" t="e">
        <f t="shared" si="37"/>
        <v>#NUM!</v>
      </c>
      <c r="BG54" s="20" t="e">
        <f t="shared" si="7"/>
        <v>#NUM!</v>
      </c>
      <c r="BH54" s="59" t="e">
        <f t="shared" si="8"/>
        <v>#NUM!</v>
      </c>
      <c r="BI54" s="59">
        <f ca="1">AVERAGE(OFFSET($BH$3,0,0,'Données projet'!$E$11+1,1))-AVERAGE(OFFSET($H$3,0,0,'Données projet'!$E$11+1,1))</f>
        <v>187.80389738728508</v>
      </c>
      <c r="BJ54" s="59">
        <f t="shared" si="38"/>
        <v>439.28159165815265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81.486120464987749</v>
      </c>
      <c r="BQ54" s="21">
        <f>EXP(-LN(2)/25)*BQ53+(1-EXP(-LN(2)/25))/(LN(2)/25)*Calculateur!BL54*Calculateur!BN54*VLOOKUP('Données projet'!$B$11,Paramètres!$A$1:$I$89,3,0)*0.475*44/12</f>
        <v>8.0317915469579741</v>
      </c>
      <c r="BR54" s="21">
        <f>EXP(-LN(2)/2)*BR53+(1-EXP(-LN(2)/2))/(LN(2)/2)*BL54*BO54*VLOOKUP('Données projet'!$B$11,Paramètres!$A$1:$I$89,3,0)*0.475*44/12</f>
        <v>3.1047792324371893E-5</v>
      </c>
      <c r="BS54" s="22">
        <f t="shared" si="9"/>
        <v>89.517943059738045</v>
      </c>
      <c r="BT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0</v>
      </c>
      <c r="BY54" s="12">
        <f>IF('Données projet'!$A$114&gt;35,BY53+BX54-CG53,IF(A54&lt;'Données projet'!$A$114,$BV$205^A54,IF(A54='Données projet'!$A$114,'Données projet'!$B$114,BY53+BX54-CG53)))</f>
        <v>0</v>
      </c>
      <c r="BZ54" s="13" t="e">
        <f>BY54*VLOOKUP('Données projet'!$B$12,Paramètres!$A$1:$I$89,3,0)*VLOOKUP('Données projet'!$B$12,Paramètres!$A$1:$I$89,5,0)</f>
        <v>#N/A</v>
      </c>
      <c r="CA54" s="13" t="e">
        <f t="shared" si="39"/>
        <v>#N/A</v>
      </c>
      <c r="CB54" s="20" t="e">
        <f t="shared" si="10"/>
        <v>#N/A</v>
      </c>
      <c r="CC54" s="59" t="e">
        <f t="shared" si="11"/>
        <v>#N/A</v>
      </c>
      <c r="CD54" s="59" t="e">
        <f ca="1">AVERAGE(OFFSET($CC$3,0,0,'Données projet'!$E$12+1,1))-AVERAGE(OFFSET($H$3,0,0,'Données projet'!$E$12+1,1))</f>
        <v>#N/A</v>
      </c>
      <c r="CE54" s="59" t="e">
        <f t="shared" si="40"/>
        <v>#N/A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 t="e">
        <f>EXP(-LN(2)/35)*CK53+(1-EXP(-LN(2)/35))/(LN(2)/35)*CG54*CH54*VLOOKUP('Données projet'!$B$12,Paramètres!$A$1:$I$89,3,0)*0.475*44/12</f>
        <v>#N/A</v>
      </c>
      <c r="CL54" s="21" t="e">
        <f>EXP(-LN(2)/25)*CL53+(1-EXP(-LN(2)/25))/(LN(2)/25)*Calculateur!CG54*Calculateur!CI54*VLOOKUP('Données projet'!$B$12,Paramètres!$A$1:$I$89,3,0)*0.475*44/12</f>
        <v>#N/A</v>
      </c>
      <c r="CM54" s="21" t="e">
        <f>EXP(-LN(2)/2)*CM53+(1-EXP(-LN(2)/2))/(LN(2)/2)*CG54*CJ54*VLOOKUP('Données projet'!$B$12,Paramètres!$A$1:$I$89,3,0)*0.475*44/12</f>
        <v>#N/A</v>
      </c>
      <c r="CN54" s="22" t="e">
        <f t="shared" si="12"/>
        <v>#N/A</v>
      </c>
      <c r="CO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5">
      <c r="A55" s="10">
        <f t="shared" si="31"/>
        <v>52</v>
      </c>
      <c r="B55" s="72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1">
        <f t="shared" si="32"/>
        <v>0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66">
        <f t="shared" si="1"/>
        <v>256.66666666666669</v>
      </c>
      <c r="I55" s="6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13.559999999999995</v>
      </c>
      <c r="N55" s="13">
        <f>IF('Données projet'!$A$36&gt;35,N54+M55-V54,IF(A55&lt;'Données projet'!$A$36,$K$205^A55,IF(A55='Données projet'!$A$36,'Données projet'!$B$36,N54+M55-V54)))</f>
        <v>265.22000000000003</v>
      </c>
      <c r="O55" s="13">
        <f>N55*VLOOKUP('Données projet'!$B$9,Paramètres!$A$1:$I$89,3,0)*VLOOKUP('Données projet'!$B$9,Paramètres!$A$1:$I$89,5,0)</f>
        <v>239.97105600000003</v>
      </c>
      <c r="P55" s="13">
        <f t="shared" si="33"/>
        <v>58.433302995905095</v>
      </c>
      <c r="Q55" s="20">
        <f t="shared" si="53"/>
        <v>519.72092525120149</v>
      </c>
      <c r="R55" s="59">
        <f t="shared" si="0"/>
        <v>813.05425858453486</v>
      </c>
      <c r="S55" s="59">
        <f ca="1">AVERAGE(OFFSET($R$3,0,0,'Données projet'!$E$9+1,1))-AVERAGE(OFFSET($H$3,0,0,'Données projet'!$E$9+1,1))</f>
        <v>700.22008319944644</v>
      </c>
      <c r="T55" s="59">
        <f t="shared" si="34"/>
        <v>253.69632671986739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57.765523206761571</v>
      </c>
      <c r="AA55" s="21">
        <f>EXP(-LN(2)/25)*AA54+(1-EXP(-LN(2)/25))/(LN(2)/25)*Calculateur!V55*Calculateur!X55*VLOOKUP('Données projet'!$B$9,Paramètres!$A$1:$I$89,3,0)*0.475*44/12</f>
        <v>0</v>
      </c>
      <c r="AB55" s="21">
        <f>EXP(-LN(2)/2)*AB54+(1-EXP(-LN(2)/2))/(LN(2)/2)*V55*Y55*VLOOKUP('Données projet'!$B$9,Paramètres!$A$1:$I$89,3,0)*0.475*44/12</f>
        <v>0</v>
      </c>
      <c r="AC55" s="22">
        <f t="shared" si="3"/>
        <v>57.765523206761571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13.559999999999995</v>
      </c>
      <c r="AI55" s="13">
        <f>IF('Données projet'!$A$62&gt;35,AI54+AH55-AQ54,IF(A55&lt;'Données projet'!$A$62,$AF$205^A55,IF(A55='Données projet'!$A$62,'Données projet'!$B$62,AI54+AH55-AQ54)))</f>
        <v>265.22000000000003</v>
      </c>
      <c r="AJ55" s="13">
        <f>AI55*VLOOKUP('Données projet'!$B$10,Paramètres!$A$1:$I$89,3,0)*VLOOKUP('Données projet'!$B$10,Paramètres!$A$1:$I$89,5,0)</f>
        <v>252.38335200000006</v>
      </c>
      <c r="AK55" s="13">
        <f t="shared" si="35"/>
        <v>61.09601764192513</v>
      </c>
      <c r="AL55" s="20">
        <f t="shared" si="4"/>
        <v>545.97656879301974</v>
      </c>
      <c r="AM55" s="59">
        <f t="shared" si="5"/>
        <v>839.30990212635311</v>
      </c>
      <c r="AN55" s="59">
        <f ca="1">AVERAGE(OFFSET($AM$3,0,0,'Données projet'!$E$10+1,1))-AVERAGE(OFFSET($H$3,0,0,'Données projet'!$E$10+1,1))</f>
        <v>733.95677909577444</v>
      </c>
      <c r="AO55" s="59">
        <f t="shared" si="36"/>
        <v>264.63778993239799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60.753395096766475</v>
      </c>
      <c r="AV55" s="21">
        <f>EXP(-LN(2)/25)*AV54+(1-EXP(-LN(2)/25))/(LN(2)/25)*Calculateur!AQ55*Calculateur!AS55*VLOOKUP('Données projet'!$B$10,Paramètres!$A$1:$I$89,3,0)*0.475*44/12</f>
        <v>0</v>
      </c>
      <c r="AW55" s="21">
        <f>EXP(-LN(2)/2)*AW54+(1-EXP(-LN(2)/2))/(LN(2)/2)*AQ55*AT55*VLOOKUP('Données projet'!$B$10,Paramètres!$A$1:$I$89,3,0)*0.475*44/12</f>
        <v>0</v>
      </c>
      <c r="AX55" s="21">
        <f t="shared" si="6"/>
        <v>60.753395096766475</v>
      </c>
      <c r="AY55" s="7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0</v>
      </c>
      <c r="BD55" s="12">
        <f>IF('Données projet'!$A$88&gt;35,BD54+BC55-BL54,IF(A55&lt;'Données projet'!$A$88,$BA$205^A55,IF(A55='Données projet'!$A$88,'Données projet'!$B$88,BD54+BC55-BL54)))</f>
        <v>0</v>
      </c>
      <c r="BE55" s="13">
        <f>BD55*VLOOKUP('Données projet'!$B$11,Paramètres!$A$1:$I$89,3,0)*VLOOKUP('Données projet'!$B$11,Paramètres!$A$1:$I$89,5,0)</f>
        <v>0</v>
      </c>
      <c r="BF55" s="13" t="e">
        <f t="shared" si="37"/>
        <v>#NUM!</v>
      </c>
      <c r="BG55" s="20" t="e">
        <f t="shared" si="7"/>
        <v>#NUM!</v>
      </c>
      <c r="BH55" s="59" t="e">
        <f t="shared" si="8"/>
        <v>#NUM!</v>
      </c>
      <c r="BI55" s="59">
        <f ca="1">AVERAGE(OFFSET($BH$3,0,0,'Données projet'!$E$11+1,1))-AVERAGE(OFFSET($H$3,0,0,'Données projet'!$E$11+1,1))</f>
        <v>187.80389738728508</v>
      </c>
      <c r="BJ55" s="59">
        <f t="shared" si="38"/>
        <v>439.28159165815265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79.888227344295188</v>
      </c>
      <c r="BQ55" s="21">
        <f>EXP(-LN(2)/25)*BQ54+(1-EXP(-LN(2)/25))/(LN(2)/25)*Calculateur!BL55*Calculateur!BN55*VLOOKUP('Données projet'!$B$11,Paramètres!$A$1:$I$89,3,0)*0.475*44/12</f>
        <v>7.8121617847328482</v>
      </c>
      <c r="BR55" s="21">
        <f>EXP(-LN(2)/2)*BR54+(1-EXP(-LN(2)/2))/(LN(2)/2)*BL55*BO55*VLOOKUP('Données projet'!$B$11,Paramètres!$A$1:$I$89,3,0)*0.475*44/12</f>
        <v>2.1954104493435006E-5</v>
      </c>
      <c r="BS55" s="22">
        <f t="shared" si="9"/>
        <v>87.700411083132536</v>
      </c>
      <c r="BT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0</v>
      </c>
      <c r="BY55" s="12">
        <f>IF('Données projet'!$A$114&gt;35,BY54+BX55-CG54,IF(A55&lt;'Données projet'!$A$114,$BV$205^A55,IF(A55='Données projet'!$A$114,'Données projet'!$B$114,BY54+BX55-CG54)))</f>
        <v>0</v>
      </c>
      <c r="BZ55" s="13" t="e">
        <f>BY55*VLOOKUP('Données projet'!$B$12,Paramètres!$A$1:$I$89,3,0)*VLOOKUP('Données projet'!$B$12,Paramètres!$A$1:$I$89,5,0)</f>
        <v>#N/A</v>
      </c>
      <c r="CA55" s="13" t="e">
        <f t="shared" si="39"/>
        <v>#N/A</v>
      </c>
      <c r="CB55" s="20" t="e">
        <f t="shared" si="10"/>
        <v>#N/A</v>
      </c>
      <c r="CC55" s="59" t="e">
        <f t="shared" si="11"/>
        <v>#N/A</v>
      </c>
      <c r="CD55" s="59" t="e">
        <f ca="1">AVERAGE(OFFSET($CC$3,0,0,'Données projet'!$E$12+1,1))-AVERAGE(OFFSET($H$3,0,0,'Données projet'!$E$12+1,1))</f>
        <v>#N/A</v>
      </c>
      <c r="CE55" s="59" t="e">
        <f t="shared" si="40"/>
        <v>#N/A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 t="e">
        <f>EXP(-LN(2)/35)*CK54+(1-EXP(-LN(2)/35))/(LN(2)/35)*CG55*CH55*VLOOKUP('Données projet'!$B$12,Paramètres!$A$1:$I$89,3,0)*0.475*44/12</f>
        <v>#N/A</v>
      </c>
      <c r="CL55" s="21" t="e">
        <f>EXP(-LN(2)/25)*CL54+(1-EXP(-LN(2)/25))/(LN(2)/25)*Calculateur!CG55*Calculateur!CI55*VLOOKUP('Données projet'!$B$12,Paramètres!$A$1:$I$89,3,0)*0.475*44/12</f>
        <v>#N/A</v>
      </c>
      <c r="CM55" s="21" t="e">
        <f>EXP(-LN(2)/2)*CM54+(1-EXP(-LN(2)/2))/(LN(2)/2)*CG55*CJ55*VLOOKUP('Données projet'!$B$12,Paramètres!$A$1:$I$89,3,0)*0.475*44/12</f>
        <v>#N/A</v>
      </c>
      <c r="CN55" s="22" t="e">
        <f t="shared" si="12"/>
        <v>#N/A</v>
      </c>
      <c r="CO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5">
      <c r="A56" s="10">
        <f t="shared" si="31"/>
        <v>53</v>
      </c>
      <c r="B56" s="72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1">
        <f t="shared" si="32"/>
        <v>0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66">
        <f t="shared" si="1"/>
        <v>256.66666666666669</v>
      </c>
      <c r="I56" s="6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13.559999999999995</v>
      </c>
      <c r="N56" s="13">
        <f>IF('Données projet'!$A$36&gt;35,N55+M56-V55,IF(A56&lt;'Données projet'!$A$36,$K$205^A56,IF(A56='Données projet'!$A$36,'Données projet'!$B$36,N55+M56-V55)))</f>
        <v>278.78000000000003</v>
      </c>
      <c r="O56" s="13">
        <f>N56*VLOOKUP('Données projet'!$B$9,Paramètres!$A$1:$I$89,3,0)*VLOOKUP('Données projet'!$B$9,Paramètres!$A$1:$I$89,5,0)</f>
        <v>252.24014399999999</v>
      </c>
      <c r="P56" s="13">
        <f t="shared" si="33"/>
        <v>61.065384641947205</v>
      </c>
      <c r="Q56" s="20">
        <f t="shared" si="53"/>
        <v>545.67379571805805</v>
      </c>
      <c r="R56" s="59">
        <f t="shared" si="0"/>
        <v>839.0071290513913</v>
      </c>
      <c r="S56" s="59">
        <f ca="1">AVERAGE(OFFSET($R$3,0,0,'Données projet'!$E$9+1,1))-AVERAGE(OFFSET($H$3,0,0,'Données projet'!$E$9+1,1))</f>
        <v>700.22008319944644</v>
      </c>
      <c r="T56" s="59">
        <f t="shared" si="34"/>
        <v>253.69632671986739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56.632776530167114</v>
      </c>
      <c r="AA56" s="21">
        <f>EXP(-LN(2)/25)*AA55+(1-EXP(-LN(2)/25))/(LN(2)/25)*Calculateur!V56*Calculateur!X56*VLOOKUP('Données projet'!$B$9,Paramètres!$A$1:$I$89,3,0)*0.475*44/12</f>
        <v>0</v>
      </c>
      <c r="AB56" s="21">
        <f>EXP(-LN(2)/2)*AB55+(1-EXP(-LN(2)/2))/(LN(2)/2)*V56*Y56*VLOOKUP('Données projet'!$B$9,Paramètres!$A$1:$I$89,3,0)*0.475*44/12</f>
        <v>0</v>
      </c>
      <c r="AC56" s="22">
        <f t="shared" si="3"/>
        <v>56.632776530167114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13.559999999999995</v>
      </c>
      <c r="AI56" s="13">
        <f>IF('Données projet'!$A$62&gt;35,AI55+AH56-AQ55,IF(A56&lt;'Données projet'!$A$62,$AF$205^A56,IF(A56='Données projet'!$A$62,'Données projet'!$B$62,AI55+AH56-AQ55)))</f>
        <v>278.78000000000003</v>
      </c>
      <c r="AJ56" s="13">
        <f>AI56*VLOOKUP('Données projet'!$B$10,Paramètres!$A$1:$I$89,3,0)*VLOOKUP('Données projet'!$B$10,Paramètres!$A$1:$I$89,5,0)</f>
        <v>265.28704800000003</v>
      </c>
      <c r="AK56" s="13">
        <f t="shared" si="35"/>
        <v>63.848039150838382</v>
      </c>
      <c r="AL56" s="20">
        <f t="shared" si="4"/>
        <v>573.24361012104362</v>
      </c>
      <c r="AM56" s="59">
        <f t="shared" si="5"/>
        <v>866.57694345437699</v>
      </c>
      <c r="AN56" s="59">
        <f ca="1">AVERAGE(OFFSET($AM$3,0,0,'Données projet'!$E$10+1,1))-AVERAGE(OFFSET($H$3,0,0,'Données projet'!$E$10+1,1))</f>
        <v>733.95677909577444</v>
      </c>
      <c r="AO56" s="59">
        <f t="shared" si="36"/>
        <v>264.63778993239799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59.562058074830929</v>
      </c>
      <c r="AV56" s="21">
        <f>EXP(-LN(2)/25)*AV55+(1-EXP(-LN(2)/25))/(LN(2)/25)*Calculateur!AQ56*Calculateur!AS56*VLOOKUP('Données projet'!$B$10,Paramètres!$A$1:$I$89,3,0)*0.475*44/12</f>
        <v>0</v>
      </c>
      <c r="AW56" s="21">
        <f>EXP(-LN(2)/2)*AW55+(1-EXP(-LN(2)/2))/(LN(2)/2)*AQ56*AT56*VLOOKUP('Données projet'!$B$10,Paramètres!$A$1:$I$89,3,0)*0.475*44/12</f>
        <v>0</v>
      </c>
      <c r="AX56" s="21">
        <f t="shared" si="6"/>
        <v>59.562058074830929</v>
      </c>
      <c r="AY56" s="7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0</v>
      </c>
      <c r="BD56" s="12">
        <f>IF('Données projet'!$A$88&gt;35,BD55+BC56-BL55,IF(A56&lt;'Données projet'!$A$88,$BA$205^A56,IF(A56='Données projet'!$A$88,'Données projet'!$B$88,BD55+BC56-BL55)))</f>
        <v>0</v>
      </c>
      <c r="BE56" s="13">
        <f>BD56*VLOOKUP('Données projet'!$B$11,Paramètres!$A$1:$I$89,3,0)*VLOOKUP('Données projet'!$B$11,Paramètres!$A$1:$I$89,5,0)</f>
        <v>0</v>
      </c>
      <c r="BF56" s="13" t="e">
        <f t="shared" si="37"/>
        <v>#NUM!</v>
      </c>
      <c r="BG56" s="20" t="e">
        <f t="shared" si="7"/>
        <v>#NUM!</v>
      </c>
      <c r="BH56" s="59" t="e">
        <f t="shared" si="8"/>
        <v>#NUM!</v>
      </c>
      <c r="BI56" s="59">
        <f ca="1">AVERAGE(OFFSET($BH$3,0,0,'Données projet'!$E$11+1,1))-AVERAGE(OFFSET($H$3,0,0,'Données projet'!$E$11+1,1))</f>
        <v>187.80389738728508</v>
      </c>
      <c r="BJ56" s="59">
        <f t="shared" si="38"/>
        <v>439.28159165815265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78.321667933080846</v>
      </c>
      <c r="BQ56" s="21">
        <f>EXP(-LN(2)/25)*BQ55+(1-EXP(-LN(2)/25))/(LN(2)/25)*Calculateur!BL56*Calculateur!BN56*VLOOKUP('Données projet'!$B$11,Paramètres!$A$1:$I$89,3,0)*0.475*44/12</f>
        <v>7.5985378099055954</v>
      </c>
      <c r="BR56" s="21">
        <f>EXP(-LN(2)/2)*BR55+(1-EXP(-LN(2)/2))/(LN(2)/2)*BL56*BO56*VLOOKUP('Données projet'!$B$11,Paramètres!$A$1:$I$89,3,0)*0.475*44/12</f>
        <v>1.5523896162185947E-5</v>
      </c>
      <c r="BS56" s="22">
        <f t="shared" si="9"/>
        <v>85.920221266882606</v>
      </c>
      <c r="BT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0</v>
      </c>
      <c r="BY56" s="12">
        <f>IF('Données projet'!$A$114&gt;35,BY55+BX56-CG55,IF(A56&lt;'Données projet'!$A$114,$BV$205^A56,IF(A56='Données projet'!$A$114,'Données projet'!$B$114,BY55+BX56-CG55)))</f>
        <v>0</v>
      </c>
      <c r="BZ56" s="13" t="e">
        <f>BY56*VLOOKUP('Données projet'!$B$12,Paramètres!$A$1:$I$89,3,0)*VLOOKUP('Données projet'!$B$12,Paramètres!$A$1:$I$89,5,0)</f>
        <v>#N/A</v>
      </c>
      <c r="CA56" s="13" t="e">
        <f t="shared" si="39"/>
        <v>#N/A</v>
      </c>
      <c r="CB56" s="20" t="e">
        <f t="shared" si="10"/>
        <v>#N/A</v>
      </c>
      <c r="CC56" s="59" t="e">
        <f t="shared" si="11"/>
        <v>#N/A</v>
      </c>
      <c r="CD56" s="59" t="e">
        <f ca="1">AVERAGE(OFFSET($CC$3,0,0,'Données projet'!$E$12+1,1))-AVERAGE(OFFSET($H$3,0,0,'Données projet'!$E$12+1,1))</f>
        <v>#N/A</v>
      </c>
      <c r="CE56" s="59" t="e">
        <f t="shared" si="40"/>
        <v>#N/A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 t="e">
        <f>EXP(-LN(2)/35)*CK55+(1-EXP(-LN(2)/35))/(LN(2)/35)*CG56*CH56*VLOOKUP('Données projet'!$B$12,Paramètres!$A$1:$I$89,3,0)*0.475*44/12</f>
        <v>#N/A</v>
      </c>
      <c r="CL56" s="21" t="e">
        <f>EXP(-LN(2)/25)*CL55+(1-EXP(-LN(2)/25))/(LN(2)/25)*Calculateur!CG56*Calculateur!CI56*VLOOKUP('Données projet'!$B$12,Paramètres!$A$1:$I$89,3,0)*0.475*44/12</f>
        <v>#N/A</v>
      </c>
      <c r="CM56" s="21" t="e">
        <f>EXP(-LN(2)/2)*CM55+(1-EXP(-LN(2)/2))/(LN(2)/2)*CG56*CJ56*VLOOKUP('Données projet'!$B$12,Paramètres!$A$1:$I$89,3,0)*0.475*44/12</f>
        <v>#N/A</v>
      </c>
      <c r="CN56" s="22" t="e">
        <f t="shared" si="12"/>
        <v>#N/A</v>
      </c>
      <c r="CO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5">
      <c r="A57" s="10">
        <f t="shared" si="31"/>
        <v>54</v>
      </c>
      <c r="B57" s="72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1">
        <f t="shared" si="32"/>
        <v>0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66">
        <f t="shared" si="1"/>
        <v>256.66666666666669</v>
      </c>
      <c r="I57" s="6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13.559999999999995</v>
      </c>
      <c r="N57" s="13">
        <f>IF('Données projet'!$A$36&gt;35,N56+M57-V56,IF(A57&lt;'Données projet'!$A$36,$K$205^A57,IF(A57='Données projet'!$A$36,'Données projet'!$B$36,N56+M57-V56)))</f>
        <v>292.34000000000003</v>
      </c>
      <c r="O57" s="13">
        <f>N57*VLOOKUP('Données projet'!$B$9,Paramètres!$A$1:$I$89,3,0)*VLOOKUP('Données projet'!$B$9,Paramètres!$A$1:$I$89,5,0)</f>
        <v>264.509232</v>
      </c>
      <c r="P57" s="13">
        <f t="shared" si="33"/>
        <v>63.682600004728563</v>
      </c>
      <c r="Q57" s="20">
        <f t="shared" si="53"/>
        <v>571.60077407490223</v>
      </c>
      <c r="R57" s="59">
        <f t="shared" si="0"/>
        <v>864.9341074082356</v>
      </c>
      <c r="S57" s="59">
        <f ca="1">AVERAGE(OFFSET($R$3,0,0,'Données projet'!$E$9+1,1))-AVERAGE(OFFSET($H$3,0,0,'Données projet'!$E$9+1,1))</f>
        <v>700.22008319944644</v>
      </c>
      <c r="T57" s="59">
        <f t="shared" si="34"/>
        <v>253.69632671986739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55.522242324993421</v>
      </c>
      <c r="AA57" s="21">
        <f>EXP(-LN(2)/25)*AA56+(1-EXP(-LN(2)/25))/(LN(2)/25)*Calculateur!V57*Calculateur!X57*VLOOKUP('Données projet'!$B$9,Paramètres!$A$1:$I$89,3,0)*0.475*44/12</f>
        <v>0</v>
      </c>
      <c r="AB57" s="21">
        <f>EXP(-LN(2)/2)*AB56+(1-EXP(-LN(2)/2))/(LN(2)/2)*V57*Y57*VLOOKUP('Données projet'!$B$9,Paramètres!$A$1:$I$89,3,0)*0.475*44/12</f>
        <v>0</v>
      </c>
      <c r="AC57" s="22">
        <f t="shared" si="3"/>
        <v>55.522242324993421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13.559999999999995</v>
      </c>
      <c r="AI57" s="13">
        <f>IF('Données projet'!$A$62&gt;35,AI56+AH57-AQ56,IF(A57&lt;'Données projet'!$A$62,$AF$205^A57,IF(A57='Données projet'!$A$62,'Données projet'!$B$62,AI56+AH57-AQ56)))</f>
        <v>292.34000000000003</v>
      </c>
      <c r="AJ57" s="13">
        <f>AI57*VLOOKUP('Données projet'!$B$10,Paramètres!$A$1:$I$89,3,0)*VLOOKUP('Données projet'!$B$10,Paramètres!$A$1:$I$89,5,0)</f>
        <v>278.19074400000005</v>
      </c>
      <c r="AK57" s="13">
        <f t="shared" si="35"/>
        <v>66.584516943107175</v>
      </c>
      <c r="AL57" s="20">
        <f t="shared" si="4"/>
        <v>600.48357947591182</v>
      </c>
      <c r="AM57" s="59">
        <f t="shared" si="5"/>
        <v>893.8169128092452</v>
      </c>
      <c r="AN57" s="59">
        <f ca="1">AVERAGE(OFFSET($AM$3,0,0,'Données projet'!$E$10+1,1))-AVERAGE(OFFSET($H$3,0,0,'Données projet'!$E$10+1,1))</f>
        <v>733.95677909577444</v>
      </c>
      <c r="AO57" s="59">
        <f t="shared" si="36"/>
        <v>264.63778993239799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58.394082445251705</v>
      </c>
      <c r="AV57" s="21">
        <f>EXP(-LN(2)/25)*AV56+(1-EXP(-LN(2)/25))/(LN(2)/25)*Calculateur!AQ57*Calculateur!AS57*VLOOKUP('Données projet'!$B$10,Paramètres!$A$1:$I$89,3,0)*0.475*44/12</f>
        <v>0</v>
      </c>
      <c r="AW57" s="21">
        <f>EXP(-LN(2)/2)*AW56+(1-EXP(-LN(2)/2))/(LN(2)/2)*AQ57*AT57*VLOOKUP('Données projet'!$B$10,Paramètres!$A$1:$I$89,3,0)*0.475*44/12</f>
        <v>0</v>
      </c>
      <c r="AX57" s="21">
        <f t="shared" si="6"/>
        <v>58.394082445251705</v>
      </c>
      <c r="AY57" s="7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0</v>
      </c>
      <c r="BD57" s="12">
        <f>IF('Données projet'!$A$88&gt;35,BD56+BC57-BL56,IF(A57&lt;'Données projet'!$A$88,$BA$205^A57,IF(A57='Données projet'!$A$88,'Données projet'!$B$88,BD56+BC57-BL56)))</f>
        <v>0</v>
      </c>
      <c r="BE57" s="13">
        <f>BD57*VLOOKUP('Données projet'!$B$11,Paramètres!$A$1:$I$89,3,0)*VLOOKUP('Données projet'!$B$11,Paramètres!$A$1:$I$89,5,0)</f>
        <v>0</v>
      </c>
      <c r="BF57" s="13" t="e">
        <f t="shared" si="37"/>
        <v>#NUM!</v>
      </c>
      <c r="BG57" s="20" t="e">
        <f t="shared" si="7"/>
        <v>#NUM!</v>
      </c>
      <c r="BH57" s="59" t="e">
        <f t="shared" si="8"/>
        <v>#NUM!</v>
      </c>
      <c r="BI57" s="59">
        <f ca="1">AVERAGE(OFFSET($BH$3,0,0,'Données projet'!$E$11+1,1))-AVERAGE(OFFSET($H$3,0,0,'Données projet'!$E$11+1,1))</f>
        <v>187.80389738728508</v>
      </c>
      <c r="BJ57" s="59">
        <f t="shared" si="38"/>
        <v>439.28159165815265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76.785827796413528</v>
      </c>
      <c r="BQ57" s="21">
        <f>EXP(-LN(2)/25)*BQ56+(1-EXP(-LN(2)/25))/(LN(2)/25)*Calculateur!BL57*Calculateur!BN57*VLOOKUP('Données projet'!$B$11,Paramètres!$A$1:$I$89,3,0)*0.475*44/12</f>
        <v>7.3907553939039898</v>
      </c>
      <c r="BR57" s="21">
        <f>EXP(-LN(2)/2)*BR56+(1-EXP(-LN(2)/2))/(LN(2)/2)*BL57*BO57*VLOOKUP('Données projet'!$B$11,Paramètres!$A$1:$I$89,3,0)*0.475*44/12</f>
        <v>1.0977052246717503E-5</v>
      </c>
      <c r="BS57" s="22">
        <f t="shared" si="9"/>
        <v>84.176594167369757</v>
      </c>
      <c r="BT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0</v>
      </c>
      <c r="BY57" s="12">
        <f>IF('Données projet'!$A$114&gt;35,BY56+BX57-CG56,IF(A57&lt;'Données projet'!$A$114,$BV$205^A57,IF(A57='Données projet'!$A$114,'Données projet'!$B$114,BY56+BX57-CG56)))</f>
        <v>0</v>
      </c>
      <c r="BZ57" s="13" t="e">
        <f>BY57*VLOOKUP('Données projet'!$B$12,Paramètres!$A$1:$I$89,3,0)*VLOOKUP('Données projet'!$B$12,Paramètres!$A$1:$I$89,5,0)</f>
        <v>#N/A</v>
      </c>
      <c r="CA57" s="13" t="e">
        <f t="shared" si="39"/>
        <v>#N/A</v>
      </c>
      <c r="CB57" s="20" t="e">
        <f t="shared" si="10"/>
        <v>#N/A</v>
      </c>
      <c r="CC57" s="59" t="e">
        <f t="shared" si="11"/>
        <v>#N/A</v>
      </c>
      <c r="CD57" s="59" t="e">
        <f ca="1">AVERAGE(OFFSET($CC$3,0,0,'Données projet'!$E$12+1,1))-AVERAGE(OFFSET($H$3,0,0,'Données projet'!$E$12+1,1))</f>
        <v>#N/A</v>
      </c>
      <c r="CE57" s="59" t="e">
        <f t="shared" si="40"/>
        <v>#N/A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 t="e">
        <f>EXP(-LN(2)/35)*CK56+(1-EXP(-LN(2)/35))/(LN(2)/35)*CG57*CH57*VLOOKUP('Données projet'!$B$12,Paramètres!$A$1:$I$89,3,0)*0.475*44/12</f>
        <v>#N/A</v>
      </c>
      <c r="CL57" s="21" t="e">
        <f>EXP(-LN(2)/25)*CL56+(1-EXP(-LN(2)/25))/(LN(2)/25)*Calculateur!CG57*Calculateur!CI57*VLOOKUP('Données projet'!$B$12,Paramètres!$A$1:$I$89,3,0)*0.475*44/12</f>
        <v>#N/A</v>
      </c>
      <c r="CM57" s="21" t="e">
        <f>EXP(-LN(2)/2)*CM56+(1-EXP(-LN(2)/2))/(LN(2)/2)*CG57*CJ57*VLOOKUP('Données projet'!$B$12,Paramètres!$A$1:$I$89,3,0)*0.475*44/12</f>
        <v>#N/A</v>
      </c>
      <c r="CN57" s="22" t="e">
        <f t="shared" si="12"/>
        <v>#N/A</v>
      </c>
      <c r="CO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5">
      <c r="A58" s="10">
        <f t="shared" si="31"/>
        <v>55</v>
      </c>
      <c r="B58" s="72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1">
        <f t="shared" si="32"/>
        <v>0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66">
        <f t="shared" si="1"/>
        <v>256.66666666666669</v>
      </c>
      <c r="I58" s="6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13.559999999999995</v>
      </c>
      <c r="N58" s="13">
        <f>IF('Données projet'!$A$36&gt;35,N57+M58-V57,IF(A58&lt;'Données projet'!$A$36,$K$205^A58,IF(A58='Données projet'!$A$36,'Données projet'!$B$36,N57+M58-V57)))</f>
        <v>305.90000000000003</v>
      </c>
      <c r="O58" s="13">
        <f>N58*VLOOKUP('Données projet'!$B$9,Paramètres!$A$1:$I$89,3,0)*VLOOKUP('Données projet'!$B$9,Paramètres!$A$1:$I$89,5,0)</f>
        <v>276.77832000000001</v>
      </c>
      <c r="P58" s="13">
        <f t="shared" si="33"/>
        <v>66.28571740098451</v>
      </c>
      <c r="Q58" s="20">
        <f t="shared" si="53"/>
        <v>597.5031984733813</v>
      </c>
      <c r="R58" s="59">
        <f t="shared" si="0"/>
        <v>890.83653180671467</v>
      </c>
      <c r="S58" s="59">
        <f ca="1">AVERAGE(OFFSET($R$3,0,0,'Données projet'!$E$9+1,1))-AVERAGE(OFFSET($H$3,0,0,'Données projet'!$E$9+1,1))</f>
        <v>700.22008319944644</v>
      </c>
      <c r="T58" s="59">
        <f t="shared" si="34"/>
        <v>253.69632671986739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54.433485018224204</v>
      </c>
      <c r="AA58" s="21">
        <f>EXP(-LN(2)/25)*AA57+(1-EXP(-LN(2)/25))/(LN(2)/25)*Calculateur!V58*Calculateur!X58*VLOOKUP('Données projet'!$B$9,Paramètres!$A$1:$I$89,3,0)*0.475*44/12</f>
        <v>0</v>
      </c>
      <c r="AB58" s="21">
        <f>EXP(-LN(2)/2)*AB57+(1-EXP(-LN(2)/2))/(LN(2)/2)*V58*Y58*VLOOKUP('Données projet'!$B$9,Paramètres!$A$1:$I$89,3,0)*0.475*44/12</f>
        <v>0</v>
      </c>
      <c r="AC58" s="22">
        <f t="shared" si="3"/>
        <v>54.433485018224204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13.559999999999995</v>
      </c>
      <c r="AI58" s="13">
        <f>IF('Données projet'!$A$62&gt;35,AI57+AH58-AQ57,IF(A58&lt;'Données projet'!$A$62,$AF$205^A58,IF(A58='Données projet'!$A$62,'Données projet'!$B$62,AI57+AH58-AQ57)))</f>
        <v>305.90000000000003</v>
      </c>
      <c r="AJ58" s="13">
        <f>AI58*VLOOKUP('Données projet'!$B$10,Paramètres!$A$1:$I$89,3,0)*VLOOKUP('Données projet'!$B$10,Paramètres!$A$1:$I$89,5,0)</f>
        <v>291.09444000000002</v>
      </c>
      <c r="AK58" s="13">
        <f t="shared" si="35"/>
        <v>69.306254346464257</v>
      </c>
      <c r="AL58" s="20">
        <f t="shared" si="4"/>
        <v>627.6978759867585</v>
      </c>
      <c r="AM58" s="59">
        <f t="shared" si="5"/>
        <v>921.03120932009188</v>
      </c>
      <c r="AN58" s="59">
        <f ca="1">AVERAGE(OFFSET($AM$3,0,0,'Données projet'!$E$10+1,1))-AVERAGE(OFFSET($H$3,0,0,'Données projet'!$E$10+1,1))</f>
        <v>733.95677909577444</v>
      </c>
      <c r="AO58" s="59">
        <f t="shared" si="36"/>
        <v>264.63778993239799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57.249010105373735</v>
      </c>
      <c r="AV58" s="21">
        <f>EXP(-LN(2)/25)*AV57+(1-EXP(-LN(2)/25))/(LN(2)/25)*Calculateur!AQ58*Calculateur!AS58*VLOOKUP('Données projet'!$B$10,Paramètres!$A$1:$I$89,3,0)*0.475*44/12</f>
        <v>0</v>
      </c>
      <c r="AW58" s="21">
        <f>EXP(-LN(2)/2)*AW57+(1-EXP(-LN(2)/2))/(LN(2)/2)*AQ58*AT58*VLOOKUP('Données projet'!$B$10,Paramètres!$A$1:$I$89,3,0)*0.475*44/12</f>
        <v>0</v>
      </c>
      <c r="AX58" s="21">
        <f t="shared" si="6"/>
        <v>57.249010105373735</v>
      </c>
      <c r="AY58" s="7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0</v>
      </c>
      <c r="BD58" s="12">
        <f>IF('Données projet'!$A$88&gt;35,BD57+BC58-BL57,IF(A58&lt;'Données projet'!$A$88,$BA$205^A58,IF(A58='Données projet'!$A$88,'Données projet'!$B$88,BD57+BC58-BL57)))</f>
        <v>0</v>
      </c>
      <c r="BE58" s="13">
        <f>BD58*VLOOKUP('Données projet'!$B$11,Paramètres!$A$1:$I$89,3,0)*VLOOKUP('Données projet'!$B$11,Paramètres!$A$1:$I$89,5,0)</f>
        <v>0</v>
      </c>
      <c r="BF58" s="13" t="e">
        <f t="shared" si="37"/>
        <v>#NUM!</v>
      </c>
      <c r="BG58" s="20" t="e">
        <f t="shared" si="7"/>
        <v>#NUM!</v>
      </c>
      <c r="BH58" s="59" t="e">
        <f t="shared" si="8"/>
        <v>#NUM!</v>
      </c>
      <c r="BI58" s="59">
        <f ca="1">AVERAGE(OFFSET($BH$3,0,0,'Données projet'!$E$11+1,1))-AVERAGE(OFFSET($H$3,0,0,'Données projet'!$E$11+1,1))</f>
        <v>187.80389738728508</v>
      </c>
      <c r="BJ58" s="59">
        <f t="shared" si="38"/>
        <v>439.28159165815265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75.280104548056272</v>
      </c>
      <c r="BQ58" s="21">
        <f>EXP(-LN(2)/25)*BQ57+(1-EXP(-LN(2)/25))/(LN(2)/25)*Calculateur!BL58*Calculateur!BN58*VLOOKUP('Données projet'!$B$11,Paramètres!$A$1:$I$89,3,0)*0.475*44/12</f>
        <v>7.1886547989947509</v>
      </c>
      <c r="BR58" s="21">
        <f>EXP(-LN(2)/2)*BR57+(1-EXP(-LN(2)/2))/(LN(2)/2)*BL58*BO58*VLOOKUP('Données projet'!$B$11,Paramètres!$A$1:$I$89,3,0)*0.475*44/12</f>
        <v>7.7619480810929733E-6</v>
      </c>
      <c r="BS58" s="22">
        <f t="shared" si="9"/>
        <v>82.468767108999103</v>
      </c>
      <c r="BT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0</v>
      </c>
      <c r="BY58" s="12">
        <f>IF('Données projet'!$A$114&gt;35,BY57+BX58-CG57,IF(A58&lt;'Données projet'!$A$114,$BV$205^A58,IF(A58='Données projet'!$A$114,'Données projet'!$B$114,BY57+BX58-CG57)))</f>
        <v>0</v>
      </c>
      <c r="BZ58" s="13" t="e">
        <f>BY58*VLOOKUP('Données projet'!$B$12,Paramètres!$A$1:$I$89,3,0)*VLOOKUP('Données projet'!$B$12,Paramètres!$A$1:$I$89,5,0)</f>
        <v>#N/A</v>
      </c>
      <c r="CA58" s="13" t="e">
        <f t="shared" si="39"/>
        <v>#N/A</v>
      </c>
      <c r="CB58" s="20" t="e">
        <f t="shared" si="10"/>
        <v>#N/A</v>
      </c>
      <c r="CC58" s="59" t="e">
        <f t="shared" si="11"/>
        <v>#N/A</v>
      </c>
      <c r="CD58" s="59" t="e">
        <f ca="1">AVERAGE(OFFSET($CC$3,0,0,'Données projet'!$E$12+1,1))-AVERAGE(OFFSET($H$3,0,0,'Données projet'!$E$12+1,1))</f>
        <v>#N/A</v>
      </c>
      <c r="CE58" s="59" t="e">
        <f t="shared" si="40"/>
        <v>#N/A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 t="e">
        <f>EXP(-LN(2)/35)*CK57+(1-EXP(-LN(2)/35))/(LN(2)/35)*CG58*CH58*VLOOKUP('Données projet'!$B$12,Paramètres!$A$1:$I$89,3,0)*0.475*44/12</f>
        <v>#N/A</v>
      </c>
      <c r="CL58" s="21" t="e">
        <f>EXP(-LN(2)/25)*CL57+(1-EXP(-LN(2)/25))/(LN(2)/25)*Calculateur!CG58*Calculateur!CI58*VLOOKUP('Données projet'!$B$12,Paramètres!$A$1:$I$89,3,0)*0.475*44/12</f>
        <v>#N/A</v>
      </c>
      <c r="CM58" s="21" t="e">
        <f>EXP(-LN(2)/2)*CM57+(1-EXP(-LN(2)/2))/(LN(2)/2)*CG58*CJ58*VLOOKUP('Données projet'!$B$12,Paramètres!$A$1:$I$89,3,0)*0.475*44/12</f>
        <v>#N/A</v>
      </c>
      <c r="CN58" s="22" t="e">
        <f t="shared" si="12"/>
        <v>#N/A</v>
      </c>
      <c r="CO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5">
      <c r="A59" s="10">
        <f t="shared" si="31"/>
        <v>56</v>
      </c>
      <c r="B59" s="72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1">
        <f t="shared" si="32"/>
        <v>0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66">
        <f t="shared" si="1"/>
        <v>256.66666666666669</v>
      </c>
      <c r="I59" s="6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13.559999999999995</v>
      </c>
      <c r="N59" s="13">
        <f>IF('Données projet'!$A$36&gt;35,N58+M59-V58,IF(A59&lt;'Données projet'!$A$36,$K$205^A59,IF(A59='Données projet'!$A$36,'Données projet'!$B$36,N58+M59-V58)))</f>
        <v>319.46000000000004</v>
      </c>
      <c r="O59" s="13">
        <f>N59*VLOOKUP('Données projet'!$B$9,Paramètres!$A$1:$I$89,3,0)*VLOOKUP('Données projet'!$B$9,Paramètres!$A$1:$I$89,5,0)</f>
        <v>289.04740800000002</v>
      </c>
      <c r="P59" s="13">
        <f t="shared" si="33"/>
        <v>68.875433179996975</v>
      </c>
      <c r="Q59" s="20">
        <f t="shared" si="53"/>
        <v>623.38228172182801</v>
      </c>
      <c r="R59" s="59">
        <f t="shared" si="0"/>
        <v>916.71561505516138</v>
      </c>
      <c r="S59" s="59">
        <f ca="1">AVERAGE(OFFSET($R$3,0,0,'Données projet'!$E$9+1,1))-AVERAGE(OFFSET($H$3,0,0,'Données projet'!$E$9+1,1))</f>
        <v>700.22008319944644</v>
      </c>
      <c r="T59" s="59">
        <f t="shared" si="34"/>
        <v>253.69632671986739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53.366077578164344</v>
      </c>
      <c r="AA59" s="21">
        <f>EXP(-LN(2)/25)*AA58+(1-EXP(-LN(2)/25))/(LN(2)/25)*Calculateur!V59*Calculateur!X59*VLOOKUP('Données projet'!$B$9,Paramètres!$A$1:$I$89,3,0)*0.475*44/12</f>
        <v>0</v>
      </c>
      <c r="AB59" s="21">
        <f>EXP(-LN(2)/2)*AB58+(1-EXP(-LN(2)/2))/(LN(2)/2)*V59*Y59*VLOOKUP('Données projet'!$B$9,Paramètres!$A$1:$I$89,3,0)*0.475*44/12</f>
        <v>0</v>
      </c>
      <c r="AC59" s="22">
        <f t="shared" si="3"/>
        <v>53.366077578164344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13.559999999999995</v>
      </c>
      <c r="AI59" s="13">
        <f>IF('Données projet'!$A$62&gt;35,AI58+AH59-AQ58,IF(A59&lt;'Données projet'!$A$62,$AF$205^A59,IF(A59='Données projet'!$A$62,'Données projet'!$B$62,AI58+AH59-AQ58)))</f>
        <v>319.46000000000004</v>
      </c>
      <c r="AJ59" s="13">
        <f>AI59*VLOOKUP('Données projet'!$B$10,Paramètres!$A$1:$I$89,3,0)*VLOOKUP('Données projet'!$B$10,Paramètres!$A$1:$I$89,5,0)</f>
        <v>303.99813600000004</v>
      </c>
      <c r="AK59" s="13">
        <f t="shared" si="35"/>
        <v>72.013979441744397</v>
      </c>
      <c r="AL59" s="20">
        <f t="shared" si="4"/>
        <v>654.88776772770484</v>
      </c>
      <c r="AM59" s="59">
        <f t="shared" si="5"/>
        <v>948.2211010610381</v>
      </c>
      <c r="AN59" s="59">
        <f ca="1">AVERAGE(OFFSET($AM$3,0,0,'Données projet'!$E$10+1,1))-AVERAGE(OFFSET($H$3,0,0,'Données projet'!$E$10+1,1))</f>
        <v>733.95677909577444</v>
      </c>
      <c r="AO59" s="59">
        <f t="shared" si="36"/>
        <v>264.63778993239799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56.126391935655612</v>
      </c>
      <c r="AV59" s="21">
        <f>EXP(-LN(2)/25)*AV58+(1-EXP(-LN(2)/25))/(LN(2)/25)*Calculateur!AQ59*Calculateur!AS59*VLOOKUP('Données projet'!$B$10,Paramètres!$A$1:$I$89,3,0)*0.475*44/12</f>
        <v>0</v>
      </c>
      <c r="AW59" s="21">
        <f>EXP(-LN(2)/2)*AW58+(1-EXP(-LN(2)/2))/(LN(2)/2)*AQ59*AT59*VLOOKUP('Données projet'!$B$10,Paramètres!$A$1:$I$89,3,0)*0.475*44/12</f>
        <v>0</v>
      </c>
      <c r="AX59" s="21">
        <f t="shared" si="6"/>
        <v>56.126391935655612</v>
      </c>
      <c r="AY59" s="7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0</v>
      </c>
      <c r="BD59" s="12">
        <f>IF('Données projet'!$A$88&gt;35,BD58+BC59-BL58,IF(A59&lt;'Données projet'!$A$88,$BA$205^A59,IF(A59='Données projet'!$A$88,'Données projet'!$B$88,BD58+BC59-BL58)))</f>
        <v>0</v>
      </c>
      <c r="BE59" s="13">
        <f>BD59*VLOOKUP('Données projet'!$B$11,Paramètres!$A$1:$I$89,3,0)*VLOOKUP('Données projet'!$B$11,Paramètres!$A$1:$I$89,5,0)</f>
        <v>0</v>
      </c>
      <c r="BF59" s="13" t="e">
        <f t="shared" si="37"/>
        <v>#NUM!</v>
      </c>
      <c r="BG59" s="20" t="e">
        <f t="shared" si="7"/>
        <v>#NUM!</v>
      </c>
      <c r="BH59" s="59" t="e">
        <f t="shared" si="8"/>
        <v>#NUM!</v>
      </c>
      <c r="BI59" s="59">
        <f ca="1">AVERAGE(OFFSET($BH$3,0,0,'Données projet'!$E$11+1,1))-AVERAGE(OFFSET($H$3,0,0,'Données projet'!$E$11+1,1))</f>
        <v>187.80389738728508</v>
      </c>
      <c r="BJ59" s="59">
        <f t="shared" si="38"/>
        <v>439.28159165815265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73.803907614198806</v>
      </c>
      <c r="BQ59" s="21">
        <f>EXP(-LN(2)/25)*BQ58+(1-EXP(-LN(2)/25))/(LN(2)/25)*Calculateur!BL59*Calculateur!BN59*VLOOKUP('Données projet'!$B$11,Paramètres!$A$1:$I$89,3,0)*0.475*44/12</f>
        <v>6.9920806554813133</v>
      </c>
      <c r="BR59" s="21">
        <f>EXP(-LN(2)/2)*BR58+(1-EXP(-LN(2)/2))/(LN(2)/2)*BL59*BO59*VLOOKUP('Données projet'!$B$11,Paramètres!$A$1:$I$89,3,0)*0.475*44/12</f>
        <v>5.4885261233587515E-6</v>
      </c>
      <c r="BS59" s="22">
        <f t="shared" si="9"/>
        <v>80.795993758206251</v>
      </c>
      <c r="BT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0</v>
      </c>
      <c r="BY59" s="12">
        <f>IF('Données projet'!$A$114&gt;35,BY58+BX59-CG58,IF(A59&lt;'Données projet'!$A$114,$BV$205^A59,IF(A59='Données projet'!$A$114,'Données projet'!$B$114,BY58+BX59-CG58)))</f>
        <v>0</v>
      </c>
      <c r="BZ59" s="13" t="e">
        <f>BY59*VLOOKUP('Données projet'!$B$12,Paramètres!$A$1:$I$89,3,0)*VLOOKUP('Données projet'!$B$12,Paramètres!$A$1:$I$89,5,0)</f>
        <v>#N/A</v>
      </c>
      <c r="CA59" s="13" t="e">
        <f t="shared" si="39"/>
        <v>#N/A</v>
      </c>
      <c r="CB59" s="20" t="e">
        <f t="shared" si="10"/>
        <v>#N/A</v>
      </c>
      <c r="CC59" s="59" t="e">
        <f t="shared" si="11"/>
        <v>#N/A</v>
      </c>
      <c r="CD59" s="59" t="e">
        <f ca="1">AVERAGE(OFFSET($CC$3,0,0,'Données projet'!$E$12+1,1))-AVERAGE(OFFSET($H$3,0,0,'Données projet'!$E$12+1,1))</f>
        <v>#N/A</v>
      </c>
      <c r="CE59" s="59" t="e">
        <f t="shared" si="40"/>
        <v>#N/A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 t="e">
        <f>EXP(-LN(2)/35)*CK58+(1-EXP(-LN(2)/35))/(LN(2)/35)*CG59*CH59*VLOOKUP('Données projet'!$B$12,Paramètres!$A$1:$I$89,3,0)*0.475*44/12</f>
        <v>#N/A</v>
      </c>
      <c r="CL59" s="21" t="e">
        <f>EXP(-LN(2)/25)*CL58+(1-EXP(-LN(2)/25))/(LN(2)/25)*Calculateur!CG59*Calculateur!CI59*VLOOKUP('Données projet'!$B$12,Paramètres!$A$1:$I$89,3,0)*0.475*44/12</f>
        <v>#N/A</v>
      </c>
      <c r="CM59" s="21" t="e">
        <f>EXP(-LN(2)/2)*CM58+(1-EXP(-LN(2)/2))/(LN(2)/2)*CG59*CJ59*VLOOKUP('Données projet'!$B$12,Paramètres!$A$1:$I$89,3,0)*0.475*44/12</f>
        <v>#N/A</v>
      </c>
      <c r="CN59" s="22" t="e">
        <f t="shared" si="12"/>
        <v>#N/A</v>
      </c>
      <c r="CO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5">
      <c r="A60" s="10">
        <f t="shared" si="31"/>
        <v>57</v>
      </c>
      <c r="B60" s="72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1">
        <f t="shared" si="32"/>
        <v>0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66">
        <f t="shared" si="1"/>
        <v>256.66666666666669</v>
      </c>
      <c r="I60" s="6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13.559999999999995</v>
      </c>
      <c r="N60" s="13">
        <f>IF('Données projet'!$A$36&gt;35,N59+M60-V59,IF(A60&lt;'Données projet'!$A$36,$K$205^A60,IF(A60='Données projet'!$A$36,'Données projet'!$B$36,N59+M60-V59)))</f>
        <v>333.02000000000004</v>
      </c>
      <c r="O60" s="13">
        <f>N60*VLOOKUP('Données projet'!$B$9,Paramètres!$A$1:$I$89,3,0)*VLOOKUP('Données projet'!$B$9,Paramètres!$A$1:$I$89,5,0)</f>
        <v>301.31649600000003</v>
      </c>
      <c r="P60" s="13">
        <f t="shared" si="33"/>
        <v>71.45238123186985</v>
      </c>
      <c r="Q60" s="20">
        <f t="shared" si="53"/>
        <v>649.23912784550669</v>
      </c>
      <c r="R60" s="59">
        <f t="shared" si="0"/>
        <v>942.57246117884006</v>
      </c>
      <c r="S60" s="59">
        <f ca="1">AVERAGE(OFFSET($R$3,0,0,'Données projet'!$E$9+1,1))-AVERAGE(OFFSET($H$3,0,0,'Données projet'!$E$9+1,1))</f>
        <v>700.22008319944644</v>
      </c>
      <c r="T60" s="59">
        <f t="shared" si="34"/>
        <v>253.69632671986739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52.31960134694981</v>
      </c>
      <c r="AA60" s="21">
        <f>EXP(-LN(2)/25)*AA59+(1-EXP(-LN(2)/25))/(LN(2)/25)*Calculateur!V60*Calculateur!X60*VLOOKUP('Données projet'!$B$9,Paramètres!$A$1:$I$89,3,0)*0.475*44/12</f>
        <v>0</v>
      </c>
      <c r="AB60" s="21">
        <f>EXP(-LN(2)/2)*AB59+(1-EXP(-LN(2)/2))/(LN(2)/2)*V60*Y60*VLOOKUP('Données projet'!$B$9,Paramètres!$A$1:$I$89,3,0)*0.475*44/12</f>
        <v>0</v>
      </c>
      <c r="AC60" s="22">
        <f t="shared" si="3"/>
        <v>52.31960134694981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13.559999999999995</v>
      </c>
      <c r="AI60" s="13">
        <f>IF('Données projet'!$A$62&gt;35,AI59+AH60-AQ59,IF(A60&lt;'Données projet'!$A$62,$AF$205^A60,IF(A60='Données projet'!$A$62,'Données projet'!$B$62,AI59+AH60-AQ59)))</f>
        <v>333.02000000000004</v>
      </c>
      <c r="AJ60" s="13">
        <f>AI60*VLOOKUP('Données projet'!$B$10,Paramètres!$A$1:$I$89,3,0)*VLOOKUP('Données projet'!$B$10,Paramètres!$A$1:$I$89,5,0)</f>
        <v>316.90183200000007</v>
      </c>
      <c r="AK60" s="13">
        <f t="shared" si="35"/>
        <v>74.708355004436555</v>
      </c>
      <c r="AL60" s="20">
        <f t="shared" si="4"/>
        <v>682.05440903272711</v>
      </c>
      <c r="AM60" s="59">
        <f t="shared" si="5"/>
        <v>975.38774236606037</v>
      </c>
      <c r="AN60" s="59">
        <f ca="1">AVERAGE(OFFSET($AM$3,0,0,'Données projet'!$E$10+1,1))-AVERAGE(OFFSET($H$3,0,0,'Données projet'!$E$10+1,1))</f>
        <v>733.95677909577444</v>
      </c>
      <c r="AO60" s="59">
        <f t="shared" si="36"/>
        <v>264.63778993239799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55.025787623516187</v>
      </c>
      <c r="AV60" s="21">
        <f>EXP(-LN(2)/25)*AV59+(1-EXP(-LN(2)/25))/(LN(2)/25)*Calculateur!AQ60*Calculateur!AS60*VLOOKUP('Données projet'!$B$10,Paramètres!$A$1:$I$89,3,0)*0.475*44/12</f>
        <v>0</v>
      </c>
      <c r="AW60" s="21">
        <f>EXP(-LN(2)/2)*AW59+(1-EXP(-LN(2)/2))/(LN(2)/2)*AQ60*AT60*VLOOKUP('Données projet'!$B$10,Paramètres!$A$1:$I$89,3,0)*0.475*44/12</f>
        <v>0</v>
      </c>
      <c r="AX60" s="21">
        <f t="shared" si="6"/>
        <v>55.025787623516187</v>
      </c>
      <c r="AY60" s="7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0</v>
      </c>
      <c r="BD60" s="12">
        <f>IF('Données projet'!$A$88&gt;35,BD59+BC60-BL59,IF(A60&lt;'Données projet'!$A$88,$BA$205^A60,IF(A60='Données projet'!$A$88,'Données projet'!$B$88,BD59+BC60-BL59)))</f>
        <v>0</v>
      </c>
      <c r="BE60" s="13">
        <f>BD60*VLOOKUP('Données projet'!$B$11,Paramètres!$A$1:$I$89,3,0)*VLOOKUP('Données projet'!$B$11,Paramètres!$A$1:$I$89,5,0)</f>
        <v>0</v>
      </c>
      <c r="BF60" s="13" t="e">
        <f t="shared" si="37"/>
        <v>#NUM!</v>
      </c>
      <c r="BG60" s="20" t="e">
        <f t="shared" si="7"/>
        <v>#NUM!</v>
      </c>
      <c r="BH60" s="59" t="e">
        <f t="shared" si="8"/>
        <v>#NUM!</v>
      </c>
      <c r="BI60" s="59">
        <f ca="1">AVERAGE(OFFSET($BH$3,0,0,'Données projet'!$E$11+1,1))-AVERAGE(OFFSET($H$3,0,0,'Données projet'!$E$11+1,1))</f>
        <v>187.80389738728508</v>
      </c>
      <c r="BJ60" s="59">
        <f t="shared" si="38"/>
        <v>439.28159165815265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72.356658001823064</v>
      </c>
      <c r="BQ60" s="21">
        <f>EXP(-LN(2)/25)*BQ59+(1-EXP(-LN(2)/25))/(LN(2)/25)*Calculateur!BL60*Calculateur!BN60*VLOOKUP('Données projet'!$B$11,Paramètres!$A$1:$I$89,3,0)*0.475*44/12</f>
        <v>6.8008818422596358</v>
      </c>
      <c r="BR60" s="21">
        <f>EXP(-LN(2)/2)*BR59+(1-EXP(-LN(2)/2))/(LN(2)/2)*BL60*BO60*VLOOKUP('Données projet'!$B$11,Paramètres!$A$1:$I$89,3,0)*0.475*44/12</f>
        <v>3.8809740405464866E-6</v>
      </c>
      <c r="BS60" s="22">
        <f t="shared" si="9"/>
        <v>79.15754372505674</v>
      </c>
      <c r="BT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0</v>
      </c>
      <c r="BY60" s="12">
        <f>IF('Données projet'!$A$114&gt;35,BY59+BX60-CG59,IF(A60&lt;'Données projet'!$A$114,$BV$205^A60,IF(A60='Données projet'!$A$114,'Données projet'!$B$114,BY59+BX60-CG59)))</f>
        <v>0</v>
      </c>
      <c r="BZ60" s="13" t="e">
        <f>BY60*VLOOKUP('Données projet'!$B$12,Paramètres!$A$1:$I$89,3,0)*VLOOKUP('Données projet'!$B$12,Paramètres!$A$1:$I$89,5,0)</f>
        <v>#N/A</v>
      </c>
      <c r="CA60" s="13" t="e">
        <f t="shared" si="39"/>
        <v>#N/A</v>
      </c>
      <c r="CB60" s="20" t="e">
        <f t="shared" si="10"/>
        <v>#N/A</v>
      </c>
      <c r="CC60" s="59" t="e">
        <f t="shared" si="11"/>
        <v>#N/A</v>
      </c>
      <c r="CD60" s="59" t="e">
        <f ca="1">AVERAGE(OFFSET($CC$3,0,0,'Données projet'!$E$12+1,1))-AVERAGE(OFFSET($H$3,0,0,'Données projet'!$E$12+1,1))</f>
        <v>#N/A</v>
      </c>
      <c r="CE60" s="59" t="e">
        <f t="shared" si="40"/>
        <v>#N/A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 t="e">
        <f>EXP(-LN(2)/35)*CK59+(1-EXP(-LN(2)/35))/(LN(2)/35)*CG60*CH60*VLOOKUP('Données projet'!$B$12,Paramètres!$A$1:$I$89,3,0)*0.475*44/12</f>
        <v>#N/A</v>
      </c>
      <c r="CL60" s="21" t="e">
        <f>EXP(-LN(2)/25)*CL59+(1-EXP(-LN(2)/25))/(LN(2)/25)*Calculateur!CG60*Calculateur!CI60*VLOOKUP('Données projet'!$B$12,Paramètres!$A$1:$I$89,3,0)*0.475*44/12</f>
        <v>#N/A</v>
      </c>
      <c r="CM60" s="21" t="e">
        <f>EXP(-LN(2)/2)*CM59+(1-EXP(-LN(2)/2))/(LN(2)/2)*CG60*CJ60*VLOOKUP('Données projet'!$B$12,Paramètres!$A$1:$I$89,3,0)*0.475*44/12</f>
        <v>#N/A</v>
      </c>
      <c r="CN60" s="22" t="e">
        <f t="shared" si="12"/>
        <v>#N/A</v>
      </c>
      <c r="CO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5">
      <c r="A61" s="10">
        <f t="shared" si="31"/>
        <v>58</v>
      </c>
      <c r="B61" s="72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1">
        <f t="shared" si="32"/>
        <v>0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66">
        <f t="shared" si="1"/>
        <v>256.66666666666669</v>
      </c>
      <c r="I61" s="6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>
        <f>VLOOKUP(A61,'Données projet'!$A$35:$I$55,2,0)</f>
        <v>346.58</v>
      </c>
      <c r="L61" s="12">
        <f>VLOOKUP(A61,'Données projet'!$A$35:$I$55,9,0)</f>
        <v>13.559999999999995</v>
      </c>
      <c r="M61" s="12">
        <f t="array" ref="M61">INDEX(L:L,MIN(IF(ISNUMBER(L61:L257),ROW(L61:L257),"")))</f>
        <v>13.559999999999995</v>
      </c>
      <c r="N61" s="13">
        <f>IF('Données projet'!$A$36&gt;35,N60+M61-V60,IF(A61&lt;'Données projet'!$A$36,$K$205^A61,IF(A61='Données projet'!$A$36,'Données projet'!$B$36,N60+M61-V60)))</f>
        <v>346.58000000000004</v>
      </c>
      <c r="O61" s="13">
        <f>N61*VLOOKUP('Données projet'!$B$9,Paramètres!$A$1:$I$89,3,0)*VLOOKUP('Données projet'!$B$9,Paramètres!$A$1:$I$89,5,0)</f>
        <v>313.58558400000004</v>
      </c>
      <c r="P61" s="13">
        <f t="shared" si="33"/>
        <v>74.017140903550782</v>
      </c>
      <c r="Q61" s="20">
        <f t="shared" si="53"/>
        <v>675.07474587368438</v>
      </c>
      <c r="R61" s="59">
        <f t="shared" si="0"/>
        <v>968.40807920701764</v>
      </c>
      <c r="S61" s="59">
        <f ca="1">AVERAGE(OFFSET($R$3,0,0,'Données projet'!$E$9+1,1))-AVERAGE(OFFSET($H$3,0,0,'Données projet'!$E$9+1,1))</f>
        <v>700.22008319944644</v>
      </c>
      <c r="T61" s="59">
        <f t="shared" si="34"/>
        <v>253.69632671986739</v>
      </c>
      <c r="U61" s="15">
        <f>IF(ISNA(VLOOKUP(A61,'Données projet'!$A$35:$I$55,3,0)),0,VLOOKUP(A61,'Données projet'!$A$35:$I$55,3,0))</f>
        <v>4</v>
      </c>
      <c r="V61" s="15">
        <f>IF(ISNA(VLOOKUP(A61,'Données projet'!$A$35:$I$55,4,0)),0,VLOOKUP(A61,'Données projet'!$A$35:$I$55,4,0))</f>
        <v>62.16</v>
      </c>
      <c r="W61" s="16">
        <f>IF(ISNA(VLOOKUP(A61,'Données projet'!$A$35:$I$55,5,0)),0%,VLOOKUP(A61,'Données projet'!$A$35:$I$55,5,0)*VLOOKUP('Données projet'!$B$9,Paramètres!$A$1:$I$89,7,0))</f>
        <v>0.43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78.028582792822419</v>
      </c>
      <c r="AA61" s="21">
        <f>EXP(-LN(2)/25)*AA60+(1-EXP(-LN(2)/25))/(LN(2)/25)*Calculateur!V61*Calculateur!X61*VLOOKUP('Données projet'!$B$9,Paramètres!$A$1:$I$89,3,0)*0.475*44/12</f>
        <v>0</v>
      </c>
      <c r="AB61" s="21">
        <f>EXP(-LN(2)/2)*AB60+(1-EXP(-LN(2)/2))/(LN(2)/2)*V61*Y61*VLOOKUP('Données projet'!$B$9,Paramètres!$A$1:$I$89,3,0)*0.475*44/12</f>
        <v>0</v>
      </c>
      <c r="AC61" s="22">
        <f t="shared" si="3"/>
        <v>78.028582792822419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>
        <f>VLOOKUP(A61,'Données projet'!$A$61:$I$81,2,0)</f>
        <v>346.58</v>
      </c>
      <c r="AG61" s="12">
        <f>VLOOKUP(A61,'Données projet'!$A$61:$I$81,9,0)</f>
        <v>13.559999999999995</v>
      </c>
      <c r="AH61" s="12">
        <f t="array" ref="AH61">INDEX(AG:AG,MIN(IF(ISNUMBER(AG61:AG257),ROW(AG61:AG257),"")))</f>
        <v>13.559999999999995</v>
      </c>
      <c r="AI61" s="13">
        <f>IF('Données projet'!$A$62&gt;35,AI60+AH61-AQ60,IF(A61&lt;'Données projet'!$A$62,$AF$205^A61,IF(A61='Données projet'!$A$62,'Données projet'!$B$62,AI60+AH61-AQ60)))</f>
        <v>346.58000000000004</v>
      </c>
      <c r="AJ61" s="13">
        <f>AI61*VLOOKUP('Données projet'!$B$10,Paramètres!$A$1:$I$89,3,0)*VLOOKUP('Données projet'!$B$10,Paramètres!$A$1:$I$89,5,0)</f>
        <v>329.80552800000004</v>
      </c>
      <c r="AK61" s="13">
        <f t="shared" si="35"/>
        <v>77.389986781426714</v>
      </c>
      <c r="AL61" s="20">
        <f t="shared" si="4"/>
        <v>709.19885491098478</v>
      </c>
      <c r="AM61" s="59">
        <f t="shared" si="5"/>
        <v>1002.5321882443181</v>
      </c>
      <c r="AN61" s="59">
        <f ca="1">AVERAGE(OFFSET($AM$3,0,0,'Données projet'!$E$10+1,1))-AVERAGE(OFFSET($H$3,0,0,'Données projet'!$E$10+1,1))</f>
        <v>733.95677909577444</v>
      </c>
      <c r="AO61" s="59">
        <f t="shared" si="36"/>
        <v>264.63778993239799</v>
      </c>
      <c r="AP61" s="15">
        <f>IF(ISNA(VLOOKUP(A61,'Données projet'!$A$61:$I$81,3,0)),0,VLOOKUP(A61,'Données projet'!$A$61:$I$81,3,0))</f>
        <v>4</v>
      </c>
      <c r="AQ61" s="15">
        <f>IF(ISNA(VLOOKUP(A61,'Données projet'!$A$61:$I$81,4,0)),0,VLOOKUP(A61,'Données projet'!$A$61:$I$81,4,0))</f>
        <v>62.16</v>
      </c>
      <c r="AR61" s="16">
        <f>IF(ISNA(VLOOKUP(A61,'Données projet'!$A$61:$I$81,5,0)),0%,VLOOKUP(A61,'Données projet'!$A$61:$I$81,5,0)*VLOOKUP('Données projet'!$B$10,Paramètres!$A$1:$I$89,7,0))</f>
        <v>0.43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82.064543971761509</v>
      </c>
      <c r="AV61" s="21">
        <f>EXP(-LN(2)/25)*AV60+(1-EXP(-LN(2)/25))/(LN(2)/25)*Calculateur!AQ61*Calculateur!AS61*VLOOKUP('Données projet'!$B$10,Paramètres!$A$1:$I$89,3,0)*0.475*44/12</f>
        <v>0</v>
      </c>
      <c r="AW61" s="21">
        <f>EXP(-LN(2)/2)*AW60+(1-EXP(-LN(2)/2))/(LN(2)/2)*AQ61*AT61*VLOOKUP('Données projet'!$B$10,Paramètres!$A$1:$I$89,3,0)*0.475*44/12</f>
        <v>0</v>
      </c>
      <c r="AX61" s="21">
        <f t="shared" si="6"/>
        <v>82.064543971761509</v>
      </c>
      <c r="AY61" s="7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0</v>
      </c>
      <c r="BD61" s="12">
        <f>IF('Données projet'!$A$88&gt;35,BD60+BC61-BL60,IF(A61&lt;'Données projet'!$A$88,$BA$205^A61,IF(A61='Données projet'!$A$88,'Données projet'!$B$88,BD60+BC61-BL60)))</f>
        <v>0</v>
      </c>
      <c r="BE61" s="13">
        <f>BD61*VLOOKUP('Données projet'!$B$11,Paramètres!$A$1:$I$89,3,0)*VLOOKUP('Données projet'!$B$11,Paramètres!$A$1:$I$89,5,0)</f>
        <v>0</v>
      </c>
      <c r="BF61" s="13" t="e">
        <f t="shared" si="37"/>
        <v>#NUM!</v>
      </c>
      <c r="BG61" s="20" t="e">
        <f t="shared" si="7"/>
        <v>#NUM!</v>
      </c>
      <c r="BH61" s="59" t="e">
        <f t="shared" si="8"/>
        <v>#NUM!</v>
      </c>
      <c r="BI61" s="59">
        <f ca="1">AVERAGE(OFFSET($BH$3,0,0,'Données projet'!$E$11+1,1))-AVERAGE(OFFSET($H$3,0,0,'Données projet'!$E$11+1,1))</f>
        <v>187.80389738728508</v>
      </c>
      <c r="BJ61" s="59">
        <f t="shared" si="38"/>
        <v>439.28159165815265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70.937788071610896</v>
      </c>
      <c r="BQ61" s="21">
        <f>EXP(-LN(2)/25)*BQ60+(1-EXP(-LN(2)/25))/(LN(2)/25)*Calculateur!BL61*Calculateur!BN61*VLOOKUP('Données projet'!$B$11,Paramètres!$A$1:$I$89,3,0)*0.475*44/12</f>
        <v>6.6149113706402138</v>
      </c>
      <c r="BR61" s="21">
        <f>EXP(-LN(2)/2)*BR60+(1-EXP(-LN(2)/2))/(LN(2)/2)*BL61*BO61*VLOOKUP('Données projet'!$B$11,Paramètres!$A$1:$I$89,3,0)*0.475*44/12</f>
        <v>2.7442630616793758E-6</v>
      </c>
      <c r="BS61" s="22">
        <f t="shared" si="9"/>
        <v>77.552702186514168</v>
      </c>
      <c r="BT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0</v>
      </c>
      <c r="BY61" s="12">
        <f>IF('Données projet'!$A$114&gt;35,BY60+BX61-CG60,IF(A61&lt;'Données projet'!$A$114,$BV$205^A61,IF(A61='Données projet'!$A$114,'Données projet'!$B$114,BY60+BX61-CG60)))</f>
        <v>0</v>
      </c>
      <c r="BZ61" s="13" t="e">
        <f>BY61*VLOOKUP('Données projet'!$B$12,Paramètres!$A$1:$I$89,3,0)*VLOOKUP('Données projet'!$B$12,Paramètres!$A$1:$I$89,5,0)</f>
        <v>#N/A</v>
      </c>
      <c r="CA61" s="13" t="e">
        <f t="shared" si="39"/>
        <v>#N/A</v>
      </c>
      <c r="CB61" s="20" t="e">
        <f t="shared" si="10"/>
        <v>#N/A</v>
      </c>
      <c r="CC61" s="59" t="e">
        <f t="shared" si="11"/>
        <v>#N/A</v>
      </c>
      <c r="CD61" s="59" t="e">
        <f ca="1">AVERAGE(OFFSET($CC$3,0,0,'Données projet'!$E$12+1,1))-AVERAGE(OFFSET($H$3,0,0,'Données projet'!$E$12+1,1))</f>
        <v>#N/A</v>
      </c>
      <c r="CE61" s="59" t="e">
        <f t="shared" si="40"/>
        <v>#N/A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 t="e">
        <f>EXP(-LN(2)/35)*CK60+(1-EXP(-LN(2)/35))/(LN(2)/35)*CG61*CH61*VLOOKUP('Données projet'!$B$12,Paramètres!$A$1:$I$89,3,0)*0.475*44/12</f>
        <v>#N/A</v>
      </c>
      <c r="CL61" s="21" t="e">
        <f>EXP(-LN(2)/25)*CL60+(1-EXP(-LN(2)/25))/(LN(2)/25)*Calculateur!CG61*Calculateur!CI61*VLOOKUP('Données projet'!$B$12,Paramètres!$A$1:$I$89,3,0)*0.475*44/12</f>
        <v>#N/A</v>
      </c>
      <c r="CM61" s="21" t="e">
        <f>EXP(-LN(2)/2)*CM60+(1-EXP(-LN(2)/2))/(LN(2)/2)*CG61*CJ61*VLOOKUP('Données projet'!$B$12,Paramètres!$A$1:$I$89,3,0)*0.475*44/12</f>
        <v>#N/A</v>
      </c>
      <c r="CN61" s="22" t="e">
        <f t="shared" si="12"/>
        <v>#N/A</v>
      </c>
      <c r="CO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5">
      <c r="A62" s="10">
        <f t="shared" si="31"/>
        <v>59</v>
      </c>
      <c r="B62" s="72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1">
        <f t="shared" si="32"/>
        <v>0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66">
        <f t="shared" si="1"/>
        <v>256.66666666666669</v>
      </c>
      <c r="I62" s="6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13.062500000000007</v>
      </c>
      <c r="N62" s="13">
        <f>IF('Données projet'!$A$36&gt;35,N61+M62-V61,IF(A62&lt;'Données projet'!$A$36,$K$205^A62,IF(A62='Données projet'!$A$36,'Données projet'!$B$36,N61+M62-V61)))</f>
        <v>297.48250000000007</v>
      </c>
      <c r="O62" s="13">
        <f>N62*VLOOKUP('Données projet'!$B$9,Paramètres!$A$1:$I$89,3,0)*VLOOKUP('Données projet'!$B$9,Paramètres!$A$1:$I$89,5,0)</f>
        <v>269.16216600000007</v>
      </c>
      <c r="P62" s="13">
        <f t="shared" si="33"/>
        <v>64.671427618025248</v>
      </c>
      <c r="Q62" s="20">
        <f t="shared" si="53"/>
        <v>581.42684221806064</v>
      </c>
      <c r="R62" s="59">
        <f t="shared" si="0"/>
        <v>874.76017555139401</v>
      </c>
      <c r="S62" s="59">
        <f ca="1">AVERAGE(OFFSET($R$3,0,0,'Données projet'!$E$9+1,1))-AVERAGE(OFFSET($H$3,0,0,'Données projet'!$E$9+1,1))</f>
        <v>700.22008319944644</v>
      </c>
      <c r="T62" s="59">
        <f t="shared" si="34"/>
        <v>253.69632671986739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76.498489876991286</v>
      </c>
      <c r="AA62" s="21">
        <f>EXP(-LN(2)/25)*AA61+(1-EXP(-LN(2)/25))/(LN(2)/25)*Calculateur!V62*Calculateur!X62*VLOOKUP('Données projet'!$B$9,Paramètres!$A$1:$I$89,3,0)*0.475*44/12</f>
        <v>0</v>
      </c>
      <c r="AB62" s="21">
        <f>EXP(-LN(2)/2)*AB61+(1-EXP(-LN(2)/2))/(LN(2)/2)*V62*Y62*VLOOKUP('Données projet'!$B$9,Paramètres!$A$1:$I$89,3,0)*0.475*44/12</f>
        <v>0</v>
      </c>
      <c r="AC62" s="22">
        <f t="shared" si="3"/>
        <v>76.498489876991286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13.062500000000007</v>
      </c>
      <c r="AI62" s="13">
        <f>IF('Données projet'!$A$62&gt;35,AI61+AH62-AQ61,IF(A62&lt;'Données projet'!$A$62,$AF$205^A62,IF(A62='Données projet'!$A$62,'Données projet'!$B$62,AI61+AH62-AQ61)))</f>
        <v>297.48250000000007</v>
      </c>
      <c r="AJ62" s="13">
        <f>AI62*VLOOKUP('Données projet'!$B$10,Paramètres!$A$1:$I$89,3,0)*VLOOKUP('Données projet'!$B$10,Paramètres!$A$1:$I$89,5,0)</f>
        <v>283.08434700000004</v>
      </c>
      <c r="AK62" s="13">
        <f t="shared" si="35"/>
        <v>67.618403891292076</v>
      </c>
      <c r="AL62" s="20">
        <f t="shared" si="4"/>
        <v>610.80729113566701</v>
      </c>
      <c r="AM62" s="59">
        <f t="shared" si="5"/>
        <v>904.14062446900039</v>
      </c>
      <c r="AN62" s="59">
        <f ca="1">AVERAGE(OFFSET($AM$3,0,0,'Données projet'!$E$10+1,1))-AVERAGE(OFFSET($H$3,0,0,'Données projet'!$E$10+1,1))</f>
        <v>733.95677909577444</v>
      </c>
      <c r="AO62" s="59">
        <f t="shared" si="36"/>
        <v>264.63778993239799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80.455308318904628</v>
      </c>
      <c r="AV62" s="21">
        <f>EXP(-LN(2)/25)*AV61+(1-EXP(-LN(2)/25))/(LN(2)/25)*Calculateur!AQ62*Calculateur!AS62*VLOOKUP('Données projet'!$B$10,Paramètres!$A$1:$I$89,3,0)*0.475*44/12</f>
        <v>0</v>
      </c>
      <c r="AW62" s="21">
        <f>EXP(-LN(2)/2)*AW61+(1-EXP(-LN(2)/2))/(LN(2)/2)*AQ62*AT62*VLOOKUP('Données projet'!$B$10,Paramètres!$A$1:$I$89,3,0)*0.475*44/12</f>
        <v>0</v>
      </c>
      <c r="AX62" s="21">
        <f t="shared" si="6"/>
        <v>80.455308318904628</v>
      </c>
      <c r="AY62" s="7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0</v>
      </c>
      <c r="BD62" s="12">
        <f>IF('Données projet'!$A$88&gt;35,BD61+BC62-BL61,IF(A62&lt;'Données projet'!$A$88,$BA$205^A62,IF(A62='Données projet'!$A$88,'Données projet'!$B$88,BD61+BC62-BL61)))</f>
        <v>0</v>
      </c>
      <c r="BE62" s="13">
        <f>BD62*VLOOKUP('Données projet'!$B$11,Paramètres!$A$1:$I$89,3,0)*VLOOKUP('Données projet'!$B$11,Paramètres!$A$1:$I$89,5,0)</f>
        <v>0</v>
      </c>
      <c r="BF62" s="13" t="e">
        <f t="shared" si="37"/>
        <v>#NUM!</v>
      </c>
      <c r="BG62" s="20" t="e">
        <f t="shared" si="7"/>
        <v>#NUM!</v>
      </c>
      <c r="BH62" s="59" t="e">
        <f t="shared" si="8"/>
        <v>#NUM!</v>
      </c>
      <c r="BI62" s="59">
        <f ca="1">AVERAGE(OFFSET($BH$3,0,0,'Données projet'!$E$11+1,1))-AVERAGE(OFFSET($H$3,0,0,'Données projet'!$E$11+1,1))</f>
        <v>187.80389738728508</v>
      </c>
      <c r="BJ62" s="59">
        <f t="shared" si="38"/>
        <v>439.28159165815265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69.546741315304999</v>
      </c>
      <c r="BQ62" s="21">
        <f>EXP(-LN(2)/25)*BQ61+(1-EXP(-LN(2)/25))/(LN(2)/25)*Calculateur!BL62*Calculateur!BN62*VLOOKUP('Données projet'!$B$11,Paramètres!$A$1:$I$89,3,0)*0.475*44/12</f>
        <v>6.4340262713469869</v>
      </c>
      <c r="BR62" s="21">
        <f>EXP(-LN(2)/2)*BR61+(1-EXP(-LN(2)/2))/(LN(2)/2)*BL62*BO62*VLOOKUP('Données projet'!$B$11,Paramètres!$A$1:$I$89,3,0)*0.475*44/12</f>
        <v>1.9404870202732433E-6</v>
      </c>
      <c r="BS62" s="22">
        <f t="shared" si="9"/>
        <v>75.980769527139003</v>
      </c>
      <c r="BT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0</v>
      </c>
      <c r="BY62" s="12">
        <f>IF('Données projet'!$A$114&gt;35,BY61+BX62-CG61,IF(A62&lt;'Données projet'!$A$114,$BV$205^A62,IF(A62='Données projet'!$A$114,'Données projet'!$B$114,BY61+BX62-CG61)))</f>
        <v>0</v>
      </c>
      <c r="BZ62" s="13" t="e">
        <f>BY62*VLOOKUP('Données projet'!$B$12,Paramètres!$A$1:$I$89,3,0)*VLOOKUP('Données projet'!$B$12,Paramètres!$A$1:$I$89,5,0)</f>
        <v>#N/A</v>
      </c>
      <c r="CA62" s="13" t="e">
        <f t="shared" si="39"/>
        <v>#N/A</v>
      </c>
      <c r="CB62" s="20" t="e">
        <f t="shared" si="10"/>
        <v>#N/A</v>
      </c>
      <c r="CC62" s="59" t="e">
        <f t="shared" si="11"/>
        <v>#N/A</v>
      </c>
      <c r="CD62" s="59" t="e">
        <f ca="1">AVERAGE(OFFSET($CC$3,0,0,'Données projet'!$E$12+1,1))-AVERAGE(OFFSET($H$3,0,0,'Données projet'!$E$12+1,1))</f>
        <v>#N/A</v>
      </c>
      <c r="CE62" s="59" t="e">
        <f t="shared" si="40"/>
        <v>#N/A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 t="e">
        <f>EXP(-LN(2)/35)*CK61+(1-EXP(-LN(2)/35))/(LN(2)/35)*CG62*CH62*VLOOKUP('Données projet'!$B$12,Paramètres!$A$1:$I$89,3,0)*0.475*44/12</f>
        <v>#N/A</v>
      </c>
      <c r="CL62" s="21" t="e">
        <f>EXP(-LN(2)/25)*CL61+(1-EXP(-LN(2)/25))/(LN(2)/25)*Calculateur!CG62*Calculateur!CI62*VLOOKUP('Données projet'!$B$12,Paramètres!$A$1:$I$89,3,0)*0.475*44/12</f>
        <v>#N/A</v>
      </c>
      <c r="CM62" s="21" t="e">
        <f>EXP(-LN(2)/2)*CM61+(1-EXP(-LN(2)/2))/(LN(2)/2)*CG62*CJ62*VLOOKUP('Données projet'!$B$12,Paramètres!$A$1:$I$89,3,0)*0.475*44/12</f>
        <v>#N/A</v>
      </c>
      <c r="CN62" s="22" t="e">
        <f t="shared" si="12"/>
        <v>#N/A</v>
      </c>
      <c r="CO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5">
      <c r="A63" s="10">
        <f t="shared" si="31"/>
        <v>60</v>
      </c>
      <c r="B63" s="72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1">
        <f t="shared" si="32"/>
        <v>0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66">
        <f t="shared" si="1"/>
        <v>256.66666666666669</v>
      </c>
      <c r="I63" s="6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13.062500000000007</v>
      </c>
      <c r="N63" s="13">
        <f>IF('Données projet'!$A$36&gt;35,N62+M63-V62,IF(A63&lt;'Données projet'!$A$36,$K$205^A63,IF(A63='Données projet'!$A$36,'Données projet'!$B$36,N62+M63-V62)))</f>
        <v>310.54500000000007</v>
      </c>
      <c r="O63" s="13">
        <f>N63*VLOOKUP('Données projet'!$B$9,Paramètres!$A$1:$I$89,3,0)*VLOOKUP('Données projet'!$B$9,Paramètres!$A$1:$I$89,5,0)</f>
        <v>280.98111600000004</v>
      </c>
      <c r="P63" s="13">
        <f t="shared" si="33"/>
        <v>67.174304667838214</v>
      </c>
      <c r="Q63" s="20">
        <f t="shared" si="53"/>
        <v>606.37069099648488</v>
      </c>
      <c r="R63" s="59">
        <f t="shared" si="0"/>
        <v>899.70402432981814</v>
      </c>
      <c r="S63" s="59">
        <f ca="1">AVERAGE(OFFSET($R$3,0,0,'Données projet'!$E$9+1,1))-AVERAGE(OFFSET($H$3,0,0,'Données projet'!$E$9+1,1))</f>
        <v>700.22008319944644</v>
      </c>
      <c r="T63" s="59">
        <f t="shared" si="34"/>
        <v>253.69632671986739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74.998401149975066</v>
      </c>
      <c r="AA63" s="21">
        <f>EXP(-LN(2)/25)*AA62+(1-EXP(-LN(2)/25))/(LN(2)/25)*Calculateur!V63*Calculateur!X63*VLOOKUP('Données projet'!$B$9,Paramètres!$A$1:$I$89,3,0)*0.475*44/12</f>
        <v>0</v>
      </c>
      <c r="AB63" s="21">
        <f>EXP(-LN(2)/2)*AB62+(1-EXP(-LN(2)/2))/(LN(2)/2)*V63*Y63*VLOOKUP('Données projet'!$B$9,Paramètres!$A$1:$I$89,3,0)*0.475*44/12</f>
        <v>0</v>
      </c>
      <c r="AC63" s="22">
        <f t="shared" si="3"/>
        <v>74.998401149975066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 t="e">
        <f>VLOOKUP(A63,'Données projet'!$A$61:$I$81,2,0)</f>
        <v>#N/A</v>
      </c>
      <c r="AG63" s="12" t="e">
        <f>VLOOKUP(A63,'Données projet'!$A$61:$I$81,9,0)</f>
        <v>#N/A</v>
      </c>
      <c r="AH63" s="12">
        <f t="array" ref="AH63">INDEX(AG:AG,MIN(IF(ISNUMBER(AG63:AG259),ROW(AG63:AG259),"")))</f>
        <v>13.062500000000007</v>
      </c>
      <c r="AI63" s="13">
        <f>IF('Données projet'!$A$62&gt;35,AI62+AH63-AQ62,IF(A63&lt;'Données projet'!$A$62,$AF$205^A63,IF(A63='Données projet'!$A$62,'Données projet'!$B$62,AI62+AH63-AQ62)))</f>
        <v>310.54500000000007</v>
      </c>
      <c r="AJ63" s="13">
        <f>AI63*VLOOKUP('Données projet'!$B$10,Paramètres!$A$1:$I$89,3,0)*VLOOKUP('Données projet'!$B$10,Paramètres!$A$1:$I$89,5,0)</f>
        <v>295.51462200000009</v>
      </c>
      <c r="AK63" s="13">
        <f t="shared" si="35"/>
        <v>70.235333151677239</v>
      </c>
      <c r="AL63" s="20">
        <f t="shared" si="4"/>
        <v>637.01450522250468</v>
      </c>
      <c r="AM63" s="59">
        <f t="shared" si="5"/>
        <v>930.34783855583805</v>
      </c>
      <c r="AN63" s="59">
        <f ca="1">AVERAGE(OFFSET($AM$3,0,0,'Données projet'!$E$10+1,1))-AVERAGE(OFFSET($H$3,0,0,'Données projet'!$E$10+1,1))</f>
        <v>733.95677909577444</v>
      </c>
      <c r="AO63" s="59">
        <f t="shared" si="36"/>
        <v>264.63778993239799</v>
      </c>
      <c r="AP63" s="15">
        <f>IF(ISNA(VLOOKUP(A63,'Données projet'!$A$61:$I$81,3,0)),0,VLOOKUP(A63,'Données projet'!$A$61:$I$81,3,0))</f>
        <v>0</v>
      </c>
      <c r="AQ63" s="15">
        <f>IF(ISNA(VLOOKUP(A63,'Données projet'!$A$61:$I$81,4,0)),0,VLOOKUP(A63,'Données projet'!$A$61:$I$81,4,0))</f>
        <v>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78.877628795663441</v>
      </c>
      <c r="AV63" s="21">
        <f>EXP(-LN(2)/25)*AV62+(1-EXP(-LN(2)/25))/(LN(2)/25)*Calculateur!AQ63*Calculateur!AS63*VLOOKUP('Données projet'!$B$10,Paramètres!$A$1:$I$89,3,0)*0.475*44/12</f>
        <v>0</v>
      </c>
      <c r="AW63" s="21">
        <f>EXP(-LN(2)/2)*AW62+(1-EXP(-LN(2)/2))/(LN(2)/2)*AQ63*AT63*VLOOKUP('Données projet'!$B$10,Paramètres!$A$1:$I$89,3,0)*0.475*44/12</f>
        <v>0</v>
      </c>
      <c r="AX63" s="21">
        <f t="shared" si="6"/>
        <v>78.877628795663441</v>
      </c>
      <c r="AY63" s="7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0</v>
      </c>
      <c r="BD63" s="12">
        <f>IF('Données projet'!$A$88&gt;35,BD62+BC63-BL62,IF(A63&lt;'Données projet'!$A$88,$BA$205^A63,IF(A63='Données projet'!$A$88,'Données projet'!$B$88,BD62+BC63-BL62)))</f>
        <v>0</v>
      </c>
      <c r="BE63" s="13">
        <f>BD63*VLOOKUP('Données projet'!$B$11,Paramètres!$A$1:$I$89,3,0)*VLOOKUP('Données projet'!$B$11,Paramètres!$A$1:$I$89,5,0)</f>
        <v>0</v>
      </c>
      <c r="BF63" s="13" t="e">
        <f t="shared" si="37"/>
        <v>#NUM!</v>
      </c>
      <c r="BG63" s="20" t="e">
        <f t="shared" si="7"/>
        <v>#NUM!</v>
      </c>
      <c r="BH63" s="59" t="e">
        <f t="shared" si="8"/>
        <v>#NUM!</v>
      </c>
      <c r="BI63" s="59">
        <f ca="1">AVERAGE(OFFSET($BH$3,0,0,'Données projet'!$E$11+1,1))-AVERAGE(OFFSET($H$3,0,0,'Données projet'!$E$11+1,1))</f>
        <v>187.80389738728508</v>
      </c>
      <c r="BJ63" s="59">
        <f t="shared" si="38"/>
        <v>439.28159165815265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68.182972137435513</v>
      </c>
      <c r="BQ63" s="21">
        <f>EXP(-LN(2)/25)*BQ62+(1-EXP(-LN(2)/25))/(LN(2)/25)*Calculateur!BL63*Calculateur!BN63*VLOOKUP('Données projet'!$B$11,Paramètres!$A$1:$I$89,3,0)*0.475*44/12</f>
        <v>6.2580874846062668</v>
      </c>
      <c r="BR63" s="21">
        <f>EXP(-LN(2)/2)*BR62+(1-EXP(-LN(2)/2))/(LN(2)/2)*BL63*BO63*VLOOKUP('Données projet'!$B$11,Paramètres!$A$1:$I$89,3,0)*0.475*44/12</f>
        <v>1.3721315308396879E-6</v>
      </c>
      <c r="BS63" s="22">
        <f t="shared" si="9"/>
        <v>74.441060994173313</v>
      </c>
      <c r="BT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0</v>
      </c>
      <c r="BY63" s="12">
        <f>IF('Données projet'!$A$114&gt;35,BY62+BX63-CG62,IF(A63&lt;'Données projet'!$A$114,$BV$205^A63,IF(A63='Données projet'!$A$114,'Données projet'!$B$114,BY62+BX63-CG62)))</f>
        <v>0</v>
      </c>
      <c r="BZ63" s="13" t="e">
        <f>BY63*VLOOKUP('Données projet'!$B$12,Paramètres!$A$1:$I$89,3,0)*VLOOKUP('Données projet'!$B$12,Paramètres!$A$1:$I$89,5,0)</f>
        <v>#N/A</v>
      </c>
      <c r="CA63" s="13" t="e">
        <f t="shared" si="39"/>
        <v>#N/A</v>
      </c>
      <c r="CB63" s="20" t="e">
        <f t="shared" si="10"/>
        <v>#N/A</v>
      </c>
      <c r="CC63" s="59" t="e">
        <f t="shared" si="11"/>
        <v>#N/A</v>
      </c>
      <c r="CD63" s="59" t="e">
        <f ca="1">AVERAGE(OFFSET($CC$3,0,0,'Données projet'!$E$12+1,1))-AVERAGE(OFFSET($H$3,0,0,'Données projet'!$E$12+1,1))</f>
        <v>#N/A</v>
      </c>
      <c r="CE63" s="59" t="e">
        <f t="shared" si="40"/>
        <v>#N/A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 t="e">
        <f>EXP(-LN(2)/35)*CK62+(1-EXP(-LN(2)/35))/(LN(2)/35)*CG63*CH63*VLOOKUP('Données projet'!$B$12,Paramètres!$A$1:$I$89,3,0)*0.475*44/12</f>
        <v>#N/A</v>
      </c>
      <c r="CL63" s="21" t="e">
        <f>EXP(-LN(2)/25)*CL62+(1-EXP(-LN(2)/25))/(LN(2)/25)*Calculateur!CG63*Calculateur!CI63*VLOOKUP('Données projet'!$B$12,Paramètres!$A$1:$I$89,3,0)*0.475*44/12</f>
        <v>#N/A</v>
      </c>
      <c r="CM63" s="21" t="e">
        <f>EXP(-LN(2)/2)*CM62+(1-EXP(-LN(2)/2))/(LN(2)/2)*CG63*CJ63*VLOOKUP('Données projet'!$B$12,Paramètres!$A$1:$I$89,3,0)*0.475*44/12</f>
        <v>#N/A</v>
      </c>
      <c r="CN63" s="22" t="e">
        <f t="shared" si="12"/>
        <v>#N/A</v>
      </c>
      <c r="CO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5">
      <c r="A64" s="10">
        <f t="shared" si="31"/>
        <v>61</v>
      </c>
      <c r="B64" s="72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1">
        <f t="shared" si="32"/>
        <v>0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66">
        <f t="shared" si="1"/>
        <v>256.66666666666669</v>
      </c>
      <c r="I64" s="6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13.062500000000007</v>
      </c>
      <c r="N64" s="13">
        <f>IF('Données projet'!$A$36&gt;35,N63+M64-V63,IF(A64&lt;'Données projet'!$A$36,$K$205^A64,IF(A64='Données projet'!$A$36,'Données projet'!$B$36,N63+M64-V63)))</f>
        <v>323.60750000000007</v>
      </c>
      <c r="O64" s="13">
        <f>N64*VLOOKUP('Données projet'!$B$9,Paramètres!$A$1:$I$89,3,0)*VLOOKUP('Données projet'!$B$9,Paramètres!$A$1:$I$89,5,0)</f>
        <v>292.80006600000007</v>
      </c>
      <c r="P64" s="13">
        <f t="shared" si="33"/>
        <v>69.664953398224426</v>
      </c>
      <c r="Q64" s="20">
        <f t="shared" si="53"/>
        <v>631.29324211857431</v>
      </c>
      <c r="R64" s="59">
        <f t="shared" si="0"/>
        <v>924.62657545190768</v>
      </c>
      <c r="S64" s="59">
        <f ca="1">AVERAGE(OFFSET($R$3,0,0,'Données projet'!$E$9+1,1))-AVERAGE(OFFSET($H$3,0,0,'Données projet'!$E$9+1,1))</f>
        <v>700.22008319944644</v>
      </c>
      <c r="T64" s="59">
        <f t="shared" si="34"/>
        <v>253.69632671986739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73.527728247931861</v>
      </c>
      <c r="AA64" s="21">
        <f>EXP(-LN(2)/25)*AA63+(1-EXP(-LN(2)/25))/(LN(2)/25)*Calculateur!V64*Calculateur!X64*VLOOKUP('Données projet'!$B$9,Paramètres!$A$1:$I$89,3,0)*0.475*44/12</f>
        <v>0</v>
      </c>
      <c r="AB64" s="21">
        <f>EXP(-LN(2)/2)*AB63+(1-EXP(-LN(2)/2))/(LN(2)/2)*V64*Y64*VLOOKUP('Données projet'!$B$9,Paramètres!$A$1:$I$89,3,0)*0.475*44/12</f>
        <v>0</v>
      </c>
      <c r="AC64" s="22">
        <f t="shared" si="3"/>
        <v>73.527728247931861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13.062500000000007</v>
      </c>
      <c r="AI64" s="13">
        <f>IF('Données projet'!$A$62&gt;35,AI63+AH64-AQ63,IF(A64&lt;'Données projet'!$A$62,$AF$205^A64,IF(A64='Données projet'!$A$62,'Données projet'!$B$62,AI63+AH64-AQ63)))</f>
        <v>323.60750000000007</v>
      </c>
      <c r="AJ64" s="13">
        <f>AI64*VLOOKUP('Données projet'!$B$10,Paramètres!$A$1:$I$89,3,0)*VLOOKUP('Données projet'!$B$10,Paramètres!$A$1:$I$89,5,0)</f>
        <v>307.94489700000008</v>
      </c>
      <c r="AK64" s="13">
        <f t="shared" si="35"/>
        <v>72.839476867157188</v>
      </c>
      <c r="AL64" s="20">
        <f t="shared" si="4"/>
        <v>663.19945115196549</v>
      </c>
      <c r="AM64" s="59">
        <f t="shared" si="5"/>
        <v>956.53278448529886</v>
      </c>
      <c r="AN64" s="59">
        <f ca="1">AVERAGE(OFFSET($AM$3,0,0,'Données projet'!$E$10+1,1))-AVERAGE(OFFSET($H$3,0,0,'Données projet'!$E$10+1,1))</f>
        <v>733.95677909577444</v>
      </c>
      <c r="AO64" s="59">
        <f t="shared" si="36"/>
        <v>264.63778993239799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77.330886605583515</v>
      </c>
      <c r="AV64" s="21">
        <f>EXP(-LN(2)/25)*AV63+(1-EXP(-LN(2)/25))/(LN(2)/25)*Calculateur!AQ64*Calculateur!AS64*VLOOKUP('Données projet'!$B$10,Paramètres!$A$1:$I$89,3,0)*0.475*44/12</f>
        <v>0</v>
      </c>
      <c r="AW64" s="21">
        <f>EXP(-LN(2)/2)*AW63+(1-EXP(-LN(2)/2))/(LN(2)/2)*AQ64*AT64*VLOOKUP('Données projet'!$B$10,Paramètres!$A$1:$I$89,3,0)*0.475*44/12</f>
        <v>0</v>
      </c>
      <c r="AX64" s="21">
        <f t="shared" si="6"/>
        <v>77.330886605583515</v>
      </c>
      <c r="AY64" s="7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0</v>
      </c>
      <c r="BD64" s="12">
        <f>IF('Données projet'!$A$88&gt;35,BD63+BC64-BL63,IF(A64&lt;'Données projet'!$A$88,$BA$205^A64,IF(A64='Données projet'!$A$88,'Données projet'!$B$88,BD63+BC64-BL63)))</f>
        <v>0</v>
      </c>
      <c r="BE64" s="13">
        <f>BD64*VLOOKUP('Données projet'!$B$11,Paramètres!$A$1:$I$89,3,0)*VLOOKUP('Données projet'!$B$11,Paramètres!$A$1:$I$89,5,0)</f>
        <v>0</v>
      </c>
      <c r="BF64" s="13" t="e">
        <f t="shared" si="37"/>
        <v>#NUM!</v>
      </c>
      <c r="BG64" s="20" t="e">
        <f t="shared" si="7"/>
        <v>#NUM!</v>
      </c>
      <c r="BH64" s="59" t="e">
        <f t="shared" si="8"/>
        <v>#NUM!</v>
      </c>
      <c r="BI64" s="59">
        <f ca="1">AVERAGE(OFFSET($BH$3,0,0,'Données projet'!$E$11+1,1))-AVERAGE(OFFSET($H$3,0,0,'Données projet'!$E$11+1,1))</f>
        <v>187.80389738728508</v>
      </c>
      <c r="BJ64" s="59">
        <f t="shared" si="38"/>
        <v>439.28159165815265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66.845945641326978</v>
      </c>
      <c r="BQ64" s="21">
        <f>EXP(-LN(2)/25)*BQ63+(1-EXP(-LN(2)/25))/(LN(2)/25)*Calculateur!BL64*Calculateur!BN64*VLOOKUP('Données projet'!$B$11,Paramètres!$A$1:$I$89,3,0)*0.475*44/12</f>
        <v>6.0869597532411905</v>
      </c>
      <c r="BR64" s="21">
        <f>EXP(-LN(2)/2)*BR63+(1-EXP(-LN(2)/2))/(LN(2)/2)*BL64*BO64*VLOOKUP('Données projet'!$B$11,Paramètres!$A$1:$I$89,3,0)*0.475*44/12</f>
        <v>9.7024351013662166E-7</v>
      </c>
      <c r="BS64" s="22">
        <f t="shared" si="9"/>
        <v>72.932906364811672</v>
      </c>
      <c r="BT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0</v>
      </c>
      <c r="BY64" s="12">
        <f>IF('Données projet'!$A$114&gt;35,BY63+BX64-CG63,IF(A64&lt;'Données projet'!$A$114,$BV$205^A64,IF(A64='Données projet'!$A$114,'Données projet'!$B$114,BY63+BX64-CG63)))</f>
        <v>0</v>
      </c>
      <c r="BZ64" s="13" t="e">
        <f>BY64*VLOOKUP('Données projet'!$B$12,Paramètres!$A$1:$I$89,3,0)*VLOOKUP('Données projet'!$B$12,Paramètres!$A$1:$I$89,5,0)</f>
        <v>#N/A</v>
      </c>
      <c r="CA64" s="13" t="e">
        <f t="shared" si="39"/>
        <v>#N/A</v>
      </c>
      <c r="CB64" s="20" t="e">
        <f t="shared" si="10"/>
        <v>#N/A</v>
      </c>
      <c r="CC64" s="59" t="e">
        <f t="shared" si="11"/>
        <v>#N/A</v>
      </c>
      <c r="CD64" s="59" t="e">
        <f ca="1">AVERAGE(OFFSET($CC$3,0,0,'Données projet'!$E$12+1,1))-AVERAGE(OFFSET($H$3,0,0,'Données projet'!$E$12+1,1))</f>
        <v>#N/A</v>
      </c>
      <c r="CE64" s="59" t="e">
        <f t="shared" si="40"/>
        <v>#N/A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 t="e">
        <f>EXP(-LN(2)/35)*CK63+(1-EXP(-LN(2)/35))/(LN(2)/35)*CG64*CH64*VLOOKUP('Données projet'!$B$12,Paramètres!$A$1:$I$89,3,0)*0.475*44/12</f>
        <v>#N/A</v>
      </c>
      <c r="CL64" s="21" t="e">
        <f>EXP(-LN(2)/25)*CL63+(1-EXP(-LN(2)/25))/(LN(2)/25)*Calculateur!CG64*Calculateur!CI64*VLOOKUP('Données projet'!$B$12,Paramètres!$A$1:$I$89,3,0)*0.475*44/12</f>
        <v>#N/A</v>
      </c>
      <c r="CM64" s="21" t="e">
        <f>EXP(-LN(2)/2)*CM63+(1-EXP(-LN(2)/2))/(LN(2)/2)*CG64*CJ64*VLOOKUP('Données projet'!$B$12,Paramètres!$A$1:$I$89,3,0)*0.475*44/12</f>
        <v>#N/A</v>
      </c>
      <c r="CN64" s="22" t="e">
        <f t="shared" si="12"/>
        <v>#N/A</v>
      </c>
      <c r="CO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5">
      <c r="A65" s="10">
        <f t="shared" si="31"/>
        <v>62</v>
      </c>
      <c r="B65" s="72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1">
        <f t="shared" si="32"/>
        <v>0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66">
        <f t="shared" si="1"/>
        <v>256.66666666666669</v>
      </c>
      <c r="I65" s="6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13.062500000000007</v>
      </c>
      <c r="N65" s="13">
        <f>IF('Données projet'!$A$36&gt;35,N64+M65-V64,IF(A65&lt;'Données projet'!$A$36,$K$205^A65,IF(A65='Données projet'!$A$36,'Données projet'!$B$36,N64+M65-V64)))</f>
        <v>336.67000000000007</v>
      </c>
      <c r="O65" s="13">
        <f>N65*VLOOKUP('Données projet'!$B$9,Paramètres!$A$1:$I$89,3,0)*VLOOKUP('Données projet'!$B$9,Paramètres!$A$1:$I$89,5,0)</f>
        <v>304.61901600000004</v>
      </c>
      <c r="P65" s="13">
        <f t="shared" si="33"/>
        <v>72.143923875314599</v>
      </c>
      <c r="Q65" s="20">
        <f t="shared" si="53"/>
        <v>656.19545361617304</v>
      </c>
      <c r="R65" s="59">
        <f t="shared" si="0"/>
        <v>949.52878694950641</v>
      </c>
      <c r="S65" s="59">
        <f ca="1">AVERAGE(OFFSET($R$3,0,0,'Données projet'!$E$9+1,1))-AVERAGE(OFFSET($H$3,0,0,'Données projet'!$E$9+1,1))</f>
        <v>700.22008319944644</v>
      </c>
      <c r="T65" s="59">
        <f t="shared" si="34"/>
        <v>253.69632671986739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72.085894344475832</v>
      </c>
      <c r="AA65" s="21">
        <f>EXP(-LN(2)/25)*AA64+(1-EXP(-LN(2)/25))/(LN(2)/25)*Calculateur!V65*Calculateur!X65*VLOOKUP('Données projet'!$B$9,Paramètres!$A$1:$I$89,3,0)*0.475*44/12</f>
        <v>0</v>
      </c>
      <c r="AB65" s="21">
        <f>EXP(-LN(2)/2)*AB64+(1-EXP(-LN(2)/2))/(LN(2)/2)*V65*Y65*VLOOKUP('Données projet'!$B$9,Paramètres!$A$1:$I$89,3,0)*0.475*44/12</f>
        <v>0</v>
      </c>
      <c r="AC65" s="22">
        <f t="shared" si="3"/>
        <v>72.085894344475832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13.062500000000007</v>
      </c>
      <c r="AI65" s="13">
        <f>IF('Données projet'!$A$62&gt;35,AI64+AH65-AQ64,IF(A65&lt;'Données projet'!$A$62,$AF$205^A65,IF(A65='Données projet'!$A$62,'Données projet'!$B$62,AI64+AH65-AQ64)))</f>
        <v>336.67000000000007</v>
      </c>
      <c r="AJ65" s="13">
        <f>AI65*VLOOKUP('Données projet'!$B$10,Paramètres!$A$1:$I$89,3,0)*VLOOKUP('Données projet'!$B$10,Paramètres!$A$1:$I$89,5,0)</f>
        <v>320.37517200000008</v>
      </c>
      <c r="AK65" s="13">
        <f t="shared" si="35"/>
        <v>75.43141016951941</v>
      </c>
      <c r="AL65" s="20">
        <f t="shared" si="4"/>
        <v>689.36313061191311</v>
      </c>
      <c r="AM65" s="59">
        <f t="shared" si="5"/>
        <v>982.69646394524648</v>
      </c>
      <c r="AN65" s="59">
        <f ca="1">AVERAGE(OFFSET($AM$3,0,0,'Données projet'!$E$10+1,1))-AVERAGE(OFFSET($H$3,0,0,'Données projet'!$E$10+1,1))</f>
        <v>733.95677909577444</v>
      </c>
      <c r="AO65" s="59">
        <f t="shared" si="36"/>
        <v>264.63778993239799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75.814475086431486</v>
      </c>
      <c r="AV65" s="21">
        <f>EXP(-LN(2)/25)*AV64+(1-EXP(-LN(2)/25))/(LN(2)/25)*Calculateur!AQ65*Calculateur!AS65*VLOOKUP('Données projet'!$B$10,Paramètres!$A$1:$I$89,3,0)*0.475*44/12</f>
        <v>0</v>
      </c>
      <c r="AW65" s="21">
        <f>EXP(-LN(2)/2)*AW64+(1-EXP(-LN(2)/2))/(LN(2)/2)*AQ65*AT65*VLOOKUP('Données projet'!$B$10,Paramètres!$A$1:$I$89,3,0)*0.475*44/12</f>
        <v>0</v>
      </c>
      <c r="AX65" s="21">
        <f t="shared" si="6"/>
        <v>75.814475086431486</v>
      </c>
      <c r="AY65" s="7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0</v>
      </c>
      <c r="BD65" s="12">
        <f>IF('Données projet'!$A$88&gt;35,BD64+BC65-BL64,IF(A65&lt;'Données projet'!$A$88,$BA$205^A65,IF(A65='Données projet'!$A$88,'Données projet'!$B$88,BD64+BC65-BL64)))</f>
        <v>0</v>
      </c>
      <c r="BE65" s="13">
        <f>BD65*VLOOKUP('Données projet'!$B$11,Paramètres!$A$1:$I$89,3,0)*VLOOKUP('Données projet'!$B$11,Paramètres!$A$1:$I$89,5,0)</f>
        <v>0</v>
      </c>
      <c r="BF65" s="13" t="e">
        <f t="shared" si="37"/>
        <v>#NUM!</v>
      </c>
      <c r="BG65" s="20" t="e">
        <f t="shared" si="7"/>
        <v>#NUM!</v>
      </c>
      <c r="BH65" s="59" t="e">
        <f t="shared" si="8"/>
        <v>#NUM!</v>
      </c>
      <c r="BI65" s="59">
        <f ca="1">AVERAGE(OFFSET($BH$3,0,0,'Données projet'!$E$11+1,1))-AVERAGE(OFFSET($H$3,0,0,'Données projet'!$E$11+1,1))</f>
        <v>187.80389738728508</v>
      </c>
      <c r="BJ65" s="59">
        <f t="shared" si="38"/>
        <v>439.28159165815265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65.535137419301492</v>
      </c>
      <c r="BQ65" s="21">
        <f>EXP(-LN(2)/25)*BQ64+(1-EXP(-LN(2)/25))/(LN(2)/25)*Calculateur!BL65*Calculateur!BN65*VLOOKUP('Données projet'!$B$11,Paramètres!$A$1:$I$89,3,0)*0.475*44/12</f>
        <v>5.9205115186895085</v>
      </c>
      <c r="BR65" s="21">
        <f>EXP(-LN(2)/2)*BR64+(1-EXP(-LN(2)/2))/(LN(2)/2)*BL65*BO65*VLOOKUP('Données projet'!$B$11,Paramètres!$A$1:$I$89,3,0)*0.475*44/12</f>
        <v>6.8606576541984394E-7</v>
      </c>
      <c r="BS65" s="22">
        <f t="shared" si="9"/>
        <v>71.455649624056761</v>
      </c>
      <c r="BT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0</v>
      </c>
      <c r="BY65" s="12">
        <f>IF('Données projet'!$A$114&gt;35,BY64+BX65-CG64,IF(A65&lt;'Données projet'!$A$114,$BV$205^A65,IF(A65='Données projet'!$A$114,'Données projet'!$B$114,BY64+BX65-CG64)))</f>
        <v>0</v>
      </c>
      <c r="BZ65" s="13" t="e">
        <f>BY65*VLOOKUP('Données projet'!$B$12,Paramètres!$A$1:$I$89,3,0)*VLOOKUP('Données projet'!$B$12,Paramètres!$A$1:$I$89,5,0)</f>
        <v>#N/A</v>
      </c>
      <c r="CA65" s="13" t="e">
        <f t="shared" si="39"/>
        <v>#N/A</v>
      </c>
      <c r="CB65" s="20" t="e">
        <f t="shared" si="10"/>
        <v>#N/A</v>
      </c>
      <c r="CC65" s="59" t="e">
        <f t="shared" si="11"/>
        <v>#N/A</v>
      </c>
      <c r="CD65" s="59" t="e">
        <f ca="1">AVERAGE(OFFSET($CC$3,0,0,'Données projet'!$E$12+1,1))-AVERAGE(OFFSET($H$3,0,0,'Données projet'!$E$12+1,1))</f>
        <v>#N/A</v>
      </c>
      <c r="CE65" s="59" t="e">
        <f t="shared" si="40"/>
        <v>#N/A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 t="e">
        <f>EXP(-LN(2)/35)*CK64+(1-EXP(-LN(2)/35))/(LN(2)/35)*CG65*CH65*VLOOKUP('Données projet'!$B$12,Paramètres!$A$1:$I$89,3,0)*0.475*44/12</f>
        <v>#N/A</v>
      </c>
      <c r="CL65" s="21" t="e">
        <f>EXP(-LN(2)/25)*CL64+(1-EXP(-LN(2)/25))/(LN(2)/25)*Calculateur!CG65*Calculateur!CI65*VLOOKUP('Données projet'!$B$12,Paramètres!$A$1:$I$89,3,0)*0.475*44/12</f>
        <v>#N/A</v>
      </c>
      <c r="CM65" s="21" t="e">
        <f>EXP(-LN(2)/2)*CM64+(1-EXP(-LN(2)/2))/(LN(2)/2)*CG65*CJ65*VLOOKUP('Données projet'!$B$12,Paramètres!$A$1:$I$89,3,0)*0.475*44/12</f>
        <v>#N/A</v>
      </c>
      <c r="CN65" s="22" t="e">
        <f t="shared" si="12"/>
        <v>#N/A</v>
      </c>
      <c r="CO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5">
      <c r="A66" s="10">
        <f t="shared" si="31"/>
        <v>63</v>
      </c>
      <c r="B66" s="72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1">
        <f t="shared" si="32"/>
        <v>0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66">
        <f t="shared" si="1"/>
        <v>256.66666666666669</v>
      </c>
      <c r="I66" s="6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13.062500000000007</v>
      </c>
      <c r="N66" s="13">
        <f>IF('Données projet'!$A$36&gt;35,N65+M66-V65,IF(A66&lt;'Données projet'!$A$36,$K$205^A66,IF(A66='Données projet'!$A$36,'Données projet'!$B$36,N65+M66-V65)))</f>
        <v>349.73250000000007</v>
      </c>
      <c r="O66" s="13">
        <f>N66*VLOOKUP('Données projet'!$B$9,Paramètres!$A$1:$I$89,3,0)*VLOOKUP('Données projet'!$B$9,Paramètres!$A$1:$I$89,5,0)</f>
        <v>316.43796600000007</v>
      </c>
      <c r="P66" s="13">
        <f t="shared" si="33"/>
        <v>74.611721064089451</v>
      </c>
      <c r="Q66" s="20">
        <f t="shared" si="53"/>
        <v>681.07820496995589</v>
      </c>
      <c r="R66" s="59">
        <f t="shared" si="0"/>
        <v>974.41153830328926</v>
      </c>
      <c r="S66" s="59">
        <f ca="1">AVERAGE(OFFSET($R$3,0,0,'Données projet'!$E$9+1,1))-AVERAGE(OFFSET($H$3,0,0,'Données projet'!$E$9+1,1))</f>
        <v>700.22008319944644</v>
      </c>
      <c r="T66" s="59">
        <f t="shared" si="34"/>
        <v>253.69632671986739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70.672333924434724</v>
      </c>
      <c r="AA66" s="21">
        <f>EXP(-LN(2)/25)*AA65+(1-EXP(-LN(2)/25))/(LN(2)/25)*Calculateur!V66*Calculateur!X66*VLOOKUP('Données projet'!$B$9,Paramètres!$A$1:$I$89,3,0)*0.475*44/12</f>
        <v>0</v>
      </c>
      <c r="AB66" s="21">
        <f>EXP(-LN(2)/2)*AB65+(1-EXP(-LN(2)/2))/(LN(2)/2)*V66*Y66*VLOOKUP('Données projet'!$B$9,Paramètres!$A$1:$I$89,3,0)*0.475*44/12</f>
        <v>0</v>
      </c>
      <c r="AC66" s="22">
        <f t="shared" si="3"/>
        <v>70.672333924434724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13.062500000000007</v>
      </c>
      <c r="AI66" s="13">
        <f>IF('Données projet'!$A$62&gt;35,AI65+AH66-AQ65,IF(A66&lt;'Données projet'!$A$62,$AF$205^A66,IF(A66='Données projet'!$A$62,'Données projet'!$B$62,AI65+AH66-AQ65)))</f>
        <v>349.73250000000007</v>
      </c>
      <c r="AJ66" s="13">
        <f>AI66*VLOOKUP('Données projet'!$B$10,Paramètres!$A$1:$I$89,3,0)*VLOOKUP('Données projet'!$B$10,Paramètres!$A$1:$I$89,5,0)</f>
        <v>332.80544700000007</v>
      </c>
      <c r="AK66" s="13">
        <f t="shared" si="35"/>
        <v>78.011661034212906</v>
      </c>
      <c r="AL66" s="20">
        <f t="shared" si="4"/>
        <v>715.50646315958772</v>
      </c>
      <c r="AM66" s="59">
        <f t="shared" si="5"/>
        <v>1008.8397964929211</v>
      </c>
      <c r="AN66" s="59">
        <f ca="1">AVERAGE(OFFSET($AM$3,0,0,'Données projet'!$E$10+1,1))-AVERAGE(OFFSET($H$3,0,0,'Données projet'!$E$10+1,1))</f>
        <v>733.95677909577444</v>
      </c>
      <c r="AO66" s="59">
        <f t="shared" si="36"/>
        <v>264.63778993239799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74.327799472250319</v>
      </c>
      <c r="AV66" s="21">
        <f>EXP(-LN(2)/25)*AV65+(1-EXP(-LN(2)/25))/(LN(2)/25)*Calculateur!AQ66*Calculateur!AS66*VLOOKUP('Données projet'!$B$10,Paramètres!$A$1:$I$89,3,0)*0.475*44/12</f>
        <v>0</v>
      </c>
      <c r="AW66" s="21">
        <f>EXP(-LN(2)/2)*AW65+(1-EXP(-LN(2)/2))/(LN(2)/2)*AQ66*AT66*VLOOKUP('Données projet'!$B$10,Paramètres!$A$1:$I$89,3,0)*0.475*44/12</f>
        <v>0</v>
      </c>
      <c r="AX66" s="21">
        <f t="shared" si="6"/>
        <v>74.327799472250319</v>
      </c>
      <c r="AY66" s="7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0</v>
      </c>
      <c r="BD66" s="12">
        <f>IF('Données projet'!$A$88&gt;35,BD65+BC66-BL65,IF(A66&lt;'Données projet'!$A$88,$BA$205^A66,IF(A66='Données projet'!$A$88,'Données projet'!$B$88,BD65+BC66-BL65)))</f>
        <v>0</v>
      </c>
      <c r="BE66" s="13">
        <f>BD66*VLOOKUP('Données projet'!$B$11,Paramètres!$A$1:$I$89,3,0)*VLOOKUP('Données projet'!$B$11,Paramètres!$A$1:$I$89,5,0)</f>
        <v>0</v>
      </c>
      <c r="BF66" s="13" t="e">
        <f t="shared" si="37"/>
        <v>#NUM!</v>
      </c>
      <c r="BG66" s="20" t="e">
        <f t="shared" si="7"/>
        <v>#NUM!</v>
      </c>
      <c r="BH66" s="59" t="e">
        <f t="shared" si="8"/>
        <v>#NUM!</v>
      </c>
      <c r="BI66" s="59">
        <f ca="1">AVERAGE(OFFSET($BH$3,0,0,'Données projet'!$E$11+1,1))-AVERAGE(OFFSET($H$3,0,0,'Données projet'!$E$11+1,1))</f>
        <v>187.80389738728508</v>
      </c>
      <c r="BJ66" s="59">
        <f t="shared" si="38"/>
        <v>439.28159165815265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64.250033346995863</v>
      </c>
      <c r="BQ66" s="21">
        <f>EXP(-LN(2)/25)*BQ65+(1-EXP(-LN(2)/25))/(LN(2)/25)*Calculateur!BL66*Calculateur!BN66*VLOOKUP('Données projet'!$B$11,Paramètres!$A$1:$I$89,3,0)*0.475*44/12</f>
        <v>5.7586148198647749</v>
      </c>
      <c r="BR66" s="21">
        <f>EXP(-LN(2)/2)*BR65+(1-EXP(-LN(2)/2))/(LN(2)/2)*BL66*BO66*VLOOKUP('Données projet'!$B$11,Paramètres!$A$1:$I$89,3,0)*0.475*44/12</f>
        <v>4.8512175506831083E-7</v>
      </c>
      <c r="BS66" s="22">
        <f t="shared" si="9"/>
        <v>70.008648651982398</v>
      </c>
      <c r="BT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0</v>
      </c>
      <c r="BY66" s="12">
        <f>IF('Données projet'!$A$114&gt;35,BY65+BX66-CG65,IF(A66&lt;'Données projet'!$A$114,$BV$205^A66,IF(A66='Données projet'!$A$114,'Données projet'!$B$114,BY65+BX66-CG65)))</f>
        <v>0</v>
      </c>
      <c r="BZ66" s="13" t="e">
        <f>BY66*VLOOKUP('Données projet'!$B$12,Paramètres!$A$1:$I$89,3,0)*VLOOKUP('Données projet'!$B$12,Paramètres!$A$1:$I$89,5,0)</f>
        <v>#N/A</v>
      </c>
      <c r="CA66" s="13" t="e">
        <f t="shared" si="39"/>
        <v>#N/A</v>
      </c>
      <c r="CB66" s="20" t="e">
        <f t="shared" si="10"/>
        <v>#N/A</v>
      </c>
      <c r="CC66" s="59" t="e">
        <f t="shared" si="11"/>
        <v>#N/A</v>
      </c>
      <c r="CD66" s="59" t="e">
        <f ca="1">AVERAGE(OFFSET($CC$3,0,0,'Données projet'!$E$12+1,1))-AVERAGE(OFFSET($H$3,0,0,'Données projet'!$E$12+1,1))</f>
        <v>#N/A</v>
      </c>
      <c r="CE66" s="59" t="e">
        <f t="shared" si="40"/>
        <v>#N/A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 t="e">
        <f>EXP(-LN(2)/35)*CK65+(1-EXP(-LN(2)/35))/(LN(2)/35)*CG66*CH66*VLOOKUP('Données projet'!$B$12,Paramètres!$A$1:$I$89,3,0)*0.475*44/12</f>
        <v>#N/A</v>
      </c>
      <c r="CL66" s="21" t="e">
        <f>EXP(-LN(2)/25)*CL65+(1-EXP(-LN(2)/25))/(LN(2)/25)*Calculateur!CG66*Calculateur!CI66*VLOOKUP('Données projet'!$B$12,Paramètres!$A$1:$I$89,3,0)*0.475*44/12</f>
        <v>#N/A</v>
      </c>
      <c r="CM66" s="21" t="e">
        <f>EXP(-LN(2)/2)*CM65+(1-EXP(-LN(2)/2))/(LN(2)/2)*CG66*CJ66*VLOOKUP('Données projet'!$B$12,Paramètres!$A$1:$I$89,3,0)*0.475*44/12</f>
        <v>#N/A</v>
      </c>
      <c r="CN66" s="22" t="e">
        <f t="shared" si="12"/>
        <v>#N/A</v>
      </c>
      <c r="CO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5">
      <c r="A67" s="10">
        <f t="shared" si="31"/>
        <v>64</v>
      </c>
      <c r="B67" s="72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1">
        <f t="shared" si="32"/>
        <v>0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66">
        <f t="shared" si="1"/>
        <v>256.66666666666669</v>
      </c>
      <c r="I67" s="6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13.062500000000007</v>
      </c>
      <c r="N67" s="13">
        <f>IF('Données projet'!$A$36&gt;35,N66+M67-V66,IF(A67&lt;'Données projet'!$A$36,$K$205^A67,IF(A67='Données projet'!$A$36,'Données projet'!$B$36,N66+M67-V66)))</f>
        <v>362.79500000000007</v>
      </c>
      <c r="O67" s="13">
        <f>N67*VLOOKUP('Données projet'!$B$9,Paramètres!$A$1:$I$89,3,0)*VLOOKUP('Données projet'!$B$9,Paramètres!$A$1:$I$89,5,0)</f>
        <v>328.25691600000005</v>
      </c>
      <c r="P67" s="13">
        <f t="shared" si="33"/>
        <v>77.068810071661119</v>
      </c>
      <c r="Q67" s="20">
        <f t="shared" ref="Q67:Q98" si="54">(O67+P67)*0.475*44/12</f>
        <v>705.94230624147656</v>
      </c>
      <c r="R67" s="59">
        <f t="shared" ref="R67:R130" si="55">Q67+(I67+J67)*44/12</f>
        <v>999.27563957480993</v>
      </c>
      <c r="S67" s="59">
        <f ca="1">AVERAGE(OFFSET($R$3,0,0,'Données projet'!$E$9+1,1))-AVERAGE(OFFSET($H$3,0,0,'Données projet'!$E$9+1,1))</f>
        <v>700.22008319944644</v>
      </c>
      <c r="T67" s="59">
        <f t="shared" si="34"/>
        <v>253.69632671986739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69.286492562043904</v>
      </c>
      <c r="AA67" s="21">
        <f>EXP(-LN(2)/25)*AA66+(1-EXP(-LN(2)/25))/(LN(2)/25)*Calculateur!V67*Calculateur!X67*VLOOKUP('Données projet'!$B$9,Paramètres!$A$1:$I$89,3,0)*0.475*44/12</f>
        <v>0</v>
      </c>
      <c r="AB67" s="21">
        <f>EXP(-LN(2)/2)*AB66+(1-EXP(-LN(2)/2))/(LN(2)/2)*V67*Y67*VLOOKUP('Données projet'!$B$9,Paramètres!$A$1:$I$89,3,0)*0.475*44/12</f>
        <v>0</v>
      </c>
      <c r="AC67" s="22">
        <f t="shared" si="3"/>
        <v>69.286492562043904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13.062500000000007</v>
      </c>
      <c r="AI67" s="13">
        <f>IF('Données projet'!$A$62&gt;35,AI66+AH67-AQ66,IF(A67&lt;'Données projet'!$A$62,$AF$205^A67,IF(A67='Données projet'!$A$62,'Données projet'!$B$62,AI66+AH67-AQ66)))</f>
        <v>362.79500000000007</v>
      </c>
      <c r="AJ67" s="13">
        <f>AI67*VLOOKUP('Données projet'!$B$10,Paramètres!$A$1:$I$89,3,0)*VLOOKUP('Données projet'!$B$10,Paramètres!$A$1:$I$89,5,0)</f>
        <v>345.23572200000007</v>
      </c>
      <c r="AK67" s="13">
        <f t="shared" si="35"/>
        <v>80.580715762556764</v>
      </c>
      <c r="AL67" s="20">
        <f t="shared" si="4"/>
        <v>741.63029576978636</v>
      </c>
      <c r="AM67" s="59">
        <f t="shared" si="5"/>
        <v>1034.9636291031197</v>
      </c>
      <c r="AN67" s="59">
        <f ca="1">AVERAGE(OFFSET($AM$3,0,0,'Données projet'!$E$10+1,1))-AVERAGE(OFFSET($H$3,0,0,'Données projet'!$E$10+1,1))</f>
        <v>733.95677909577444</v>
      </c>
      <c r="AO67" s="59">
        <f t="shared" si="36"/>
        <v>264.63778993239799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72.870276660080663</v>
      </c>
      <c r="AV67" s="21">
        <f>EXP(-LN(2)/25)*AV66+(1-EXP(-LN(2)/25))/(LN(2)/25)*Calculateur!AQ67*Calculateur!AS67*VLOOKUP('Données projet'!$B$10,Paramètres!$A$1:$I$89,3,0)*0.475*44/12</f>
        <v>0</v>
      </c>
      <c r="AW67" s="21">
        <f>EXP(-LN(2)/2)*AW66+(1-EXP(-LN(2)/2))/(LN(2)/2)*AQ67*AT67*VLOOKUP('Données projet'!$B$10,Paramètres!$A$1:$I$89,3,0)*0.475*44/12</f>
        <v>0</v>
      </c>
      <c r="AX67" s="21">
        <f t="shared" si="6"/>
        <v>72.870276660080663</v>
      </c>
      <c r="AY67" s="7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0</v>
      </c>
      <c r="BD67" s="12">
        <f>IF('Données projet'!$A$88&gt;35,BD66+BC67-BL66,IF(A67&lt;'Données projet'!$A$88,$BA$205^A67,IF(A67='Données projet'!$A$88,'Données projet'!$B$88,BD66+BC67-BL66)))</f>
        <v>0</v>
      </c>
      <c r="BE67" s="13">
        <f>BD67*VLOOKUP('Données projet'!$B$11,Paramètres!$A$1:$I$89,3,0)*VLOOKUP('Données projet'!$B$11,Paramètres!$A$1:$I$89,5,0)</f>
        <v>0</v>
      </c>
      <c r="BF67" s="13" t="e">
        <f t="shared" si="37"/>
        <v>#NUM!</v>
      </c>
      <c r="BG67" s="20" t="e">
        <f t="shared" si="7"/>
        <v>#NUM!</v>
      </c>
      <c r="BH67" s="59" t="e">
        <f t="shared" si="8"/>
        <v>#NUM!</v>
      </c>
      <c r="BI67" s="59">
        <f ca="1">AVERAGE(OFFSET($BH$3,0,0,'Données projet'!$E$11+1,1))-AVERAGE(OFFSET($H$3,0,0,'Données projet'!$E$11+1,1))</f>
        <v>187.80389738728508</v>
      </c>
      <c r="BJ67" s="59">
        <f t="shared" si="38"/>
        <v>439.28159165815265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62.990129381712059</v>
      </c>
      <c r="BQ67" s="21">
        <f>EXP(-LN(2)/25)*BQ66+(1-EXP(-LN(2)/25))/(LN(2)/25)*Calculateur!BL67*Calculateur!BN67*VLOOKUP('Données projet'!$B$11,Paramètres!$A$1:$I$89,3,0)*0.475*44/12</f>
        <v>5.6011451947831805</v>
      </c>
      <c r="BR67" s="21">
        <f>EXP(-LN(2)/2)*BR66+(1-EXP(-LN(2)/2))/(LN(2)/2)*BL67*BO67*VLOOKUP('Données projet'!$B$11,Paramètres!$A$1:$I$89,3,0)*0.475*44/12</f>
        <v>3.4303288270992197E-7</v>
      </c>
      <c r="BS67" s="22">
        <f t="shared" si="9"/>
        <v>68.591274919528118</v>
      </c>
      <c r="BT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0</v>
      </c>
      <c r="BY67" s="12">
        <f>IF('Données projet'!$A$114&gt;35,BY66+BX67-CG66,IF(A67&lt;'Données projet'!$A$114,$BV$205^A67,IF(A67='Données projet'!$A$114,'Données projet'!$B$114,BY66+BX67-CG66)))</f>
        <v>0</v>
      </c>
      <c r="BZ67" s="13" t="e">
        <f>BY67*VLOOKUP('Données projet'!$B$12,Paramètres!$A$1:$I$89,3,0)*VLOOKUP('Données projet'!$B$12,Paramètres!$A$1:$I$89,5,0)</f>
        <v>#N/A</v>
      </c>
      <c r="CA67" s="13" t="e">
        <f t="shared" si="39"/>
        <v>#N/A</v>
      </c>
      <c r="CB67" s="20" t="e">
        <f t="shared" si="10"/>
        <v>#N/A</v>
      </c>
      <c r="CC67" s="59" t="e">
        <f t="shared" si="11"/>
        <v>#N/A</v>
      </c>
      <c r="CD67" s="59" t="e">
        <f ca="1">AVERAGE(OFFSET($CC$3,0,0,'Données projet'!$E$12+1,1))-AVERAGE(OFFSET($H$3,0,0,'Données projet'!$E$12+1,1))</f>
        <v>#N/A</v>
      </c>
      <c r="CE67" s="59" t="e">
        <f t="shared" si="40"/>
        <v>#N/A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 t="e">
        <f>EXP(-LN(2)/35)*CK66+(1-EXP(-LN(2)/35))/(LN(2)/35)*CG67*CH67*VLOOKUP('Données projet'!$B$12,Paramètres!$A$1:$I$89,3,0)*0.475*44/12</f>
        <v>#N/A</v>
      </c>
      <c r="CL67" s="21" t="e">
        <f>EXP(-LN(2)/25)*CL66+(1-EXP(-LN(2)/25))/(LN(2)/25)*Calculateur!CG67*Calculateur!CI67*VLOOKUP('Données projet'!$B$12,Paramètres!$A$1:$I$89,3,0)*0.475*44/12</f>
        <v>#N/A</v>
      </c>
      <c r="CM67" s="21" t="e">
        <f>EXP(-LN(2)/2)*CM66+(1-EXP(-LN(2)/2))/(LN(2)/2)*CG67*CJ67*VLOOKUP('Données projet'!$B$12,Paramètres!$A$1:$I$89,3,0)*0.475*44/12</f>
        <v>#N/A</v>
      </c>
      <c r="CN67" s="22" t="e">
        <f t="shared" si="12"/>
        <v>#N/A</v>
      </c>
      <c r="CO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35">
      <c r="A68" s="10">
        <f t="shared" si="31"/>
        <v>65</v>
      </c>
      <c r="B68" s="72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1">
        <f t="shared" si="32"/>
        <v>0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66">
        <f t="shared" ref="H68:H131" si="56">(B68+E68+F68)*44/12+(C68+D68)*0.475*44/12</f>
        <v>256.66666666666669</v>
      </c>
      <c r="I68" s="6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13.062500000000007</v>
      </c>
      <c r="N68" s="13">
        <f>IF('Données projet'!$A$36&gt;35,N67+M68-V67,IF(A68&lt;'Données projet'!$A$36,$K$205^A68,IF(A68='Données projet'!$A$36,'Données projet'!$B$36,N67+M68-V67)))</f>
        <v>375.85750000000007</v>
      </c>
      <c r="O68" s="13">
        <f>N68*VLOOKUP('Données projet'!$B$9,Paramètres!$A$1:$I$89,3,0)*VLOOKUP('Données projet'!$B$9,Paramètres!$A$1:$I$89,5,0)</f>
        <v>340.07586600000008</v>
      </c>
      <c r="P68" s="13">
        <f t="shared" si="33"/>
        <v>79.515620614191235</v>
      </c>
      <c r="Q68" s="20">
        <f t="shared" si="54"/>
        <v>730.78850585304974</v>
      </c>
      <c r="R68" s="59">
        <f t="shared" si="55"/>
        <v>1024.1218391863831</v>
      </c>
      <c r="S68" s="59">
        <f ca="1">AVERAGE(OFFSET($R$3,0,0,'Données projet'!$E$9+1,1))-AVERAGE(OFFSET($H$3,0,0,'Données projet'!$E$9+1,1))</f>
        <v>700.22008319944644</v>
      </c>
      <c r="T68" s="59">
        <f t="shared" si="34"/>
        <v>253.69632671986739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67.927826703489799</v>
      </c>
      <c r="AA68" s="21">
        <f>EXP(-LN(2)/25)*AA67+(1-EXP(-LN(2)/25))/(LN(2)/25)*Calculateur!V68*Calculateur!X68*VLOOKUP('Données projet'!$B$9,Paramètres!$A$1:$I$89,3,0)*0.475*44/12</f>
        <v>0</v>
      </c>
      <c r="AB68" s="21">
        <f>EXP(-LN(2)/2)*AB67+(1-EXP(-LN(2)/2))/(LN(2)/2)*V68*Y68*VLOOKUP('Données projet'!$B$9,Paramètres!$A$1:$I$89,3,0)*0.475*44/12</f>
        <v>0</v>
      </c>
      <c r="AC68" s="22">
        <f t="shared" ref="AC68:AC131" si="57">SUM(Z68:AB68)</f>
        <v>67.927826703489799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13.062500000000007</v>
      </c>
      <c r="AI68" s="13">
        <f>IF('Données projet'!$A$62&gt;35,AI67+AH68-AQ67,IF(A68&lt;'Données projet'!$A$62,$AF$205^A68,IF(A68='Données projet'!$A$62,'Données projet'!$B$62,AI67+AH68-AQ67)))</f>
        <v>375.85750000000007</v>
      </c>
      <c r="AJ68" s="13">
        <f>AI68*VLOOKUP('Données projet'!$B$10,Paramètres!$A$1:$I$89,3,0)*VLOOKUP('Données projet'!$B$10,Paramètres!$A$1:$I$89,5,0)</f>
        <v>357.66599700000006</v>
      </c>
      <c r="AK68" s="13">
        <f t="shared" si="35"/>
        <v>83.139023652209147</v>
      </c>
      <c r="AL68" s="20">
        <f t="shared" ref="AL68:AL131" si="58">(AJ68+AK68)*0.475*44/12</f>
        <v>767.73541096926454</v>
      </c>
      <c r="AM68" s="59">
        <f t="shared" ref="AM68:AM131" si="59">AL68+(AD68+AE68)*44/12</f>
        <v>1061.0687443025979</v>
      </c>
      <c r="AN68" s="59">
        <f ca="1">AVERAGE(OFFSET($AM$3,0,0,'Données projet'!$E$10+1,1))-AVERAGE(OFFSET($H$3,0,0,'Données projet'!$E$10+1,1))</f>
        <v>733.95677909577444</v>
      </c>
      <c r="AO68" s="59">
        <f t="shared" si="36"/>
        <v>264.63778993239799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71.441334981256517</v>
      </c>
      <c r="AV68" s="21">
        <f>EXP(-LN(2)/25)*AV67+(1-EXP(-LN(2)/25))/(LN(2)/25)*Calculateur!AQ68*Calculateur!AS68*VLOOKUP('Données projet'!$B$10,Paramètres!$A$1:$I$89,3,0)*0.475*44/12</f>
        <v>0</v>
      </c>
      <c r="AW68" s="21">
        <f>EXP(-LN(2)/2)*AW67+(1-EXP(-LN(2)/2))/(LN(2)/2)*AQ68*AT68*VLOOKUP('Données projet'!$B$10,Paramètres!$A$1:$I$89,3,0)*0.475*44/12</f>
        <v>0</v>
      </c>
      <c r="AX68" s="21">
        <f t="shared" ref="AX68:AX131" si="60">SUM(AU68:AW68)</f>
        <v>71.441334981256517</v>
      </c>
      <c r="AY68" s="7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0</v>
      </c>
      <c r="BD68" s="12">
        <f>IF('Données projet'!$A$88&gt;35,BD67+BC68-BL67,IF(A68&lt;'Données projet'!$A$88,$BA$205^A68,IF(A68='Données projet'!$A$88,'Données projet'!$B$88,BD67+BC68-BL67)))</f>
        <v>0</v>
      </c>
      <c r="BE68" s="13">
        <f>BD68*VLOOKUP('Données projet'!$B$11,Paramètres!$A$1:$I$89,3,0)*VLOOKUP('Données projet'!$B$11,Paramètres!$A$1:$I$89,5,0)</f>
        <v>0</v>
      </c>
      <c r="BF68" s="13" t="e">
        <f t="shared" si="37"/>
        <v>#NUM!</v>
      </c>
      <c r="BG68" s="20" t="e">
        <f t="shared" ref="BG68:BG131" si="61">(BE68+BF68)*0.475*44/12</f>
        <v>#NUM!</v>
      </c>
      <c r="BH68" s="59" t="e">
        <f t="shared" ref="BH68:BH131" si="62">BG68+(AY68+AZ68)*44/12</f>
        <v>#NUM!</v>
      </c>
      <c r="BI68" s="59">
        <f ca="1">AVERAGE(OFFSET($BH$3,0,0,'Données projet'!$E$11+1,1))-AVERAGE(OFFSET($H$3,0,0,'Données projet'!$E$11+1,1))</f>
        <v>187.80389738728508</v>
      </c>
      <c r="BJ68" s="59">
        <f t="shared" si="38"/>
        <v>439.28159165815265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61.754931364721934</v>
      </c>
      <c r="BQ68" s="21">
        <f>EXP(-LN(2)/25)*BQ67+(1-EXP(-LN(2)/25))/(LN(2)/25)*Calculateur!BL68*Calculateur!BN68*VLOOKUP('Données projet'!$B$11,Paramètres!$A$1:$I$89,3,0)*0.475*44/12</f>
        <v>5.4479815848804103</v>
      </c>
      <c r="BR68" s="21">
        <f>EXP(-LN(2)/2)*BR67+(1-EXP(-LN(2)/2))/(LN(2)/2)*BL68*BO68*VLOOKUP('Données projet'!$B$11,Paramètres!$A$1:$I$89,3,0)*0.475*44/12</f>
        <v>2.4256087753415542E-7</v>
      </c>
      <c r="BS68" s="22">
        <f t="shared" ref="BS68:BS131" si="63">SUM(BP68:BR68)</f>
        <v>67.202913192163223</v>
      </c>
      <c r="BT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0</v>
      </c>
      <c r="BY68" s="12">
        <f>IF('Données projet'!$A$114&gt;35,BY67+BX68-CG67,IF(A68&lt;'Données projet'!$A$114,$BV$205^A68,IF(A68='Données projet'!$A$114,'Données projet'!$B$114,BY67+BX68-CG67)))</f>
        <v>0</v>
      </c>
      <c r="BZ68" s="13" t="e">
        <f>BY68*VLOOKUP('Données projet'!$B$12,Paramètres!$A$1:$I$89,3,0)*VLOOKUP('Données projet'!$B$12,Paramètres!$A$1:$I$89,5,0)</f>
        <v>#N/A</v>
      </c>
      <c r="CA68" s="13" t="e">
        <f t="shared" si="39"/>
        <v>#N/A</v>
      </c>
      <c r="CB68" s="20" t="e">
        <f t="shared" ref="CB68:CB131" si="64">(BZ68+CA68)*0.475*44/12</f>
        <v>#N/A</v>
      </c>
      <c r="CC68" s="59" t="e">
        <f t="shared" ref="CC68:CC131" si="65">CB68+(BT68+BU68)*44/12</f>
        <v>#N/A</v>
      </c>
      <c r="CD68" s="59" t="e">
        <f ca="1">AVERAGE(OFFSET($CC$3,0,0,'Données projet'!$E$12+1,1))-AVERAGE(OFFSET($H$3,0,0,'Données projet'!$E$12+1,1))</f>
        <v>#N/A</v>
      </c>
      <c r="CE68" s="59" t="e">
        <f t="shared" si="40"/>
        <v>#N/A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 t="e">
        <f>EXP(-LN(2)/35)*CK67+(1-EXP(-LN(2)/35))/(LN(2)/35)*CG68*CH68*VLOOKUP('Données projet'!$B$12,Paramètres!$A$1:$I$89,3,0)*0.475*44/12</f>
        <v>#N/A</v>
      </c>
      <c r="CL68" s="21" t="e">
        <f>EXP(-LN(2)/25)*CL67+(1-EXP(-LN(2)/25))/(LN(2)/25)*Calculateur!CG68*Calculateur!CI68*VLOOKUP('Données projet'!$B$12,Paramètres!$A$1:$I$89,3,0)*0.475*44/12</f>
        <v>#N/A</v>
      </c>
      <c r="CM68" s="21" t="e">
        <f>EXP(-LN(2)/2)*CM67+(1-EXP(-LN(2)/2))/(LN(2)/2)*CG68*CJ68*VLOOKUP('Données projet'!$B$12,Paramètres!$A$1:$I$89,3,0)*0.475*44/12</f>
        <v>#N/A</v>
      </c>
      <c r="CN68" s="22" t="e">
        <f t="shared" ref="CN68:CN131" si="66">SUM(CK68:CM68)</f>
        <v>#N/A</v>
      </c>
      <c r="CO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35">
      <c r="A69" s="10">
        <f t="shared" ref="A69:A132" si="85">A68+1</f>
        <v>66</v>
      </c>
      <c r="B69" s="72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1">
        <f t="shared" ref="D69:D132" si="86">IFERROR(EXP(-1.0587+0.8836*LN(C69)+0.284),0)</f>
        <v>0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66">
        <f t="shared" si="56"/>
        <v>256.66666666666669</v>
      </c>
      <c r="I69" s="6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>
        <f>VLOOKUP(A69,'Données projet'!$A$35:$I$55,2,0)</f>
        <v>388.92</v>
      </c>
      <c r="L69" s="12">
        <f>VLOOKUP(A69,'Données projet'!$A$35:$I$55,9,0)</f>
        <v>13.062500000000007</v>
      </c>
      <c r="M69" s="12">
        <f t="array" ref="M69">INDEX(L:L,MIN(IF(ISNUMBER(L69:L265),ROW(L69:L265),"")))</f>
        <v>13.062500000000007</v>
      </c>
      <c r="N69" s="13">
        <f>IF('Données projet'!$A$36&gt;35,N68+M69-V68,IF(A69&lt;'Données projet'!$A$36,$K$205^A69,IF(A69='Données projet'!$A$36,'Données projet'!$B$36,N68+M69-V68)))</f>
        <v>388.92000000000007</v>
      </c>
      <c r="O69" s="13">
        <f>N69*VLOOKUP('Données projet'!$B$9,Paramètres!$A$1:$I$89,3,0)*VLOOKUP('Données projet'!$B$9,Paramètres!$A$1:$I$89,5,0)</f>
        <v>351.89481600000005</v>
      </c>
      <c r="P69" s="13">
        <f t="shared" ref="P69:P132" si="87">EXP(-1.0587+0.8836*LN(O69)+0.284)</f>
        <v>81.952550845391471</v>
      </c>
      <c r="Q69" s="20">
        <f t="shared" si="54"/>
        <v>755.61749725572361</v>
      </c>
      <c r="R69" s="59">
        <f t="shared" si="55"/>
        <v>1048.950830589057</v>
      </c>
      <c r="S69" s="59">
        <f ca="1">AVERAGE(OFFSET($R$3,0,0,'Données projet'!$E$9+1,1))-AVERAGE(OFFSET($H$3,0,0,'Données projet'!$E$9+1,1))</f>
        <v>700.22008319944644</v>
      </c>
      <c r="T69" s="59">
        <f t="shared" ref="T69:T132" si="88">$T$3</f>
        <v>253.69632671986739</v>
      </c>
      <c r="U69" s="15">
        <f>IF(ISNA(VLOOKUP(A69,'Données projet'!$A$35:$I$55,3,0)),0,VLOOKUP(A69,'Données projet'!$A$35:$I$55,3,0))</f>
        <v>5</v>
      </c>
      <c r="V69" s="15">
        <f>IF(ISNA(VLOOKUP(A69,'Données projet'!$A$35:$I$55,4,0)),0,VLOOKUP(A69,'Données projet'!$A$35:$I$55,4,0))</f>
        <v>71.34</v>
      </c>
      <c r="W69" s="16">
        <f>IF(ISNA(VLOOKUP(A69,'Données projet'!$A$35:$I$55,5,0)),0%,VLOOKUP(A69,'Données projet'!$A$35:$I$55,5,0)*VLOOKUP('Données projet'!$B$9,Paramètres!$A$1:$I$89,7,0))</f>
        <v>0.43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97.279046690875219</v>
      </c>
      <c r="AA69" s="21">
        <f>EXP(-LN(2)/25)*AA68+(1-EXP(-LN(2)/25))/(LN(2)/25)*Calculateur!V69*Calculateur!X69*VLOOKUP('Données projet'!$B$9,Paramètres!$A$1:$I$89,3,0)*0.475*44/12</f>
        <v>0</v>
      </c>
      <c r="AB69" s="21">
        <f>EXP(-LN(2)/2)*AB68+(1-EXP(-LN(2)/2))/(LN(2)/2)*V69*Y69*VLOOKUP('Données projet'!$B$9,Paramètres!$A$1:$I$89,3,0)*0.475*44/12</f>
        <v>0</v>
      </c>
      <c r="AC69" s="22">
        <f t="shared" si="57"/>
        <v>97.279046690875219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>
        <f>VLOOKUP(A69,'Données projet'!$A$61:$I$81,2,0)</f>
        <v>388.92</v>
      </c>
      <c r="AG69" s="12">
        <f>VLOOKUP(A69,'Données projet'!$A$61:$I$81,9,0)</f>
        <v>13.062500000000007</v>
      </c>
      <c r="AH69" s="12">
        <f t="array" ref="AH69">INDEX(AG:AG,MIN(IF(ISNUMBER(AG69:AG265),ROW(AG69:AG265),"")))</f>
        <v>13.062500000000007</v>
      </c>
      <c r="AI69" s="13">
        <f>IF('Données projet'!$A$62&gt;35,AI68+AH69-AQ68,IF(A69&lt;'Données projet'!$A$62,$AF$205^A69,IF(A69='Données projet'!$A$62,'Données projet'!$B$62,AI68+AH69-AQ68)))</f>
        <v>388.92000000000007</v>
      </c>
      <c r="AJ69" s="13">
        <f>AI69*VLOOKUP('Données projet'!$B$10,Paramètres!$A$1:$I$89,3,0)*VLOOKUP('Données projet'!$B$10,Paramètres!$A$1:$I$89,5,0)</f>
        <v>370.09627200000011</v>
      </c>
      <c r="AK69" s="13">
        <f t="shared" ref="AK69:AK132" si="89">EXP(-1.0587+0.8836*LN(AJ69)+0.284)</f>
        <v>85.687001000126386</v>
      </c>
      <c r="AL69" s="20">
        <f t="shared" si="58"/>
        <v>793.82253380855354</v>
      </c>
      <c r="AM69" s="59">
        <f t="shared" si="59"/>
        <v>1087.1558671418868</v>
      </c>
      <c r="AN69" s="59">
        <f ca="1">AVERAGE(OFFSET($AM$3,0,0,'Données projet'!$E$10+1,1))-AVERAGE(OFFSET($H$3,0,0,'Données projet'!$E$10+1,1))</f>
        <v>733.95677909577444</v>
      </c>
      <c r="AO69" s="59">
        <f t="shared" ref="AO69:AO132" si="90">$AO$3</f>
        <v>264.63778993239799</v>
      </c>
      <c r="AP69" s="15">
        <f>IF(ISNA(VLOOKUP(A69,'Données projet'!$A$61:$I$81,3,0)),0,VLOOKUP(A69,'Données projet'!$A$61:$I$81,3,0))</f>
        <v>5</v>
      </c>
      <c r="AQ69" s="15">
        <f>IF(ISNA(VLOOKUP(A69,'Données projet'!$A$61:$I$81,4,0)),0,VLOOKUP(A69,'Données projet'!$A$61:$I$81,4,0))</f>
        <v>71.34</v>
      </c>
      <c r="AR69" s="16">
        <f>IF(ISNA(VLOOKUP(A69,'Données projet'!$A$61:$I$81,5,0)),0%,VLOOKUP(A69,'Données projet'!$A$61:$I$81,5,0)*VLOOKUP('Données projet'!$B$10,Paramètres!$A$1:$I$89,7,0))</f>
        <v>0.43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102.31072151971361</v>
      </c>
      <c r="AV69" s="21">
        <f>EXP(-LN(2)/25)*AV68+(1-EXP(-LN(2)/25))/(LN(2)/25)*Calculateur!AQ69*Calculateur!AS69*VLOOKUP('Données projet'!$B$10,Paramètres!$A$1:$I$89,3,0)*0.475*44/12</f>
        <v>0</v>
      </c>
      <c r="AW69" s="21">
        <f>EXP(-LN(2)/2)*AW68+(1-EXP(-LN(2)/2))/(LN(2)/2)*AQ69*AT69*VLOOKUP('Données projet'!$B$10,Paramètres!$A$1:$I$89,3,0)*0.475*44/12</f>
        <v>0</v>
      </c>
      <c r="AX69" s="21">
        <f t="shared" si="60"/>
        <v>102.31072151971361</v>
      </c>
      <c r="AY69" s="7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0</v>
      </c>
      <c r="BD69" s="12">
        <f>IF('Données projet'!$A$88&gt;35,BD68+BC69-BL68,IF(A69&lt;'Données projet'!$A$88,$BA$205^A69,IF(A69='Données projet'!$A$88,'Données projet'!$B$88,BD68+BC69-BL68)))</f>
        <v>0</v>
      </c>
      <c r="BE69" s="13">
        <f>BD69*VLOOKUP('Données projet'!$B$11,Paramètres!$A$1:$I$89,3,0)*VLOOKUP('Données projet'!$B$11,Paramètres!$A$1:$I$89,5,0)</f>
        <v>0</v>
      </c>
      <c r="BF69" s="13" t="e">
        <f t="shared" ref="BF69:BF132" si="91">EXP(-1.0587+0.8836*LN(BE69)+0.284)</f>
        <v>#NUM!</v>
      </c>
      <c r="BG69" s="20" t="e">
        <f t="shared" si="61"/>
        <v>#NUM!</v>
      </c>
      <c r="BH69" s="59" t="e">
        <f t="shared" si="62"/>
        <v>#NUM!</v>
      </c>
      <c r="BI69" s="59">
        <f ca="1">AVERAGE(OFFSET($BH$3,0,0,'Données projet'!$E$11+1,1))-AVERAGE(OFFSET($H$3,0,0,'Données projet'!$E$11+1,1))</f>
        <v>187.80389738728508</v>
      </c>
      <c r="BJ69" s="59">
        <f t="shared" ref="BJ69:BJ132" si="92">$BJ$3</f>
        <v>439.28159165815265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60.54395482744858</v>
      </c>
      <c r="BQ69" s="21">
        <f>EXP(-LN(2)/25)*BQ68+(1-EXP(-LN(2)/25))/(LN(2)/25)*Calculateur!BL69*Calculateur!BN69*VLOOKUP('Données projet'!$B$11,Paramètres!$A$1:$I$89,3,0)*0.475*44/12</f>
        <v>5.2990062419449551</v>
      </c>
      <c r="BR69" s="21">
        <f>EXP(-LN(2)/2)*BR68+(1-EXP(-LN(2)/2))/(LN(2)/2)*BL69*BO69*VLOOKUP('Données projet'!$B$11,Paramètres!$A$1:$I$89,3,0)*0.475*44/12</f>
        <v>1.7151644135496099E-7</v>
      </c>
      <c r="BS69" s="22">
        <f t="shared" si="63"/>
        <v>65.842961240909986</v>
      </c>
      <c r="BT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</v>
      </c>
      <c r="BY69" s="12">
        <f>IF('Données projet'!$A$114&gt;35,BY68+BX69-CG68,IF(A69&lt;'Données projet'!$A$114,$BV$205^A69,IF(A69='Données projet'!$A$114,'Données projet'!$B$114,BY68+BX69-CG68)))</f>
        <v>0</v>
      </c>
      <c r="BZ69" s="13" t="e">
        <f>BY69*VLOOKUP('Données projet'!$B$12,Paramètres!$A$1:$I$89,3,0)*VLOOKUP('Données projet'!$B$12,Paramètres!$A$1:$I$89,5,0)</f>
        <v>#N/A</v>
      </c>
      <c r="CA69" s="13" t="e">
        <f t="shared" ref="CA69:CA132" si="93">EXP(-1.0587+0.8836*LN(BZ69)+0.284)</f>
        <v>#N/A</v>
      </c>
      <c r="CB69" s="20" t="e">
        <f t="shared" si="64"/>
        <v>#N/A</v>
      </c>
      <c r="CC69" s="59" t="e">
        <f t="shared" si="65"/>
        <v>#N/A</v>
      </c>
      <c r="CD69" s="59" t="e">
        <f ca="1">AVERAGE(OFFSET($CC$3,0,0,'Données projet'!$E$12+1,1))-AVERAGE(OFFSET($H$3,0,0,'Données projet'!$E$12+1,1))</f>
        <v>#N/A</v>
      </c>
      <c r="CE69" s="59" t="e">
        <f t="shared" ref="CE69:CE132" si="94">$CE$3</f>
        <v>#N/A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 t="e">
        <f>EXP(-LN(2)/35)*CK68+(1-EXP(-LN(2)/35))/(LN(2)/35)*CG69*CH69*VLOOKUP('Données projet'!$B$12,Paramètres!$A$1:$I$89,3,0)*0.475*44/12</f>
        <v>#N/A</v>
      </c>
      <c r="CL69" s="21" t="e">
        <f>EXP(-LN(2)/25)*CL68+(1-EXP(-LN(2)/25))/(LN(2)/25)*Calculateur!CG69*Calculateur!CI69*VLOOKUP('Données projet'!$B$12,Paramètres!$A$1:$I$89,3,0)*0.475*44/12</f>
        <v>#N/A</v>
      </c>
      <c r="CM69" s="21" t="e">
        <f>EXP(-LN(2)/2)*CM68+(1-EXP(-LN(2)/2))/(LN(2)/2)*CG69*CJ69*VLOOKUP('Données projet'!$B$12,Paramètres!$A$1:$I$89,3,0)*0.475*44/12</f>
        <v>#N/A</v>
      </c>
      <c r="CN69" s="22" t="e">
        <f t="shared" si="66"/>
        <v>#N/A</v>
      </c>
      <c r="CO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35">
      <c r="A70" s="10">
        <f t="shared" si="85"/>
        <v>67</v>
      </c>
      <c r="B70" s="72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1">
        <f t="shared" si="86"/>
        <v>0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66">
        <f t="shared" si="56"/>
        <v>256.66666666666669</v>
      </c>
      <c r="I70" s="6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12.152499999999996</v>
      </c>
      <c r="N70" s="13">
        <f>IF('Données projet'!$A$36&gt;35,N69+M70-V69,IF(A70&lt;'Données projet'!$A$36,$K$205^A70,IF(A70='Données projet'!$A$36,'Données projet'!$B$36,N69+M70-V69)))</f>
        <v>329.73250000000007</v>
      </c>
      <c r="O70" s="13">
        <f>N70*VLOOKUP('Données projet'!$B$9,Paramètres!$A$1:$I$89,3,0)*VLOOKUP('Données projet'!$B$9,Paramètres!$A$1:$I$89,5,0)</f>
        <v>298.34196600000007</v>
      </c>
      <c r="P70" s="13">
        <f t="shared" si="87"/>
        <v>70.828763828333464</v>
      </c>
      <c r="Q70" s="20">
        <f t="shared" si="54"/>
        <v>642.97235445101421</v>
      </c>
      <c r="R70" s="59">
        <f t="shared" si="55"/>
        <v>936.30568778434758</v>
      </c>
      <c r="S70" s="59">
        <f ca="1">AVERAGE(OFFSET($R$3,0,0,'Données projet'!$E$9+1,1))-AVERAGE(OFFSET($H$3,0,0,'Données projet'!$E$9+1,1))</f>
        <v>700.22008319944644</v>
      </c>
      <c r="T70" s="59">
        <f t="shared" si="88"/>
        <v>253.69632671986739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95.371463919626862</v>
      </c>
      <c r="AA70" s="21">
        <f>EXP(-LN(2)/25)*AA69+(1-EXP(-LN(2)/25))/(LN(2)/25)*Calculateur!V70*Calculateur!X70*VLOOKUP('Données projet'!$B$9,Paramètres!$A$1:$I$89,3,0)*0.475*44/12</f>
        <v>0</v>
      </c>
      <c r="AB70" s="21">
        <f>EXP(-LN(2)/2)*AB69+(1-EXP(-LN(2)/2))/(LN(2)/2)*V70*Y70*VLOOKUP('Données projet'!$B$9,Paramètres!$A$1:$I$89,3,0)*0.475*44/12</f>
        <v>0</v>
      </c>
      <c r="AC70" s="22">
        <f t="shared" si="57"/>
        <v>95.371463919626862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12.152499999999996</v>
      </c>
      <c r="AI70" s="13">
        <f>IF('Données projet'!$A$62&gt;35,AI69+AH70-AQ69,IF(A70&lt;'Données projet'!$A$62,$AF$205^A70,IF(A70='Données projet'!$A$62,'Données projet'!$B$62,AI69+AH70-AQ69)))</f>
        <v>329.73250000000007</v>
      </c>
      <c r="AJ70" s="13">
        <f>AI70*VLOOKUP('Données projet'!$B$10,Paramètres!$A$1:$I$89,3,0)*VLOOKUP('Données projet'!$B$10,Paramètres!$A$1:$I$89,5,0)</f>
        <v>313.77344700000009</v>
      </c>
      <c r="AK70" s="13">
        <f t="shared" si="89"/>
        <v>74.056320326695612</v>
      </c>
      <c r="AL70" s="20">
        <f t="shared" si="58"/>
        <v>675.47017809399495</v>
      </c>
      <c r="AM70" s="59">
        <f t="shared" si="59"/>
        <v>968.8035114273282</v>
      </c>
      <c r="AN70" s="59">
        <f ca="1">AVERAGE(OFFSET($AM$3,0,0,'Données projet'!$E$10+1,1))-AVERAGE(OFFSET($H$3,0,0,'Données projet'!$E$10+1,1))</f>
        <v>733.95677909577444</v>
      </c>
      <c r="AO70" s="59">
        <f t="shared" si="90"/>
        <v>264.63778993239799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100.30447067409033</v>
      </c>
      <c r="AV70" s="21">
        <f>EXP(-LN(2)/25)*AV69+(1-EXP(-LN(2)/25))/(LN(2)/25)*Calculateur!AQ70*Calculateur!AS70*VLOOKUP('Données projet'!$B$10,Paramètres!$A$1:$I$89,3,0)*0.475*44/12</f>
        <v>0</v>
      </c>
      <c r="AW70" s="21">
        <f>EXP(-LN(2)/2)*AW69+(1-EXP(-LN(2)/2))/(LN(2)/2)*AQ70*AT70*VLOOKUP('Données projet'!$B$10,Paramètres!$A$1:$I$89,3,0)*0.475*44/12</f>
        <v>0</v>
      </c>
      <c r="AX70" s="21">
        <f t="shared" si="60"/>
        <v>100.30447067409033</v>
      </c>
      <c r="AY70" s="7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0</v>
      </c>
      <c r="BD70" s="12">
        <f>IF('Données projet'!$A$88&gt;35,BD69+BC70-BL69,IF(A70&lt;'Données projet'!$A$88,$BA$205^A70,IF(A70='Données projet'!$A$88,'Données projet'!$B$88,BD69+BC70-BL69)))</f>
        <v>0</v>
      </c>
      <c r="BE70" s="13">
        <f>BD70*VLOOKUP('Données projet'!$B$11,Paramètres!$A$1:$I$89,3,0)*VLOOKUP('Données projet'!$B$11,Paramètres!$A$1:$I$89,5,0)</f>
        <v>0</v>
      </c>
      <c r="BF70" s="13" t="e">
        <f t="shared" si="91"/>
        <v>#NUM!</v>
      </c>
      <c r="BG70" s="20" t="e">
        <f t="shared" si="61"/>
        <v>#NUM!</v>
      </c>
      <c r="BH70" s="59" t="e">
        <f t="shared" si="62"/>
        <v>#NUM!</v>
      </c>
      <c r="BI70" s="59">
        <f ca="1">AVERAGE(OFFSET($BH$3,0,0,'Données projet'!$E$11+1,1))-AVERAGE(OFFSET($H$3,0,0,'Données projet'!$E$11+1,1))</f>
        <v>187.80389738728508</v>
      </c>
      <c r="BJ70" s="59">
        <f t="shared" si="92"/>
        <v>439.28159165815265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59.356724801448408</v>
      </c>
      <c r="BQ70" s="21">
        <f>EXP(-LN(2)/25)*BQ69+(1-EXP(-LN(2)/25))/(LN(2)/25)*Calculateur!BL70*Calculateur!BN70*VLOOKUP('Données projet'!$B$11,Paramètres!$A$1:$I$89,3,0)*0.475*44/12</f>
        <v>5.1541046375963431</v>
      </c>
      <c r="BR70" s="21">
        <f>EXP(-LN(2)/2)*BR69+(1-EXP(-LN(2)/2))/(LN(2)/2)*BL70*BO70*VLOOKUP('Données projet'!$B$11,Paramètres!$A$1:$I$89,3,0)*0.475*44/12</f>
        <v>1.2128043876707771E-7</v>
      </c>
      <c r="BS70" s="22">
        <f t="shared" si="63"/>
        <v>64.510829560325192</v>
      </c>
      <c r="BT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</v>
      </c>
      <c r="BY70" s="12">
        <f>IF('Données projet'!$A$114&gt;35,BY69+BX70-CG69,IF(A70&lt;'Données projet'!$A$114,$BV$205^A70,IF(A70='Données projet'!$A$114,'Données projet'!$B$114,BY69+BX70-CG69)))</f>
        <v>0</v>
      </c>
      <c r="BZ70" s="13" t="e">
        <f>BY70*VLOOKUP('Données projet'!$B$12,Paramètres!$A$1:$I$89,3,0)*VLOOKUP('Données projet'!$B$12,Paramètres!$A$1:$I$89,5,0)</f>
        <v>#N/A</v>
      </c>
      <c r="CA70" s="13" t="e">
        <f t="shared" si="93"/>
        <v>#N/A</v>
      </c>
      <c r="CB70" s="20" t="e">
        <f t="shared" si="64"/>
        <v>#N/A</v>
      </c>
      <c r="CC70" s="59" t="e">
        <f t="shared" si="65"/>
        <v>#N/A</v>
      </c>
      <c r="CD70" s="59" t="e">
        <f ca="1">AVERAGE(OFFSET($CC$3,0,0,'Données projet'!$E$12+1,1))-AVERAGE(OFFSET($H$3,0,0,'Données projet'!$E$12+1,1))</f>
        <v>#N/A</v>
      </c>
      <c r="CE70" s="59" t="e">
        <f t="shared" si="94"/>
        <v>#N/A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 t="e">
        <f>EXP(-LN(2)/35)*CK69+(1-EXP(-LN(2)/35))/(LN(2)/35)*CG70*CH70*VLOOKUP('Données projet'!$B$12,Paramètres!$A$1:$I$89,3,0)*0.475*44/12</f>
        <v>#N/A</v>
      </c>
      <c r="CL70" s="21" t="e">
        <f>EXP(-LN(2)/25)*CL69+(1-EXP(-LN(2)/25))/(LN(2)/25)*Calculateur!CG70*Calculateur!CI70*VLOOKUP('Données projet'!$B$12,Paramètres!$A$1:$I$89,3,0)*0.475*44/12</f>
        <v>#N/A</v>
      </c>
      <c r="CM70" s="21" t="e">
        <f>EXP(-LN(2)/2)*CM69+(1-EXP(-LN(2)/2))/(LN(2)/2)*CG70*CJ70*VLOOKUP('Données projet'!$B$12,Paramètres!$A$1:$I$89,3,0)*0.475*44/12</f>
        <v>#N/A</v>
      </c>
      <c r="CN70" s="22" t="e">
        <f t="shared" si="66"/>
        <v>#N/A</v>
      </c>
      <c r="CO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35">
      <c r="A71" s="10">
        <f t="shared" si="85"/>
        <v>68</v>
      </c>
      <c r="B71" s="72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1">
        <f t="shared" si="86"/>
        <v>0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66">
        <f t="shared" si="56"/>
        <v>256.66666666666669</v>
      </c>
      <c r="I71" s="6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12.152499999999996</v>
      </c>
      <c r="N71" s="13">
        <f>IF('Données projet'!$A$36&gt;35,N70+M71-V70,IF(A71&lt;'Données projet'!$A$36,$K$205^A71,IF(A71='Données projet'!$A$36,'Données projet'!$B$36,N70+M71-V70)))</f>
        <v>341.88500000000005</v>
      </c>
      <c r="O71" s="13">
        <f>N71*VLOOKUP('Données projet'!$B$9,Paramètres!$A$1:$I$89,3,0)*VLOOKUP('Données projet'!$B$9,Paramètres!$A$1:$I$89,5,0)</f>
        <v>309.33754800000003</v>
      </c>
      <c r="P71" s="13">
        <f t="shared" si="87"/>
        <v>73.130466608029138</v>
      </c>
      <c r="Q71" s="20">
        <f t="shared" si="54"/>
        <v>666.13179210898409</v>
      </c>
      <c r="R71" s="59">
        <f t="shared" si="55"/>
        <v>959.46512544231746</v>
      </c>
      <c r="S71" s="59">
        <f ca="1">AVERAGE(OFFSET($R$3,0,0,'Données projet'!$E$9+1,1))-AVERAGE(OFFSET($H$3,0,0,'Données projet'!$E$9+1,1))</f>
        <v>700.22008319944644</v>
      </c>
      <c r="T71" s="59">
        <f t="shared" si="88"/>
        <v>253.69632671986739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93.50128768301208</v>
      </c>
      <c r="AA71" s="21">
        <f>EXP(-LN(2)/25)*AA70+(1-EXP(-LN(2)/25))/(LN(2)/25)*Calculateur!V71*Calculateur!X71*VLOOKUP('Données projet'!$B$9,Paramètres!$A$1:$I$89,3,0)*0.475*44/12</f>
        <v>0</v>
      </c>
      <c r="AB71" s="21">
        <f>EXP(-LN(2)/2)*AB70+(1-EXP(-LN(2)/2))/(LN(2)/2)*V71*Y71*VLOOKUP('Données projet'!$B$9,Paramètres!$A$1:$I$89,3,0)*0.475*44/12</f>
        <v>0</v>
      </c>
      <c r="AC71" s="22">
        <f t="shared" si="57"/>
        <v>93.50128768301208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12.152499999999996</v>
      </c>
      <c r="AI71" s="13">
        <f>IF('Données projet'!$A$62&gt;35,AI70+AH71-AQ70,IF(A71&lt;'Données projet'!$A$62,$AF$205^A71,IF(A71='Données projet'!$A$62,'Données projet'!$B$62,AI70+AH71-AQ70)))</f>
        <v>341.88500000000005</v>
      </c>
      <c r="AJ71" s="13">
        <f>AI71*VLOOKUP('Données projet'!$B$10,Paramètres!$A$1:$I$89,3,0)*VLOOKUP('Données projet'!$B$10,Paramètres!$A$1:$I$89,5,0)</f>
        <v>325.33776600000004</v>
      </c>
      <c r="AK71" s="13">
        <f t="shared" si="89"/>
        <v>76.462908118671194</v>
      </c>
      <c r="AL71" s="20">
        <f t="shared" si="58"/>
        <v>699.80284075668567</v>
      </c>
      <c r="AM71" s="59">
        <f t="shared" si="59"/>
        <v>993.13617409001904</v>
      </c>
      <c r="AN71" s="59">
        <f ca="1">AVERAGE(OFFSET($AM$3,0,0,'Données projet'!$E$10+1,1))-AVERAGE(OFFSET($H$3,0,0,'Données projet'!$E$10+1,1))</f>
        <v>733.95677909577444</v>
      </c>
      <c r="AO71" s="59">
        <f t="shared" si="90"/>
        <v>264.63778993239799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98.337561183857531</v>
      </c>
      <c r="AV71" s="21">
        <f>EXP(-LN(2)/25)*AV70+(1-EXP(-LN(2)/25))/(LN(2)/25)*Calculateur!AQ71*Calculateur!AS71*VLOOKUP('Données projet'!$B$10,Paramètres!$A$1:$I$89,3,0)*0.475*44/12</f>
        <v>0</v>
      </c>
      <c r="AW71" s="21">
        <f>EXP(-LN(2)/2)*AW70+(1-EXP(-LN(2)/2))/(LN(2)/2)*AQ71*AT71*VLOOKUP('Données projet'!$B$10,Paramètres!$A$1:$I$89,3,0)*0.475*44/12</f>
        <v>0</v>
      </c>
      <c r="AX71" s="21">
        <f t="shared" si="60"/>
        <v>98.337561183857531</v>
      </c>
      <c r="AY71" s="7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0</v>
      </c>
      <c r="BD71" s="12">
        <f>IF('Données projet'!$A$88&gt;35,BD70+BC71-BL70,IF(A71&lt;'Données projet'!$A$88,$BA$205^A71,IF(A71='Données projet'!$A$88,'Données projet'!$B$88,BD70+BC71-BL70)))</f>
        <v>0</v>
      </c>
      <c r="BE71" s="13">
        <f>BD71*VLOOKUP('Données projet'!$B$11,Paramètres!$A$1:$I$89,3,0)*VLOOKUP('Données projet'!$B$11,Paramètres!$A$1:$I$89,5,0)</f>
        <v>0</v>
      </c>
      <c r="BF71" s="13" t="e">
        <f t="shared" si="91"/>
        <v>#NUM!</v>
      </c>
      <c r="BG71" s="20" t="e">
        <f t="shared" si="61"/>
        <v>#NUM!</v>
      </c>
      <c r="BH71" s="59" t="e">
        <f t="shared" si="62"/>
        <v>#NUM!</v>
      </c>
      <c r="BI71" s="59">
        <f ca="1">AVERAGE(OFFSET($BH$3,0,0,'Données projet'!$E$11+1,1))-AVERAGE(OFFSET($H$3,0,0,'Données projet'!$E$11+1,1))</f>
        <v>187.80389738728508</v>
      </c>
      <c r="BJ71" s="59">
        <f t="shared" si="92"/>
        <v>439.28159165815265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58.192775632119286</v>
      </c>
      <c r="BQ71" s="21">
        <f>EXP(-LN(2)/25)*BQ70+(1-EXP(-LN(2)/25))/(LN(2)/25)*Calculateur!BL71*Calculateur!BN71*VLOOKUP('Données projet'!$B$11,Paramètres!$A$1:$I$89,3,0)*0.475*44/12</f>
        <v>5.013165375238688</v>
      </c>
      <c r="BR71" s="21">
        <f>EXP(-LN(2)/2)*BR70+(1-EXP(-LN(2)/2))/(LN(2)/2)*BL71*BO71*VLOOKUP('Données projet'!$B$11,Paramètres!$A$1:$I$89,3,0)*0.475*44/12</f>
        <v>8.5758220677480493E-8</v>
      </c>
      <c r="BS71" s="22">
        <f t="shared" si="63"/>
        <v>63.205941093116195</v>
      </c>
      <c r="BT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</v>
      </c>
      <c r="BY71" s="12">
        <f>IF('Données projet'!$A$114&gt;35,BY70+BX71-CG70,IF(A71&lt;'Données projet'!$A$114,$BV$205^A71,IF(A71='Données projet'!$A$114,'Données projet'!$B$114,BY70+BX71-CG70)))</f>
        <v>0</v>
      </c>
      <c r="BZ71" s="13" t="e">
        <f>BY71*VLOOKUP('Données projet'!$B$12,Paramètres!$A$1:$I$89,3,0)*VLOOKUP('Données projet'!$B$12,Paramètres!$A$1:$I$89,5,0)</f>
        <v>#N/A</v>
      </c>
      <c r="CA71" s="13" t="e">
        <f t="shared" si="93"/>
        <v>#N/A</v>
      </c>
      <c r="CB71" s="20" t="e">
        <f t="shared" si="64"/>
        <v>#N/A</v>
      </c>
      <c r="CC71" s="59" t="e">
        <f t="shared" si="65"/>
        <v>#N/A</v>
      </c>
      <c r="CD71" s="59" t="e">
        <f ca="1">AVERAGE(OFFSET($CC$3,0,0,'Données projet'!$E$12+1,1))-AVERAGE(OFFSET($H$3,0,0,'Données projet'!$E$12+1,1))</f>
        <v>#N/A</v>
      </c>
      <c r="CE71" s="59" t="e">
        <f t="shared" si="94"/>
        <v>#N/A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 t="e">
        <f>EXP(-LN(2)/35)*CK70+(1-EXP(-LN(2)/35))/(LN(2)/35)*CG71*CH71*VLOOKUP('Données projet'!$B$12,Paramètres!$A$1:$I$89,3,0)*0.475*44/12</f>
        <v>#N/A</v>
      </c>
      <c r="CL71" s="21" t="e">
        <f>EXP(-LN(2)/25)*CL70+(1-EXP(-LN(2)/25))/(LN(2)/25)*Calculateur!CG71*Calculateur!CI71*VLOOKUP('Données projet'!$B$12,Paramètres!$A$1:$I$89,3,0)*0.475*44/12</f>
        <v>#N/A</v>
      </c>
      <c r="CM71" s="21" t="e">
        <f>EXP(-LN(2)/2)*CM70+(1-EXP(-LN(2)/2))/(LN(2)/2)*CG71*CJ71*VLOOKUP('Données projet'!$B$12,Paramètres!$A$1:$I$89,3,0)*0.475*44/12</f>
        <v>#N/A</v>
      </c>
      <c r="CN71" s="22" t="e">
        <f t="shared" si="66"/>
        <v>#N/A</v>
      </c>
      <c r="CO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35">
      <c r="A72" s="10">
        <f t="shared" si="85"/>
        <v>69</v>
      </c>
      <c r="B72" s="72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1">
        <f t="shared" si="86"/>
        <v>0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66">
        <f t="shared" si="56"/>
        <v>256.66666666666669</v>
      </c>
      <c r="I72" s="6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12.152499999999996</v>
      </c>
      <c r="N72" s="13">
        <f>IF('Données projet'!$A$36&gt;35,N71+M72-V71,IF(A72&lt;'Données projet'!$A$36,$K$205^A72,IF(A72='Données projet'!$A$36,'Données projet'!$B$36,N71+M72-V71)))</f>
        <v>354.03750000000002</v>
      </c>
      <c r="O72" s="13">
        <f>N72*VLOOKUP('Données projet'!$B$9,Paramètres!$A$1:$I$89,3,0)*VLOOKUP('Données projet'!$B$9,Paramètres!$A$1:$I$89,5,0)</f>
        <v>320.33312999999998</v>
      </c>
      <c r="P72" s="13">
        <f t="shared" si="87"/>
        <v>75.422663639992734</v>
      </c>
      <c r="Q72" s="20">
        <f t="shared" si="54"/>
        <v>689.27467392298729</v>
      </c>
      <c r="R72" s="59">
        <f t="shared" si="55"/>
        <v>982.60800725632066</v>
      </c>
      <c r="S72" s="59">
        <f ca="1">AVERAGE(OFFSET($R$3,0,0,'Données projet'!$E$9+1,1))-AVERAGE(OFFSET($H$3,0,0,'Données projet'!$E$9+1,1))</f>
        <v>700.22008319944644</v>
      </c>
      <c r="T72" s="59">
        <f t="shared" si="88"/>
        <v>253.69632671986739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91.667784461702439</v>
      </c>
      <c r="AA72" s="21">
        <f>EXP(-LN(2)/25)*AA71+(1-EXP(-LN(2)/25))/(LN(2)/25)*Calculateur!V72*Calculateur!X72*VLOOKUP('Données projet'!$B$9,Paramètres!$A$1:$I$89,3,0)*0.475*44/12</f>
        <v>0</v>
      </c>
      <c r="AB72" s="21">
        <f>EXP(-LN(2)/2)*AB71+(1-EXP(-LN(2)/2))/(LN(2)/2)*V72*Y72*VLOOKUP('Données projet'!$B$9,Paramètres!$A$1:$I$89,3,0)*0.475*44/12</f>
        <v>0</v>
      </c>
      <c r="AC72" s="22">
        <f t="shared" si="57"/>
        <v>91.667784461702439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12.152499999999996</v>
      </c>
      <c r="AI72" s="13">
        <f>IF('Données projet'!$A$62&gt;35,AI71+AH72-AQ71,IF(A72&lt;'Données projet'!$A$62,$AF$205^A72,IF(A72='Données projet'!$A$62,'Données projet'!$B$62,AI71+AH72-AQ71)))</f>
        <v>354.03750000000002</v>
      </c>
      <c r="AJ72" s="13">
        <f>AI72*VLOOKUP('Données projet'!$B$10,Paramètres!$A$1:$I$89,3,0)*VLOOKUP('Données projet'!$B$10,Paramètres!$A$1:$I$89,5,0)</f>
        <v>336.902085</v>
      </c>
      <c r="AK72" s="13">
        <f t="shared" si="89"/>
        <v>78.859557000789493</v>
      </c>
      <c r="AL72" s="20">
        <f t="shared" si="58"/>
        <v>724.11819315137507</v>
      </c>
      <c r="AM72" s="59">
        <f t="shared" si="59"/>
        <v>1017.4515264847084</v>
      </c>
      <c r="AN72" s="59">
        <f ca="1">AVERAGE(OFFSET($AM$3,0,0,'Données projet'!$E$10+1,1))-AVERAGE(OFFSET($H$3,0,0,'Données projet'!$E$10+1,1))</f>
        <v>733.95677909577444</v>
      </c>
      <c r="AO72" s="59">
        <f t="shared" si="90"/>
        <v>264.63778993239799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96.409221589031873</v>
      </c>
      <c r="AV72" s="21">
        <f>EXP(-LN(2)/25)*AV71+(1-EXP(-LN(2)/25))/(LN(2)/25)*Calculateur!AQ72*Calculateur!AS72*VLOOKUP('Données projet'!$B$10,Paramètres!$A$1:$I$89,3,0)*0.475*44/12</f>
        <v>0</v>
      </c>
      <c r="AW72" s="21">
        <f>EXP(-LN(2)/2)*AW71+(1-EXP(-LN(2)/2))/(LN(2)/2)*AQ72*AT72*VLOOKUP('Données projet'!$B$10,Paramètres!$A$1:$I$89,3,0)*0.475*44/12</f>
        <v>0</v>
      </c>
      <c r="AX72" s="21">
        <f t="shared" si="60"/>
        <v>96.409221589031873</v>
      </c>
      <c r="AY72" s="7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0</v>
      </c>
      <c r="BD72" s="12">
        <f>IF('Données projet'!$A$88&gt;35,BD71+BC72-BL71,IF(A72&lt;'Données projet'!$A$88,$BA$205^A72,IF(A72='Données projet'!$A$88,'Données projet'!$B$88,BD71+BC72-BL71)))</f>
        <v>0</v>
      </c>
      <c r="BE72" s="13">
        <f>BD72*VLOOKUP('Données projet'!$B$11,Paramètres!$A$1:$I$89,3,0)*VLOOKUP('Données projet'!$B$11,Paramètres!$A$1:$I$89,5,0)</f>
        <v>0</v>
      </c>
      <c r="BF72" s="13" t="e">
        <f t="shared" si="91"/>
        <v>#NUM!</v>
      </c>
      <c r="BG72" s="20" t="e">
        <f t="shared" si="61"/>
        <v>#NUM!</v>
      </c>
      <c r="BH72" s="59" t="e">
        <f t="shared" si="62"/>
        <v>#NUM!</v>
      </c>
      <c r="BI72" s="59">
        <f ca="1">AVERAGE(OFFSET($BH$3,0,0,'Données projet'!$E$11+1,1))-AVERAGE(OFFSET($H$3,0,0,'Données projet'!$E$11+1,1))</f>
        <v>187.80389738728508</v>
      </c>
      <c r="BJ72" s="59">
        <f t="shared" si="92"/>
        <v>439.28159165815265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57.051650796061814</v>
      </c>
      <c r="BQ72" s="21">
        <f>EXP(-LN(2)/25)*BQ71+(1-EXP(-LN(2)/25))/(LN(2)/25)*Calculateur!BL72*Calculateur!BN72*VLOOKUP('Données projet'!$B$11,Paramètres!$A$1:$I$89,3,0)*0.475*44/12</f>
        <v>4.8760801044218764</v>
      </c>
      <c r="BR72" s="21">
        <f>EXP(-LN(2)/2)*BR71+(1-EXP(-LN(2)/2))/(LN(2)/2)*BL72*BO72*VLOOKUP('Données projet'!$B$11,Paramètres!$A$1:$I$89,3,0)*0.475*44/12</f>
        <v>6.0640219383538854E-8</v>
      </c>
      <c r="BS72" s="22">
        <f t="shared" si="63"/>
        <v>61.927730961123906</v>
      </c>
      <c r="BT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</v>
      </c>
      <c r="BY72" s="12">
        <f>IF('Données projet'!$A$114&gt;35,BY71+BX72-CG71,IF(A72&lt;'Données projet'!$A$114,$BV$205^A72,IF(A72='Données projet'!$A$114,'Données projet'!$B$114,BY71+BX72-CG71)))</f>
        <v>0</v>
      </c>
      <c r="BZ72" s="13" t="e">
        <f>BY72*VLOOKUP('Données projet'!$B$12,Paramètres!$A$1:$I$89,3,0)*VLOOKUP('Données projet'!$B$12,Paramètres!$A$1:$I$89,5,0)</f>
        <v>#N/A</v>
      </c>
      <c r="CA72" s="13" t="e">
        <f t="shared" si="93"/>
        <v>#N/A</v>
      </c>
      <c r="CB72" s="20" t="e">
        <f t="shared" si="64"/>
        <v>#N/A</v>
      </c>
      <c r="CC72" s="59" t="e">
        <f t="shared" si="65"/>
        <v>#N/A</v>
      </c>
      <c r="CD72" s="59" t="e">
        <f ca="1">AVERAGE(OFFSET($CC$3,0,0,'Données projet'!$E$12+1,1))-AVERAGE(OFFSET($H$3,0,0,'Données projet'!$E$12+1,1))</f>
        <v>#N/A</v>
      </c>
      <c r="CE72" s="59" t="e">
        <f t="shared" si="94"/>
        <v>#N/A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 t="e">
        <f>EXP(-LN(2)/35)*CK71+(1-EXP(-LN(2)/35))/(LN(2)/35)*CG72*CH72*VLOOKUP('Données projet'!$B$12,Paramètres!$A$1:$I$89,3,0)*0.475*44/12</f>
        <v>#N/A</v>
      </c>
      <c r="CL72" s="21" t="e">
        <f>EXP(-LN(2)/25)*CL71+(1-EXP(-LN(2)/25))/(LN(2)/25)*Calculateur!CG72*Calculateur!CI72*VLOOKUP('Données projet'!$B$12,Paramètres!$A$1:$I$89,3,0)*0.475*44/12</f>
        <v>#N/A</v>
      </c>
      <c r="CM72" s="21" t="e">
        <f>EXP(-LN(2)/2)*CM71+(1-EXP(-LN(2)/2))/(LN(2)/2)*CG72*CJ72*VLOOKUP('Données projet'!$B$12,Paramètres!$A$1:$I$89,3,0)*0.475*44/12</f>
        <v>#N/A</v>
      </c>
      <c r="CN72" s="22" t="e">
        <f t="shared" si="66"/>
        <v>#N/A</v>
      </c>
      <c r="CO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35">
      <c r="A73" s="10">
        <f t="shared" si="85"/>
        <v>70</v>
      </c>
      <c r="B73" s="72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1">
        <f t="shared" si="86"/>
        <v>0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66">
        <f t="shared" si="56"/>
        <v>256.66666666666669</v>
      </c>
      <c r="I73" s="6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12.152499999999996</v>
      </c>
      <c r="N73" s="13">
        <f>IF('Données projet'!$A$36&gt;35,N72+M73-V72,IF(A73&lt;'Données projet'!$A$36,$K$205^A73,IF(A73='Données projet'!$A$36,'Données projet'!$B$36,N72+M73-V72)))</f>
        <v>366.19</v>
      </c>
      <c r="O73" s="13">
        <f>N73*VLOOKUP('Données projet'!$B$9,Paramètres!$A$1:$I$89,3,0)*VLOOKUP('Données projet'!$B$9,Paramètres!$A$1:$I$89,5,0)</f>
        <v>331.328712</v>
      </c>
      <c r="P73" s="13">
        <f t="shared" si="87"/>
        <v>77.70571861182988</v>
      </c>
      <c r="Q73" s="20">
        <f t="shared" si="54"/>
        <v>712.4016333156037</v>
      </c>
      <c r="R73" s="59">
        <f t="shared" si="55"/>
        <v>1005.734966648937</v>
      </c>
      <c r="S73" s="59">
        <f ca="1">AVERAGE(OFFSET($R$3,0,0,'Données projet'!$E$9+1,1))-AVERAGE(OFFSET($H$3,0,0,'Données projet'!$E$9+1,1))</f>
        <v>700.22008319944644</v>
      </c>
      <c r="T73" s="59">
        <f t="shared" si="88"/>
        <v>253.69632671986739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89.870235120236146</v>
      </c>
      <c r="AA73" s="21">
        <f>EXP(-LN(2)/25)*AA72+(1-EXP(-LN(2)/25))/(LN(2)/25)*Calculateur!V73*Calculateur!X73*VLOOKUP('Données projet'!$B$9,Paramètres!$A$1:$I$89,3,0)*0.475*44/12</f>
        <v>0</v>
      </c>
      <c r="AB73" s="21">
        <f>EXP(-LN(2)/2)*AB72+(1-EXP(-LN(2)/2))/(LN(2)/2)*V73*Y73*VLOOKUP('Données projet'!$B$9,Paramètres!$A$1:$I$89,3,0)*0.475*44/12</f>
        <v>0</v>
      </c>
      <c r="AC73" s="22">
        <f t="shared" si="57"/>
        <v>89.870235120236146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12.152499999999996</v>
      </c>
      <c r="AI73" s="13">
        <f>IF('Données projet'!$A$62&gt;35,AI72+AH73-AQ72,IF(A73&lt;'Données projet'!$A$62,$AF$205^A73,IF(A73='Données projet'!$A$62,'Données projet'!$B$62,AI72+AH73-AQ72)))</f>
        <v>366.19</v>
      </c>
      <c r="AJ73" s="13">
        <f>AI73*VLOOKUP('Données projet'!$B$10,Paramètres!$A$1:$I$89,3,0)*VLOOKUP('Données projet'!$B$10,Paramètres!$A$1:$I$89,5,0)</f>
        <v>348.46640400000001</v>
      </c>
      <c r="AK73" s="13">
        <f t="shared" si="89"/>
        <v>81.246647233334215</v>
      </c>
      <c r="AL73" s="20">
        <f t="shared" si="58"/>
        <v>748.41689756472385</v>
      </c>
      <c r="AM73" s="59">
        <f t="shared" si="59"/>
        <v>1041.7502308980572</v>
      </c>
      <c r="AN73" s="59">
        <f ca="1">AVERAGE(OFFSET($AM$3,0,0,'Données projet'!$E$10+1,1))-AVERAGE(OFFSET($H$3,0,0,'Données projet'!$E$10+1,1))</f>
        <v>733.95677909577444</v>
      </c>
      <c r="AO73" s="59">
        <f t="shared" si="90"/>
        <v>264.63778993239799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94.518695557489735</v>
      </c>
      <c r="AV73" s="21">
        <f>EXP(-LN(2)/25)*AV72+(1-EXP(-LN(2)/25))/(LN(2)/25)*Calculateur!AQ73*Calculateur!AS73*VLOOKUP('Données projet'!$B$10,Paramètres!$A$1:$I$89,3,0)*0.475*44/12</f>
        <v>0</v>
      </c>
      <c r="AW73" s="21">
        <f>EXP(-LN(2)/2)*AW72+(1-EXP(-LN(2)/2))/(LN(2)/2)*AQ73*AT73*VLOOKUP('Données projet'!$B$10,Paramètres!$A$1:$I$89,3,0)*0.475*44/12</f>
        <v>0</v>
      </c>
      <c r="AX73" s="21">
        <f t="shared" si="60"/>
        <v>94.518695557489735</v>
      </c>
      <c r="AY73" s="7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0</v>
      </c>
      <c r="BD73" s="12">
        <f>IF('Données projet'!$A$88&gt;35,BD72+BC73-BL72,IF(A73&lt;'Données projet'!$A$88,$BA$205^A73,IF(A73='Données projet'!$A$88,'Données projet'!$B$88,BD72+BC73-BL72)))</f>
        <v>0</v>
      </c>
      <c r="BE73" s="13">
        <f>BD73*VLOOKUP('Données projet'!$B$11,Paramètres!$A$1:$I$89,3,0)*VLOOKUP('Données projet'!$B$11,Paramètres!$A$1:$I$89,5,0)</f>
        <v>0</v>
      </c>
      <c r="BF73" s="13" t="e">
        <f t="shared" si="91"/>
        <v>#NUM!</v>
      </c>
      <c r="BG73" s="20" t="e">
        <f t="shared" si="61"/>
        <v>#NUM!</v>
      </c>
      <c r="BH73" s="59" t="e">
        <f t="shared" si="62"/>
        <v>#NUM!</v>
      </c>
      <c r="BI73" s="59">
        <f ca="1">AVERAGE(OFFSET($BH$3,0,0,'Données projet'!$E$11+1,1))-AVERAGE(OFFSET($H$3,0,0,'Données projet'!$E$11+1,1))</f>
        <v>187.80389738728508</v>
      </c>
      <c r="BJ73" s="59">
        <f t="shared" si="92"/>
        <v>439.28159165815265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55.932902722022007</v>
      </c>
      <c r="BQ73" s="21">
        <f>EXP(-LN(2)/25)*BQ72+(1-EXP(-LN(2)/25))/(LN(2)/25)*Calculateur!BL73*Calculateur!BN73*VLOOKUP('Données projet'!$B$11,Paramètres!$A$1:$I$89,3,0)*0.475*44/12</f>
        <v>4.7427434375445516</v>
      </c>
      <c r="BR73" s="21">
        <f>EXP(-LN(2)/2)*BR72+(1-EXP(-LN(2)/2))/(LN(2)/2)*BL73*BO73*VLOOKUP('Données projet'!$B$11,Paramètres!$A$1:$I$89,3,0)*0.475*44/12</f>
        <v>4.2879110338740246E-8</v>
      </c>
      <c r="BS73" s="22">
        <f t="shared" si="63"/>
        <v>60.67564620244567</v>
      </c>
      <c r="BT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0</v>
      </c>
      <c r="BZ73" s="13" t="e">
        <f>BY73*VLOOKUP('Données projet'!$B$12,Paramètres!$A$1:$I$89,3,0)*VLOOKUP('Données projet'!$B$12,Paramètres!$A$1:$I$89,5,0)</f>
        <v>#N/A</v>
      </c>
      <c r="CA73" s="13" t="e">
        <f t="shared" si="93"/>
        <v>#N/A</v>
      </c>
      <c r="CB73" s="20" t="e">
        <f t="shared" si="64"/>
        <v>#N/A</v>
      </c>
      <c r="CC73" s="59" t="e">
        <f t="shared" si="65"/>
        <v>#N/A</v>
      </c>
      <c r="CD73" s="59" t="e">
        <f ca="1">AVERAGE(OFFSET($CC$3,0,0,'Données projet'!$E$12+1,1))-AVERAGE(OFFSET($H$3,0,0,'Données projet'!$E$12+1,1))</f>
        <v>#N/A</v>
      </c>
      <c r="CE73" s="59" t="e">
        <f t="shared" si="94"/>
        <v>#N/A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 t="e">
        <f>EXP(-LN(2)/35)*CK72+(1-EXP(-LN(2)/35))/(LN(2)/35)*CG73*CH73*VLOOKUP('Données projet'!$B$12,Paramètres!$A$1:$I$89,3,0)*0.475*44/12</f>
        <v>#N/A</v>
      </c>
      <c r="CL73" s="21" t="e">
        <f>EXP(-LN(2)/25)*CL72+(1-EXP(-LN(2)/25))/(LN(2)/25)*Calculateur!CG73*Calculateur!CI73*VLOOKUP('Données projet'!$B$12,Paramètres!$A$1:$I$89,3,0)*0.475*44/12</f>
        <v>#N/A</v>
      </c>
      <c r="CM73" s="21" t="e">
        <f>EXP(-LN(2)/2)*CM72+(1-EXP(-LN(2)/2))/(LN(2)/2)*CG73*CJ73*VLOOKUP('Données projet'!$B$12,Paramètres!$A$1:$I$89,3,0)*0.475*44/12</f>
        <v>#N/A</v>
      </c>
      <c r="CN73" s="22" t="e">
        <f t="shared" si="66"/>
        <v>#N/A</v>
      </c>
      <c r="CO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35">
      <c r="A74" s="10">
        <f t="shared" si="85"/>
        <v>71</v>
      </c>
      <c r="B74" s="72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1">
        <f t="shared" si="86"/>
        <v>0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66">
        <f t="shared" si="56"/>
        <v>256.66666666666669</v>
      </c>
      <c r="I74" s="6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12.152499999999996</v>
      </c>
      <c r="N74" s="13">
        <f>IF('Données projet'!$A$36&gt;35,N73+M74-V73,IF(A74&lt;'Données projet'!$A$36,$K$205^A74,IF(A74='Données projet'!$A$36,'Données projet'!$B$36,N73+M74-V73)))</f>
        <v>378.34249999999997</v>
      </c>
      <c r="O74" s="13">
        <f>N74*VLOOKUP('Données projet'!$B$9,Paramètres!$A$1:$I$89,3,0)*VLOOKUP('Données projet'!$B$9,Paramètres!$A$1:$I$89,5,0)</f>
        <v>342.32429399999995</v>
      </c>
      <c r="P74" s="13">
        <f t="shared" si="87"/>
        <v>79.979969702389681</v>
      </c>
      <c r="Q74" s="20">
        <f t="shared" si="54"/>
        <v>735.51325928166182</v>
      </c>
      <c r="R74" s="59">
        <f t="shared" si="55"/>
        <v>1028.8465926149952</v>
      </c>
      <c r="S74" s="59">
        <f ca="1">AVERAGE(OFFSET($R$3,0,0,'Données projet'!$E$9+1,1))-AVERAGE(OFFSET($H$3,0,0,'Données projet'!$E$9+1,1))</f>
        <v>700.22008319944644</v>
      </c>
      <c r="T74" s="59">
        <f t="shared" si="88"/>
        <v>253.69632671986739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88.107934624959171</v>
      </c>
      <c r="AA74" s="21">
        <f>EXP(-LN(2)/25)*AA73+(1-EXP(-LN(2)/25))/(LN(2)/25)*Calculateur!V74*Calculateur!X74*VLOOKUP('Données projet'!$B$9,Paramètres!$A$1:$I$89,3,0)*0.475*44/12</f>
        <v>0</v>
      </c>
      <c r="AB74" s="21">
        <f>EXP(-LN(2)/2)*AB73+(1-EXP(-LN(2)/2))/(LN(2)/2)*V74*Y74*VLOOKUP('Données projet'!$B$9,Paramètres!$A$1:$I$89,3,0)*0.475*44/12</f>
        <v>0</v>
      </c>
      <c r="AC74" s="22">
        <f t="shared" si="57"/>
        <v>88.107934624959171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12.152499999999996</v>
      </c>
      <c r="AI74" s="13">
        <f>IF('Données projet'!$A$62&gt;35,AI73+AH74-AQ73,IF(A74&lt;'Données projet'!$A$62,$AF$205^A74,IF(A74='Données projet'!$A$62,'Données projet'!$B$62,AI73+AH74-AQ73)))</f>
        <v>378.34249999999997</v>
      </c>
      <c r="AJ74" s="13">
        <f>AI74*VLOOKUP('Données projet'!$B$10,Paramètres!$A$1:$I$89,3,0)*VLOOKUP('Données projet'!$B$10,Paramètres!$A$1:$I$89,5,0)</f>
        <v>360.03072299999997</v>
      </c>
      <c r="AK74" s="13">
        <f t="shared" si="89"/>
        <v>83.624532405437918</v>
      </c>
      <c r="AL74" s="20">
        <f t="shared" si="58"/>
        <v>772.69956983113752</v>
      </c>
      <c r="AM74" s="59">
        <f t="shared" si="59"/>
        <v>1066.0329031644708</v>
      </c>
      <c r="AN74" s="59">
        <f ca="1">AVERAGE(OFFSET($AM$3,0,0,'Données projet'!$E$10+1,1))-AVERAGE(OFFSET($H$3,0,0,'Données projet'!$E$10+1,1))</f>
        <v>733.95677909577444</v>
      </c>
      <c r="AO74" s="59">
        <f t="shared" si="90"/>
        <v>264.63778993239799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92.66524158831912</v>
      </c>
      <c r="AV74" s="21">
        <f>EXP(-LN(2)/25)*AV73+(1-EXP(-LN(2)/25))/(LN(2)/25)*Calculateur!AQ74*Calculateur!AS74*VLOOKUP('Données projet'!$B$10,Paramètres!$A$1:$I$89,3,0)*0.475*44/12</f>
        <v>0</v>
      </c>
      <c r="AW74" s="21">
        <f>EXP(-LN(2)/2)*AW73+(1-EXP(-LN(2)/2))/(LN(2)/2)*AQ74*AT74*VLOOKUP('Données projet'!$B$10,Paramètres!$A$1:$I$89,3,0)*0.475*44/12</f>
        <v>0</v>
      </c>
      <c r="AX74" s="21">
        <f t="shared" si="60"/>
        <v>92.66524158831912</v>
      </c>
      <c r="AY74" s="7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0</v>
      </c>
      <c r="BD74" s="12">
        <f>IF('Données projet'!$A$88&gt;35,BD73+BC74-BL73,IF(A74&lt;'Données projet'!$A$88,$BA$205^A74,IF(A74='Données projet'!$A$88,'Données projet'!$B$88,BD73+BC74-BL73)))</f>
        <v>0</v>
      </c>
      <c r="BE74" s="13">
        <f>BD74*VLOOKUP('Données projet'!$B$11,Paramètres!$A$1:$I$89,3,0)*VLOOKUP('Données projet'!$B$11,Paramètres!$A$1:$I$89,5,0)</f>
        <v>0</v>
      </c>
      <c r="BF74" s="13" t="e">
        <f t="shared" si="91"/>
        <v>#NUM!</v>
      </c>
      <c r="BG74" s="20" t="e">
        <f t="shared" si="61"/>
        <v>#NUM!</v>
      </c>
      <c r="BH74" s="59" t="e">
        <f t="shared" si="62"/>
        <v>#NUM!</v>
      </c>
      <c r="BI74" s="59">
        <f ca="1">AVERAGE(OFFSET($BH$3,0,0,'Données projet'!$E$11+1,1))-AVERAGE(OFFSET($H$3,0,0,'Données projet'!$E$11+1,1))</f>
        <v>187.80389738728508</v>
      </c>
      <c r="BJ74" s="59">
        <f t="shared" si="92"/>
        <v>439.28159165815265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54.836092615345173</v>
      </c>
      <c r="BQ74" s="21">
        <f>EXP(-LN(2)/25)*BQ73+(1-EXP(-LN(2)/25))/(LN(2)/25)*Calculateur!BL74*Calculateur!BN74*VLOOKUP('Données projet'!$B$11,Paramètres!$A$1:$I$89,3,0)*0.475*44/12</f>
        <v>4.613052868834858</v>
      </c>
      <c r="BR74" s="21">
        <f>EXP(-LN(2)/2)*BR73+(1-EXP(-LN(2)/2))/(LN(2)/2)*BL74*BO74*VLOOKUP('Données projet'!$B$11,Paramètres!$A$1:$I$89,3,0)*0.475*44/12</f>
        <v>3.0320109691769427E-8</v>
      </c>
      <c r="BS74" s="22">
        <f t="shared" si="63"/>
        <v>59.449145514500138</v>
      </c>
      <c r="BT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0</v>
      </c>
      <c r="BZ74" s="13" t="e">
        <f>BY74*VLOOKUP('Données projet'!$B$12,Paramètres!$A$1:$I$89,3,0)*VLOOKUP('Données projet'!$B$12,Paramètres!$A$1:$I$89,5,0)</f>
        <v>#N/A</v>
      </c>
      <c r="CA74" s="13" t="e">
        <f t="shared" si="93"/>
        <v>#N/A</v>
      </c>
      <c r="CB74" s="20" t="e">
        <f t="shared" si="64"/>
        <v>#N/A</v>
      </c>
      <c r="CC74" s="59" t="e">
        <f t="shared" si="65"/>
        <v>#N/A</v>
      </c>
      <c r="CD74" s="59" t="e">
        <f ca="1">AVERAGE(OFFSET($CC$3,0,0,'Données projet'!$E$12+1,1))-AVERAGE(OFFSET($H$3,0,0,'Données projet'!$E$12+1,1))</f>
        <v>#N/A</v>
      </c>
      <c r="CE74" s="59" t="e">
        <f t="shared" si="94"/>
        <v>#N/A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 t="e">
        <f>EXP(-LN(2)/35)*CK73+(1-EXP(-LN(2)/35))/(LN(2)/35)*CG74*CH74*VLOOKUP('Données projet'!$B$12,Paramètres!$A$1:$I$89,3,0)*0.475*44/12</f>
        <v>#N/A</v>
      </c>
      <c r="CL74" s="21" t="e">
        <f>EXP(-LN(2)/25)*CL73+(1-EXP(-LN(2)/25))/(LN(2)/25)*Calculateur!CG74*Calculateur!CI74*VLOOKUP('Données projet'!$B$12,Paramètres!$A$1:$I$89,3,0)*0.475*44/12</f>
        <v>#N/A</v>
      </c>
      <c r="CM74" s="21" t="e">
        <f>EXP(-LN(2)/2)*CM73+(1-EXP(-LN(2)/2))/(LN(2)/2)*CG74*CJ74*VLOOKUP('Données projet'!$B$12,Paramètres!$A$1:$I$89,3,0)*0.475*44/12</f>
        <v>#N/A</v>
      </c>
      <c r="CN74" s="22" t="e">
        <f t="shared" si="66"/>
        <v>#N/A</v>
      </c>
      <c r="CO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35">
      <c r="A75" s="10">
        <f t="shared" si="85"/>
        <v>72</v>
      </c>
      <c r="B75" s="72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1">
        <f t="shared" si="86"/>
        <v>0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66">
        <f t="shared" si="56"/>
        <v>256.66666666666669</v>
      </c>
      <c r="I75" s="6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12.152499999999996</v>
      </c>
      <c r="N75" s="13">
        <f>IF('Données projet'!$A$36&gt;35,N74+M75-V74,IF(A75&lt;'Données projet'!$A$36,$K$205^A75,IF(A75='Données projet'!$A$36,'Données projet'!$B$36,N74+M75-V74)))</f>
        <v>390.49499999999995</v>
      </c>
      <c r="O75" s="13">
        <f>N75*VLOOKUP('Données projet'!$B$9,Paramètres!$A$1:$I$89,3,0)*VLOOKUP('Données projet'!$B$9,Paramètres!$A$1:$I$89,5,0)</f>
        <v>353.31987599999991</v>
      </c>
      <c r="P75" s="13">
        <f t="shared" si="87"/>
        <v>82.245732132210307</v>
      </c>
      <c r="Q75" s="20">
        <f t="shared" si="54"/>
        <v>758.61010083026611</v>
      </c>
      <c r="R75" s="59">
        <f t="shared" si="55"/>
        <v>1051.9434341635995</v>
      </c>
      <c r="S75" s="59">
        <f ca="1">AVERAGE(OFFSET($R$3,0,0,'Données projet'!$E$9+1,1))-AVERAGE(OFFSET($H$3,0,0,'Données projet'!$E$9+1,1))</f>
        <v>700.22008319944644</v>
      </c>
      <c r="T75" s="59">
        <f t="shared" si="88"/>
        <v>253.69632671986739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86.380191767497408</v>
      </c>
      <c r="AA75" s="21">
        <f>EXP(-LN(2)/25)*AA74+(1-EXP(-LN(2)/25))/(LN(2)/25)*Calculateur!V75*Calculateur!X75*VLOOKUP('Données projet'!$B$9,Paramètres!$A$1:$I$89,3,0)*0.475*44/12</f>
        <v>0</v>
      </c>
      <c r="AB75" s="21">
        <f>EXP(-LN(2)/2)*AB74+(1-EXP(-LN(2)/2))/(LN(2)/2)*V75*Y75*VLOOKUP('Données projet'!$B$9,Paramètres!$A$1:$I$89,3,0)*0.475*44/12</f>
        <v>0</v>
      </c>
      <c r="AC75" s="22">
        <f t="shared" si="57"/>
        <v>86.380191767497408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12.152499999999996</v>
      </c>
      <c r="AI75" s="13">
        <f>IF('Données projet'!$A$62&gt;35,AI74+AH75-AQ74,IF(A75&lt;'Données projet'!$A$62,$AF$205^A75,IF(A75='Données projet'!$A$62,'Données projet'!$B$62,AI74+AH75-AQ74)))</f>
        <v>390.49499999999995</v>
      </c>
      <c r="AJ75" s="13">
        <f>AI75*VLOOKUP('Données projet'!$B$10,Paramètres!$A$1:$I$89,3,0)*VLOOKUP('Données projet'!$B$10,Paramètres!$A$1:$I$89,5,0)</f>
        <v>371.59504199999992</v>
      </c>
      <c r="AK75" s="13">
        <f t="shared" si="89"/>
        <v>85.993542101748204</v>
      </c>
      <c r="AL75" s="20">
        <f t="shared" si="58"/>
        <v>796.96678397721132</v>
      </c>
      <c r="AM75" s="59">
        <f t="shared" si="59"/>
        <v>1090.3001173105447</v>
      </c>
      <c r="AN75" s="59">
        <f ca="1">AVERAGE(OFFSET($AM$3,0,0,'Données projet'!$E$10+1,1))-AVERAGE(OFFSET($H$3,0,0,'Données projet'!$E$10+1,1))</f>
        <v>733.95677909577444</v>
      </c>
      <c r="AO75" s="59">
        <f t="shared" si="90"/>
        <v>264.63778993239799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90.848132720988644</v>
      </c>
      <c r="AV75" s="21">
        <f>EXP(-LN(2)/25)*AV74+(1-EXP(-LN(2)/25))/(LN(2)/25)*Calculateur!AQ75*Calculateur!AS75*VLOOKUP('Données projet'!$B$10,Paramètres!$A$1:$I$89,3,0)*0.475*44/12</f>
        <v>0</v>
      </c>
      <c r="AW75" s="21">
        <f>EXP(-LN(2)/2)*AW74+(1-EXP(-LN(2)/2))/(LN(2)/2)*AQ75*AT75*VLOOKUP('Données projet'!$B$10,Paramètres!$A$1:$I$89,3,0)*0.475*44/12</f>
        <v>0</v>
      </c>
      <c r="AX75" s="21">
        <f t="shared" si="60"/>
        <v>90.848132720988644</v>
      </c>
      <c r="AY75" s="7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0</v>
      </c>
      <c r="BD75" s="12">
        <f>IF('Données projet'!$A$88&gt;35,BD74+BC75-BL74,IF(A75&lt;'Données projet'!$A$88,$BA$205^A75,IF(A75='Données projet'!$A$88,'Données projet'!$B$88,BD74+BC75-BL74)))</f>
        <v>0</v>
      </c>
      <c r="BE75" s="13">
        <f>BD75*VLOOKUP('Données projet'!$B$11,Paramètres!$A$1:$I$89,3,0)*VLOOKUP('Données projet'!$B$11,Paramètres!$A$1:$I$89,5,0)</f>
        <v>0</v>
      </c>
      <c r="BF75" s="13" t="e">
        <f t="shared" si="91"/>
        <v>#NUM!</v>
      </c>
      <c r="BG75" s="20" t="e">
        <f t="shared" si="61"/>
        <v>#NUM!</v>
      </c>
      <c r="BH75" s="59" t="e">
        <f t="shared" si="62"/>
        <v>#NUM!</v>
      </c>
      <c r="BI75" s="59">
        <f ca="1">AVERAGE(OFFSET($BH$3,0,0,'Données projet'!$E$11+1,1))-AVERAGE(OFFSET($H$3,0,0,'Données projet'!$E$11+1,1))</f>
        <v>187.80389738728508</v>
      </c>
      <c r="BJ75" s="59">
        <f t="shared" si="92"/>
        <v>439.28159165815265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53.760790285872162</v>
      </c>
      <c r="BQ75" s="21">
        <f>EXP(-LN(2)/25)*BQ74+(1-EXP(-LN(2)/25))/(LN(2)/25)*Calculateur!BL75*Calculateur!BN75*VLOOKUP('Données projet'!$B$11,Paramètres!$A$1:$I$89,3,0)*0.475*44/12</f>
        <v>4.4869086955466617</v>
      </c>
      <c r="BR75" s="21">
        <f>EXP(-LN(2)/2)*BR74+(1-EXP(-LN(2)/2))/(LN(2)/2)*BL75*BO75*VLOOKUP('Données projet'!$B$11,Paramètres!$A$1:$I$89,3,0)*0.475*44/12</f>
        <v>2.1439555169370123E-8</v>
      </c>
      <c r="BS75" s="22">
        <f t="shared" si="63"/>
        <v>58.247699002858376</v>
      </c>
      <c r="BT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0</v>
      </c>
      <c r="BZ75" s="13" t="e">
        <f>BY75*VLOOKUP('Données projet'!$B$12,Paramètres!$A$1:$I$89,3,0)*VLOOKUP('Données projet'!$B$12,Paramètres!$A$1:$I$89,5,0)</f>
        <v>#N/A</v>
      </c>
      <c r="CA75" s="13" t="e">
        <f t="shared" si="93"/>
        <v>#N/A</v>
      </c>
      <c r="CB75" s="20" t="e">
        <f t="shared" si="64"/>
        <v>#N/A</v>
      </c>
      <c r="CC75" s="59" t="e">
        <f t="shared" si="65"/>
        <v>#N/A</v>
      </c>
      <c r="CD75" s="59" t="e">
        <f ca="1">AVERAGE(OFFSET($CC$3,0,0,'Données projet'!$E$12+1,1))-AVERAGE(OFFSET($H$3,0,0,'Données projet'!$E$12+1,1))</f>
        <v>#N/A</v>
      </c>
      <c r="CE75" s="59" t="e">
        <f t="shared" si="94"/>
        <v>#N/A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 t="e">
        <f>EXP(-LN(2)/35)*CK74+(1-EXP(-LN(2)/35))/(LN(2)/35)*CG75*CH75*VLOOKUP('Données projet'!$B$12,Paramètres!$A$1:$I$89,3,0)*0.475*44/12</f>
        <v>#N/A</v>
      </c>
      <c r="CL75" s="21" t="e">
        <f>EXP(-LN(2)/25)*CL74+(1-EXP(-LN(2)/25))/(LN(2)/25)*Calculateur!CG75*Calculateur!CI75*VLOOKUP('Données projet'!$B$12,Paramètres!$A$1:$I$89,3,0)*0.475*44/12</f>
        <v>#N/A</v>
      </c>
      <c r="CM75" s="21" t="e">
        <f>EXP(-LN(2)/2)*CM74+(1-EXP(-LN(2)/2))/(LN(2)/2)*CG75*CJ75*VLOOKUP('Données projet'!$B$12,Paramètres!$A$1:$I$89,3,0)*0.475*44/12</f>
        <v>#N/A</v>
      </c>
      <c r="CN75" s="22" t="e">
        <f t="shared" si="66"/>
        <v>#N/A</v>
      </c>
      <c r="CO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35">
      <c r="A76" s="10">
        <f t="shared" si="85"/>
        <v>73</v>
      </c>
      <c r="B76" s="72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1">
        <f t="shared" si="86"/>
        <v>0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66">
        <f t="shared" si="56"/>
        <v>256.66666666666669</v>
      </c>
      <c r="I76" s="6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12.152499999999996</v>
      </c>
      <c r="N76" s="13">
        <f>IF('Données projet'!$A$36&gt;35,N75+M76-V75,IF(A76&lt;'Données projet'!$A$36,$K$205^A76,IF(A76='Données projet'!$A$36,'Données projet'!$B$36,N75+M76-V75)))</f>
        <v>402.64749999999992</v>
      </c>
      <c r="O76" s="13">
        <f>N76*VLOOKUP('Données projet'!$B$9,Paramètres!$A$1:$I$89,3,0)*VLOOKUP('Données projet'!$B$9,Paramètres!$A$1:$I$89,5,0)</f>
        <v>364.31545799999992</v>
      </c>
      <c r="P76" s="13">
        <f t="shared" si="87"/>
        <v>84.503300387559307</v>
      </c>
      <c r="Q76" s="20">
        <f t="shared" si="54"/>
        <v>781.69267085833235</v>
      </c>
      <c r="R76" s="59">
        <f t="shared" si="55"/>
        <v>1075.0260041916656</v>
      </c>
      <c r="S76" s="59">
        <f ca="1">AVERAGE(OFFSET($R$3,0,0,'Données projet'!$E$9+1,1))-AVERAGE(OFFSET($H$3,0,0,'Données projet'!$E$9+1,1))</f>
        <v>700.22008319944644</v>
      </c>
      <c r="T76" s="59">
        <f t="shared" si="88"/>
        <v>253.69632671986739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84.686328893651378</v>
      </c>
      <c r="AA76" s="21">
        <f>EXP(-LN(2)/25)*AA75+(1-EXP(-LN(2)/25))/(LN(2)/25)*Calculateur!V76*Calculateur!X76*VLOOKUP('Données projet'!$B$9,Paramètres!$A$1:$I$89,3,0)*0.475*44/12</f>
        <v>0</v>
      </c>
      <c r="AB76" s="21">
        <f>EXP(-LN(2)/2)*AB75+(1-EXP(-LN(2)/2))/(LN(2)/2)*V76*Y76*VLOOKUP('Données projet'!$B$9,Paramètres!$A$1:$I$89,3,0)*0.475*44/12</f>
        <v>0</v>
      </c>
      <c r="AC76" s="22">
        <f t="shared" si="57"/>
        <v>84.686328893651378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12.152499999999996</v>
      </c>
      <c r="AI76" s="13">
        <f>IF('Données projet'!$A$62&gt;35,AI75+AH76-AQ75,IF(A76&lt;'Données projet'!$A$62,$AF$205^A76,IF(A76='Données projet'!$A$62,'Données projet'!$B$62,AI75+AH76-AQ75)))</f>
        <v>402.64749999999992</v>
      </c>
      <c r="AJ76" s="13">
        <f>AI76*VLOOKUP('Données projet'!$B$10,Paramètres!$A$1:$I$89,3,0)*VLOOKUP('Données projet'!$B$10,Paramètres!$A$1:$I$89,5,0)</f>
        <v>383.15936099999993</v>
      </c>
      <c r="AK76" s="13">
        <f t="shared" si="89"/>
        <v>88.353984227813172</v>
      </c>
      <c r="AL76" s="20">
        <f t="shared" si="58"/>
        <v>821.2190762717745</v>
      </c>
      <c r="AM76" s="59">
        <f t="shared" si="59"/>
        <v>1114.5524096051079</v>
      </c>
      <c r="AN76" s="59">
        <f ca="1">AVERAGE(OFFSET($AM$3,0,0,'Données projet'!$E$10+1,1))-AVERAGE(OFFSET($H$3,0,0,'Données projet'!$E$10+1,1))</f>
        <v>733.95677909577444</v>
      </c>
      <c r="AO76" s="59">
        <f t="shared" si="90"/>
        <v>264.63778993239799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89.066656250219552</v>
      </c>
      <c r="AV76" s="21">
        <f>EXP(-LN(2)/25)*AV75+(1-EXP(-LN(2)/25))/(LN(2)/25)*Calculateur!AQ76*Calculateur!AS76*VLOOKUP('Données projet'!$B$10,Paramètres!$A$1:$I$89,3,0)*0.475*44/12</f>
        <v>0</v>
      </c>
      <c r="AW76" s="21">
        <f>EXP(-LN(2)/2)*AW75+(1-EXP(-LN(2)/2))/(LN(2)/2)*AQ76*AT76*VLOOKUP('Données projet'!$B$10,Paramètres!$A$1:$I$89,3,0)*0.475*44/12</f>
        <v>0</v>
      </c>
      <c r="AX76" s="21">
        <f t="shared" si="60"/>
        <v>89.066656250219552</v>
      </c>
      <c r="AY76" s="7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0</v>
      </c>
      <c r="BD76" s="12">
        <f>IF('Données projet'!$A$88&gt;35,BD75+BC76-BL75,IF(A76&lt;'Données projet'!$A$88,$BA$205^A76,IF(A76='Données projet'!$A$88,'Données projet'!$B$88,BD75+BC76-BL75)))</f>
        <v>0</v>
      </c>
      <c r="BE76" s="13">
        <f>BD76*VLOOKUP('Données projet'!$B$11,Paramètres!$A$1:$I$89,3,0)*VLOOKUP('Données projet'!$B$11,Paramètres!$A$1:$I$89,5,0)</f>
        <v>0</v>
      </c>
      <c r="BF76" s="13" t="e">
        <f t="shared" si="91"/>
        <v>#NUM!</v>
      </c>
      <c r="BG76" s="20" t="e">
        <f t="shared" si="61"/>
        <v>#NUM!</v>
      </c>
      <c r="BH76" s="59" t="e">
        <f t="shared" si="62"/>
        <v>#NUM!</v>
      </c>
      <c r="BI76" s="59">
        <f ca="1">AVERAGE(OFFSET($BH$3,0,0,'Données projet'!$E$11+1,1))-AVERAGE(OFFSET($H$3,0,0,'Données projet'!$E$11+1,1))</f>
        <v>187.80389738728508</v>
      </c>
      <c r="BJ76" s="59">
        <f t="shared" si="92"/>
        <v>439.28159165815265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52.706573979210454</v>
      </c>
      <c r="BQ76" s="21">
        <f>EXP(-LN(2)/25)*BQ75+(1-EXP(-LN(2)/25))/(LN(2)/25)*Calculateur!BL76*Calculateur!BN76*VLOOKUP('Données projet'!$B$11,Paramètres!$A$1:$I$89,3,0)*0.475*44/12</f>
        <v>4.3642139413106653</v>
      </c>
      <c r="BR76" s="21">
        <f>EXP(-LN(2)/2)*BR75+(1-EXP(-LN(2)/2))/(LN(2)/2)*BL76*BO76*VLOOKUP('Données projet'!$B$11,Paramètres!$A$1:$I$89,3,0)*0.475*44/12</f>
        <v>1.5160054845884713E-8</v>
      </c>
      <c r="BS76" s="22">
        <f t="shared" si="63"/>
        <v>57.070787935681174</v>
      </c>
      <c r="BT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0</v>
      </c>
      <c r="BZ76" s="13" t="e">
        <f>BY76*VLOOKUP('Données projet'!$B$12,Paramètres!$A$1:$I$89,3,0)*VLOOKUP('Données projet'!$B$12,Paramètres!$A$1:$I$89,5,0)</f>
        <v>#N/A</v>
      </c>
      <c r="CA76" s="13" t="e">
        <f t="shared" si="93"/>
        <v>#N/A</v>
      </c>
      <c r="CB76" s="20" t="e">
        <f t="shared" si="64"/>
        <v>#N/A</v>
      </c>
      <c r="CC76" s="59" t="e">
        <f t="shared" si="65"/>
        <v>#N/A</v>
      </c>
      <c r="CD76" s="59" t="e">
        <f ca="1">AVERAGE(OFFSET($CC$3,0,0,'Données projet'!$E$12+1,1))-AVERAGE(OFFSET($H$3,0,0,'Données projet'!$E$12+1,1))</f>
        <v>#N/A</v>
      </c>
      <c r="CE76" s="59" t="e">
        <f t="shared" si="94"/>
        <v>#N/A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 t="e">
        <f>EXP(-LN(2)/35)*CK75+(1-EXP(-LN(2)/35))/(LN(2)/35)*CG76*CH76*VLOOKUP('Données projet'!$B$12,Paramètres!$A$1:$I$89,3,0)*0.475*44/12</f>
        <v>#N/A</v>
      </c>
      <c r="CL76" s="21" t="e">
        <f>EXP(-LN(2)/25)*CL75+(1-EXP(-LN(2)/25))/(LN(2)/25)*Calculateur!CG76*Calculateur!CI76*VLOOKUP('Données projet'!$B$12,Paramètres!$A$1:$I$89,3,0)*0.475*44/12</f>
        <v>#N/A</v>
      </c>
      <c r="CM76" s="21" t="e">
        <f>EXP(-LN(2)/2)*CM75+(1-EXP(-LN(2)/2))/(LN(2)/2)*CG76*CJ76*VLOOKUP('Données projet'!$B$12,Paramètres!$A$1:$I$89,3,0)*0.475*44/12</f>
        <v>#N/A</v>
      </c>
      <c r="CN76" s="22" t="e">
        <f t="shared" si="66"/>
        <v>#N/A</v>
      </c>
      <c r="CO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35">
      <c r="A77" s="10">
        <f t="shared" si="85"/>
        <v>74</v>
      </c>
      <c r="B77" s="72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1">
        <f t="shared" si="86"/>
        <v>0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66">
        <f t="shared" si="56"/>
        <v>256.66666666666669</v>
      </c>
      <c r="I77" s="6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>
        <f>VLOOKUP(A77,'Données projet'!$A$35:$I$55,2,0)</f>
        <v>414.8</v>
      </c>
      <c r="L77" s="12">
        <f>VLOOKUP(A77,'Données projet'!$A$35:$I$55,9,0)</f>
        <v>12.152499999999996</v>
      </c>
      <c r="M77" s="12">
        <f t="array" ref="M77">INDEX(L:L,MIN(IF(ISNUMBER(L77:L273),ROW(L77:L273),"")))</f>
        <v>12.152499999999996</v>
      </c>
      <c r="N77" s="13">
        <f>IF('Données projet'!$A$36&gt;35,N76+M77-V76,IF(A77&lt;'Données projet'!$A$36,$K$205^A77,IF(A77='Données projet'!$A$36,'Données projet'!$B$36,N76+M77-V76)))</f>
        <v>414.7999999999999</v>
      </c>
      <c r="O77" s="13">
        <f>N77*VLOOKUP('Données projet'!$B$9,Paramètres!$A$1:$I$89,3,0)*VLOOKUP('Données projet'!$B$9,Paramètres!$A$1:$I$89,5,0)</f>
        <v>375.31103999999988</v>
      </c>
      <c r="P77" s="13">
        <f t="shared" si="87"/>
        <v>86.752950168429535</v>
      </c>
      <c r="Q77" s="20">
        <f t="shared" si="54"/>
        <v>804.76144954334779</v>
      </c>
      <c r="R77" s="59">
        <f t="shared" si="55"/>
        <v>1098.0947828766812</v>
      </c>
      <c r="S77" s="59">
        <f ca="1">AVERAGE(OFFSET($R$3,0,0,'Données projet'!$E$9+1,1))-AVERAGE(OFFSET($H$3,0,0,'Données projet'!$E$9+1,1))</f>
        <v>700.22008319944644</v>
      </c>
      <c r="T77" s="59">
        <f t="shared" si="88"/>
        <v>253.69632671986739</v>
      </c>
      <c r="U77" s="15">
        <f>IF(ISNA(VLOOKUP(A77,'Données projet'!$A$35:$I$55,3,0)),0,VLOOKUP(A77,'Données projet'!$A$35:$I$55,3,0))</f>
        <v>6</v>
      </c>
      <c r="V77" s="15">
        <f>IF(ISNA(VLOOKUP(A77,'Données projet'!$A$35:$I$55,4,0)),0,VLOOKUP(A77,'Données projet'!$A$35:$I$55,4,0))</f>
        <v>70.209999999999994</v>
      </c>
      <c r="W77" s="16">
        <f>IF(ISNA(VLOOKUP(A77,'Données projet'!$A$35:$I$55,5,0)),0%,VLOOKUP(A77,'Données projet'!$A$35:$I$55,5,0)*VLOOKUP('Données projet'!$B$9,Paramètres!$A$1:$I$89,7,0))</f>
        <v>0.43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113.22291331241563</v>
      </c>
      <c r="AA77" s="21">
        <f>EXP(-LN(2)/25)*AA76+(1-EXP(-LN(2)/25))/(LN(2)/25)*Calculateur!V77*Calculateur!X77*VLOOKUP('Données projet'!$B$9,Paramètres!$A$1:$I$89,3,0)*0.475*44/12</f>
        <v>0</v>
      </c>
      <c r="AB77" s="21">
        <f>EXP(-LN(2)/2)*AB76+(1-EXP(-LN(2)/2))/(LN(2)/2)*V77*Y77*VLOOKUP('Données projet'!$B$9,Paramètres!$A$1:$I$89,3,0)*0.475*44/12</f>
        <v>0</v>
      </c>
      <c r="AC77" s="22">
        <f t="shared" si="57"/>
        <v>113.22291331241563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>
        <f>VLOOKUP(A77,'Données projet'!$A$61:$I$81,2,0)</f>
        <v>414.8</v>
      </c>
      <c r="AG77" s="12">
        <f>VLOOKUP(A77,'Données projet'!$A$61:$I$81,9,0)</f>
        <v>12.152499999999996</v>
      </c>
      <c r="AH77" s="12">
        <f t="array" ref="AH77">INDEX(AG:AG,MIN(IF(ISNUMBER(AG77:AG273),ROW(AG77:AG273),"")))</f>
        <v>12.152499999999996</v>
      </c>
      <c r="AI77" s="13">
        <f>IF('Données projet'!$A$62&gt;35,AI76+AH77-AQ76,IF(A77&lt;'Données projet'!$A$62,$AF$205^A77,IF(A77='Données projet'!$A$62,'Données projet'!$B$62,AI76+AH77-AQ76)))</f>
        <v>414.7999999999999</v>
      </c>
      <c r="AJ77" s="13">
        <f>AI77*VLOOKUP('Données projet'!$B$10,Paramètres!$A$1:$I$89,3,0)*VLOOKUP('Données projet'!$B$10,Paramètres!$A$1:$I$89,5,0)</f>
        <v>394.72367999999989</v>
      </c>
      <c r="AK77" s="13">
        <f t="shared" si="89"/>
        <v>90.706147046845047</v>
      </c>
      <c r="AL77" s="20">
        <f t="shared" si="58"/>
        <v>845.45694877325502</v>
      </c>
      <c r="AM77" s="59">
        <f t="shared" si="59"/>
        <v>1138.7902821065884</v>
      </c>
      <c r="AN77" s="59">
        <f ca="1">AVERAGE(OFFSET($AM$3,0,0,'Données projet'!$E$10+1,1))-AVERAGE(OFFSET($H$3,0,0,'Données projet'!$E$10+1,1))</f>
        <v>733.95677909577444</v>
      </c>
      <c r="AO77" s="59">
        <f t="shared" si="90"/>
        <v>264.63778993239799</v>
      </c>
      <c r="AP77" s="15">
        <f>IF(ISNA(VLOOKUP(A77,'Données projet'!$A$61:$I$81,3,0)),0,VLOOKUP(A77,'Données projet'!$A$61:$I$81,3,0))</f>
        <v>6</v>
      </c>
      <c r="AQ77" s="15">
        <f>IF(ISNA(VLOOKUP(A77,'Données projet'!$A$61:$I$81,4,0)),0,VLOOKUP(A77,'Données projet'!$A$61:$I$81,4,0))</f>
        <v>70.209999999999994</v>
      </c>
      <c r="AR77" s="16">
        <f>IF(ISNA(VLOOKUP(A77,'Données projet'!$A$61:$I$81,5,0)),0%,VLOOKUP(A77,'Données projet'!$A$61:$I$81,5,0)*VLOOKUP('Données projet'!$B$10,Paramètres!$A$1:$I$89,7,0))</f>
        <v>0.43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119.07927089754057</v>
      </c>
      <c r="AV77" s="21">
        <f>EXP(-LN(2)/25)*AV76+(1-EXP(-LN(2)/25))/(LN(2)/25)*Calculateur!AQ77*Calculateur!AS77*VLOOKUP('Données projet'!$B$10,Paramètres!$A$1:$I$89,3,0)*0.475*44/12</f>
        <v>0</v>
      </c>
      <c r="AW77" s="21">
        <f>EXP(-LN(2)/2)*AW76+(1-EXP(-LN(2)/2))/(LN(2)/2)*AQ77*AT77*VLOOKUP('Données projet'!$B$10,Paramètres!$A$1:$I$89,3,0)*0.475*44/12</f>
        <v>0</v>
      </c>
      <c r="AX77" s="21">
        <f t="shared" si="60"/>
        <v>119.07927089754057</v>
      </c>
      <c r="AY77" s="7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0</v>
      </c>
      <c r="BD77" s="12">
        <f>IF('Données projet'!$A$88&gt;35,BD76+BC77-BL76,IF(A77&lt;'Données projet'!$A$88,$BA$205^A77,IF(A77='Données projet'!$A$88,'Données projet'!$B$88,BD76+BC77-BL76)))</f>
        <v>0</v>
      </c>
      <c r="BE77" s="13">
        <f>BD77*VLOOKUP('Données projet'!$B$11,Paramètres!$A$1:$I$89,3,0)*VLOOKUP('Données projet'!$B$11,Paramètres!$A$1:$I$89,5,0)</f>
        <v>0</v>
      </c>
      <c r="BF77" s="13" t="e">
        <f t="shared" si="91"/>
        <v>#NUM!</v>
      </c>
      <c r="BG77" s="20" t="e">
        <f t="shared" si="61"/>
        <v>#NUM!</v>
      </c>
      <c r="BH77" s="59" t="e">
        <f t="shared" si="62"/>
        <v>#NUM!</v>
      </c>
      <c r="BI77" s="59">
        <f ca="1">AVERAGE(OFFSET($BH$3,0,0,'Données projet'!$E$11+1,1))-AVERAGE(OFFSET($H$3,0,0,'Données projet'!$E$11+1,1))</f>
        <v>187.80389738728508</v>
      </c>
      <c r="BJ77" s="59">
        <f t="shared" si="92"/>
        <v>439.28159165815265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51.673030211313929</v>
      </c>
      <c r="BQ77" s="21">
        <f>EXP(-LN(2)/25)*BQ76+(1-EXP(-LN(2)/25))/(LN(2)/25)*Calculateur!BL77*Calculateur!BN77*VLOOKUP('Données projet'!$B$11,Paramètres!$A$1:$I$89,3,0)*0.475*44/12</f>
        <v>4.2448742815814882</v>
      </c>
      <c r="BR77" s="21">
        <f>EXP(-LN(2)/2)*BR76+(1-EXP(-LN(2)/2))/(LN(2)/2)*BL77*BO77*VLOOKUP('Données projet'!$B$11,Paramètres!$A$1:$I$89,3,0)*0.475*44/12</f>
        <v>1.0719777584685062E-8</v>
      </c>
      <c r="BS77" s="22">
        <f t="shared" si="63"/>
        <v>55.917904503615198</v>
      </c>
      <c r="BT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0</v>
      </c>
      <c r="BZ77" s="13" t="e">
        <f>BY77*VLOOKUP('Données projet'!$B$12,Paramètres!$A$1:$I$89,3,0)*VLOOKUP('Données projet'!$B$12,Paramètres!$A$1:$I$89,5,0)</f>
        <v>#N/A</v>
      </c>
      <c r="CA77" s="13" t="e">
        <f t="shared" si="93"/>
        <v>#N/A</v>
      </c>
      <c r="CB77" s="20" t="e">
        <f t="shared" si="64"/>
        <v>#N/A</v>
      </c>
      <c r="CC77" s="59" t="e">
        <f t="shared" si="65"/>
        <v>#N/A</v>
      </c>
      <c r="CD77" s="59" t="e">
        <f ca="1">AVERAGE(OFFSET($CC$3,0,0,'Données projet'!$E$12+1,1))-AVERAGE(OFFSET($H$3,0,0,'Données projet'!$E$12+1,1))</f>
        <v>#N/A</v>
      </c>
      <c r="CE77" s="59" t="e">
        <f t="shared" si="94"/>
        <v>#N/A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 t="e">
        <f>EXP(-LN(2)/35)*CK76+(1-EXP(-LN(2)/35))/(LN(2)/35)*CG77*CH77*VLOOKUP('Données projet'!$B$12,Paramètres!$A$1:$I$89,3,0)*0.475*44/12</f>
        <v>#N/A</v>
      </c>
      <c r="CL77" s="21" t="e">
        <f>EXP(-LN(2)/25)*CL76+(1-EXP(-LN(2)/25))/(LN(2)/25)*Calculateur!CG77*Calculateur!CI77*VLOOKUP('Données projet'!$B$12,Paramètres!$A$1:$I$89,3,0)*0.475*44/12</f>
        <v>#N/A</v>
      </c>
      <c r="CM77" s="21" t="e">
        <f>EXP(-LN(2)/2)*CM76+(1-EXP(-LN(2)/2))/(LN(2)/2)*CG77*CJ77*VLOOKUP('Données projet'!$B$12,Paramètres!$A$1:$I$89,3,0)*0.475*44/12</f>
        <v>#N/A</v>
      </c>
      <c r="CN77" s="22" t="e">
        <f t="shared" si="66"/>
        <v>#N/A</v>
      </c>
      <c r="CO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35">
      <c r="A78" s="10">
        <f t="shared" si="85"/>
        <v>75</v>
      </c>
      <c r="B78" s="72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1">
        <f t="shared" si="86"/>
        <v>0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66">
        <f t="shared" si="56"/>
        <v>256.66666666666669</v>
      </c>
      <c r="I78" s="6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11.447499999999998</v>
      </c>
      <c r="N78" s="13">
        <f>IF('Données projet'!$A$36&gt;35,N77+M78-V77,IF(A78&lt;'Données projet'!$A$36,$K$205^A78,IF(A78='Données projet'!$A$36,'Données projet'!$B$36,N77+M78-V77)))</f>
        <v>356.03749999999991</v>
      </c>
      <c r="O78" s="13">
        <f>N78*VLOOKUP('Données projet'!$B$9,Paramètres!$A$1:$I$89,3,0)*VLOOKUP('Données projet'!$B$9,Paramètres!$A$1:$I$89,5,0)</f>
        <v>322.14272999999991</v>
      </c>
      <c r="P78" s="13">
        <f t="shared" si="87"/>
        <v>75.79901699557125</v>
      </c>
      <c r="Q78" s="20">
        <f t="shared" si="54"/>
        <v>693.08187601728639</v>
      </c>
      <c r="R78" s="59">
        <f t="shared" si="55"/>
        <v>986.41520935061976</v>
      </c>
      <c r="S78" s="59">
        <f ca="1">AVERAGE(OFFSET($R$3,0,0,'Données projet'!$E$9+1,1))-AVERAGE(OFFSET($H$3,0,0,'Données projet'!$E$9+1,1))</f>
        <v>700.22008319944644</v>
      </c>
      <c r="T78" s="59">
        <f t="shared" si="88"/>
        <v>253.69632671986739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111.00268104151725</v>
      </c>
      <c r="AA78" s="21">
        <f>EXP(-LN(2)/25)*AA77+(1-EXP(-LN(2)/25))/(LN(2)/25)*Calculateur!V78*Calculateur!X78*VLOOKUP('Données projet'!$B$9,Paramètres!$A$1:$I$89,3,0)*0.475*44/12</f>
        <v>0</v>
      </c>
      <c r="AB78" s="21">
        <f>EXP(-LN(2)/2)*AB77+(1-EXP(-LN(2)/2))/(LN(2)/2)*V78*Y78*VLOOKUP('Données projet'!$B$9,Paramètres!$A$1:$I$89,3,0)*0.475*44/12</f>
        <v>0</v>
      </c>
      <c r="AC78" s="22">
        <f t="shared" si="57"/>
        <v>111.00268104151725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11.447499999999998</v>
      </c>
      <c r="AI78" s="13">
        <f>IF('Données projet'!$A$62&gt;35,AI77+AH78-AQ77,IF(A78&lt;'Données projet'!$A$62,$AF$205^A78,IF(A78='Données projet'!$A$62,'Données projet'!$B$62,AI77+AH78-AQ77)))</f>
        <v>356.03749999999991</v>
      </c>
      <c r="AJ78" s="13">
        <f>AI78*VLOOKUP('Données projet'!$B$10,Paramètres!$A$1:$I$89,3,0)*VLOOKUP('Données projet'!$B$10,Paramètres!$A$1:$I$89,5,0)</f>
        <v>338.80528499999991</v>
      </c>
      <c r="AK78" s="13">
        <f t="shared" si="89"/>
        <v>79.253060192858541</v>
      </c>
      <c r="AL78" s="20">
        <f t="shared" si="58"/>
        <v>728.11828454422846</v>
      </c>
      <c r="AM78" s="59">
        <f t="shared" si="59"/>
        <v>1021.4516178775618</v>
      </c>
      <c r="AN78" s="59">
        <f ca="1">AVERAGE(OFFSET($AM$3,0,0,'Données projet'!$E$10+1,1))-AVERAGE(OFFSET($H$3,0,0,'Données projet'!$E$10+1,1))</f>
        <v>733.95677909577444</v>
      </c>
      <c r="AO78" s="59">
        <f t="shared" si="90"/>
        <v>264.63778993239799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116.74419902642332</v>
      </c>
      <c r="AV78" s="21">
        <f>EXP(-LN(2)/25)*AV77+(1-EXP(-LN(2)/25))/(LN(2)/25)*Calculateur!AQ78*Calculateur!AS78*VLOOKUP('Données projet'!$B$10,Paramètres!$A$1:$I$89,3,0)*0.475*44/12</f>
        <v>0</v>
      </c>
      <c r="AW78" s="21">
        <f>EXP(-LN(2)/2)*AW77+(1-EXP(-LN(2)/2))/(LN(2)/2)*AQ78*AT78*VLOOKUP('Données projet'!$B$10,Paramètres!$A$1:$I$89,3,0)*0.475*44/12</f>
        <v>0</v>
      </c>
      <c r="AX78" s="21">
        <f t="shared" si="60"/>
        <v>116.74419902642332</v>
      </c>
      <c r="AY78" s="7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0</v>
      </c>
      <c r="BD78" s="12">
        <f>IF('Données projet'!$A$88&gt;35,BD77+BC78-BL77,IF(A78&lt;'Données projet'!$A$88,$BA$205^A78,IF(A78='Données projet'!$A$88,'Données projet'!$B$88,BD77+BC78-BL77)))</f>
        <v>0</v>
      </c>
      <c r="BE78" s="13">
        <f>BD78*VLOOKUP('Données projet'!$B$11,Paramètres!$A$1:$I$89,3,0)*VLOOKUP('Données projet'!$B$11,Paramètres!$A$1:$I$89,5,0)</f>
        <v>0</v>
      </c>
      <c r="BF78" s="13" t="e">
        <f t="shared" si="91"/>
        <v>#NUM!</v>
      </c>
      <c r="BG78" s="20" t="e">
        <f t="shared" si="61"/>
        <v>#NUM!</v>
      </c>
      <c r="BH78" s="59" t="e">
        <f t="shared" si="62"/>
        <v>#NUM!</v>
      </c>
      <c r="BI78" s="59">
        <f ca="1">AVERAGE(OFFSET($BH$3,0,0,'Données projet'!$E$11+1,1))-AVERAGE(OFFSET($H$3,0,0,'Données projet'!$E$11+1,1))</f>
        <v>187.80389738728508</v>
      </c>
      <c r="BJ78" s="59">
        <f t="shared" si="92"/>
        <v>439.28159165815265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50.659753606306403</v>
      </c>
      <c r="BQ78" s="21">
        <f>EXP(-LN(2)/25)*BQ77+(1-EXP(-LN(2)/25))/(LN(2)/25)*Calculateur!BL78*Calculateur!BN78*VLOOKUP('Données projet'!$B$11,Paramètres!$A$1:$I$89,3,0)*0.475*44/12</f>
        <v>4.1287979711234053</v>
      </c>
      <c r="BR78" s="21">
        <f>EXP(-LN(2)/2)*BR77+(1-EXP(-LN(2)/2))/(LN(2)/2)*BL78*BO78*VLOOKUP('Données projet'!$B$11,Paramètres!$A$1:$I$89,3,0)*0.475*44/12</f>
        <v>7.5800274229423567E-9</v>
      </c>
      <c r="BS78" s="22">
        <f t="shared" si="63"/>
        <v>54.788551585009834</v>
      </c>
      <c r="BT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0</v>
      </c>
      <c r="BZ78" s="13" t="e">
        <f>BY78*VLOOKUP('Données projet'!$B$12,Paramètres!$A$1:$I$89,3,0)*VLOOKUP('Données projet'!$B$12,Paramètres!$A$1:$I$89,5,0)</f>
        <v>#N/A</v>
      </c>
      <c r="CA78" s="13" t="e">
        <f t="shared" si="93"/>
        <v>#N/A</v>
      </c>
      <c r="CB78" s="20" t="e">
        <f t="shared" si="64"/>
        <v>#N/A</v>
      </c>
      <c r="CC78" s="59" t="e">
        <f t="shared" si="65"/>
        <v>#N/A</v>
      </c>
      <c r="CD78" s="59" t="e">
        <f ca="1">AVERAGE(OFFSET($CC$3,0,0,'Données projet'!$E$12+1,1))-AVERAGE(OFFSET($H$3,0,0,'Données projet'!$E$12+1,1))</f>
        <v>#N/A</v>
      </c>
      <c r="CE78" s="59" t="e">
        <f t="shared" si="94"/>
        <v>#N/A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 t="e">
        <f>EXP(-LN(2)/35)*CK77+(1-EXP(-LN(2)/35))/(LN(2)/35)*CG78*CH78*VLOOKUP('Données projet'!$B$12,Paramètres!$A$1:$I$89,3,0)*0.475*44/12</f>
        <v>#N/A</v>
      </c>
      <c r="CL78" s="21" t="e">
        <f>EXP(-LN(2)/25)*CL77+(1-EXP(-LN(2)/25))/(LN(2)/25)*Calculateur!CG78*Calculateur!CI78*VLOOKUP('Données projet'!$B$12,Paramètres!$A$1:$I$89,3,0)*0.475*44/12</f>
        <v>#N/A</v>
      </c>
      <c r="CM78" s="21" t="e">
        <f>EXP(-LN(2)/2)*CM77+(1-EXP(-LN(2)/2))/(LN(2)/2)*CG78*CJ78*VLOOKUP('Données projet'!$B$12,Paramètres!$A$1:$I$89,3,0)*0.475*44/12</f>
        <v>#N/A</v>
      </c>
      <c r="CN78" s="22" t="e">
        <f t="shared" si="66"/>
        <v>#N/A</v>
      </c>
      <c r="CO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35">
      <c r="A79" s="10">
        <f t="shared" si="85"/>
        <v>76</v>
      </c>
      <c r="B79" s="72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1">
        <f t="shared" si="86"/>
        <v>0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66">
        <f t="shared" si="56"/>
        <v>256.66666666666669</v>
      </c>
      <c r="I79" s="6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11.447499999999998</v>
      </c>
      <c r="N79" s="13">
        <f>IF('Données projet'!$A$36&gt;35,N78+M79-V78,IF(A79&lt;'Données projet'!$A$36,$K$205^A79,IF(A79='Données projet'!$A$36,'Données projet'!$B$36,N78+M79-V78)))</f>
        <v>367.4849999999999</v>
      </c>
      <c r="O79" s="13">
        <f>N79*VLOOKUP('Données projet'!$B$9,Paramètres!$A$1:$I$89,3,0)*VLOOKUP('Données projet'!$B$9,Paramètres!$A$1:$I$89,5,0)</f>
        <v>332.50042799999989</v>
      </c>
      <c r="P79" s="13">
        <f t="shared" si="87"/>
        <v>77.948481725116395</v>
      </c>
      <c r="Q79" s="20">
        <f t="shared" si="54"/>
        <v>714.8651844379109</v>
      </c>
      <c r="R79" s="59">
        <f t="shared" si="55"/>
        <v>1008.1985177712443</v>
      </c>
      <c r="S79" s="59">
        <f ca="1">AVERAGE(OFFSET($R$3,0,0,'Données projet'!$E$9+1,1))-AVERAGE(OFFSET($H$3,0,0,'Données projet'!$E$9+1,1))</f>
        <v>700.22008319944644</v>
      </c>
      <c r="T79" s="59">
        <f t="shared" si="88"/>
        <v>253.69632671986739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108.82598617124323</v>
      </c>
      <c r="AA79" s="21">
        <f>EXP(-LN(2)/25)*AA78+(1-EXP(-LN(2)/25))/(LN(2)/25)*Calculateur!V79*Calculateur!X79*VLOOKUP('Données projet'!$B$9,Paramètres!$A$1:$I$89,3,0)*0.475*44/12</f>
        <v>0</v>
      </c>
      <c r="AB79" s="21">
        <f>EXP(-LN(2)/2)*AB78+(1-EXP(-LN(2)/2))/(LN(2)/2)*V79*Y79*VLOOKUP('Données projet'!$B$9,Paramètres!$A$1:$I$89,3,0)*0.475*44/12</f>
        <v>0</v>
      </c>
      <c r="AC79" s="22">
        <f t="shared" si="57"/>
        <v>108.82598617124323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11.447499999999998</v>
      </c>
      <c r="AI79" s="13">
        <f>IF('Données projet'!$A$62&gt;35,AI78+AH79-AQ78,IF(A79&lt;'Données projet'!$A$62,$AF$205^A79,IF(A79='Données projet'!$A$62,'Données projet'!$B$62,AI78+AH79-AQ78)))</f>
        <v>367.4849999999999</v>
      </c>
      <c r="AJ79" s="13">
        <f>AI79*VLOOKUP('Données projet'!$B$10,Paramètres!$A$1:$I$89,3,0)*VLOOKUP('Données projet'!$B$10,Paramètres!$A$1:$I$89,5,0)</f>
        <v>349.69872599999991</v>
      </c>
      <c r="AK79" s="13">
        <f t="shared" si="89"/>
        <v>81.500472683749038</v>
      </c>
      <c r="AL79" s="20">
        <f t="shared" si="58"/>
        <v>751.00527104086268</v>
      </c>
      <c r="AM79" s="59">
        <f t="shared" si="59"/>
        <v>1044.3386043741959</v>
      </c>
      <c r="AN79" s="59">
        <f ca="1">AVERAGE(OFFSET($AM$3,0,0,'Données projet'!$E$10+1,1))-AVERAGE(OFFSET($H$3,0,0,'Données projet'!$E$10+1,1))</f>
        <v>733.95677909577444</v>
      </c>
      <c r="AO79" s="59">
        <f t="shared" si="90"/>
        <v>264.63778993239799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114.45491649044546</v>
      </c>
      <c r="AV79" s="21">
        <f>EXP(-LN(2)/25)*AV78+(1-EXP(-LN(2)/25))/(LN(2)/25)*Calculateur!AQ79*Calculateur!AS79*VLOOKUP('Données projet'!$B$10,Paramètres!$A$1:$I$89,3,0)*0.475*44/12</f>
        <v>0</v>
      </c>
      <c r="AW79" s="21">
        <f>EXP(-LN(2)/2)*AW78+(1-EXP(-LN(2)/2))/(LN(2)/2)*AQ79*AT79*VLOOKUP('Données projet'!$B$10,Paramètres!$A$1:$I$89,3,0)*0.475*44/12</f>
        <v>0</v>
      </c>
      <c r="AX79" s="21">
        <f t="shared" si="60"/>
        <v>114.45491649044546</v>
      </c>
      <c r="AY79" s="7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0</v>
      </c>
      <c r="BD79" s="12">
        <f>IF('Données projet'!$A$88&gt;35,BD78+BC79-BL78,IF(A79&lt;'Données projet'!$A$88,$BA$205^A79,IF(A79='Données projet'!$A$88,'Données projet'!$B$88,BD78+BC79-BL78)))</f>
        <v>0</v>
      </c>
      <c r="BE79" s="13">
        <f>BD79*VLOOKUP('Données projet'!$B$11,Paramètres!$A$1:$I$89,3,0)*VLOOKUP('Données projet'!$B$11,Paramètres!$A$1:$I$89,5,0)</f>
        <v>0</v>
      </c>
      <c r="BF79" s="13" t="e">
        <f t="shared" si="91"/>
        <v>#NUM!</v>
      </c>
      <c r="BG79" s="20" t="e">
        <f t="shared" si="61"/>
        <v>#NUM!</v>
      </c>
      <c r="BH79" s="59" t="e">
        <f t="shared" si="62"/>
        <v>#NUM!</v>
      </c>
      <c r="BI79" s="59">
        <f ca="1">AVERAGE(OFFSET($BH$3,0,0,'Données projet'!$E$11+1,1))-AVERAGE(OFFSET($H$3,0,0,'Données projet'!$E$11+1,1))</f>
        <v>187.80389738728508</v>
      </c>
      <c r="BJ79" s="59">
        <f t="shared" si="92"/>
        <v>439.28159165815265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49.66634673748537</v>
      </c>
      <c r="BQ79" s="21">
        <f>EXP(-LN(2)/25)*BQ78+(1-EXP(-LN(2)/25))/(LN(2)/25)*Calculateur!BL79*Calculateur!BN79*VLOOKUP('Données projet'!$B$11,Paramètres!$A$1:$I$89,3,0)*0.475*44/12</f>
        <v>4.0158957734789871</v>
      </c>
      <c r="BR79" s="21">
        <f>EXP(-LN(2)/2)*BR78+(1-EXP(-LN(2)/2))/(LN(2)/2)*BL79*BO79*VLOOKUP('Données projet'!$B$11,Paramètres!$A$1:$I$89,3,0)*0.475*44/12</f>
        <v>5.3598887923425308E-9</v>
      </c>
      <c r="BS79" s="22">
        <f t="shared" si="63"/>
        <v>53.682242516324244</v>
      </c>
      <c r="BT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0</v>
      </c>
      <c r="BZ79" s="13" t="e">
        <f>BY79*VLOOKUP('Données projet'!$B$12,Paramètres!$A$1:$I$89,3,0)*VLOOKUP('Données projet'!$B$12,Paramètres!$A$1:$I$89,5,0)</f>
        <v>#N/A</v>
      </c>
      <c r="CA79" s="13" t="e">
        <f t="shared" si="93"/>
        <v>#N/A</v>
      </c>
      <c r="CB79" s="20" t="e">
        <f t="shared" si="64"/>
        <v>#N/A</v>
      </c>
      <c r="CC79" s="59" t="e">
        <f t="shared" si="65"/>
        <v>#N/A</v>
      </c>
      <c r="CD79" s="59" t="e">
        <f ca="1">AVERAGE(OFFSET($CC$3,0,0,'Données projet'!$E$12+1,1))-AVERAGE(OFFSET($H$3,0,0,'Données projet'!$E$12+1,1))</f>
        <v>#N/A</v>
      </c>
      <c r="CE79" s="59" t="e">
        <f t="shared" si="94"/>
        <v>#N/A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 t="e">
        <f>EXP(-LN(2)/35)*CK78+(1-EXP(-LN(2)/35))/(LN(2)/35)*CG79*CH79*VLOOKUP('Données projet'!$B$12,Paramètres!$A$1:$I$89,3,0)*0.475*44/12</f>
        <v>#N/A</v>
      </c>
      <c r="CL79" s="21" t="e">
        <f>EXP(-LN(2)/25)*CL78+(1-EXP(-LN(2)/25))/(LN(2)/25)*Calculateur!CG79*Calculateur!CI79*VLOOKUP('Données projet'!$B$12,Paramètres!$A$1:$I$89,3,0)*0.475*44/12</f>
        <v>#N/A</v>
      </c>
      <c r="CM79" s="21" t="e">
        <f>EXP(-LN(2)/2)*CM78+(1-EXP(-LN(2)/2))/(LN(2)/2)*CG79*CJ79*VLOOKUP('Données projet'!$B$12,Paramètres!$A$1:$I$89,3,0)*0.475*44/12</f>
        <v>#N/A</v>
      </c>
      <c r="CN79" s="22" t="e">
        <f t="shared" si="66"/>
        <v>#N/A</v>
      </c>
      <c r="CO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35">
      <c r="A80" s="10">
        <f t="shared" si="85"/>
        <v>77</v>
      </c>
      <c r="B80" s="72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1">
        <f t="shared" si="86"/>
        <v>0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66">
        <f t="shared" si="56"/>
        <v>256.66666666666669</v>
      </c>
      <c r="I80" s="6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11.447499999999998</v>
      </c>
      <c r="N80" s="13">
        <f>IF('Données projet'!$A$36&gt;35,N79+M80-V79,IF(A80&lt;'Données projet'!$A$36,$K$205^A80,IF(A80='Données projet'!$A$36,'Données projet'!$B$36,N79+M80-V79)))</f>
        <v>378.93249999999989</v>
      </c>
      <c r="O80" s="13">
        <f>N80*VLOOKUP('Données projet'!$B$9,Paramètres!$A$1:$I$89,3,0)*VLOOKUP('Données projet'!$B$9,Paramètres!$A$1:$I$89,5,0)</f>
        <v>342.85812599999991</v>
      </c>
      <c r="P80" s="13">
        <f t="shared" si="87"/>
        <v>80.090165347018754</v>
      </c>
      <c r="Q80" s="20">
        <f t="shared" si="54"/>
        <v>736.63494076272411</v>
      </c>
      <c r="R80" s="59">
        <f t="shared" si="55"/>
        <v>1029.9682740960575</v>
      </c>
      <c r="S80" s="59">
        <f ca="1">AVERAGE(OFFSET($R$3,0,0,'Données projet'!$E$9+1,1))-AVERAGE(OFFSET($H$3,0,0,'Données projet'!$E$9+1,1))</f>
        <v>700.22008319944644</v>
      </c>
      <c r="T80" s="59">
        <f t="shared" si="88"/>
        <v>253.69632671986739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106.6919749597225</v>
      </c>
      <c r="AA80" s="21">
        <f>EXP(-LN(2)/25)*AA79+(1-EXP(-LN(2)/25))/(LN(2)/25)*Calculateur!V80*Calculateur!X80*VLOOKUP('Données projet'!$B$9,Paramètres!$A$1:$I$89,3,0)*0.475*44/12</f>
        <v>0</v>
      </c>
      <c r="AB80" s="21">
        <f>EXP(-LN(2)/2)*AB79+(1-EXP(-LN(2)/2))/(LN(2)/2)*V80*Y80*VLOOKUP('Données projet'!$B$9,Paramètres!$A$1:$I$89,3,0)*0.475*44/12</f>
        <v>0</v>
      </c>
      <c r="AC80" s="22">
        <f t="shared" si="57"/>
        <v>106.6919749597225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11.447499999999998</v>
      </c>
      <c r="AI80" s="13">
        <f>IF('Données projet'!$A$62&gt;35,AI79+AH80-AQ79,IF(A80&lt;'Données projet'!$A$62,$AF$205^A80,IF(A80='Données projet'!$A$62,'Données projet'!$B$62,AI79+AH80-AQ79)))</f>
        <v>378.93249999999989</v>
      </c>
      <c r="AJ80" s="13">
        <f>AI80*VLOOKUP('Données projet'!$B$10,Paramètres!$A$1:$I$89,3,0)*VLOOKUP('Données projet'!$B$10,Paramètres!$A$1:$I$89,5,0)</f>
        <v>360.5921669999999</v>
      </c>
      <c r="AK80" s="13">
        <f t="shared" si="89"/>
        <v>83.739749494035365</v>
      </c>
      <c r="AL80" s="20">
        <f t="shared" si="58"/>
        <v>773.87808789377812</v>
      </c>
      <c r="AM80" s="59">
        <f t="shared" si="59"/>
        <v>1067.2114212271115</v>
      </c>
      <c r="AN80" s="59">
        <f ca="1">AVERAGE(OFFSET($AM$3,0,0,'Données projet'!$E$10+1,1))-AVERAGE(OFFSET($H$3,0,0,'Données projet'!$E$10+1,1))</f>
        <v>733.95677909577444</v>
      </c>
      <c r="AO80" s="59">
        <f t="shared" si="90"/>
        <v>264.63778993239799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112.21052538867366</v>
      </c>
      <c r="AV80" s="21">
        <f>EXP(-LN(2)/25)*AV79+(1-EXP(-LN(2)/25))/(LN(2)/25)*Calculateur!AQ80*Calculateur!AS80*VLOOKUP('Données projet'!$B$10,Paramètres!$A$1:$I$89,3,0)*0.475*44/12</f>
        <v>0</v>
      </c>
      <c r="AW80" s="21">
        <f>EXP(-LN(2)/2)*AW79+(1-EXP(-LN(2)/2))/(LN(2)/2)*AQ80*AT80*VLOOKUP('Données projet'!$B$10,Paramètres!$A$1:$I$89,3,0)*0.475*44/12</f>
        <v>0</v>
      </c>
      <c r="AX80" s="21">
        <f t="shared" si="60"/>
        <v>112.21052538867366</v>
      </c>
      <c r="AY80" s="7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0</v>
      </c>
      <c r="BD80" s="12">
        <f>IF('Données projet'!$A$88&gt;35,BD79+BC80-BL79,IF(A80&lt;'Données projet'!$A$88,$BA$205^A80,IF(A80='Données projet'!$A$88,'Données projet'!$B$88,BD79+BC80-BL79)))</f>
        <v>0</v>
      </c>
      <c r="BE80" s="13">
        <f>BD80*VLOOKUP('Données projet'!$B$11,Paramètres!$A$1:$I$89,3,0)*VLOOKUP('Données projet'!$B$11,Paramètres!$A$1:$I$89,5,0)</f>
        <v>0</v>
      </c>
      <c r="BF80" s="13" t="e">
        <f t="shared" si="91"/>
        <v>#NUM!</v>
      </c>
      <c r="BG80" s="20" t="e">
        <f t="shared" si="61"/>
        <v>#NUM!</v>
      </c>
      <c r="BH80" s="59" t="e">
        <f t="shared" si="62"/>
        <v>#NUM!</v>
      </c>
      <c r="BI80" s="59">
        <f ca="1">AVERAGE(OFFSET($BH$3,0,0,'Données projet'!$E$11+1,1))-AVERAGE(OFFSET($H$3,0,0,'Données projet'!$E$11+1,1))</f>
        <v>187.80389738728508</v>
      </c>
      <c r="BJ80" s="59">
        <f t="shared" si="92"/>
        <v>439.28159165815265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48.692419971443556</v>
      </c>
      <c r="BQ80" s="21">
        <f>EXP(-LN(2)/25)*BQ79+(1-EXP(-LN(2)/25))/(LN(2)/25)*Calculateur!BL80*Calculateur!BN80*VLOOKUP('Données projet'!$B$11,Paramètres!$A$1:$I$89,3,0)*0.475*44/12</f>
        <v>3.9060808923664241</v>
      </c>
      <c r="BR80" s="21">
        <f>EXP(-LN(2)/2)*BR79+(1-EXP(-LN(2)/2))/(LN(2)/2)*BL80*BO80*VLOOKUP('Données projet'!$B$11,Paramètres!$A$1:$I$89,3,0)*0.475*44/12</f>
        <v>3.7900137114711784E-9</v>
      </c>
      <c r="BS80" s="22">
        <f t="shared" si="63"/>
        <v>52.598500867599995</v>
      </c>
      <c r="BT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0</v>
      </c>
      <c r="BZ80" s="13" t="e">
        <f>BY80*VLOOKUP('Données projet'!$B$12,Paramètres!$A$1:$I$89,3,0)*VLOOKUP('Données projet'!$B$12,Paramètres!$A$1:$I$89,5,0)</f>
        <v>#N/A</v>
      </c>
      <c r="CA80" s="13" t="e">
        <f t="shared" si="93"/>
        <v>#N/A</v>
      </c>
      <c r="CB80" s="20" t="e">
        <f t="shared" si="64"/>
        <v>#N/A</v>
      </c>
      <c r="CC80" s="59" t="e">
        <f t="shared" si="65"/>
        <v>#N/A</v>
      </c>
      <c r="CD80" s="59" t="e">
        <f ca="1">AVERAGE(OFFSET($CC$3,0,0,'Données projet'!$E$12+1,1))-AVERAGE(OFFSET($H$3,0,0,'Données projet'!$E$12+1,1))</f>
        <v>#N/A</v>
      </c>
      <c r="CE80" s="59" t="e">
        <f t="shared" si="94"/>
        <v>#N/A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 t="e">
        <f>EXP(-LN(2)/35)*CK79+(1-EXP(-LN(2)/35))/(LN(2)/35)*CG80*CH80*VLOOKUP('Données projet'!$B$12,Paramètres!$A$1:$I$89,3,0)*0.475*44/12</f>
        <v>#N/A</v>
      </c>
      <c r="CL80" s="21" t="e">
        <f>EXP(-LN(2)/25)*CL79+(1-EXP(-LN(2)/25))/(LN(2)/25)*Calculateur!CG80*Calculateur!CI80*VLOOKUP('Données projet'!$B$12,Paramètres!$A$1:$I$89,3,0)*0.475*44/12</f>
        <v>#N/A</v>
      </c>
      <c r="CM80" s="21" t="e">
        <f>EXP(-LN(2)/2)*CM79+(1-EXP(-LN(2)/2))/(LN(2)/2)*CG80*CJ80*VLOOKUP('Données projet'!$B$12,Paramètres!$A$1:$I$89,3,0)*0.475*44/12</f>
        <v>#N/A</v>
      </c>
      <c r="CN80" s="22" t="e">
        <f t="shared" si="66"/>
        <v>#N/A</v>
      </c>
      <c r="CO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35">
      <c r="A81" s="10">
        <f t="shared" si="85"/>
        <v>78</v>
      </c>
      <c r="B81" s="72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1">
        <f t="shared" si="86"/>
        <v>0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66">
        <f t="shared" si="56"/>
        <v>256.66666666666669</v>
      </c>
      <c r="I81" s="6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11.447499999999998</v>
      </c>
      <c r="N81" s="13">
        <f>IF('Données projet'!$A$36&gt;35,N80+M81-V80,IF(A81&lt;'Données projet'!$A$36,$K$205^A81,IF(A81='Données projet'!$A$36,'Données projet'!$B$36,N80+M81-V80)))</f>
        <v>390.37999999999988</v>
      </c>
      <c r="O81" s="13">
        <f>N81*VLOOKUP('Données projet'!$B$9,Paramètres!$A$1:$I$89,3,0)*VLOOKUP('Données projet'!$B$9,Paramètres!$A$1:$I$89,5,0)</f>
        <v>353.21582399999988</v>
      </c>
      <c r="P81" s="13">
        <f t="shared" si="87"/>
        <v>82.224329909177527</v>
      </c>
      <c r="Q81" s="20">
        <f t="shared" si="54"/>
        <v>758.39160139181729</v>
      </c>
      <c r="R81" s="59">
        <f t="shared" si="55"/>
        <v>1051.7249347251507</v>
      </c>
      <c r="S81" s="59">
        <f ca="1">AVERAGE(OFFSET($R$3,0,0,'Données projet'!$E$9+1,1))-AVERAGE(OFFSET($H$3,0,0,'Données projet'!$E$9+1,1))</f>
        <v>700.22008319944644</v>
      </c>
      <c r="T81" s="59">
        <f t="shared" si="88"/>
        <v>253.69632671986739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104.59981040644138</v>
      </c>
      <c r="AA81" s="21">
        <f>EXP(-LN(2)/25)*AA80+(1-EXP(-LN(2)/25))/(LN(2)/25)*Calculateur!V81*Calculateur!X81*VLOOKUP('Données projet'!$B$9,Paramètres!$A$1:$I$89,3,0)*0.475*44/12</f>
        <v>0</v>
      </c>
      <c r="AB81" s="21">
        <f>EXP(-LN(2)/2)*AB80+(1-EXP(-LN(2)/2))/(LN(2)/2)*V81*Y81*VLOOKUP('Données projet'!$B$9,Paramètres!$A$1:$I$89,3,0)*0.475*44/12</f>
        <v>0</v>
      </c>
      <c r="AC81" s="22">
        <f t="shared" si="57"/>
        <v>104.59981040644138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11.447499999999998</v>
      </c>
      <c r="AI81" s="13">
        <f>IF('Données projet'!$A$62&gt;35,AI80+AH81-AQ80,IF(A81&lt;'Données projet'!$A$62,$AF$205^A81,IF(A81='Données projet'!$A$62,'Données projet'!$B$62,AI80+AH81-AQ80)))</f>
        <v>390.37999999999988</v>
      </c>
      <c r="AJ81" s="13">
        <f>AI81*VLOOKUP('Données projet'!$B$10,Paramètres!$A$1:$I$89,3,0)*VLOOKUP('Données projet'!$B$10,Paramètres!$A$1:$I$89,5,0)</f>
        <v>371.4856079999999</v>
      </c>
      <c r="AK81" s="13">
        <f t="shared" si="89"/>
        <v>85.971164612731641</v>
      </c>
      <c r="AL81" s="20">
        <f t="shared" si="58"/>
        <v>796.73721230050739</v>
      </c>
      <c r="AM81" s="59">
        <f t="shared" si="59"/>
        <v>1090.0705456338408</v>
      </c>
      <c r="AN81" s="59">
        <f ca="1">AVERAGE(OFFSET($AM$3,0,0,'Données projet'!$E$10+1,1))-AVERAGE(OFFSET($H$3,0,0,'Données projet'!$E$10+1,1))</f>
        <v>733.95677909577444</v>
      </c>
      <c r="AO81" s="59">
        <f t="shared" si="90"/>
        <v>264.63778993239799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110.01014542746421</v>
      </c>
      <c r="AV81" s="21">
        <f>EXP(-LN(2)/25)*AV80+(1-EXP(-LN(2)/25))/(LN(2)/25)*Calculateur!AQ81*Calculateur!AS81*VLOOKUP('Données projet'!$B$10,Paramètres!$A$1:$I$89,3,0)*0.475*44/12</f>
        <v>0</v>
      </c>
      <c r="AW81" s="21">
        <f>EXP(-LN(2)/2)*AW80+(1-EXP(-LN(2)/2))/(LN(2)/2)*AQ81*AT81*VLOOKUP('Données projet'!$B$10,Paramètres!$A$1:$I$89,3,0)*0.475*44/12</f>
        <v>0</v>
      </c>
      <c r="AX81" s="21">
        <f t="shared" si="60"/>
        <v>110.01014542746421</v>
      </c>
      <c r="AY81" s="7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0</v>
      </c>
      <c r="BD81" s="12">
        <f>IF('Données projet'!$A$88&gt;35,BD80+BC81-BL80,IF(A81&lt;'Données projet'!$A$88,$BA$205^A81,IF(A81='Données projet'!$A$88,'Données projet'!$B$88,BD80+BC81-BL80)))</f>
        <v>0</v>
      </c>
      <c r="BE81" s="13">
        <f>BD81*VLOOKUP('Données projet'!$B$11,Paramètres!$A$1:$I$89,3,0)*VLOOKUP('Données projet'!$B$11,Paramètres!$A$1:$I$89,5,0)</f>
        <v>0</v>
      </c>
      <c r="BF81" s="13" t="e">
        <f t="shared" si="91"/>
        <v>#NUM!</v>
      </c>
      <c r="BG81" s="20" t="e">
        <f t="shared" si="61"/>
        <v>#NUM!</v>
      </c>
      <c r="BH81" s="59" t="e">
        <f t="shared" si="62"/>
        <v>#NUM!</v>
      </c>
      <c r="BI81" s="59">
        <f ca="1">AVERAGE(OFFSET($BH$3,0,0,'Données projet'!$E$11+1,1))-AVERAGE(OFFSET($H$3,0,0,'Données projet'!$E$11+1,1))</f>
        <v>187.80389738728508</v>
      </c>
      <c r="BJ81" s="59">
        <f t="shared" si="92"/>
        <v>439.28159165815265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47.737591315247151</v>
      </c>
      <c r="BQ81" s="21">
        <f>EXP(-LN(2)/25)*BQ80+(1-EXP(-LN(2)/25))/(LN(2)/25)*Calculateur!BL81*Calculateur!BN81*VLOOKUP('Données projet'!$B$11,Paramètres!$A$1:$I$89,3,0)*0.475*44/12</f>
        <v>3.7992689049527977</v>
      </c>
      <c r="BR81" s="21">
        <f>EXP(-LN(2)/2)*BR80+(1-EXP(-LN(2)/2))/(LN(2)/2)*BL81*BO81*VLOOKUP('Données projet'!$B$11,Paramètres!$A$1:$I$89,3,0)*0.475*44/12</f>
        <v>2.6799443961712654E-9</v>
      </c>
      <c r="BS81" s="22">
        <f t="shared" si="63"/>
        <v>51.536860222879895</v>
      </c>
      <c r="BT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0</v>
      </c>
      <c r="BZ81" s="13" t="e">
        <f>BY81*VLOOKUP('Données projet'!$B$12,Paramètres!$A$1:$I$89,3,0)*VLOOKUP('Données projet'!$B$12,Paramètres!$A$1:$I$89,5,0)</f>
        <v>#N/A</v>
      </c>
      <c r="CA81" s="13" t="e">
        <f t="shared" si="93"/>
        <v>#N/A</v>
      </c>
      <c r="CB81" s="20" t="e">
        <f t="shared" si="64"/>
        <v>#N/A</v>
      </c>
      <c r="CC81" s="59" t="e">
        <f t="shared" si="65"/>
        <v>#N/A</v>
      </c>
      <c r="CD81" s="59" t="e">
        <f ca="1">AVERAGE(OFFSET($CC$3,0,0,'Données projet'!$E$12+1,1))-AVERAGE(OFFSET($H$3,0,0,'Données projet'!$E$12+1,1))</f>
        <v>#N/A</v>
      </c>
      <c r="CE81" s="59" t="e">
        <f t="shared" si="94"/>
        <v>#N/A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 t="e">
        <f>EXP(-LN(2)/35)*CK80+(1-EXP(-LN(2)/35))/(LN(2)/35)*CG81*CH81*VLOOKUP('Données projet'!$B$12,Paramètres!$A$1:$I$89,3,0)*0.475*44/12</f>
        <v>#N/A</v>
      </c>
      <c r="CL81" s="21" t="e">
        <f>EXP(-LN(2)/25)*CL80+(1-EXP(-LN(2)/25))/(LN(2)/25)*Calculateur!CG81*Calculateur!CI81*VLOOKUP('Données projet'!$B$12,Paramètres!$A$1:$I$89,3,0)*0.475*44/12</f>
        <v>#N/A</v>
      </c>
      <c r="CM81" s="21" t="e">
        <f>EXP(-LN(2)/2)*CM80+(1-EXP(-LN(2)/2))/(LN(2)/2)*CG81*CJ81*VLOOKUP('Données projet'!$B$12,Paramètres!$A$1:$I$89,3,0)*0.475*44/12</f>
        <v>#N/A</v>
      </c>
      <c r="CN81" s="22" t="e">
        <f t="shared" si="66"/>
        <v>#N/A</v>
      </c>
      <c r="CO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35">
      <c r="A82" s="10">
        <f t="shared" si="85"/>
        <v>79</v>
      </c>
      <c r="B82" s="72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1">
        <f t="shared" si="86"/>
        <v>0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66">
        <f t="shared" si="56"/>
        <v>256.66666666666669</v>
      </c>
      <c r="I82" s="6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11.447499999999998</v>
      </c>
      <c r="N82" s="13">
        <f>IF('Données projet'!$A$36&gt;35,N81+M82-V81,IF(A82&lt;'Données projet'!$A$36,$K$205^A82,IF(A82='Données projet'!$A$36,'Données projet'!$B$36,N81+M82-V81)))</f>
        <v>401.82749999999987</v>
      </c>
      <c r="O82" s="13">
        <f>N82*VLOOKUP('Données projet'!$B$9,Paramètres!$A$1:$I$89,3,0)*VLOOKUP('Données projet'!$B$9,Paramètres!$A$1:$I$89,5,0)</f>
        <v>363.57352199999985</v>
      </c>
      <c r="P82" s="13">
        <f t="shared" si="87"/>
        <v>84.351221217134508</v>
      </c>
      <c r="Q82" s="20">
        <f t="shared" si="54"/>
        <v>780.135594436509</v>
      </c>
      <c r="R82" s="59">
        <f t="shared" si="55"/>
        <v>1073.4689277698424</v>
      </c>
      <c r="S82" s="59">
        <f ca="1">AVERAGE(OFFSET($R$3,0,0,'Données projet'!$E$9+1,1))-AVERAGE(OFFSET($H$3,0,0,'Données projet'!$E$9+1,1))</f>
        <v>700.22008319944644</v>
      </c>
      <c r="T82" s="59">
        <f t="shared" si="88"/>
        <v>253.69632671986739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102.54867192395572</v>
      </c>
      <c r="AA82" s="21">
        <f>EXP(-LN(2)/25)*AA81+(1-EXP(-LN(2)/25))/(LN(2)/25)*Calculateur!V82*Calculateur!X82*VLOOKUP('Données projet'!$B$9,Paramètres!$A$1:$I$89,3,0)*0.475*44/12</f>
        <v>0</v>
      </c>
      <c r="AB82" s="21">
        <f>EXP(-LN(2)/2)*AB81+(1-EXP(-LN(2)/2))/(LN(2)/2)*V82*Y82*VLOOKUP('Données projet'!$B$9,Paramètres!$A$1:$I$89,3,0)*0.475*44/12</f>
        <v>0</v>
      </c>
      <c r="AC82" s="22">
        <f t="shared" si="57"/>
        <v>102.54867192395572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11.447499999999998</v>
      </c>
      <c r="AI82" s="13">
        <f>IF('Données projet'!$A$62&gt;35,AI81+AH82-AQ81,IF(A82&lt;'Données projet'!$A$62,$AF$205^A82,IF(A82='Données projet'!$A$62,'Données projet'!$B$62,AI81+AH82-AQ81)))</f>
        <v>401.82749999999987</v>
      </c>
      <c r="AJ82" s="13">
        <f>AI82*VLOOKUP('Données projet'!$B$10,Paramètres!$A$1:$I$89,3,0)*VLOOKUP('Données projet'!$B$10,Paramètres!$A$1:$I$89,5,0)</f>
        <v>382.3790489999999</v>
      </c>
      <c r="AK82" s="13">
        <f t="shared" si="89"/>
        <v>88.194975046355495</v>
      </c>
      <c r="AL82" s="20">
        <f t="shared" si="58"/>
        <v>819.58309188073554</v>
      </c>
      <c r="AM82" s="59">
        <f t="shared" si="59"/>
        <v>1112.9164252140688</v>
      </c>
      <c r="AN82" s="59">
        <f ca="1">AVERAGE(OFFSET($AM$3,0,0,'Données projet'!$E$10+1,1))-AVERAGE(OFFSET($H$3,0,0,'Données projet'!$E$10+1,1))</f>
        <v>733.95677909577444</v>
      </c>
      <c r="AO82" s="59">
        <f t="shared" si="90"/>
        <v>264.63778993239799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107.85291357519482</v>
      </c>
      <c r="AV82" s="21">
        <f>EXP(-LN(2)/25)*AV81+(1-EXP(-LN(2)/25))/(LN(2)/25)*Calculateur!AQ82*Calculateur!AS82*VLOOKUP('Données projet'!$B$10,Paramètres!$A$1:$I$89,3,0)*0.475*44/12</f>
        <v>0</v>
      </c>
      <c r="AW82" s="21">
        <f>EXP(-LN(2)/2)*AW81+(1-EXP(-LN(2)/2))/(LN(2)/2)*AQ82*AT82*VLOOKUP('Données projet'!$B$10,Paramètres!$A$1:$I$89,3,0)*0.475*44/12</f>
        <v>0</v>
      </c>
      <c r="AX82" s="21">
        <f t="shared" si="60"/>
        <v>107.85291357519482</v>
      </c>
      <c r="AY82" s="7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0</v>
      </c>
      <c r="BD82" s="12">
        <f>IF('Données projet'!$A$88&gt;35,BD81+BC82-BL81,IF(A82&lt;'Données projet'!$A$88,$BA$205^A82,IF(A82='Données projet'!$A$88,'Données projet'!$B$88,BD81+BC82-BL81)))</f>
        <v>0</v>
      </c>
      <c r="BE82" s="13">
        <f>BD82*VLOOKUP('Données projet'!$B$11,Paramètres!$A$1:$I$89,3,0)*VLOOKUP('Données projet'!$B$11,Paramètres!$A$1:$I$89,5,0)</f>
        <v>0</v>
      </c>
      <c r="BF82" s="13" t="e">
        <f t="shared" si="91"/>
        <v>#NUM!</v>
      </c>
      <c r="BG82" s="20" t="e">
        <f t="shared" si="61"/>
        <v>#NUM!</v>
      </c>
      <c r="BH82" s="59" t="e">
        <f t="shared" si="62"/>
        <v>#NUM!</v>
      </c>
      <c r="BI82" s="59">
        <f ca="1">AVERAGE(OFFSET($BH$3,0,0,'Données projet'!$E$11+1,1))-AVERAGE(OFFSET($H$3,0,0,'Données projet'!$E$11+1,1))</f>
        <v>187.80389738728508</v>
      </c>
      <c r="BJ82" s="59">
        <f t="shared" si="92"/>
        <v>439.28159165815265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46.801486266610787</v>
      </c>
      <c r="BQ82" s="21">
        <f>EXP(-LN(2)/25)*BQ81+(1-EXP(-LN(2)/25))/(LN(2)/25)*Calculateur!BL82*Calculateur!BN82*VLOOKUP('Données projet'!$B$11,Paramètres!$A$1:$I$89,3,0)*0.475*44/12</f>
        <v>3.6953776969519949</v>
      </c>
      <c r="BR82" s="21">
        <f>EXP(-LN(2)/2)*BR81+(1-EXP(-LN(2)/2))/(LN(2)/2)*BL82*BO82*VLOOKUP('Données projet'!$B$11,Paramètres!$A$1:$I$89,3,0)*0.475*44/12</f>
        <v>1.8950068557355892E-9</v>
      </c>
      <c r="BS82" s="22">
        <f t="shared" si="63"/>
        <v>50.496863965457791</v>
      </c>
      <c r="BT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0</v>
      </c>
      <c r="BZ82" s="13" t="e">
        <f>BY82*VLOOKUP('Données projet'!$B$12,Paramètres!$A$1:$I$89,3,0)*VLOOKUP('Données projet'!$B$12,Paramètres!$A$1:$I$89,5,0)</f>
        <v>#N/A</v>
      </c>
      <c r="CA82" s="13" t="e">
        <f t="shared" si="93"/>
        <v>#N/A</v>
      </c>
      <c r="CB82" s="20" t="e">
        <f t="shared" si="64"/>
        <v>#N/A</v>
      </c>
      <c r="CC82" s="59" t="e">
        <f t="shared" si="65"/>
        <v>#N/A</v>
      </c>
      <c r="CD82" s="59" t="e">
        <f ca="1">AVERAGE(OFFSET($CC$3,0,0,'Données projet'!$E$12+1,1))-AVERAGE(OFFSET($H$3,0,0,'Données projet'!$E$12+1,1))</f>
        <v>#N/A</v>
      </c>
      <c r="CE82" s="59" t="e">
        <f t="shared" si="94"/>
        <v>#N/A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 t="e">
        <f>EXP(-LN(2)/35)*CK81+(1-EXP(-LN(2)/35))/(LN(2)/35)*CG82*CH82*VLOOKUP('Données projet'!$B$12,Paramètres!$A$1:$I$89,3,0)*0.475*44/12</f>
        <v>#N/A</v>
      </c>
      <c r="CL82" s="21" t="e">
        <f>EXP(-LN(2)/25)*CL81+(1-EXP(-LN(2)/25))/(LN(2)/25)*Calculateur!CG82*Calculateur!CI82*VLOOKUP('Données projet'!$B$12,Paramètres!$A$1:$I$89,3,0)*0.475*44/12</f>
        <v>#N/A</v>
      </c>
      <c r="CM82" s="21" t="e">
        <f>EXP(-LN(2)/2)*CM81+(1-EXP(-LN(2)/2))/(LN(2)/2)*CG82*CJ82*VLOOKUP('Données projet'!$B$12,Paramètres!$A$1:$I$89,3,0)*0.475*44/12</f>
        <v>#N/A</v>
      </c>
      <c r="CN82" s="22" t="e">
        <f t="shared" si="66"/>
        <v>#N/A</v>
      </c>
      <c r="CO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35">
      <c r="A83" s="10">
        <f t="shared" si="85"/>
        <v>80</v>
      </c>
      <c r="B83" s="72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1">
        <f t="shared" si="86"/>
        <v>0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66">
        <f t="shared" si="56"/>
        <v>256.66666666666669</v>
      </c>
      <c r="I83" s="6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11.447499999999998</v>
      </c>
      <c r="N83" s="13">
        <f>IF('Données projet'!$A$36&gt;35,N82+M83-V82,IF(A83&lt;'Données projet'!$A$36,$K$205^A83,IF(A83='Données projet'!$A$36,'Données projet'!$B$36,N82+M83-V82)))</f>
        <v>413.27499999999986</v>
      </c>
      <c r="O83" s="13">
        <f>N83*VLOOKUP('Données projet'!$B$9,Paramètres!$A$1:$I$89,3,0)*VLOOKUP('Données projet'!$B$9,Paramètres!$A$1:$I$89,5,0)</f>
        <v>373.93121999999988</v>
      </c>
      <c r="P83" s="13">
        <f t="shared" si="87"/>
        <v>86.471070274502594</v>
      </c>
      <c r="Q83" s="20">
        <f t="shared" si="54"/>
        <v>801.86732222809178</v>
      </c>
      <c r="R83" s="59">
        <f t="shared" si="55"/>
        <v>1095.200655561425</v>
      </c>
      <c r="S83" s="59">
        <f ca="1">AVERAGE(OFFSET($R$3,0,0,'Données projet'!$E$9+1,1))-AVERAGE(OFFSET($H$3,0,0,'Données projet'!$E$9+1,1))</f>
        <v>700.22008319944644</v>
      </c>
      <c r="T83" s="59">
        <f t="shared" si="88"/>
        <v>253.69632671986739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100.53775501604068</v>
      </c>
      <c r="AA83" s="21">
        <f>EXP(-LN(2)/25)*AA82+(1-EXP(-LN(2)/25))/(LN(2)/25)*Calculateur!V83*Calculateur!X83*VLOOKUP('Données projet'!$B$9,Paramètres!$A$1:$I$89,3,0)*0.475*44/12</f>
        <v>0</v>
      </c>
      <c r="AB83" s="21">
        <f>EXP(-LN(2)/2)*AB82+(1-EXP(-LN(2)/2))/(LN(2)/2)*V83*Y83*VLOOKUP('Données projet'!$B$9,Paramètres!$A$1:$I$89,3,0)*0.475*44/12</f>
        <v>0</v>
      </c>
      <c r="AC83" s="22">
        <f t="shared" si="57"/>
        <v>100.53775501604068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11.447499999999998</v>
      </c>
      <c r="AI83" s="13">
        <f>IF('Données projet'!$A$62&gt;35,AI82+AH83-AQ82,IF(A83&lt;'Données projet'!$A$62,$AF$205^A83,IF(A83='Données projet'!$A$62,'Données projet'!$B$62,AI82+AH83-AQ82)))</f>
        <v>413.27499999999986</v>
      </c>
      <c r="AJ83" s="13">
        <f>AI83*VLOOKUP('Données projet'!$B$10,Paramètres!$A$1:$I$89,3,0)*VLOOKUP('Données projet'!$B$10,Paramètres!$A$1:$I$89,5,0)</f>
        <v>393.27248999999989</v>
      </c>
      <c r="AK83" s="13">
        <f t="shared" si="89"/>
        <v>90.411422324994859</v>
      </c>
      <c r="AL83" s="20">
        <f t="shared" si="58"/>
        <v>842.41614729936589</v>
      </c>
      <c r="AM83" s="59">
        <f t="shared" si="59"/>
        <v>1135.7494806326993</v>
      </c>
      <c r="AN83" s="59">
        <f ca="1">AVERAGE(OFFSET($AM$3,0,0,'Données projet'!$E$10+1,1))-AVERAGE(OFFSET($H$3,0,0,'Données projet'!$E$10+1,1))</f>
        <v>733.95677909577444</v>
      </c>
      <c r="AO83" s="59">
        <f t="shared" si="90"/>
        <v>264.63778993239799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105.73798372376692</v>
      </c>
      <c r="AV83" s="21">
        <f>EXP(-LN(2)/25)*AV82+(1-EXP(-LN(2)/25))/(LN(2)/25)*Calculateur!AQ83*Calculateur!AS83*VLOOKUP('Données projet'!$B$10,Paramètres!$A$1:$I$89,3,0)*0.475*44/12</f>
        <v>0</v>
      </c>
      <c r="AW83" s="21">
        <f>EXP(-LN(2)/2)*AW82+(1-EXP(-LN(2)/2))/(LN(2)/2)*AQ83*AT83*VLOOKUP('Données projet'!$B$10,Paramètres!$A$1:$I$89,3,0)*0.475*44/12</f>
        <v>0</v>
      </c>
      <c r="AX83" s="21">
        <f t="shared" si="60"/>
        <v>105.73798372376692</v>
      </c>
      <c r="AY83" s="7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0</v>
      </c>
      <c r="BD83" s="12">
        <f>IF('Données projet'!$A$88&gt;35,BD82+BC83-BL82,IF(A83&lt;'Données projet'!$A$88,$BA$205^A83,IF(A83='Données projet'!$A$88,'Données projet'!$B$88,BD82+BC83-BL82)))</f>
        <v>0</v>
      </c>
      <c r="BE83" s="13">
        <f>BD83*VLOOKUP('Données projet'!$B$11,Paramètres!$A$1:$I$89,3,0)*VLOOKUP('Données projet'!$B$11,Paramètres!$A$1:$I$89,5,0)</f>
        <v>0</v>
      </c>
      <c r="BF83" s="13" t="e">
        <f t="shared" si="91"/>
        <v>#NUM!</v>
      </c>
      <c r="BG83" s="20" t="e">
        <f t="shared" si="61"/>
        <v>#NUM!</v>
      </c>
      <c r="BH83" s="59" t="e">
        <f t="shared" si="62"/>
        <v>#NUM!</v>
      </c>
      <c r="BI83" s="59">
        <f ca="1">AVERAGE(OFFSET($BH$3,0,0,'Données projet'!$E$11+1,1))-AVERAGE(OFFSET($H$3,0,0,'Données projet'!$E$11+1,1))</f>
        <v>187.80389738728508</v>
      </c>
      <c r="BJ83" s="59">
        <f t="shared" si="92"/>
        <v>439.28159165815265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45.883737667010479</v>
      </c>
      <c r="BQ83" s="21">
        <f>EXP(-LN(2)/25)*BQ82+(1-EXP(-LN(2)/25))/(LN(2)/25)*Calculateur!BL83*Calculateur!BN83*VLOOKUP('Données projet'!$B$11,Paramètres!$A$1:$I$89,3,0)*0.475*44/12</f>
        <v>3.5943273994973755</v>
      </c>
      <c r="BR83" s="21">
        <f>EXP(-LN(2)/2)*BR82+(1-EXP(-LN(2)/2))/(LN(2)/2)*BL83*BO83*VLOOKUP('Données projet'!$B$11,Paramètres!$A$1:$I$89,3,0)*0.475*44/12</f>
        <v>1.3399721980856327E-9</v>
      </c>
      <c r="BS83" s="22">
        <f t="shared" si="63"/>
        <v>49.478065067847822</v>
      </c>
      <c r="BT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0</v>
      </c>
      <c r="BZ83" s="13" t="e">
        <f>BY83*VLOOKUP('Données projet'!$B$12,Paramètres!$A$1:$I$89,3,0)*VLOOKUP('Données projet'!$B$12,Paramètres!$A$1:$I$89,5,0)</f>
        <v>#N/A</v>
      </c>
      <c r="CA83" s="13" t="e">
        <f t="shared" si="93"/>
        <v>#N/A</v>
      </c>
      <c r="CB83" s="20" t="e">
        <f t="shared" si="64"/>
        <v>#N/A</v>
      </c>
      <c r="CC83" s="59" t="e">
        <f t="shared" si="65"/>
        <v>#N/A</v>
      </c>
      <c r="CD83" s="59" t="e">
        <f ca="1">AVERAGE(OFFSET($CC$3,0,0,'Données projet'!$E$12+1,1))-AVERAGE(OFFSET($H$3,0,0,'Données projet'!$E$12+1,1))</f>
        <v>#N/A</v>
      </c>
      <c r="CE83" s="59" t="e">
        <f t="shared" si="94"/>
        <v>#N/A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 t="e">
        <f>EXP(-LN(2)/35)*CK82+(1-EXP(-LN(2)/35))/(LN(2)/35)*CG83*CH83*VLOOKUP('Données projet'!$B$12,Paramètres!$A$1:$I$89,3,0)*0.475*44/12</f>
        <v>#N/A</v>
      </c>
      <c r="CL83" s="21" t="e">
        <f>EXP(-LN(2)/25)*CL82+(1-EXP(-LN(2)/25))/(LN(2)/25)*Calculateur!CG83*Calculateur!CI83*VLOOKUP('Données projet'!$B$12,Paramètres!$A$1:$I$89,3,0)*0.475*44/12</f>
        <v>#N/A</v>
      </c>
      <c r="CM83" s="21" t="e">
        <f>EXP(-LN(2)/2)*CM82+(1-EXP(-LN(2)/2))/(LN(2)/2)*CG83*CJ83*VLOOKUP('Données projet'!$B$12,Paramètres!$A$1:$I$89,3,0)*0.475*44/12</f>
        <v>#N/A</v>
      </c>
      <c r="CN83" s="22" t="e">
        <f t="shared" si="66"/>
        <v>#N/A</v>
      </c>
      <c r="CO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35">
      <c r="A84" s="10">
        <f t="shared" si="85"/>
        <v>81</v>
      </c>
      <c r="B84" s="72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1">
        <f t="shared" si="86"/>
        <v>0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66">
        <f t="shared" si="56"/>
        <v>256.66666666666669</v>
      </c>
      <c r="I84" s="6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11.447499999999998</v>
      </c>
      <c r="N84" s="13">
        <f>IF('Données projet'!$A$36&gt;35,N83+M84-V83,IF(A84&lt;'Données projet'!$A$36,$K$205^A84,IF(A84='Données projet'!$A$36,'Données projet'!$B$36,N83+M84-V83)))</f>
        <v>424.72249999999985</v>
      </c>
      <c r="O84" s="13">
        <f>N84*VLOOKUP('Données projet'!$B$9,Paramètres!$A$1:$I$89,3,0)*VLOOKUP('Données projet'!$B$9,Paramètres!$A$1:$I$89,5,0)</f>
        <v>384.28891799999985</v>
      </c>
      <c r="P84" s="13">
        <f t="shared" si="87"/>
        <v>88.584094559310827</v>
      </c>
      <c r="Q84" s="20">
        <f t="shared" si="54"/>
        <v>823.58716354079934</v>
      </c>
      <c r="R84" s="59">
        <f t="shared" si="55"/>
        <v>1116.9204968741326</v>
      </c>
      <c r="S84" s="59">
        <f ca="1">AVERAGE(OFFSET($R$3,0,0,'Données projet'!$E$9+1,1))-AVERAGE(OFFSET($H$3,0,0,'Données projet'!$E$9+1,1))</f>
        <v>700.22008319944644</v>
      </c>
      <c r="T84" s="59">
        <f t="shared" si="88"/>
        <v>253.69632671986739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98.566270962151634</v>
      </c>
      <c r="AA84" s="21">
        <f>EXP(-LN(2)/25)*AA83+(1-EXP(-LN(2)/25))/(LN(2)/25)*Calculateur!V84*Calculateur!X84*VLOOKUP('Données projet'!$B$9,Paramètres!$A$1:$I$89,3,0)*0.475*44/12</f>
        <v>0</v>
      </c>
      <c r="AB84" s="21">
        <f>EXP(-LN(2)/2)*AB83+(1-EXP(-LN(2)/2))/(LN(2)/2)*V84*Y84*VLOOKUP('Données projet'!$B$9,Paramètres!$A$1:$I$89,3,0)*0.475*44/12</f>
        <v>0</v>
      </c>
      <c r="AC84" s="22">
        <f t="shared" si="57"/>
        <v>98.566270962151634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11.447499999999998</v>
      </c>
      <c r="AI84" s="13">
        <f>IF('Données projet'!$A$62&gt;35,AI83+AH84-AQ83,IF(A84&lt;'Données projet'!$A$62,$AF$205^A84,IF(A84='Données projet'!$A$62,'Données projet'!$B$62,AI83+AH84-AQ83)))</f>
        <v>424.72249999999985</v>
      </c>
      <c r="AJ84" s="13">
        <f>AI84*VLOOKUP('Données projet'!$B$10,Paramètres!$A$1:$I$89,3,0)*VLOOKUP('Données projet'!$B$10,Paramètres!$A$1:$I$89,5,0)</f>
        <v>404.16593099999989</v>
      </c>
      <c r="AK84" s="13">
        <f t="shared" si="89"/>
        <v>92.620733836813855</v>
      </c>
      <c r="AL84" s="20">
        <f t="shared" si="58"/>
        <v>865.23677459078397</v>
      </c>
      <c r="AM84" s="59">
        <f t="shared" si="59"/>
        <v>1158.5701079241173</v>
      </c>
      <c r="AN84" s="59">
        <f ca="1">AVERAGE(OFFSET($AM$3,0,0,'Données projet'!$E$10+1,1))-AVERAGE(OFFSET($H$3,0,0,'Données projet'!$E$10+1,1))</f>
        <v>733.95677909577444</v>
      </c>
      <c r="AO84" s="59">
        <f t="shared" si="90"/>
        <v>264.63778993239799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103.66452635674568</v>
      </c>
      <c r="AV84" s="21">
        <f>EXP(-LN(2)/25)*AV83+(1-EXP(-LN(2)/25))/(LN(2)/25)*Calculateur!AQ84*Calculateur!AS84*VLOOKUP('Données projet'!$B$10,Paramètres!$A$1:$I$89,3,0)*0.475*44/12</f>
        <v>0</v>
      </c>
      <c r="AW84" s="21">
        <f>EXP(-LN(2)/2)*AW83+(1-EXP(-LN(2)/2))/(LN(2)/2)*AQ84*AT84*VLOOKUP('Données projet'!$B$10,Paramètres!$A$1:$I$89,3,0)*0.475*44/12</f>
        <v>0</v>
      </c>
      <c r="AX84" s="21">
        <f t="shared" si="60"/>
        <v>103.66452635674568</v>
      </c>
      <c r="AY84" s="7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0</v>
      </c>
      <c r="BE84" s="13">
        <f>BD84*VLOOKUP('Données projet'!$B$11,Paramètres!$A$1:$I$89,3,0)*VLOOKUP('Données projet'!$B$11,Paramètres!$A$1:$I$89,5,0)</f>
        <v>0</v>
      </c>
      <c r="BF84" s="13" t="e">
        <f t="shared" si="91"/>
        <v>#NUM!</v>
      </c>
      <c r="BG84" s="20" t="e">
        <f t="shared" si="61"/>
        <v>#NUM!</v>
      </c>
      <c r="BH84" s="59" t="e">
        <f t="shared" si="62"/>
        <v>#NUM!</v>
      </c>
      <c r="BI84" s="59">
        <f ca="1">AVERAGE(OFFSET($BH$3,0,0,'Données projet'!$E$11+1,1))-AVERAGE(OFFSET($H$3,0,0,'Données projet'!$E$11+1,1))</f>
        <v>187.80389738728508</v>
      </c>
      <c r="BJ84" s="59">
        <f t="shared" si="92"/>
        <v>439.28159165815265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44.983985557676959</v>
      </c>
      <c r="BQ84" s="21">
        <f>EXP(-LN(2)/25)*BQ83+(1-EXP(-LN(2)/25))/(LN(2)/25)*Calculateur!BL84*Calculateur!BN84*VLOOKUP('Données projet'!$B$11,Paramètres!$A$1:$I$89,3,0)*0.475*44/12</f>
        <v>3.4960403277406567</v>
      </c>
      <c r="BR84" s="21">
        <f>EXP(-LN(2)/2)*BR83+(1-EXP(-LN(2)/2))/(LN(2)/2)*BL84*BO84*VLOOKUP('Données projet'!$B$11,Paramètres!$A$1:$I$89,3,0)*0.475*44/12</f>
        <v>9.4750342786779459E-10</v>
      </c>
      <c r="BS84" s="22">
        <f t="shared" si="63"/>
        <v>48.480025886365119</v>
      </c>
      <c r="BT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0</v>
      </c>
      <c r="BZ84" s="13" t="e">
        <f>BY84*VLOOKUP('Données projet'!$B$12,Paramètres!$A$1:$I$89,3,0)*VLOOKUP('Données projet'!$B$12,Paramètres!$A$1:$I$89,5,0)</f>
        <v>#N/A</v>
      </c>
      <c r="CA84" s="13" t="e">
        <f t="shared" si="93"/>
        <v>#N/A</v>
      </c>
      <c r="CB84" s="20" t="e">
        <f t="shared" si="64"/>
        <v>#N/A</v>
      </c>
      <c r="CC84" s="59" t="e">
        <f t="shared" si="65"/>
        <v>#N/A</v>
      </c>
      <c r="CD84" s="59" t="e">
        <f ca="1">AVERAGE(OFFSET($CC$3,0,0,'Données projet'!$E$12+1,1))-AVERAGE(OFFSET($H$3,0,0,'Données projet'!$E$12+1,1))</f>
        <v>#N/A</v>
      </c>
      <c r="CE84" s="59" t="e">
        <f t="shared" si="94"/>
        <v>#N/A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 t="e">
        <f>EXP(-LN(2)/35)*CK83+(1-EXP(-LN(2)/35))/(LN(2)/35)*CG84*CH84*VLOOKUP('Données projet'!$B$12,Paramètres!$A$1:$I$89,3,0)*0.475*44/12</f>
        <v>#N/A</v>
      </c>
      <c r="CL84" s="21" t="e">
        <f>EXP(-LN(2)/25)*CL83+(1-EXP(-LN(2)/25))/(LN(2)/25)*Calculateur!CG84*Calculateur!CI84*VLOOKUP('Données projet'!$B$12,Paramètres!$A$1:$I$89,3,0)*0.475*44/12</f>
        <v>#N/A</v>
      </c>
      <c r="CM84" s="21" t="e">
        <f>EXP(-LN(2)/2)*CM83+(1-EXP(-LN(2)/2))/(LN(2)/2)*CG84*CJ84*VLOOKUP('Données projet'!$B$12,Paramètres!$A$1:$I$89,3,0)*0.475*44/12</f>
        <v>#N/A</v>
      </c>
      <c r="CN84" s="22" t="e">
        <f t="shared" si="66"/>
        <v>#N/A</v>
      </c>
      <c r="CO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35">
      <c r="A85" s="10">
        <f t="shared" si="85"/>
        <v>82</v>
      </c>
      <c r="B85" s="72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1">
        <f t="shared" si="86"/>
        <v>0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66">
        <f t="shared" si="56"/>
        <v>256.66666666666669</v>
      </c>
      <c r="I85" s="6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>
        <f>VLOOKUP(A85,'Données projet'!$A$35:$I$55,2,0)</f>
        <v>436.17</v>
      </c>
      <c r="L85" s="12">
        <f>VLOOKUP(A85,'Données projet'!$A$35:$I$55,9,0)</f>
        <v>11.447499999999998</v>
      </c>
      <c r="M85" s="12">
        <f t="array" ref="M85">INDEX(L:L,MIN(IF(ISNUMBER(L85:L281),ROW(L85:L281),"")))</f>
        <v>11.447499999999998</v>
      </c>
      <c r="N85" s="13">
        <f>IF('Données projet'!$A$36&gt;35,N84+M85-V84,IF(A85&lt;'Données projet'!$A$36,$K$205^A85,IF(A85='Données projet'!$A$36,'Données projet'!$B$36,N84+M85-V84)))</f>
        <v>436.16999999999985</v>
      </c>
      <c r="O85" s="13">
        <f>N85*VLOOKUP('Données projet'!$B$9,Paramètres!$A$1:$I$89,3,0)*VLOOKUP('Données projet'!$B$9,Paramètres!$A$1:$I$89,5,0)</f>
        <v>394.64661599999982</v>
      </c>
      <c r="P85" s="13">
        <f t="shared" si="87"/>
        <v>90.690499158874985</v>
      </c>
      <c r="Q85" s="20">
        <f t="shared" si="54"/>
        <v>845.2954755683736</v>
      </c>
      <c r="R85" s="59">
        <f t="shared" si="55"/>
        <v>1138.6288089017069</v>
      </c>
      <c r="S85" s="59">
        <f ca="1">AVERAGE(OFFSET($R$3,0,0,'Données projet'!$E$9+1,1))-AVERAGE(OFFSET($H$3,0,0,'Données projet'!$E$9+1,1))</f>
        <v>700.22008319944644</v>
      </c>
      <c r="T85" s="59">
        <f t="shared" si="88"/>
        <v>253.69632671986739</v>
      </c>
      <c r="U85" s="15">
        <f>IF(ISNA(VLOOKUP(A85,'Données projet'!$A$35:$I$55,3,0)),0,VLOOKUP(A85,'Données projet'!$A$35:$I$55,3,0))</f>
        <v>7</v>
      </c>
      <c r="V85" s="15">
        <f>IF(ISNA(VLOOKUP(A85,'Données projet'!$A$35:$I$55,4,0)),0,VLOOKUP(A85,'Données projet'!$A$35:$I$55,4,0))</f>
        <v>53.92</v>
      </c>
      <c r="W85" s="16">
        <f>IF(ISNA(VLOOKUP(A85,'Données projet'!$A$35:$I$55,5,0)),0%,VLOOKUP(A85,'Données projet'!$A$35:$I$55,5,0)*VLOOKUP('Données projet'!$B$9,Paramètres!$A$1:$I$89,7,0))</f>
        <v>0.43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119.82436990795424</v>
      </c>
      <c r="AA85" s="21">
        <f>EXP(-LN(2)/25)*AA84+(1-EXP(-LN(2)/25))/(LN(2)/25)*Calculateur!V85*Calculateur!X85*VLOOKUP('Données projet'!$B$9,Paramètres!$A$1:$I$89,3,0)*0.475*44/12</f>
        <v>0</v>
      </c>
      <c r="AB85" s="21">
        <f>EXP(-LN(2)/2)*AB84+(1-EXP(-LN(2)/2))/(LN(2)/2)*V85*Y85*VLOOKUP('Données projet'!$B$9,Paramètres!$A$1:$I$89,3,0)*0.475*44/12</f>
        <v>0</v>
      </c>
      <c r="AC85" s="22">
        <f t="shared" si="57"/>
        <v>119.82436990795424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>
        <f>VLOOKUP(A85,'Données projet'!$A$61:$I$81,2,0)</f>
        <v>436.17</v>
      </c>
      <c r="AG85" s="12">
        <f>VLOOKUP(A85,'Données projet'!$A$61:$I$81,9,0)</f>
        <v>11.447499999999998</v>
      </c>
      <c r="AH85" s="12">
        <f t="array" ref="AH85">INDEX(AG:AG,MIN(IF(ISNUMBER(AG85:AG281),ROW(AG85:AG281),"")))</f>
        <v>11.447499999999998</v>
      </c>
      <c r="AI85" s="13">
        <f>IF('Données projet'!$A$62&gt;35,AI84+AH85-AQ84,IF(A85&lt;'Données projet'!$A$62,$AF$205^A85,IF(A85='Données projet'!$A$62,'Données projet'!$B$62,AI84+AH85-AQ84)))</f>
        <v>436.16999999999985</v>
      </c>
      <c r="AJ85" s="13">
        <f>AI85*VLOOKUP('Données projet'!$B$10,Paramètres!$A$1:$I$89,3,0)*VLOOKUP('Données projet'!$B$10,Paramètres!$A$1:$I$89,5,0)</f>
        <v>415.05937199999988</v>
      </c>
      <c r="AK85" s="13">
        <f t="shared" si="89"/>
        <v>94.823124014637926</v>
      </c>
      <c r="AL85" s="20">
        <f t="shared" si="58"/>
        <v>888.04534722549408</v>
      </c>
      <c r="AM85" s="59">
        <f t="shared" si="59"/>
        <v>1181.3786805588275</v>
      </c>
      <c r="AN85" s="59">
        <f ca="1">AVERAGE(OFFSET($AM$3,0,0,'Données projet'!$E$10+1,1))-AVERAGE(OFFSET($H$3,0,0,'Données projet'!$E$10+1,1))</f>
        <v>733.95677909577444</v>
      </c>
      <c r="AO85" s="59">
        <f t="shared" si="90"/>
        <v>264.63778993239799</v>
      </c>
      <c r="AP85" s="15">
        <f>IF(ISNA(VLOOKUP(A85,'Données projet'!$A$61:$I$81,3,0)),0,VLOOKUP(A85,'Données projet'!$A$61:$I$81,3,0))</f>
        <v>7</v>
      </c>
      <c r="AQ85" s="15">
        <f>IF(ISNA(VLOOKUP(A85,'Données projet'!$A$61:$I$81,4,0)),0,VLOOKUP(A85,'Données projet'!$A$61:$I$81,4,0))</f>
        <v>53.92</v>
      </c>
      <c r="AR85" s="16">
        <f>IF(ISNA(VLOOKUP(A85,'Données projet'!$A$61:$I$81,5,0)),0%,VLOOKUP(A85,'Données projet'!$A$61:$I$81,5,0)*VLOOKUP('Données projet'!$B$10,Paramètres!$A$1:$I$89,7,0))</f>
        <v>0.43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126.02218214457254</v>
      </c>
      <c r="AV85" s="21">
        <f>EXP(-LN(2)/25)*AV84+(1-EXP(-LN(2)/25))/(LN(2)/25)*Calculateur!AQ85*Calculateur!AS85*VLOOKUP('Données projet'!$B$10,Paramètres!$A$1:$I$89,3,0)*0.475*44/12</f>
        <v>0</v>
      </c>
      <c r="AW85" s="21">
        <f>EXP(-LN(2)/2)*AW84+(1-EXP(-LN(2)/2))/(LN(2)/2)*AQ85*AT85*VLOOKUP('Données projet'!$B$10,Paramètres!$A$1:$I$89,3,0)*0.475*44/12</f>
        <v>0</v>
      </c>
      <c r="AX85" s="21">
        <f t="shared" si="60"/>
        <v>126.02218214457254</v>
      </c>
      <c r="AY85" s="7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0</v>
      </c>
      <c r="BE85" s="13">
        <f>BD85*VLOOKUP('Données projet'!$B$11,Paramètres!$A$1:$I$89,3,0)*VLOOKUP('Données projet'!$B$11,Paramètres!$A$1:$I$89,5,0)</f>
        <v>0</v>
      </c>
      <c r="BF85" s="13" t="e">
        <f t="shared" si="91"/>
        <v>#NUM!</v>
      </c>
      <c r="BG85" s="20" t="e">
        <f t="shared" si="61"/>
        <v>#NUM!</v>
      </c>
      <c r="BH85" s="59" t="e">
        <f t="shared" si="62"/>
        <v>#NUM!</v>
      </c>
      <c r="BI85" s="59">
        <f ca="1">AVERAGE(OFFSET($BH$3,0,0,'Données projet'!$E$11+1,1))-AVERAGE(OFFSET($H$3,0,0,'Données projet'!$E$11+1,1))</f>
        <v>187.80389738728508</v>
      </c>
      <c r="BJ85" s="59">
        <f t="shared" si="92"/>
        <v>439.28159165815265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44.101877038412873</v>
      </c>
      <c r="BQ85" s="21">
        <f>EXP(-LN(2)/25)*BQ84+(1-EXP(-LN(2)/25))/(LN(2)/25)*Calculateur!BL85*Calculateur!BN85*VLOOKUP('Données projet'!$B$11,Paramètres!$A$1:$I$89,3,0)*0.475*44/12</f>
        <v>3.4004409211298179</v>
      </c>
      <c r="BR85" s="21">
        <f>EXP(-LN(2)/2)*BR84+(1-EXP(-LN(2)/2))/(LN(2)/2)*BL85*BO85*VLOOKUP('Données projet'!$B$11,Paramètres!$A$1:$I$89,3,0)*0.475*44/12</f>
        <v>6.6998609904281635E-10</v>
      </c>
      <c r="BS85" s="22">
        <f t="shared" si="63"/>
        <v>47.502317960212679</v>
      </c>
      <c r="BT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0</v>
      </c>
      <c r="BZ85" s="13" t="e">
        <f>BY85*VLOOKUP('Données projet'!$B$12,Paramètres!$A$1:$I$89,3,0)*VLOOKUP('Données projet'!$B$12,Paramètres!$A$1:$I$89,5,0)</f>
        <v>#N/A</v>
      </c>
      <c r="CA85" s="13" t="e">
        <f t="shared" si="93"/>
        <v>#N/A</v>
      </c>
      <c r="CB85" s="20" t="e">
        <f t="shared" si="64"/>
        <v>#N/A</v>
      </c>
      <c r="CC85" s="59" t="e">
        <f t="shared" si="65"/>
        <v>#N/A</v>
      </c>
      <c r="CD85" s="59" t="e">
        <f ca="1">AVERAGE(OFFSET($CC$3,0,0,'Données projet'!$E$12+1,1))-AVERAGE(OFFSET($H$3,0,0,'Données projet'!$E$12+1,1))</f>
        <v>#N/A</v>
      </c>
      <c r="CE85" s="59" t="e">
        <f t="shared" si="94"/>
        <v>#N/A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 t="e">
        <f>EXP(-LN(2)/35)*CK84+(1-EXP(-LN(2)/35))/(LN(2)/35)*CG85*CH85*VLOOKUP('Données projet'!$B$12,Paramètres!$A$1:$I$89,3,0)*0.475*44/12</f>
        <v>#N/A</v>
      </c>
      <c r="CL85" s="21" t="e">
        <f>EXP(-LN(2)/25)*CL84+(1-EXP(-LN(2)/25))/(LN(2)/25)*Calculateur!CG85*Calculateur!CI85*VLOOKUP('Données projet'!$B$12,Paramètres!$A$1:$I$89,3,0)*0.475*44/12</f>
        <v>#N/A</v>
      </c>
      <c r="CM85" s="21" t="e">
        <f>EXP(-LN(2)/2)*CM84+(1-EXP(-LN(2)/2))/(LN(2)/2)*CG85*CJ85*VLOOKUP('Données projet'!$B$12,Paramètres!$A$1:$I$89,3,0)*0.475*44/12</f>
        <v>#N/A</v>
      </c>
      <c r="CN85" s="22" t="e">
        <f t="shared" si="66"/>
        <v>#N/A</v>
      </c>
      <c r="CO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35">
      <c r="A86" s="10">
        <f t="shared" si="85"/>
        <v>83</v>
      </c>
      <c r="B86" s="72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1">
        <f t="shared" si="86"/>
        <v>0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66">
        <f t="shared" si="56"/>
        <v>256.66666666666669</v>
      </c>
      <c r="I86" s="6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11.14</v>
      </c>
      <c r="N86" s="13">
        <f>IF('Données projet'!$A$36&gt;35,N85+M86-V85,IF(A86&lt;'Données projet'!$A$36,$K$205^A86,IF(A86='Données projet'!$A$36,'Données projet'!$B$36,N85+M86-V85)))</f>
        <v>393.38999999999982</v>
      </c>
      <c r="O86" s="13">
        <f>N86*VLOOKUP('Données projet'!$B$9,Paramètres!$A$1:$I$89,3,0)*VLOOKUP('Données projet'!$B$9,Paramètres!$A$1:$I$89,5,0)</f>
        <v>355.93927199999985</v>
      </c>
      <c r="P86" s="13">
        <f t="shared" si="87"/>
        <v>82.784268771868526</v>
      </c>
      <c r="Q86" s="20">
        <f t="shared" si="54"/>
        <v>764.11016684433741</v>
      </c>
      <c r="R86" s="59">
        <f t="shared" si="55"/>
        <v>1057.4435001776708</v>
      </c>
      <c r="S86" s="59">
        <f ca="1">AVERAGE(OFFSET($R$3,0,0,'Données projet'!$E$9+1,1))-AVERAGE(OFFSET($H$3,0,0,'Données projet'!$E$9+1,1))</f>
        <v>700.22008319944644</v>
      </c>
      <c r="T86" s="59">
        <f t="shared" si="88"/>
        <v>253.69632671986739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117.47468709970829</v>
      </c>
      <c r="AA86" s="21">
        <f>EXP(-LN(2)/25)*AA85+(1-EXP(-LN(2)/25))/(LN(2)/25)*Calculateur!V86*Calculateur!X86*VLOOKUP('Données projet'!$B$9,Paramètres!$A$1:$I$89,3,0)*0.475*44/12</f>
        <v>0</v>
      </c>
      <c r="AB86" s="21">
        <f>EXP(-LN(2)/2)*AB85+(1-EXP(-LN(2)/2))/(LN(2)/2)*V86*Y86*VLOOKUP('Données projet'!$B$9,Paramètres!$A$1:$I$89,3,0)*0.475*44/12</f>
        <v>0</v>
      </c>
      <c r="AC86" s="22">
        <f t="shared" si="57"/>
        <v>117.47468709970829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11.14</v>
      </c>
      <c r="AI86" s="13">
        <f>IF('Données projet'!$A$62&gt;35,AI85+AH86-AQ85,IF(A86&lt;'Données projet'!$A$62,$AF$205^A86,IF(A86='Données projet'!$A$62,'Données projet'!$B$62,AI85+AH86-AQ85)))</f>
        <v>393.38999999999982</v>
      </c>
      <c r="AJ86" s="13">
        <f>AI86*VLOOKUP('Données projet'!$B$10,Paramètres!$A$1:$I$89,3,0)*VLOOKUP('Données projet'!$B$10,Paramètres!$A$1:$I$89,5,0)</f>
        <v>374.34992399999982</v>
      </c>
      <c r="AK86" s="13">
        <f t="shared" si="89"/>
        <v>86.556619017658349</v>
      </c>
      <c r="AL86" s="20">
        <f t="shared" si="58"/>
        <v>802.74556242242124</v>
      </c>
      <c r="AM86" s="59">
        <f t="shared" si="59"/>
        <v>1096.0788957557545</v>
      </c>
      <c r="AN86" s="59">
        <f ca="1">AVERAGE(OFFSET($AM$3,0,0,'Données projet'!$E$10+1,1))-AVERAGE(OFFSET($H$3,0,0,'Données projet'!$E$10+1,1))</f>
        <v>733.95677909577444</v>
      </c>
      <c r="AO86" s="59">
        <f t="shared" si="90"/>
        <v>264.63778993239799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123.5509640186587</v>
      </c>
      <c r="AV86" s="21">
        <f>EXP(-LN(2)/25)*AV85+(1-EXP(-LN(2)/25))/(LN(2)/25)*Calculateur!AQ86*Calculateur!AS86*VLOOKUP('Données projet'!$B$10,Paramètres!$A$1:$I$89,3,0)*0.475*44/12</f>
        <v>0</v>
      </c>
      <c r="AW86" s="21">
        <f>EXP(-LN(2)/2)*AW85+(1-EXP(-LN(2)/2))/(LN(2)/2)*AQ86*AT86*VLOOKUP('Données projet'!$B$10,Paramètres!$A$1:$I$89,3,0)*0.475*44/12</f>
        <v>0</v>
      </c>
      <c r="AX86" s="21">
        <f t="shared" si="60"/>
        <v>123.5509640186587</v>
      </c>
      <c r="AY86" s="7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0</v>
      </c>
      <c r="BE86" s="13">
        <f>BD86*VLOOKUP('Données projet'!$B$11,Paramètres!$A$1:$I$89,3,0)*VLOOKUP('Données projet'!$B$11,Paramètres!$A$1:$I$89,5,0)</f>
        <v>0</v>
      </c>
      <c r="BF86" s="13" t="e">
        <f t="shared" si="91"/>
        <v>#NUM!</v>
      </c>
      <c r="BG86" s="20" t="e">
        <f t="shared" si="61"/>
        <v>#NUM!</v>
      </c>
      <c r="BH86" s="59" t="e">
        <f t="shared" si="62"/>
        <v>#NUM!</v>
      </c>
      <c r="BI86" s="59">
        <f ca="1">AVERAGE(OFFSET($BH$3,0,0,'Données projet'!$E$11+1,1))-AVERAGE(OFFSET($H$3,0,0,'Données projet'!$E$11+1,1))</f>
        <v>187.80389738728508</v>
      </c>
      <c r="BJ86" s="59">
        <f t="shared" si="92"/>
        <v>439.28159165815265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43.237066129178487</v>
      </c>
      <c r="BQ86" s="21">
        <f>EXP(-LN(2)/25)*BQ85+(1-EXP(-LN(2)/25))/(LN(2)/25)*Calculateur!BL86*Calculateur!BN86*VLOOKUP('Données projet'!$B$11,Paramètres!$A$1:$I$89,3,0)*0.475*44/12</f>
        <v>3.3074556853201069</v>
      </c>
      <c r="BR86" s="21">
        <f>EXP(-LN(2)/2)*BR85+(1-EXP(-LN(2)/2))/(LN(2)/2)*BL86*BO86*VLOOKUP('Données projet'!$B$11,Paramètres!$A$1:$I$89,3,0)*0.475*44/12</f>
        <v>4.737517139338973E-10</v>
      </c>
      <c r="BS86" s="22">
        <f t="shared" si="63"/>
        <v>46.544521814972349</v>
      </c>
      <c r="BT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0</v>
      </c>
      <c r="BZ86" s="13" t="e">
        <f>BY86*VLOOKUP('Données projet'!$B$12,Paramètres!$A$1:$I$89,3,0)*VLOOKUP('Données projet'!$B$12,Paramètres!$A$1:$I$89,5,0)</f>
        <v>#N/A</v>
      </c>
      <c r="CA86" s="13" t="e">
        <f t="shared" si="93"/>
        <v>#N/A</v>
      </c>
      <c r="CB86" s="20" t="e">
        <f t="shared" si="64"/>
        <v>#N/A</v>
      </c>
      <c r="CC86" s="59" t="e">
        <f t="shared" si="65"/>
        <v>#N/A</v>
      </c>
      <c r="CD86" s="59" t="e">
        <f ca="1">AVERAGE(OFFSET($CC$3,0,0,'Données projet'!$E$12+1,1))-AVERAGE(OFFSET($H$3,0,0,'Données projet'!$E$12+1,1))</f>
        <v>#N/A</v>
      </c>
      <c r="CE86" s="59" t="e">
        <f t="shared" si="94"/>
        <v>#N/A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 t="e">
        <f>EXP(-LN(2)/35)*CK85+(1-EXP(-LN(2)/35))/(LN(2)/35)*CG86*CH86*VLOOKUP('Données projet'!$B$12,Paramètres!$A$1:$I$89,3,0)*0.475*44/12</f>
        <v>#N/A</v>
      </c>
      <c r="CL86" s="21" t="e">
        <f>EXP(-LN(2)/25)*CL85+(1-EXP(-LN(2)/25))/(LN(2)/25)*Calculateur!CG86*Calculateur!CI86*VLOOKUP('Données projet'!$B$12,Paramètres!$A$1:$I$89,3,0)*0.475*44/12</f>
        <v>#N/A</v>
      </c>
      <c r="CM86" s="21" t="e">
        <f>EXP(-LN(2)/2)*CM85+(1-EXP(-LN(2)/2))/(LN(2)/2)*CG86*CJ86*VLOOKUP('Données projet'!$B$12,Paramètres!$A$1:$I$89,3,0)*0.475*44/12</f>
        <v>#N/A</v>
      </c>
      <c r="CN86" s="22" t="e">
        <f t="shared" si="66"/>
        <v>#N/A</v>
      </c>
      <c r="CO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35">
      <c r="A87" s="10">
        <f t="shared" si="85"/>
        <v>84</v>
      </c>
      <c r="B87" s="72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1">
        <f t="shared" si="86"/>
        <v>0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66">
        <f t="shared" si="56"/>
        <v>256.66666666666669</v>
      </c>
      <c r="I87" s="6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11.14</v>
      </c>
      <c r="N87" s="13">
        <f>IF('Données projet'!$A$36&gt;35,N86+M87-V86,IF(A87&lt;'Données projet'!$A$36,$K$205^A87,IF(A87='Données projet'!$A$36,'Données projet'!$B$36,N86+M87-V86)))</f>
        <v>404.5299999999998</v>
      </c>
      <c r="O87" s="13">
        <f>N87*VLOOKUP('Données projet'!$B$9,Paramètres!$A$1:$I$89,3,0)*VLOOKUP('Données projet'!$B$9,Paramètres!$A$1:$I$89,5,0)</f>
        <v>366.0187439999998</v>
      </c>
      <c r="P87" s="13">
        <f t="shared" si="87"/>
        <v>84.852297129554586</v>
      </c>
      <c r="Q87" s="20">
        <f t="shared" si="54"/>
        <v>785.26706330064053</v>
      </c>
      <c r="R87" s="59">
        <f t="shared" si="55"/>
        <v>1078.6003966339738</v>
      </c>
      <c r="S87" s="59">
        <f ca="1">AVERAGE(OFFSET($R$3,0,0,'Données projet'!$E$9+1,1))-AVERAGE(OFFSET($H$3,0,0,'Données projet'!$E$9+1,1))</f>
        <v>700.22008319944644</v>
      </c>
      <c r="T87" s="59">
        <f t="shared" si="88"/>
        <v>253.69632671986739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115.17108013816704</v>
      </c>
      <c r="AA87" s="21">
        <f>EXP(-LN(2)/25)*AA86+(1-EXP(-LN(2)/25))/(LN(2)/25)*Calculateur!V87*Calculateur!X87*VLOOKUP('Données projet'!$B$9,Paramètres!$A$1:$I$89,3,0)*0.475*44/12</f>
        <v>0</v>
      </c>
      <c r="AB87" s="21">
        <f>EXP(-LN(2)/2)*AB86+(1-EXP(-LN(2)/2))/(LN(2)/2)*V87*Y87*VLOOKUP('Données projet'!$B$9,Paramètres!$A$1:$I$89,3,0)*0.475*44/12</f>
        <v>0</v>
      </c>
      <c r="AC87" s="22">
        <f t="shared" si="57"/>
        <v>115.17108013816704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11.14</v>
      </c>
      <c r="AI87" s="13">
        <f>IF('Données projet'!$A$62&gt;35,AI86+AH87-AQ86,IF(A87&lt;'Données projet'!$A$62,$AF$205^A87,IF(A87='Données projet'!$A$62,'Données projet'!$B$62,AI86+AH87-AQ86)))</f>
        <v>404.5299999999998</v>
      </c>
      <c r="AJ87" s="13">
        <f>AI87*VLOOKUP('Données projet'!$B$10,Paramètres!$A$1:$I$89,3,0)*VLOOKUP('Données projet'!$B$10,Paramètres!$A$1:$I$89,5,0)</f>
        <v>384.95074799999981</v>
      </c>
      <c r="AK87" s="13">
        <f t="shared" si="89"/>
        <v>88.718884208007893</v>
      </c>
      <c r="AL87" s="20">
        <f t="shared" si="58"/>
        <v>824.97460942894668</v>
      </c>
      <c r="AM87" s="59">
        <f t="shared" si="59"/>
        <v>1118.3079427622799</v>
      </c>
      <c r="AN87" s="59">
        <f ca="1">AVERAGE(OFFSET($AM$3,0,0,'Données projet'!$E$10+1,1))-AVERAGE(OFFSET($H$3,0,0,'Données projet'!$E$10+1,1))</f>
        <v>733.95677909577444</v>
      </c>
      <c r="AO87" s="59">
        <f t="shared" si="90"/>
        <v>264.63778993239799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121.12820497289981</v>
      </c>
      <c r="AV87" s="21">
        <f>EXP(-LN(2)/25)*AV86+(1-EXP(-LN(2)/25))/(LN(2)/25)*Calculateur!AQ87*Calculateur!AS87*VLOOKUP('Données projet'!$B$10,Paramètres!$A$1:$I$89,3,0)*0.475*44/12</f>
        <v>0</v>
      </c>
      <c r="AW87" s="21">
        <f>EXP(-LN(2)/2)*AW86+(1-EXP(-LN(2)/2))/(LN(2)/2)*AQ87*AT87*VLOOKUP('Données projet'!$B$10,Paramètres!$A$1:$I$89,3,0)*0.475*44/12</f>
        <v>0</v>
      </c>
      <c r="AX87" s="21">
        <f t="shared" si="60"/>
        <v>121.12820497289981</v>
      </c>
      <c r="AY87" s="7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0</v>
      </c>
      <c r="BE87" s="13">
        <f>BD87*VLOOKUP('Données projet'!$B$11,Paramètres!$A$1:$I$89,3,0)*VLOOKUP('Données projet'!$B$11,Paramètres!$A$1:$I$89,5,0)</f>
        <v>0</v>
      </c>
      <c r="BF87" s="13" t="e">
        <f t="shared" si="91"/>
        <v>#NUM!</v>
      </c>
      <c r="BG87" s="20" t="e">
        <f t="shared" si="61"/>
        <v>#NUM!</v>
      </c>
      <c r="BH87" s="59" t="e">
        <f t="shared" si="62"/>
        <v>#NUM!</v>
      </c>
      <c r="BI87" s="59">
        <f ca="1">AVERAGE(OFFSET($BH$3,0,0,'Données projet'!$E$11+1,1))-AVERAGE(OFFSET($H$3,0,0,'Données projet'!$E$11+1,1))</f>
        <v>187.80389738728508</v>
      </c>
      <c r="BJ87" s="59">
        <f t="shared" si="92"/>
        <v>439.28159165815265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42.389213634391616</v>
      </c>
      <c r="BQ87" s="21">
        <f>EXP(-LN(2)/25)*BQ86+(1-EXP(-LN(2)/25))/(LN(2)/25)*Calculateur!BL87*Calculateur!BN87*VLOOKUP('Données projet'!$B$11,Paramètres!$A$1:$I$89,3,0)*0.475*44/12</f>
        <v>3.2170131356734935</v>
      </c>
      <c r="BR87" s="21">
        <f>EXP(-LN(2)/2)*BR86+(1-EXP(-LN(2)/2))/(LN(2)/2)*BL87*BO87*VLOOKUP('Données projet'!$B$11,Paramètres!$A$1:$I$89,3,0)*0.475*44/12</f>
        <v>3.3499304952140817E-10</v>
      </c>
      <c r="BS87" s="22">
        <f t="shared" si="63"/>
        <v>45.606226770400099</v>
      </c>
      <c r="BT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0</v>
      </c>
      <c r="BZ87" s="13" t="e">
        <f>BY87*VLOOKUP('Données projet'!$B$12,Paramètres!$A$1:$I$89,3,0)*VLOOKUP('Données projet'!$B$12,Paramètres!$A$1:$I$89,5,0)</f>
        <v>#N/A</v>
      </c>
      <c r="CA87" s="13" t="e">
        <f t="shared" si="93"/>
        <v>#N/A</v>
      </c>
      <c r="CB87" s="20" t="e">
        <f t="shared" si="64"/>
        <v>#N/A</v>
      </c>
      <c r="CC87" s="59" t="e">
        <f t="shared" si="65"/>
        <v>#N/A</v>
      </c>
      <c r="CD87" s="59" t="e">
        <f ca="1">AVERAGE(OFFSET($CC$3,0,0,'Données projet'!$E$12+1,1))-AVERAGE(OFFSET($H$3,0,0,'Données projet'!$E$12+1,1))</f>
        <v>#N/A</v>
      </c>
      <c r="CE87" s="59" t="e">
        <f t="shared" si="94"/>
        <v>#N/A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 t="e">
        <f>EXP(-LN(2)/35)*CK86+(1-EXP(-LN(2)/35))/(LN(2)/35)*CG87*CH87*VLOOKUP('Données projet'!$B$12,Paramètres!$A$1:$I$89,3,0)*0.475*44/12</f>
        <v>#N/A</v>
      </c>
      <c r="CL87" s="21" t="e">
        <f>EXP(-LN(2)/25)*CL86+(1-EXP(-LN(2)/25))/(LN(2)/25)*Calculateur!CG87*Calculateur!CI87*VLOOKUP('Données projet'!$B$12,Paramètres!$A$1:$I$89,3,0)*0.475*44/12</f>
        <v>#N/A</v>
      </c>
      <c r="CM87" s="21" t="e">
        <f>EXP(-LN(2)/2)*CM86+(1-EXP(-LN(2)/2))/(LN(2)/2)*CG87*CJ87*VLOOKUP('Données projet'!$B$12,Paramètres!$A$1:$I$89,3,0)*0.475*44/12</f>
        <v>#N/A</v>
      </c>
      <c r="CN87" s="22" t="e">
        <f t="shared" si="66"/>
        <v>#N/A</v>
      </c>
      <c r="CO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35">
      <c r="A88" s="10">
        <f t="shared" si="85"/>
        <v>85</v>
      </c>
      <c r="B88" s="72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1">
        <f t="shared" si="86"/>
        <v>0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66">
        <f t="shared" si="56"/>
        <v>256.66666666666669</v>
      </c>
      <c r="I88" s="6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11.14</v>
      </c>
      <c r="N88" s="13">
        <f>IF('Données projet'!$A$36&gt;35,N87+M88-V87,IF(A88&lt;'Données projet'!$A$36,$K$205^A88,IF(A88='Données projet'!$A$36,'Données projet'!$B$36,N87+M88-V87)))</f>
        <v>415.66999999999979</v>
      </c>
      <c r="O88" s="13">
        <f>N88*VLOOKUP('Données projet'!$B$9,Paramètres!$A$1:$I$89,3,0)*VLOOKUP('Données projet'!$B$9,Paramètres!$A$1:$I$89,5,0)</f>
        <v>376.09821599999981</v>
      </c>
      <c r="P88" s="13">
        <f t="shared" si="87"/>
        <v>86.913706278646288</v>
      </c>
      <c r="Q88" s="20">
        <f t="shared" si="54"/>
        <v>806.41243130197529</v>
      </c>
      <c r="R88" s="59">
        <f t="shared" si="55"/>
        <v>1099.7457646353087</v>
      </c>
      <c r="S88" s="59">
        <f ca="1">AVERAGE(OFFSET($R$3,0,0,'Données projet'!$E$9+1,1))-AVERAGE(OFFSET($H$3,0,0,'Données projet'!$E$9+1,1))</f>
        <v>700.22008319944644</v>
      </c>
      <c r="T88" s="59">
        <f t="shared" si="88"/>
        <v>253.69632671986739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112.91264550408012</v>
      </c>
      <c r="AA88" s="21">
        <f>EXP(-LN(2)/25)*AA87+(1-EXP(-LN(2)/25))/(LN(2)/25)*Calculateur!V88*Calculateur!X88*VLOOKUP('Données projet'!$B$9,Paramètres!$A$1:$I$89,3,0)*0.475*44/12</f>
        <v>0</v>
      </c>
      <c r="AB88" s="21">
        <f>EXP(-LN(2)/2)*AB87+(1-EXP(-LN(2)/2))/(LN(2)/2)*V88*Y88*VLOOKUP('Données projet'!$B$9,Paramètres!$A$1:$I$89,3,0)*0.475*44/12</f>
        <v>0</v>
      </c>
      <c r="AC88" s="22">
        <f t="shared" si="57"/>
        <v>112.91264550408012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11.14</v>
      </c>
      <c r="AI88" s="13">
        <f>IF('Données projet'!$A$62&gt;35,AI87+AH88-AQ87,IF(A88&lt;'Données projet'!$A$62,$AF$205^A88,IF(A88='Données projet'!$A$62,'Données projet'!$B$62,AI87+AH88-AQ87)))</f>
        <v>415.66999999999979</v>
      </c>
      <c r="AJ88" s="13">
        <f>AI88*VLOOKUP('Données projet'!$B$10,Paramètres!$A$1:$I$89,3,0)*VLOOKUP('Données projet'!$B$10,Paramètres!$A$1:$I$89,5,0)</f>
        <v>395.55157199999979</v>
      </c>
      <c r="AK88" s="13">
        <f t="shared" si="89"/>
        <v>90.874228562732355</v>
      </c>
      <c r="AL88" s="20">
        <f t="shared" si="58"/>
        <v>847.1916026467585</v>
      </c>
      <c r="AM88" s="59">
        <f t="shared" si="59"/>
        <v>1140.5249359800919</v>
      </c>
      <c r="AN88" s="59">
        <f ca="1">AVERAGE(OFFSET($AM$3,0,0,'Données projet'!$E$10+1,1))-AVERAGE(OFFSET($H$3,0,0,'Données projet'!$E$10+1,1))</f>
        <v>733.95677909577444</v>
      </c>
      <c r="AO88" s="59">
        <f t="shared" si="90"/>
        <v>264.63778993239799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118.75295475429114</v>
      </c>
      <c r="AV88" s="21">
        <f>EXP(-LN(2)/25)*AV87+(1-EXP(-LN(2)/25))/(LN(2)/25)*Calculateur!AQ88*Calculateur!AS88*VLOOKUP('Données projet'!$B$10,Paramètres!$A$1:$I$89,3,0)*0.475*44/12</f>
        <v>0</v>
      </c>
      <c r="AW88" s="21">
        <f>EXP(-LN(2)/2)*AW87+(1-EXP(-LN(2)/2))/(LN(2)/2)*AQ88*AT88*VLOOKUP('Données projet'!$B$10,Paramètres!$A$1:$I$89,3,0)*0.475*44/12</f>
        <v>0</v>
      </c>
      <c r="AX88" s="21">
        <f t="shared" si="60"/>
        <v>118.75295475429114</v>
      </c>
      <c r="AY88" s="7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0</v>
      </c>
      <c r="BE88" s="13">
        <f>BD88*VLOOKUP('Données projet'!$B$11,Paramètres!$A$1:$I$89,3,0)*VLOOKUP('Données projet'!$B$11,Paramètres!$A$1:$I$89,5,0)</f>
        <v>0</v>
      </c>
      <c r="BF88" s="13" t="e">
        <f t="shared" si="91"/>
        <v>#NUM!</v>
      </c>
      <c r="BG88" s="20" t="e">
        <f t="shared" si="61"/>
        <v>#NUM!</v>
      </c>
      <c r="BH88" s="59" t="e">
        <f t="shared" si="62"/>
        <v>#NUM!</v>
      </c>
      <c r="BI88" s="59">
        <f ca="1">AVERAGE(OFFSET($BH$3,0,0,'Données projet'!$E$11+1,1))-AVERAGE(OFFSET($H$3,0,0,'Données projet'!$E$11+1,1))</f>
        <v>187.80389738728508</v>
      </c>
      <c r="BJ88" s="59">
        <f t="shared" si="92"/>
        <v>439.28159165815265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41.557987009888556</v>
      </c>
      <c r="BQ88" s="21">
        <f>EXP(-LN(2)/25)*BQ87+(1-EXP(-LN(2)/25))/(LN(2)/25)*Calculateur!BL88*Calculateur!BN88*VLOOKUP('Données projet'!$B$11,Paramètres!$A$1:$I$89,3,0)*0.475*44/12</f>
        <v>3.1290437423031334</v>
      </c>
      <c r="BR88" s="21">
        <f>EXP(-LN(2)/2)*BR87+(1-EXP(-LN(2)/2))/(LN(2)/2)*BL88*BO88*VLOOKUP('Données projet'!$B$11,Paramètres!$A$1:$I$89,3,0)*0.475*44/12</f>
        <v>2.3687585696694865E-10</v>
      </c>
      <c r="BS88" s="22">
        <f t="shared" si="63"/>
        <v>44.687030752428562</v>
      </c>
      <c r="BT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0</v>
      </c>
      <c r="BZ88" s="13" t="e">
        <f>BY88*VLOOKUP('Données projet'!$B$12,Paramètres!$A$1:$I$89,3,0)*VLOOKUP('Données projet'!$B$12,Paramètres!$A$1:$I$89,5,0)</f>
        <v>#N/A</v>
      </c>
      <c r="CA88" s="13" t="e">
        <f t="shared" si="93"/>
        <v>#N/A</v>
      </c>
      <c r="CB88" s="20" t="e">
        <f t="shared" si="64"/>
        <v>#N/A</v>
      </c>
      <c r="CC88" s="59" t="e">
        <f t="shared" si="65"/>
        <v>#N/A</v>
      </c>
      <c r="CD88" s="59" t="e">
        <f ca="1">AVERAGE(OFFSET($CC$3,0,0,'Données projet'!$E$12+1,1))-AVERAGE(OFFSET($H$3,0,0,'Données projet'!$E$12+1,1))</f>
        <v>#N/A</v>
      </c>
      <c r="CE88" s="59" t="e">
        <f t="shared" si="94"/>
        <v>#N/A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 t="e">
        <f>EXP(-LN(2)/35)*CK87+(1-EXP(-LN(2)/35))/(LN(2)/35)*CG88*CH88*VLOOKUP('Données projet'!$B$12,Paramètres!$A$1:$I$89,3,0)*0.475*44/12</f>
        <v>#N/A</v>
      </c>
      <c r="CL88" s="21" t="e">
        <f>EXP(-LN(2)/25)*CL87+(1-EXP(-LN(2)/25))/(LN(2)/25)*Calculateur!CG88*Calculateur!CI88*VLOOKUP('Données projet'!$B$12,Paramètres!$A$1:$I$89,3,0)*0.475*44/12</f>
        <v>#N/A</v>
      </c>
      <c r="CM88" s="21" t="e">
        <f>EXP(-LN(2)/2)*CM87+(1-EXP(-LN(2)/2))/(LN(2)/2)*CG88*CJ88*VLOOKUP('Données projet'!$B$12,Paramètres!$A$1:$I$89,3,0)*0.475*44/12</f>
        <v>#N/A</v>
      </c>
      <c r="CN88" s="22" t="e">
        <f t="shared" si="66"/>
        <v>#N/A</v>
      </c>
      <c r="CO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35">
      <c r="A89" s="10">
        <f t="shared" si="85"/>
        <v>86</v>
      </c>
      <c r="B89" s="72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1">
        <f t="shared" si="86"/>
        <v>0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66">
        <f t="shared" si="56"/>
        <v>256.66666666666669</v>
      </c>
      <c r="I89" s="6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11.14</v>
      </c>
      <c r="N89" s="13">
        <f>IF('Données projet'!$A$36&gt;35,N88+M89-V88,IF(A89&lt;'Données projet'!$A$36,$K$205^A89,IF(A89='Données projet'!$A$36,'Données projet'!$B$36,N88+M89-V88)))</f>
        <v>426.80999999999977</v>
      </c>
      <c r="O89" s="13">
        <f>N89*VLOOKUP('Données projet'!$B$9,Paramètres!$A$1:$I$89,3,0)*VLOOKUP('Données projet'!$B$9,Paramètres!$A$1:$I$89,5,0)</f>
        <v>386.17768799999982</v>
      </c>
      <c r="P89" s="13">
        <f t="shared" si="87"/>
        <v>88.968694002826282</v>
      </c>
      <c r="Q89" s="20">
        <f t="shared" si="54"/>
        <v>827.54661532158877</v>
      </c>
      <c r="R89" s="59">
        <f t="shared" si="55"/>
        <v>1120.8799486549221</v>
      </c>
      <c r="S89" s="59">
        <f ca="1">AVERAGE(OFFSET($R$3,0,0,'Données projet'!$E$9+1,1))-AVERAGE(OFFSET($H$3,0,0,'Données projet'!$E$9+1,1))</f>
        <v>700.22008319944644</v>
      </c>
      <c r="T89" s="59">
        <f t="shared" si="88"/>
        <v>253.69632671986739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110.69849739565852</v>
      </c>
      <c r="AA89" s="21">
        <f>EXP(-LN(2)/25)*AA88+(1-EXP(-LN(2)/25))/(LN(2)/25)*Calculateur!V89*Calculateur!X89*VLOOKUP('Données projet'!$B$9,Paramètres!$A$1:$I$89,3,0)*0.475*44/12</f>
        <v>0</v>
      </c>
      <c r="AB89" s="21">
        <f>EXP(-LN(2)/2)*AB88+(1-EXP(-LN(2)/2))/(LN(2)/2)*V89*Y89*VLOOKUP('Données projet'!$B$9,Paramètres!$A$1:$I$89,3,0)*0.475*44/12</f>
        <v>0</v>
      </c>
      <c r="AC89" s="22">
        <f t="shared" si="57"/>
        <v>110.69849739565852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11.14</v>
      </c>
      <c r="AI89" s="13">
        <f>IF('Données projet'!$A$62&gt;35,AI88+AH89-AQ88,IF(A89&lt;'Données projet'!$A$62,$AF$205^A89,IF(A89='Données projet'!$A$62,'Données projet'!$B$62,AI88+AH89-AQ88)))</f>
        <v>426.80999999999977</v>
      </c>
      <c r="AJ89" s="13">
        <f>AI89*VLOOKUP('Données projet'!$B$10,Paramètres!$A$1:$I$89,3,0)*VLOOKUP('Données projet'!$B$10,Paramètres!$A$1:$I$89,5,0)</f>
        <v>406.15239599999978</v>
      </c>
      <c r="AK89" s="13">
        <f t="shared" si="89"/>
        <v>93.022858878209021</v>
      </c>
      <c r="AL89" s="20">
        <f t="shared" si="58"/>
        <v>869.3969022462137</v>
      </c>
      <c r="AM89" s="59">
        <f t="shared" si="59"/>
        <v>1162.7302355795471</v>
      </c>
      <c r="AN89" s="59">
        <f ca="1">AVERAGE(OFFSET($AM$3,0,0,'Données projet'!$E$10+1,1))-AVERAGE(OFFSET($H$3,0,0,'Données projet'!$E$10+1,1))</f>
        <v>733.95677909577444</v>
      </c>
      <c r="AO89" s="59">
        <f t="shared" si="90"/>
        <v>264.63778993239799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116.42428174370981</v>
      </c>
      <c r="AV89" s="21">
        <f>EXP(-LN(2)/25)*AV88+(1-EXP(-LN(2)/25))/(LN(2)/25)*Calculateur!AQ89*Calculateur!AS89*VLOOKUP('Données projet'!$B$10,Paramètres!$A$1:$I$89,3,0)*0.475*44/12</f>
        <v>0</v>
      </c>
      <c r="AW89" s="21">
        <f>EXP(-LN(2)/2)*AW88+(1-EXP(-LN(2)/2))/(LN(2)/2)*AQ89*AT89*VLOOKUP('Données projet'!$B$10,Paramètres!$A$1:$I$89,3,0)*0.475*44/12</f>
        <v>0</v>
      </c>
      <c r="AX89" s="21">
        <f t="shared" si="60"/>
        <v>116.42428174370981</v>
      </c>
      <c r="AY89" s="7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0</v>
      </c>
      <c r="BE89" s="13">
        <f>BD89*VLOOKUP('Données projet'!$B$11,Paramètres!$A$1:$I$89,3,0)*VLOOKUP('Données projet'!$B$11,Paramètres!$A$1:$I$89,5,0)</f>
        <v>0</v>
      </c>
      <c r="BF89" s="13" t="e">
        <f t="shared" si="91"/>
        <v>#NUM!</v>
      </c>
      <c r="BG89" s="20" t="e">
        <f t="shared" si="61"/>
        <v>#NUM!</v>
      </c>
      <c r="BH89" s="59" t="e">
        <f t="shared" si="62"/>
        <v>#NUM!</v>
      </c>
      <c r="BI89" s="59">
        <f ca="1">AVERAGE(OFFSET($BH$3,0,0,'Données projet'!$E$11+1,1))-AVERAGE(OFFSET($H$3,0,0,'Données projet'!$E$11+1,1))</f>
        <v>187.80389738728508</v>
      </c>
      <c r="BJ89" s="59">
        <f t="shared" si="92"/>
        <v>439.28159165815265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40.743060232493825</v>
      </c>
      <c r="BQ89" s="21">
        <f>EXP(-LN(2)/25)*BQ88+(1-EXP(-LN(2)/25))/(LN(2)/25)*Calculateur!BL89*Calculateur!BN89*VLOOKUP('Données projet'!$B$11,Paramètres!$A$1:$I$89,3,0)*0.475*44/12</f>
        <v>3.0434798766205953</v>
      </c>
      <c r="BR89" s="21">
        <f>EXP(-LN(2)/2)*BR88+(1-EXP(-LN(2)/2))/(LN(2)/2)*BL89*BO89*VLOOKUP('Données projet'!$B$11,Paramètres!$A$1:$I$89,3,0)*0.475*44/12</f>
        <v>1.6749652476070409E-10</v>
      </c>
      <c r="BS89" s="22">
        <f t="shared" si="63"/>
        <v>43.786540109281916</v>
      </c>
      <c r="BT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0</v>
      </c>
      <c r="BZ89" s="13" t="e">
        <f>BY89*VLOOKUP('Données projet'!$B$12,Paramètres!$A$1:$I$89,3,0)*VLOOKUP('Données projet'!$B$12,Paramètres!$A$1:$I$89,5,0)</f>
        <v>#N/A</v>
      </c>
      <c r="CA89" s="13" t="e">
        <f t="shared" si="93"/>
        <v>#N/A</v>
      </c>
      <c r="CB89" s="20" t="e">
        <f t="shared" si="64"/>
        <v>#N/A</v>
      </c>
      <c r="CC89" s="59" t="e">
        <f t="shared" si="65"/>
        <v>#N/A</v>
      </c>
      <c r="CD89" s="59" t="e">
        <f ca="1">AVERAGE(OFFSET($CC$3,0,0,'Données projet'!$E$12+1,1))-AVERAGE(OFFSET($H$3,0,0,'Données projet'!$E$12+1,1))</f>
        <v>#N/A</v>
      </c>
      <c r="CE89" s="59" t="e">
        <f t="shared" si="94"/>
        <v>#N/A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 t="e">
        <f>EXP(-LN(2)/35)*CK88+(1-EXP(-LN(2)/35))/(LN(2)/35)*CG89*CH89*VLOOKUP('Données projet'!$B$12,Paramètres!$A$1:$I$89,3,0)*0.475*44/12</f>
        <v>#N/A</v>
      </c>
      <c r="CL89" s="21" t="e">
        <f>EXP(-LN(2)/25)*CL88+(1-EXP(-LN(2)/25))/(LN(2)/25)*Calculateur!CG89*Calculateur!CI89*VLOOKUP('Données projet'!$B$12,Paramètres!$A$1:$I$89,3,0)*0.475*44/12</f>
        <v>#N/A</v>
      </c>
      <c r="CM89" s="21" t="e">
        <f>EXP(-LN(2)/2)*CM88+(1-EXP(-LN(2)/2))/(LN(2)/2)*CG89*CJ89*VLOOKUP('Données projet'!$B$12,Paramètres!$A$1:$I$89,3,0)*0.475*44/12</f>
        <v>#N/A</v>
      </c>
      <c r="CN89" s="22" t="e">
        <f t="shared" si="66"/>
        <v>#N/A</v>
      </c>
      <c r="CO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35">
      <c r="A90" s="10">
        <f t="shared" si="85"/>
        <v>87</v>
      </c>
      <c r="B90" s="72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1">
        <f t="shared" si="86"/>
        <v>0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66">
        <f t="shared" si="56"/>
        <v>256.66666666666669</v>
      </c>
      <c r="I90" s="6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11.14</v>
      </c>
      <c r="N90" s="13">
        <f>IF('Données projet'!$A$36&gt;35,N89+M90-V89,IF(A90&lt;'Données projet'!$A$36,$K$205^A90,IF(A90='Données projet'!$A$36,'Données projet'!$B$36,N89+M90-V89)))</f>
        <v>437.94999999999976</v>
      </c>
      <c r="O90" s="13">
        <f>N90*VLOOKUP('Données projet'!$B$9,Paramètres!$A$1:$I$89,3,0)*VLOOKUP('Données projet'!$B$9,Paramètres!$A$1:$I$89,5,0)</f>
        <v>396.25715999999977</v>
      </c>
      <c r="P90" s="13">
        <f t="shared" si="87"/>
        <v>91.017447173180457</v>
      </c>
      <c r="Q90" s="20">
        <f t="shared" si="54"/>
        <v>848.66994082662222</v>
      </c>
      <c r="R90" s="59">
        <f t="shared" si="55"/>
        <v>1142.0032741599555</v>
      </c>
      <c r="S90" s="59">
        <f ca="1">AVERAGE(OFFSET($R$3,0,0,'Données projet'!$E$9+1,1))-AVERAGE(OFFSET($H$3,0,0,'Données projet'!$E$9+1,1))</f>
        <v>700.22008319944644</v>
      </c>
      <c r="T90" s="59">
        <f t="shared" si="88"/>
        <v>253.69632671986739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108.52776738114608</v>
      </c>
      <c r="AA90" s="21">
        <f>EXP(-LN(2)/25)*AA89+(1-EXP(-LN(2)/25))/(LN(2)/25)*Calculateur!V90*Calculateur!X90*VLOOKUP('Données projet'!$B$9,Paramètres!$A$1:$I$89,3,0)*0.475*44/12</f>
        <v>0</v>
      </c>
      <c r="AB90" s="21">
        <f>EXP(-LN(2)/2)*AB89+(1-EXP(-LN(2)/2))/(LN(2)/2)*V90*Y90*VLOOKUP('Données projet'!$B$9,Paramètres!$A$1:$I$89,3,0)*0.475*44/12</f>
        <v>0</v>
      </c>
      <c r="AC90" s="22">
        <f t="shared" si="57"/>
        <v>108.52776738114608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11.14</v>
      </c>
      <c r="AI90" s="13">
        <f>IF('Données projet'!$A$62&gt;35,AI89+AH90-AQ89,IF(A90&lt;'Données projet'!$A$62,$AF$205^A90,IF(A90='Données projet'!$A$62,'Données projet'!$B$62,AI89+AH90-AQ89)))</f>
        <v>437.94999999999976</v>
      </c>
      <c r="AJ90" s="13">
        <f>AI90*VLOOKUP('Données projet'!$B$10,Paramètres!$A$1:$I$89,3,0)*VLOOKUP('Données projet'!$B$10,Paramètres!$A$1:$I$89,5,0)</f>
        <v>416.75321999999983</v>
      </c>
      <c r="AK90" s="13">
        <f t="shared" si="89"/>
        <v>95.164970540948417</v>
      </c>
      <c r="AL90" s="20">
        <f t="shared" si="58"/>
        <v>891.59084852548483</v>
      </c>
      <c r="AM90" s="59">
        <f t="shared" si="59"/>
        <v>1184.9241818588182</v>
      </c>
      <c r="AN90" s="59">
        <f ca="1">AVERAGE(OFFSET($AM$3,0,0,'Données projet'!$E$10+1,1))-AVERAGE(OFFSET($H$3,0,0,'Données projet'!$E$10+1,1))</f>
        <v>733.95677909577444</v>
      </c>
      <c r="AO90" s="59">
        <f t="shared" si="90"/>
        <v>264.63778993239799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114.1412725905157</v>
      </c>
      <c r="AV90" s="21">
        <f>EXP(-LN(2)/25)*AV89+(1-EXP(-LN(2)/25))/(LN(2)/25)*Calculateur!AQ90*Calculateur!AS90*VLOOKUP('Données projet'!$B$10,Paramètres!$A$1:$I$89,3,0)*0.475*44/12</f>
        <v>0</v>
      </c>
      <c r="AW90" s="21">
        <f>EXP(-LN(2)/2)*AW89+(1-EXP(-LN(2)/2))/(LN(2)/2)*AQ90*AT90*VLOOKUP('Données projet'!$B$10,Paramètres!$A$1:$I$89,3,0)*0.475*44/12</f>
        <v>0</v>
      </c>
      <c r="AX90" s="21">
        <f t="shared" si="60"/>
        <v>114.1412725905157</v>
      </c>
      <c r="AY90" s="7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0</v>
      </c>
      <c r="BE90" s="13">
        <f>BD90*VLOOKUP('Données projet'!$B$11,Paramètres!$A$1:$I$89,3,0)*VLOOKUP('Données projet'!$B$11,Paramètres!$A$1:$I$89,5,0)</f>
        <v>0</v>
      </c>
      <c r="BF90" s="13" t="e">
        <f t="shared" si="91"/>
        <v>#NUM!</v>
      </c>
      <c r="BG90" s="20" t="e">
        <f t="shared" si="61"/>
        <v>#NUM!</v>
      </c>
      <c r="BH90" s="59" t="e">
        <f t="shared" si="62"/>
        <v>#NUM!</v>
      </c>
      <c r="BI90" s="59">
        <f ca="1">AVERAGE(OFFSET($BH$3,0,0,'Données projet'!$E$11+1,1))-AVERAGE(OFFSET($H$3,0,0,'Données projet'!$E$11+1,1))</f>
        <v>187.80389738728508</v>
      </c>
      <c r="BJ90" s="59">
        <f t="shared" si="92"/>
        <v>439.28159165815265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39.944113672147552</v>
      </c>
      <c r="BQ90" s="21">
        <f>EXP(-LN(2)/25)*BQ89+(1-EXP(-LN(2)/25))/(LN(2)/25)*Calculateur!BL90*Calculateur!BN90*VLOOKUP('Données projet'!$B$11,Paramètres!$A$1:$I$89,3,0)*0.475*44/12</f>
        <v>2.9602557593447543</v>
      </c>
      <c r="BR90" s="21">
        <f>EXP(-LN(2)/2)*BR89+(1-EXP(-LN(2)/2))/(LN(2)/2)*BL90*BO90*VLOOKUP('Données projet'!$B$11,Paramètres!$A$1:$I$89,3,0)*0.475*44/12</f>
        <v>1.1843792848347432E-10</v>
      </c>
      <c r="BS90" s="22">
        <f t="shared" si="63"/>
        <v>42.904369431610746</v>
      </c>
      <c r="BT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0</v>
      </c>
      <c r="BZ90" s="13" t="e">
        <f>BY90*VLOOKUP('Données projet'!$B$12,Paramètres!$A$1:$I$89,3,0)*VLOOKUP('Données projet'!$B$12,Paramètres!$A$1:$I$89,5,0)</f>
        <v>#N/A</v>
      </c>
      <c r="CA90" s="13" t="e">
        <f t="shared" si="93"/>
        <v>#N/A</v>
      </c>
      <c r="CB90" s="20" t="e">
        <f t="shared" si="64"/>
        <v>#N/A</v>
      </c>
      <c r="CC90" s="59" t="e">
        <f t="shared" si="65"/>
        <v>#N/A</v>
      </c>
      <c r="CD90" s="59" t="e">
        <f ca="1">AVERAGE(OFFSET($CC$3,0,0,'Données projet'!$E$12+1,1))-AVERAGE(OFFSET($H$3,0,0,'Données projet'!$E$12+1,1))</f>
        <v>#N/A</v>
      </c>
      <c r="CE90" s="59" t="e">
        <f t="shared" si="94"/>
        <v>#N/A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 t="e">
        <f>EXP(-LN(2)/35)*CK89+(1-EXP(-LN(2)/35))/(LN(2)/35)*CG90*CH90*VLOOKUP('Données projet'!$B$12,Paramètres!$A$1:$I$89,3,0)*0.475*44/12</f>
        <v>#N/A</v>
      </c>
      <c r="CL90" s="21" t="e">
        <f>EXP(-LN(2)/25)*CL89+(1-EXP(-LN(2)/25))/(LN(2)/25)*Calculateur!CG90*Calculateur!CI90*VLOOKUP('Données projet'!$B$12,Paramètres!$A$1:$I$89,3,0)*0.475*44/12</f>
        <v>#N/A</v>
      </c>
      <c r="CM90" s="21" t="e">
        <f>EXP(-LN(2)/2)*CM89+(1-EXP(-LN(2)/2))/(LN(2)/2)*CG90*CJ90*VLOOKUP('Données projet'!$B$12,Paramètres!$A$1:$I$89,3,0)*0.475*44/12</f>
        <v>#N/A</v>
      </c>
      <c r="CN90" s="22" t="e">
        <f t="shared" si="66"/>
        <v>#N/A</v>
      </c>
      <c r="CO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35">
      <c r="A91" s="10">
        <f t="shared" si="85"/>
        <v>88</v>
      </c>
      <c r="B91" s="72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1">
        <f t="shared" si="86"/>
        <v>0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66">
        <f t="shared" si="56"/>
        <v>256.66666666666669</v>
      </c>
      <c r="I91" s="6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11.14</v>
      </c>
      <c r="N91" s="13">
        <f>IF('Données projet'!$A$36&gt;35,N90+M91-V90,IF(A91&lt;'Données projet'!$A$36,$K$205^A91,IF(A91='Données projet'!$A$36,'Données projet'!$B$36,N90+M91-V90)))</f>
        <v>449.08999999999975</v>
      </c>
      <c r="O91" s="13">
        <f>N91*VLOOKUP('Données projet'!$B$9,Paramètres!$A$1:$I$89,3,0)*VLOOKUP('Données projet'!$B$9,Paramètres!$A$1:$I$89,5,0)</f>
        <v>406.33663199999972</v>
      </c>
      <c r="P91" s="13">
        <f t="shared" si="87"/>
        <v>93.060142612346141</v>
      </c>
      <c r="Q91" s="20">
        <f t="shared" si="54"/>
        <v>869.78271578316901</v>
      </c>
      <c r="R91" s="59">
        <f t="shared" si="55"/>
        <v>1163.1160491165024</v>
      </c>
      <c r="S91" s="59">
        <f ca="1">AVERAGE(OFFSET($R$3,0,0,'Données projet'!$E$9+1,1))-AVERAGE(OFFSET($H$3,0,0,'Données projet'!$E$9+1,1))</f>
        <v>700.22008319944644</v>
      </c>
      <c r="T91" s="59">
        <f t="shared" si="88"/>
        <v>253.69632671986739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106.39960405820365</v>
      </c>
      <c r="AA91" s="21">
        <f>EXP(-LN(2)/25)*AA90+(1-EXP(-LN(2)/25))/(LN(2)/25)*Calculateur!V91*Calculateur!X91*VLOOKUP('Données projet'!$B$9,Paramètres!$A$1:$I$89,3,0)*0.475*44/12</f>
        <v>0</v>
      </c>
      <c r="AB91" s="21">
        <f>EXP(-LN(2)/2)*AB90+(1-EXP(-LN(2)/2))/(LN(2)/2)*V91*Y91*VLOOKUP('Données projet'!$B$9,Paramètres!$A$1:$I$89,3,0)*0.475*44/12</f>
        <v>0</v>
      </c>
      <c r="AC91" s="22">
        <f t="shared" si="57"/>
        <v>106.39960405820365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11.14</v>
      </c>
      <c r="AI91" s="13">
        <f>IF('Données projet'!$A$62&gt;35,AI90+AH91-AQ90,IF(A91&lt;'Données projet'!$A$62,$AF$205^A91,IF(A91='Données projet'!$A$62,'Données projet'!$B$62,AI90+AH91-AQ90)))</f>
        <v>449.08999999999975</v>
      </c>
      <c r="AJ91" s="13">
        <f>AI91*VLOOKUP('Données projet'!$B$10,Paramètres!$A$1:$I$89,3,0)*VLOOKUP('Données projet'!$B$10,Paramètres!$A$1:$I$89,5,0)</f>
        <v>427.35404399999976</v>
      </c>
      <c r="AK91" s="13">
        <f t="shared" si="89"/>
        <v>97.300748431119928</v>
      </c>
      <c r="AL91" s="20">
        <f t="shared" si="58"/>
        <v>913.7737634842</v>
      </c>
      <c r="AM91" s="59">
        <f t="shared" si="59"/>
        <v>1207.1070968175334</v>
      </c>
      <c r="AN91" s="59">
        <f ca="1">AVERAGE(OFFSET($AM$3,0,0,'Données projet'!$E$10+1,1))-AVERAGE(OFFSET($H$3,0,0,'Données projet'!$E$10+1,1))</f>
        <v>733.95677909577444</v>
      </c>
      <c r="AO91" s="59">
        <f t="shared" si="90"/>
        <v>264.63778993239799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111.90303185431763</v>
      </c>
      <c r="AV91" s="21">
        <f>EXP(-LN(2)/25)*AV90+(1-EXP(-LN(2)/25))/(LN(2)/25)*Calculateur!AQ91*Calculateur!AS91*VLOOKUP('Données projet'!$B$10,Paramètres!$A$1:$I$89,3,0)*0.475*44/12</f>
        <v>0</v>
      </c>
      <c r="AW91" s="21">
        <f>EXP(-LN(2)/2)*AW90+(1-EXP(-LN(2)/2))/(LN(2)/2)*AQ91*AT91*VLOOKUP('Données projet'!$B$10,Paramètres!$A$1:$I$89,3,0)*0.475*44/12</f>
        <v>0</v>
      </c>
      <c r="AX91" s="21">
        <f t="shared" si="60"/>
        <v>111.90303185431763</v>
      </c>
      <c r="AY91" s="7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0</v>
      </c>
      <c r="BE91" s="13">
        <f>BD91*VLOOKUP('Données projet'!$B$11,Paramètres!$A$1:$I$89,3,0)*VLOOKUP('Données projet'!$B$11,Paramètres!$A$1:$I$89,5,0)</f>
        <v>0</v>
      </c>
      <c r="BF91" s="13" t="e">
        <f t="shared" si="91"/>
        <v>#NUM!</v>
      </c>
      <c r="BG91" s="20" t="e">
        <f t="shared" si="61"/>
        <v>#NUM!</v>
      </c>
      <c r="BH91" s="59" t="e">
        <f t="shared" si="62"/>
        <v>#NUM!</v>
      </c>
      <c r="BI91" s="59">
        <f ca="1">AVERAGE(OFFSET($BH$3,0,0,'Données projet'!$E$11+1,1))-AVERAGE(OFFSET($H$3,0,0,'Données projet'!$E$11+1,1))</f>
        <v>187.80389738728508</v>
      </c>
      <c r="BJ91" s="59">
        <f t="shared" si="92"/>
        <v>439.28159165815265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39.16083396654038</v>
      </c>
      <c r="BQ91" s="21">
        <f>EXP(-LN(2)/25)*BQ90+(1-EXP(-LN(2)/25))/(LN(2)/25)*Calculateur!BL91*Calculateur!BN91*VLOOKUP('Données projet'!$B$11,Paramètres!$A$1:$I$89,3,0)*0.475*44/12</f>
        <v>2.8793074099323874</v>
      </c>
      <c r="BR91" s="21">
        <f>EXP(-LN(2)/2)*BR90+(1-EXP(-LN(2)/2))/(LN(2)/2)*BL91*BO91*VLOOKUP('Données projet'!$B$11,Paramètres!$A$1:$I$89,3,0)*0.475*44/12</f>
        <v>8.3748262380352044E-11</v>
      </c>
      <c r="BS91" s="22">
        <f t="shared" si="63"/>
        <v>42.04014137655652</v>
      </c>
      <c r="BT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0</v>
      </c>
      <c r="BZ91" s="13" t="e">
        <f>BY91*VLOOKUP('Données projet'!$B$12,Paramètres!$A$1:$I$89,3,0)*VLOOKUP('Données projet'!$B$12,Paramètres!$A$1:$I$89,5,0)</f>
        <v>#N/A</v>
      </c>
      <c r="CA91" s="13" t="e">
        <f t="shared" si="93"/>
        <v>#N/A</v>
      </c>
      <c r="CB91" s="20" t="e">
        <f t="shared" si="64"/>
        <v>#N/A</v>
      </c>
      <c r="CC91" s="59" t="e">
        <f t="shared" si="65"/>
        <v>#N/A</v>
      </c>
      <c r="CD91" s="59" t="e">
        <f ca="1">AVERAGE(OFFSET($CC$3,0,0,'Données projet'!$E$12+1,1))-AVERAGE(OFFSET($H$3,0,0,'Données projet'!$E$12+1,1))</f>
        <v>#N/A</v>
      </c>
      <c r="CE91" s="59" t="e">
        <f t="shared" si="94"/>
        <v>#N/A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 t="e">
        <f>EXP(-LN(2)/35)*CK90+(1-EXP(-LN(2)/35))/(LN(2)/35)*CG91*CH91*VLOOKUP('Données projet'!$B$12,Paramètres!$A$1:$I$89,3,0)*0.475*44/12</f>
        <v>#N/A</v>
      </c>
      <c r="CL91" s="21" t="e">
        <f>EXP(-LN(2)/25)*CL90+(1-EXP(-LN(2)/25))/(LN(2)/25)*Calculateur!CG91*Calculateur!CI91*VLOOKUP('Données projet'!$B$12,Paramètres!$A$1:$I$89,3,0)*0.475*44/12</f>
        <v>#N/A</v>
      </c>
      <c r="CM91" s="21" t="e">
        <f>EXP(-LN(2)/2)*CM90+(1-EXP(-LN(2)/2))/(LN(2)/2)*CG91*CJ91*VLOOKUP('Données projet'!$B$12,Paramètres!$A$1:$I$89,3,0)*0.475*44/12</f>
        <v>#N/A</v>
      </c>
      <c r="CN91" s="22" t="e">
        <f t="shared" si="66"/>
        <v>#N/A</v>
      </c>
      <c r="CO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35">
      <c r="A92" s="10">
        <f t="shared" si="85"/>
        <v>89</v>
      </c>
      <c r="B92" s="72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1">
        <f t="shared" si="86"/>
        <v>0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66">
        <f t="shared" si="56"/>
        <v>256.66666666666669</v>
      </c>
      <c r="I92" s="6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11.14</v>
      </c>
      <c r="N92" s="13">
        <f>IF('Données projet'!$A$36&gt;35,N91+M92-V91,IF(A92&lt;'Données projet'!$A$36,$K$205^A92,IF(A92='Données projet'!$A$36,'Données projet'!$B$36,N91+M92-V91)))</f>
        <v>460.22999999999973</v>
      </c>
      <c r="O92" s="13">
        <f>N92*VLOOKUP('Données projet'!$B$9,Paramètres!$A$1:$I$89,3,0)*VLOOKUP('Données projet'!$B$9,Paramètres!$A$1:$I$89,5,0)</f>
        <v>416.41610399999973</v>
      </c>
      <c r="P92" s="13">
        <f t="shared" si="87"/>
        <v>95.09694787050303</v>
      </c>
      <c r="Q92" s="20">
        <f t="shared" si="54"/>
        <v>890.8852320077923</v>
      </c>
      <c r="R92" s="59">
        <f t="shared" si="55"/>
        <v>1184.2185653411257</v>
      </c>
      <c r="S92" s="59">
        <f ca="1">AVERAGE(OFFSET($R$3,0,0,'Données projet'!$E$9+1,1))-AVERAGE(OFFSET($H$3,0,0,'Données projet'!$E$9+1,1))</f>
        <v>700.22008319944644</v>
      </c>
      <c r="T92" s="59">
        <f t="shared" si="88"/>
        <v>253.69632671986739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104.31317271997267</v>
      </c>
      <c r="AA92" s="21">
        <f>EXP(-LN(2)/25)*AA91+(1-EXP(-LN(2)/25))/(LN(2)/25)*Calculateur!V92*Calculateur!X92*VLOOKUP('Données projet'!$B$9,Paramètres!$A$1:$I$89,3,0)*0.475*44/12</f>
        <v>0</v>
      </c>
      <c r="AB92" s="21">
        <f>EXP(-LN(2)/2)*AB91+(1-EXP(-LN(2)/2))/(LN(2)/2)*V92*Y92*VLOOKUP('Données projet'!$B$9,Paramètres!$A$1:$I$89,3,0)*0.475*44/12</f>
        <v>0</v>
      </c>
      <c r="AC92" s="22">
        <f t="shared" si="57"/>
        <v>104.31317271997267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11.14</v>
      </c>
      <c r="AI92" s="13">
        <f>IF('Données projet'!$A$62&gt;35,AI91+AH92-AQ91,IF(A92&lt;'Données projet'!$A$62,$AF$205^A92,IF(A92='Données projet'!$A$62,'Données projet'!$B$62,AI91+AH92-AQ91)))</f>
        <v>460.22999999999973</v>
      </c>
      <c r="AJ92" s="13">
        <f>AI92*VLOOKUP('Données projet'!$B$10,Paramètres!$A$1:$I$89,3,0)*VLOOKUP('Données projet'!$B$10,Paramètres!$A$1:$I$89,5,0)</f>
        <v>437.95486799999975</v>
      </c>
      <c r="AK92" s="13">
        <f t="shared" si="89"/>
        <v>99.430367733904248</v>
      </c>
      <c r="AL92" s="20">
        <f t="shared" si="58"/>
        <v>935.94595223654926</v>
      </c>
      <c r="AM92" s="59">
        <f t="shared" si="59"/>
        <v>1229.2792855698826</v>
      </c>
      <c r="AN92" s="59">
        <f ca="1">AVERAGE(OFFSET($AM$3,0,0,'Données projet'!$E$10+1,1))-AVERAGE(OFFSET($H$3,0,0,'Données projet'!$E$10+1,1))</f>
        <v>733.95677909577444</v>
      </c>
      <c r="AO92" s="59">
        <f t="shared" si="90"/>
        <v>264.63778993239799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109.70868165376436</v>
      </c>
      <c r="AV92" s="21">
        <f>EXP(-LN(2)/25)*AV91+(1-EXP(-LN(2)/25))/(LN(2)/25)*Calculateur!AQ92*Calculateur!AS92*VLOOKUP('Données projet'!$B$10,Paramètres!$A$1:$I$89,3,0)*0.475*44/12</f>
        <v>0</v>
      </c>
      <c r="AW92" s="21">
        <f>EXP(-LN(2)/2)*AW91+(1-EXP(-LN(2)/2))/(LN(2)/2)*AQ92*AT92*VLOOKUP('Données projet'!$B$10,Paramètres!$A$1:$I$89,3,0)*0.475*44/12</f>
        <v>0</v>
      </c>
      <c r="AX92" s="21">
        <f t="shared" si="60"/>
        <v>109.70868165376436</v>
      </c>
      <c r="AY92" s="7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0</v>
      </c>
      <c r="BE92" s="13">
        <f>BD92*VLOOKUP('Données projet'!$B$11,Paramètres!$A$1:$I$89,3,0)*VLOOKUP('Données projet'!$B$11,Paramètres!$A$1:$I$89,5,0)</f>
        <v>0</v>
      </c>
      <c r="BF92" s="13" t="e">
        <f t="shared" si="91"/>
        <v>#NUM!</v>
      </c>
      <c r="BG92" s="20" t="e">
        <f t="shared" si="61"/>
        <v>#NUM!</v>
      </c>
      <c r="BH92" s="59" t="e">
        <f t="shared" si="62"/>
        <v>#NUM!</v>
      </c>
      <c r="BI92" s="59">
        <f ca="1">AVERAGE(OFFSET($BH$3,0,0,'Données projet'!$E$11+1,1))-AVERAGE(OFFSET($H$3,0,0,'Données projet'!$E$11+1,1))</f>
        <v>187.80389738728508</v>
      </c>
      <c r="BJ92" s="59">
        <f t="shared" si="92"/>
        <v>439.28159165815265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38.392913898206722</v>
      </c>
      <c r="BQ92" s="21">
        <f>EXP(-LN(2)/25)*BQ91+(1-EXP(-LN(2)/25))/(LN(2)/25)*Calculateur!BL92*Calculateur!BN92*VLOOKUP('Données projet'!$B$11,Paramètres!$A$1:$I$89,3,0)*0.475*44/12</f>
        <v>2.8005725973915903</v>
      </c>
      <c r="BR92" s="21">
        <f>EXP(-LN(2)/2)*BR91+(1-EXP(-LN(2)/2))/(LN(2)/2)*BL92*BO92*VLOOKUP('Données projet'!$B$11,Paramètres!$A$1:$I$89,3,0)*0.475*44/12</f>
        <v>5.9218964241737162E-11</v>
      </c>
      <c r="BS92" s="22">
        <f t="shared" si="63"/>
        <v>41.193486495657531</v>
      </c>
      <c r="BT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0</v>
      </c>
      <c r="BZ92" s="13" t="e">
        <f>BY92*VLOOKUP('Données projet'!$B$12,Paramètres!$A$1:$I$89,3,0)*VLOOKUP('Données projet'!$B$12,Paramètres!$A$1:$I$89,5,0)</f>
        <v>#N/A</v>
      </c>
      <c r="CA92" s="13" t="e">
        <f t="shared" si="93"/>
        <v>#N/A</v>
      </c>
      <c r="CB92" s="20" t="e">
        <f t="shared" si="64"/>
        <v>#N/A</v>
      </c>
      <c r="CC92" s="59" t="e">
        <f t="shared" si="65"/>
        <v>#N/A</v>
      </c>
      <c r="CD92" s="59" t="e">
        <f ca="1">AVERAGE(OFFSET($CC$3,0,0,'Données projet'!$E$12+1,1))-AVERAGE(OFFSET($H$3,0,0,'Données projet'!$E$12+1,1))</f>
        <v>#N/A</v>
      </c>
      <c r="CE92" s="59" t="e">
        <f t="shared" si="94"/>
        <v>#N/A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 t="e">
        <f>EXP(-LN(2)/35)*CK91+(1-EXP(-LN(2)/35))/(LN(2)/35)*CG92*CH92*VLOOKUP('Données projet'!$B$12,Paramètres!$A$1:$I$89,3,0)*0.475*44/12</f>
        <v>#N/A</v>
      </c>
      <c r="CL92" s="21" t="e">
        <f>EXP(-LN(2)/25)*CL91+(1-EXP(-LN(2)/25))/(LN(2)/25)*Calculateur!CG92*Calculateur!CI92*VLOOKUP('Données projet'!$B$12,Paramètres!$A$1:$I$89,3,0)*0.475*44/12</f>
        <v>#N/A</v>
      </c>
      <c r="CM92" s="21" t="e">
        <f>EXP(-LN(2)/2)*CM91+(1-EXP(-LN(2)/2))/(LN(2)/2)*CG92*CJ92*VLOOKUP('Données projet'!$B$12,Paramètres!$A$1:$I$89,3,0)*0.475*44/12</f>
        <v>#N/A</v>
      </c>
      <c r="CN92" s="22" t="e">
        <f t="shared" si="66"/>
        <v>#N/A</v>
      </c>
      <c r="CO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35">
      <c r="A93" s="10">
        <f t="shared" si="85"/>
        <v>90</v>
      </c>
      <c r="B93" s="72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1">
        <f t="shared" si="86"/>
        <v>0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66">
        <f t="shared" si="56"/>
        <v>256.66666666666669</v>
      </c>
      <c r="I93" s="6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>
        <f>VLOOKUP(A93,'Données projet'!$A$35:$I$55,2,0)</f>
        <v>471.37</v>
      </c>
      <c r="L93" s="12">
        <f>VLOOKUP(A93,'Données projet'!$A$35:$I$55,9,0)</f>
        <v>11.14</v>
      </c>
      <c r="M93" s="12">
        <f t="array" ref="M93">INDEX(L:L,MIN(IF(ISNUMBER(L93:L289),ROW(L93:L289),"")))</f>
        <v>11.14</v>
      </c>
      <c r="N93" s="13">
        <f>IF('Données projet'!$A$36&gt;35,N92+M93-V92,IF(A93&lt;'Données projet'!$A$36,$K$205^A93,IF(A93='Données projet'!$A$36,'Données projet'!$B$36,N92+M93-V92)))</f>
        <v>471.36999999999972</v>
      </c>
      <c r="O93" s="13">
        <f>N93*VLOOKUP('Données projet'!$B$9,Paramètres!$A$1:$I$89,3,0)*VLOOKUP('Données projet'!$B$9,Paramètres!$A$1:$I$89,5,0)</f>
        <v>426.49557599999969</v>
      </c>
      <c r="P93" s="13">
        <f t="shared" si="87"/>
        <v>97.128021924116553</v>
      </c>
      <c r="Q93" s="20">
        <f t="shared" si="54"/>
        <v>911.97776638450239</v>
      </c>
      <c r="R93" s="59">
        <f t="shared" si="55"/>
        <v>1205.3110997178358</v>
      </c>
      <c r="S93" s="59">
        <f ca="1">AVERAGE(OFFSET($R$3,0,0,'Données projet'!$E$9+1,1))-AVERAGE(OFFSET($H$3,0,0,'Données projet'!$E$9+1,1))</f>
        <v>700.22008319944644</v>
      </c>
      <c r="T93" s="59">
        <f t="shared" si="88"/>
        <v>253.69632671986739</v>
      </c>
      <c r="U93" s="15">
        <f>IF(ISNA(VLOOKUP(A93,'Données projet'!$A$35:$I$55,3,0)),0,VLOOKUP(A93,'Données projet'!$A$35:$I$55,3,0))</f>
        <v>8</v>
      </c>
      <c r="V93" s="15">
        <f>IF(ISNA(VLOOKUP(A93,'Données projet'!$A$35:$I$55,4,0)),0,VLOOKUP(A93,'Données projet'!$A$35:$I$55,4,0))</f>
        <v>63.25</v>
      </c>
      <c r="W93" s="16">
        <f>IF(ISNA(VLOOKUP(A93,'Données projet'!$A$35:$I$55,5,0)),0%,VLOOKUP(A93,'Données projet'!$A$35:$I$55,5,0)*VLOOKUP('Données projet'!$B$9,Paramètres!$A$1:$I$89,7,0))</f>
        <v>0.43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129.47139955740687</v>
      </c>
      <c r="AA93" s="21">
        <f>EXP(-LN(2)/25)*AA92+(1-EXP(-LN(2)/25))/(LN(2)/25)*Calculateur!V93*Calculateur!X93*VLOOKUP('Données projet'!$B$9,Paramètres!$A$1:$I$89,3,0)*0.475*44/12</f>
        <v>0</v>
      </c>
      <c r="AB93" s="21">
        <f>EXP(-LN(2)/2)*AB92+(1-EXP(-LN(2)/2))/(LN(2)/2)*V93*Y93*VLOOKUP('Données projet'!$B$9,Paramètres!$A$1:$I$89,3,0)*0.475*44/12</f>
        <v>0</v>
      </c>
      <c r="AC93" s="22">
        <f t="shared" si="57"/>
        <v>129.47139955740687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>
        <f>VLOOKUP(A93,'Données projet'!$A$61:$I$81,2,0)</f>
        <v>471.37</v>
      </c>
      <c r="AG93" s="12">
        <f>VLOOKUP(A93,'Données projet'!$A$61:$I$81,9,0)</f>
        <v>11.14</v>
      </c>
      <c r="AH93" s="12">
        <f t="array" ref="AH93">INDEX(AG:AG,MIN(IF(ISNUMBER(AG93:AG289),ROW(AG93:AG289),"")))</f>
        <v>11.14</v>
      </c>
      <c r="AI93" s="13">
        <f>IF('Données projet'!$A$62&gt;35,AI92+AH93-AQ92,IF(A93&lt;'Données projet'!$A$62,$AF$205^A93,IF(A93='Données projet'!$A$62,'Données projet'!$B$62,AI92+AH93-AQ92)))</f>
        <v>471.36999999999972</v>
      </c>
      <c r="AJ93" s="13">
        <f>AI93*VLOOKUP('Données projet'!$B$10,Paramètres!$A$1:$I$89,3,0)*VLOOKUP('Données projet'!$B$10,Paramètres!$A$1:$I$89,5,0)</f>
        <v>448.55569199999979</v>
      </c>
      <c r="AK93" s="13">
        <f t="shared" si="89"/>
        <v>101.55399467007658</v>
      </c>
      <c r="AL93" s="20">
        <f t="shared" si="58"/>
        <v>958.10770428371632</v>
      </c>
      <c r="AM93" s="59">
        <f t="shared" si="59"/>
        <v>1251.4410376170497</v>
      </c>
      <c r="AN93" s="59">
        <f ca="1">AVERAGE(OFFSET($AM$3,0,0,'Données projet'!$E$10+1,1))-AVERAGE(OFFSET($H$3,0,0,'Données projet'!$E$10+1,1))</f>
        <v>733.95677909577444</v>
      </c>
      <c r="AO93" s="59">
        <f t="shared" si="90"/>
        <v>264.63778993239799</v>
      </c>
      <c r="AP93" s="15">
        <f>IF(ISNA(VLOOKUP(A93,'Données projet'!$A$61:$I$81,3,0)),0,VLOOKUP(A93,'Données projet'!$A$61:$I$81,3,0))</f>
        <v>8</v>
      </c>
      <c r="AQ93" s="15">
        <f>IF(ISNA(VLOOKUP(A93,'Données projet'!$A$61:$I$81,4,0)),0,VLOOKUP(A93,'Données projet'!$A$61:$I$81,4,0))</f>
        <v>63.25</v>
      </c>
      <c r="AR93" s="16">
        <f>IF(ISNA(VLOOKUP(A93,'Données projet'!$A$61:$I$81,5,0)),0%,VLOOKUP(A93,'Données projet'!$A$61:$I$81,5,0)*VLOOKUP('Données projet'!$B$10,Paramètres!$A$1:$I$89,7,0))</f>
        <v>0.43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136.16819608623828</v>
      </c>
      <c r="AV93" s="21">
        <f>EXP(-LN(2)/25)*AV92+(1-EXP(-LN(2)/25))/(LN(2)/25)*Calculateur!AQ93*Calculateur!AS93*VLOOKUP('Données projet'!$B$10,Paramètres!$A$1:$I$89,3,0)*0.475*44/12</f>
        <v>0</v>
      </c>
      <c r="AW93" s="21">
        <f>EXP(-LN(2)/2)*AW92+(1-EXP(-LN(2)/2))/(LN(2)/2)*AQ93*AT93*VLOOKUP('Données projet'!$B$10,Paramètres!$A$1:$I$89,3,0)*0.475*44/12</f>
        <v>0</v>
      </c>
      <c r="AX93" s="21">
        <f t="shared" si="60"/>
        <v>136.16819608623828</v>
      </c>
      <c r="AY93" s="7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0</v>
      </c>
      <c r="BE93" s="13">
        <f>BD93*VLOOKUP('Données projet'!$B$11,Paramètres!$A$1:$I$89,3,0)*VLOOKUP('Données projet'!$B$11,Paramètres!$A$1:$I$89,5,0)</f>
        <v>0</v>
      </c>
      <c r="BF93" s="13" t="e">
        <f t="shared" si="91"/>
        <v>#NUM!</v>
      </c>
      <c r="BG93" s="20" t="e">
        <f t="shared" si="61"/>
        <v>#NUM!</v>
      </c>
      <c r="BH93" s="59" t="e">
        <f t="shared" si="62"/>
        <v>#NUM!</v>
      </c>
      <c r="BI93" s="59">
        <f ca="1">AVERAGE(OFFSET($BH$3,0,0,'Données projet'!$E$11+1,1))-AVERAGE(OFFSET($H$3,0,0,'Données projet'!$E$11+1,1))</f>
        <v>187.80389738728508</v>
      </c>
      <c r="BJ93" s="59">
        <f t="shared" si="92"/>
        <v>439.28159165815265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37.640052274028093</v>
      </c>
      <c r="BQ93" s="21">
        <f>EXP(-LN(2)/25)*BQ92+(1-EXP(-LN(2)/25))/(LN(2)/25)*Calculateur!BL93*Calculateur!BN93*VLOOKUP('Données projet'!$B$11,Paramètres!$A$1:$I$89,3,0)*0.475*44/12</f>
        <v>2.7239907924402051</v>
      </c>
      <c r="BR93" s="21">
        <f>EXP(-LN(2)/2)*BR92+(1-EXP(-LN(2)/2))/(LN(2)/2)*BL93*BO93*VLOOKUP('Données projet'!$B$11,Paramètres!$A$1:$I$89,3,0)*0.475*44/12</f>
        <v>4.1874131190176022E-11</v>
      </c>
      <c r="BS93" s="22">
        <f t="shared" si="63"/>
        <v>40.36404306651017</v>
      </c>
      <c r="BT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0</v>
      </c>
      <c r="BZ93" s="13" t="e">
        <f>BY93*VLOOKUP('Données projet'!$B$12,Paramètres!$A$1:$I$89,3,0)*VLOOKUP('Données projet'!$B$12,Paramètres!$A$1:$I$89,5,0)</f>
        <v>#N/A</v>
      </c>
      <c r="CA93" s="13" t="e">
        <f t="shared" si="93"/>
        <v>#N/A</v>
      </c>
      <c r="CB93" s="20" t="e">
        <f t="shared" si="64"/>
        <v>#N/A</v>
      </c>
      <c r="CC93" s="59" t="e">
        <f t="shared" si="65"/>
        <v>#N/A</v>
      </c>
      <c r="CD93" s="59" t="e">
        <f ca="1">AVERAGE(OFFSET($CC$3,0,0,'Données projet'!$E$12+1,1))-AVERAGE(OFFSET($H$3,0,0,'Données projet'!$E$12+1,1))</f>
        <v>#N/A</v>
      </c>
      <c r="CE93" s="59" t="e">
        <f t="shared" si="94"/>
        <v>#N/A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 t="e">
        <f>EXP(-LN(2)/35)*CK92+(1-EXP(-LN(2)/35))/(LN(2)/35)*CG93*CH93*VLOOKUP('Données projet'!$B$12,Paramètres!$A$1:$I$89,3,0)*0.475*44/12</f>
        <v>#N/A</v>
      </c>
      <c r="CL93" s="21" t="e">
        <f>EXP(-LN(2)/25)*CL92+(1-EXP(-LN(2)/25))/(LN(2)/25)*Calculateur!CG93*Calculateur!CI93*VLOOKUP('Données projet'!$B$12,Paramètres!$A$1:$I$89,3,0)*0.475*44/12</f>
        <v>#N/A</v>
      </c>
      <c r="CM93" s="21" t="e">
        <f>EXP(-LN(2)/2)*CM92+(1-EXP(-LN(2)/2))/(LN(2)/2)*CG93*CJ93*VLOOKUP('Données projet'!$B$12,Paramètres!$A$1:$I$89,3,0)*0.475*44/12</f>
        <v>#N/A</v>
      </c>
      <c r="CN93" s="22" t="e">
        <f t="shared" si="66"/>
        <v>#N/A</v>
      </c>
      <c r="CO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35">
      <c r="A94" s="10">
        <f t="shared" si="85"/>
        <v>91</v>
      </c>
      <c r="B94" s="72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1">
        <f t="shared" si="86"/>
        <v>0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66">
        <f t="shared" si="56"/>
        <v>256.66666666666669</v>
      </c>
      <c r="I94" s="6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10.754999999999995</v>
      </c>
      <c r="N94" s="13">
        <f>IF('Données projet'!$A$36&gt;35,N93+M94-V93,IF(A94&lt;'Données projet'!$A$36,$K$205^A94,IF(A94='Données projet'!$A$36,'Données projet'!$B$36,N93+M94-V93)))</f>
        <v>418.87499999999972</v>
      </c>
      <c r="O94" s="13">
        <f>N94*VLOOKUP('Données projet'!$B$9,Paramètres!$A$1:$I$89,3,0)*VLOOKUP('Données projet'!$B$9,Paramètres!$A$1:$I$89,5,0)</f>
        <v>378.99809999999974</v>
      </c>
      <c r="P94" s="13">
        <f t="shared" si="87"/>
        <v>87.505579858582792</v>
      </c>
      <c r="Q94" s="20">
        <f t="shared" si="54"/>
        <v>812.49390908703117</v>
      </c>
      <c r="R94" s="59">
        <f t="shared" si="55"/>
        <v>1105.8272424203644</v>
      </c>
      <c r="S94" s="59">
        <f ca="1">AVERAGE(OFFSET($R$3,0,0,'Données projet'!$E$9+1,1))-AVERAGE(OFFSET($H$3,0,0,'Données projet'!$E$9+1,1))</f>
        <v>700.22008319944644</v>
      </c>
      <c r="T94" s="59">
        <f t="shared" si="88"/>
        <v>253.69632671986739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126.93254438184223</v>
      </c>
      <c r="AA94" s="21">
        <f>EXP(-LN(2)/25)*AA93+(1-EXP(-LN(2)/25))/(LN(2)/25)*Calculateur!V94*Calculateur!X94*VLOOKUP('Données projet'!$B$9,Paramètres!$A$1:$I$89,3,0)*0.475*44/12</f>
        <v>0</v>
      </c>
      <c r="AB94" s="21">
        <f>EXP(-LN(2)/2)*AB93+(1-EXP(-LN(2)/2))/(LN(2)/2)*V94*Y94*VLOOKUP('Données projet'!$B$9,Paramètres!$A$1:$I$89,3,0)*0.475*44/12</f>
        <v>0</v>
      </c>
      <c r="AC94" s="22">
        <f t="shared" si="57"/>
        <v>126.93254438184223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10.754999999999995</v>
      </c>
      <c r="AI94" s="13">
        <f>IF('Données projet'!$A$62&gt;35,AI93+AH94-AQ93,IF(A94&lt;'Données projet'!$A$62,$AF$205^A94,IF(A94='Données projet'!$A$62,'Données projet'!$B$62,AI93+AH94-AQ93)))</f>
        <v>418.87499999999972</v>
      </c>
      <c r="AJ94" s="13">
        <f>AI94*VLOOKUP('Données projet'!$B$10,Paramètres!$A$1:$I$89,3,0)*VLOOKUP('Données projet'!$B$10,Paramètres!$A$1:$I$89,5,0)</f>
        <v>398.60144999999972</v>
      </c>
      <c r="AK94" s="13">
        <f t="shared" si="89"/>
        <v>91.493072900252159</v>
      </c>
      <c r="AL94" s="20">
        <f t="shared" si="58"/>
        <v>853.58129405127193</v>
      </c>
      <c r="AM94" s="59">
        <f t="shared" si="59"/>
        <v>1146.9146273846052</v>
      </c>
      <c r="AN94" s="59">
        <f ca="1">AVERAGE(OFFSET($AM$3,0,0,'Données projet'!$E$10+1,1))-AVERAGE(OFFSET($H$3,0,0,'Données projet'!$E$10+1,1))</f>
        <v>733.95677909577444</v>
      </c>
      <c r="AO94" s="59">
        <f t="shared" si="90"/>
        <v>264.63778993239799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133.49802081538581</v>
      </c>
      <c r="AV94" s="21">
        <f>EXP(-LN(2)/25)*AV93+(1-EXP(-LN(2)/25))/(LN(2)/25)*Calculateur!AQ94*Calculateur!AS94*VLOOKUP('Données projet'!$B$10,Paramètres!$A$1:$I$89,3,0)*0.475*44/12</f>
        <v>0</v>
      </c>
      <c r="AW94" s="21">
        <f>EXP(-LN(2)/2)*AW93+(1-EXP(-LN(2)/2))/(LN(2)/2)*AQ94*AT94*VLOOKUP('Données projet'!$B$10,Paramètres!$A$1:$I$89,3,0)*0.475*44/12</f>
        <v>0</v>
      </c>
      <c r="AX94" s="21">
        <f t="shared" si="60"/>
        <v>133.49802081538581</v>
      </c>
      <c r="AY94" s="7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0</v>
      </c>
      <c r="BE94" s="13">
        <f>BD94*VLOOKUP('Données projet'!$B$11,Paramètres!$A$1:$I$89,3,0)*VLOOKUP('Données projet'!$B$11,Paramètres!$A$1:$I$89,5,0)</f>
        <v>0</v>
      </c>
      <c r="BF94" s="13" t="e">
        <f t="shared" si="91"/>
        <v>#NUM!</v>
      </c>
      <c r="BG94" s="20" t="e">
        <f t="shared" si="61"/>
        <v>#NUM!</v>
      </c>
      <c r="BH94" s="59" t="e">
        <f t="shared" si="62"/>
        <v>#NUM!</v>
      </c>
      <c r="BI94" s="59">
        <f ca="1">AVERAGE(OFFSET($BH$3,0,0,'Données projet'!$E$11+1,1))-AVERAGE(OFFSET($H$3,0,0,'Données projet'!$E$11+1,1))</f>
        <v>187.80389738728508</v>
      </c>
      <c r="BJ94" s="59">
        <f t="shared" si="92"/>
        <v>439.28159165815265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36.90195380709936</v>
      </c>
      <c r="BQ94" s="21">
        <f>EXP(-LN(2)/25)*BQ93+(1-EXP(-LN(2)/25))/(LN(2)/25)*Calculateur!BL94*Calculateur!BN94*VLOOKUP('Données projet'!$B$11,Paramètres!$A$1:$I$89,3,0)*0.475*44/12</f>
        <v>2.6495031209724775</v>
      </c>
      <c r="BR94" s="21">
        <f>EXP(-LN(2)/2)*BR93+(1-EXP(-LN(2)/2))/(LN(2)/2)*BL94*BO94*VLOOKUP('Données projet'!$B$11,Paramètres!$A$1:$I$89,3,0)*0.475*44/12</f>
        <v>2.9609482120868581E-11</v>
      </c>
      <c r="BS94" s="22">
        <f t="shared" si="63"/>
        <v>39.551456928101445</v>
      </c>
      <c r="BT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0</v>
      </c>
      <c r="BZ94" s="13" t="e">
        <f>BY94*VLOOKUP('Données projet'!$B$12,Paramètres!$A$1:$I$89,3,0)*VLOOKUP('Données projet'!$B$12,Paramètres!$A$1:$I$89,5,0)</f>
        <v>#N/A</v>
      </c>
      <c r="CA94" s="13" t="e">
        <f t="shared" si="93"/>
        <v>#N/A</v>
      </c>
      <c r="CB94" s="20" t="e">
        <f t="shared" si="64"/>
        <v>#N/A</v>
      </c>
      <c r="CC94" s="59" t="e">
        <f t="shared" si="65"/>
        <v>#N/A</v>
      </c>
      <c r="CD94" s="59" t="e">
        <f ca="1">AVERAGE(OFFSET($CC$3,0,0,'Données projet'!$E$12+1,1))-AVERAGE(OFFSET($H$3,0,0,'Données projet'!$E$12+1,1))</f>
        <v>#N/A</v>
      </c>
      <c r="CE94" s="59" t="e">
        <f t="shared" si="94"/>
        <v>#N/A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 t="e">
        <f>EXP(-LN(2)/35)*CK93+(1-EXP(-LN(2)/35))/(LN(2)/35)*CG94*CH94*VLOOKUP('Données projet'!$B$12,Paramètres!$A$1:$I$89,3,0)*0.475*44/12</f>
        <v>#N/A</v>
      </c>
      <c r="CL94" s="21" t="e">
        <f>EXP(-LN(2)/25)*CL93+(1-EXP(-LN(2)/25))/(LN(2)/25)*Calculateur!CG94*Calculateur!CI94*VLOOKUP('Données projet'!$B$12,Paramètres!$A$1:$I$89,3,0)*0.475*44/12</f>
        <v>#N/A</v>
      </c>
      <c r="CM94" s="21" t="e">
        <f>EXP(-LN(2)/2)*CM93+(1-EXP(-LN(2)/2))/(LN(2)/2)*CG94*CJ94*VLOOKUP('Données projet'!$B$12,Paramètres!$A$1:$I$89,3,0)*0.475*44/12</f>
        <v>#N/A</v>
      </c>
      <c r="CN94" s="22" t="e">
        <f t="shared" si="66"/>
        <v>#N/A</v>
      </c>
      <c r="CO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35">
      <c r="A95" s="10">
        <f t="shared" si="85"/>
        <v>92</v>
      </c>
      <c r="B95" s="72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1">
        <f t="shared" si="86"/>
        <v>0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66">
        <f t="shared" si="56"/>
        <v>256.66666666666669</v>
      </c>
      <c r="I95" s="6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10.754999999999995</v>
      </c>
      <c r="N95" s="13">
        <f>IF('Données projet'!$A$36&gt;35,N94+M95-V94,IF(A95&lt;'Données projet'!$A$36,$K$205^A95,IF(A95='Données projet'!$A$36,'Données projet'!$B$36,N94+M95-V94)))</f>
        <v>429.62999999999971</v>
      </c>
      <c r="O95" s="13">
        <f>N95*VLOOKUP('Données projet'!$B$9,Paramètres!$A$1:$I$89,3,0)*VLOOKUP('Données projet'!$B$9,Paramètres!$A$1:$I$89,5,0)</f>
        <v>388.7292239999997</v>
      </c>
      <c r="P95" s="13">
        <f t="shared" si="87"/>
        <v>89.487901338654297</v>
      </c>
      <c r="Q95" s="20">
        <f t="shared" si="54"/>
        <v>832.89482663148908</v>
      </c>
      <c r="R95" s="59">
        <f t="shared" si="55"/>
        <v>1126.2281599648225</v>
      </c>
      <c r="S95" s="59">
        <f ca="1">AVERAGE(OFFSET($R$3,0,0,'Données projet'!$E$9+1,1))-AVERAGE(OFFSET($H$3,0,0,'Données projet'!$E$9+1,1))</f>
        <v>700.22008319944644</v>
      </c>
      <c r="T95" s="59">
        <f t="shared" si="88"/>
        <v>253.69632671986739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124.44347460772167</v>
      </c>
      <c r="AA95" s="21">
        <f>EXP(-LN(2)/25)*AA94+(1-EXP(-LN(2)/25))/(LN(2)/25)*Calculateur!V95*Calculateur!X95*VLOOKUP('Données projet'!$B$9,Paramètres!$A$1:$I$89,3,0)*0.475*44/12</f>
        <v>0</v>
      </c>
      <c r="AB95" s="21">
        <f>EXP(-LN(2)/2)*AB94+(1-EXP(-LN(2)/2))/(LN(2)/2)*V95*Y95*VLOOKUP('Données projet'!$B$9,Paramètres!$A$1:$I$89,3,0)*0.475*44/12</f>
        <v>0</v>
      </c>
      <c r="AC95" s="22">
        <f t="shared" si="57"/>
        <v>124.44347460772167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10.754999999999995</v>
      </c>
      <c r="AI95" s="13">
        <f>IF('Données projet'!$A$62&gt;35,AI94+AH95-AQ94,IF(A95&lt;'Données projet'!$A$62,$AF$205^A95,IF(A95='Données projet'!$A$62,'Données projet'!$B$62,AI94+AH95-AQ94)))</f>
        <v>429.62999999999971</v>
      </c>
      <c r="AJ95" s="13">
        <f>AI95*VLOOKUP('Données projet'!$B$10,Paramètres!$A$1:$I$89,3,0)*VLOOKUP('Données projet'!$B$10,Paramètres!$A$1:$I$89,5,0)</f>
        <v>408.83590799999973</v>
      </c>
      <c r="AK95" s="13">
        <f t="shared" si="89"/>
        <v>93.565725684006281</v>
      </c>
      <c r="AL95" s="20">
        <f t="shared" si="58"/>
        <v>875.01617866631034</v>
      </c>
      <c r="AM95" s="59">
        <f t="shared" si="59"/>
        <v>1168.3495119996437</v>
      </c>
      <c r="AN95" s="59">
        <f ca="1">AVERAGE(OFFSET($AM$3,0,0,'Données projet'!$E$10+1,1))-AVERAGE(OFFSET($H$3,0,0,'Données projet'!$E$10+1,1))</f>
        <v>733.95677909577444</v>
      </c>
      <c r="AO95" s="59">
        <f t="shared" si="90"/>
        <v>264.63778993239799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130.88020605294867</v>
      </c>
      <c r="AV95" s="21">
        <f>EXP(-LN(2)/25)*AV94+(1-EXP(-LN(2)/25))/(LN(2)/25)*Calculateur!AQ95*Calculateur!AS95*VLOOKUP('Données projet'!$B$10,Paramètres!$A$1:$I$89,3,0)*0.475*44/12</f>
        <v>0</v>
      </c>
      <c r="AW95" s="21">
        <f>EXP(-LN(2)/2)*AW94+(1-EXP(-LN(2)/2))/(LN(2)/2)*AQ95*AT95*VLOOKUP('Données projet'!$B$10,Paramètres!$A$1:$I$89,3,0)*0.475*44/12</f>
        <v>0</v>
      </c>
      <c r="AX95" s="21">
        <f t="shared" si="60"/>
        <v>130.88020605294867</v>
      </c>
      <c r="AY95" s="7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0</v>
      </c>
      <c r="BE95" s="13">
        <f>BD95*VLOOKUP('Données projet'!$B$11,Paramètres!$A$1:$I$89,3,0)*VLOOKUP('Données projet'!$B$11,Paramètres!$A$1:$I$89,5,0)</f>
        <v>0</v>
      </c>
      <c r="BF95" s="13" t="e">
        <f t="shared" si="91"/>
        <v>#NUM!</v>
      </c>
      <c r="BG95" s="20" t="e">
        <f t="shared" si="61"/>
        <v>#NUM!</v>
      </c>
      <c r="BH95" s="59" t="e">
        <f t="shared" si="62"/>
        <v>#NUM!</v>
      </c>
      <c r="BI95" s="59">
        <f ca="1">AVERAGE(OFFSET($BH$3,0,0,'Données projet'!$E$11+1,1))-AVERAGE(OFFSET($H$3,0,0,'Données projet'!$E$11+1,1))</f>
        <v>187.80389738728508</v>
      </c>
      <c r="BJ95" s="59">
        <f t="shared" si="92"/>
        <v>439.28159165815265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36.178329000911489</v>
      </c>
      <c r="BQ95" s="21">
        <f>EXP(-LN(2)/25)*BQ94+(1-EXP(-LN(2)/25))/(LN(2)/25)*Calculateur!BL95*Calculateur!BN95*VLOOKUP('Données projet'!$B$11,Paramètres!$A$1:$I$89,3,0)*0.475*44/12</f>
        <v>2.5770523187981715</v>
      </c>
      <c r="BR95" s="21">
        <f>EXP(-LN(2)/2)*BR94+(1-EXP(-LN(2)/2))/(LN(2)/2)*BL95*BO95*VLOOKUP('Données projet'!$B$11,Paramètres!$A$1:$I$89,3,0)*0.475*44/12</f>
        <v>2.0937065595088011E-11</v>
      </c>
      <c r="BS95" s="22">
        <f t="shared" si="63"/>
        <v>38.755381319730603</v>
      </c>
      <c r="BT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0</v>
      </c>
      <c r="BZ95" s="13" t="e">
        <f>BY95*VLOOKUP('Données projet'!$B$12,Paramètres!$A$1:$I$89,3,0)*VLOOKUP('Données projet'!$B$12,Paramètres!$A$1:$I$89,5,0)</f>
        <v>#N/A</v>
      </c>
      <c r="CA95" s="13" t="e">
        <f t="shared" si="93"/>
        <v>#N/A</v>
      </c>
      <c r="CB95" s="20" t="e">
        <f t="shared" si="64"/>
        <v>#N/A</v>
      </c>
      <c r="CC95" s="59" t="e">
        <f t="shared" si="65"/>
        <v>#N/A</v>
      </c>
      <c r="CD95" s="59" t="e">
        <f ca="1">AVERAGE(OFFSET($CC$3,0,0,'Données projet'!$E$12+1,1))-AVERAGE(OFFSET($H$3,0,0,'Données projet'!$E$12+1,1))</f>
        <v>#N/A</v>
      </c>
      <c r="CE95" s="59" t="e">
        <f t="shared" si="94"/>
        <v>#N/A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 t="e">
        <f>EXP(-LN(2)/35)*CK94+(1-EXP(-LN(2)/35))/(LN(2)/35)*CG95*CH95*VLOOKUP('Données projet'!$B$12,Paramètres!$A$1:$I$89,3,0)*0.475*44/12</f>
        <v>#N/A</v>
      </c>
      <c r="CL95" s="21" t="e">
        <f>EXP(-LN(2)/25)*CL94+(1-EXP(-LN(2)/25))/(LN(2)/25)*Calculateur!CG95*Calculateur!CI95*VLOOKUP('Données projet'!$B$12,Paramètres!$A$1:$I$89,3,0)*0.475*44/12</f>
        <v>#N/A</v>
      </c>
      <c r="CM95" s="21" t="e">
        <f>EXP(-LN(2)/2)*CM94+(1-EXP(-LN(2)/2))/(LN(2)/2)*CG95*CJ95*VLOOKUP('Données projet'!$B$12,Paramètres!$A$1:$I$89,3,0)*0.475*44/12</f>
        <v>#N/A</v>
      </c>
      <c r="CN95" s="22" t="e">
        <f t="shared" si="66"/>
        <v>#N/A</v>
      </c>
      <c r="CO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35">
      <c r="A96" s="10">
        <f t="shared" si="85"/>
        <v>93</v>
      </c>
      <c r="B96" s="72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1">
        <f t="shared" si="86"/>
        <v>0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66">
        <f t="shared" si="56"/>
        <v>256.66666666666669</v>
      </c>
      <c r="I96" s="6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10.754999999999995</v>
      </c>
      <c r="N96" s="13">
        <f>IF('Données projet'!$A$36&gt;35,N95+M96-V95,IF(A96&lt;'Données projet'!$A$36,$K$205^A96,IF(A96='Données projet'!$A$36,'Données projet'!$B$36,N95+M96-V95)))</f>
        <v>440.38499999999971</v>
      </c>
      <c r="O96" s="13">
        <f>N96*VLOOKUP('Données projet'!$B$9,Paramètres!$A$1:$I$89,3,0)*VLOOKUP('Données projet'!$B$9,Paramètres!$A$1:$I$89,5,0)</f>
        <v>398.46034799999973</v>
      </c>
      <c r="P96" s="13">
        <f t="shared" si="87"/>
        <v>91.464454380602817</v>
      </c>
      <c r="Q96" s="20">
        <f t="shared" si="54"/>
        <v>853.28569747954941</v>
      </c>
      <c r="R96" s="59">
        <f t="shared" si="55"/>
        <v>1146.6190308128828</v>
      </c>
      <c r="S96" s="59">
        <f ca="1">AVERAGE(OFFSET($R$3,0,0,'Données projet'!$E$9+1,1))-AVERAGE(OFFSET($H$3,0,0,'Données projet'!$E$9+1,1))</f>
        <v>700.22008319944644</v>
      </c>
      <c r="T96" s="59">
        <f t="shared" si="88"/>
        <v>253.69632671986739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122.00321397368896</v>
      </c>
      <c r="AA96" s="21">
        <f>EXP(-LN(2)/25)*AA95+(1-EXP(-LN(2)/25))/(LN(2)/25)*Calculateur!V96*Calculateur!X96*VLOOKUP('Données projet'!$B$9,Paramètres!$A$1:$I$89,3,0)*0.475*44/12</f>
        <v>0</v>
      </c>
      <c r="AB96" s="21">
        <f>EXP(-LN(2)/2)*AB95+(1-EXP(-LN(2)/2))/(LN(2)/2)*V96*Y96*VLOOKUP('Données projet'!$B$9,Paramètres!$A$1:$I$89,3,0)*0.475*44/12</f>
        <v>0</v>
      </c>
      <c r="AC96" s="22">
        <f t="shared" si="57"/>
        <v>122.00321397368896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10.754999999999995</v>
      </c>
      <c r="AI96" s="13">
        <f>IF('Données projet'!$A$62&gt;35,AI95+AH96-AQ95,IF(A96&lt;'Données projet'!$A$62,$AF$205^A96,IF(A96='Données projet'!$A$62,'Données projet'!$B$62,AI95+AH96-AQ95)))</f>
        <v>440.38499999999971</v>
      </c>
      <c r="AJ96" s="13">
        <f>AI96*VLOOKUP('Données projet'!$B$10,Paramètres!$A$1:$I$89,3,0)*VLOOKUP('Données projet'!$B$10,Paramètres!$A$1:$I$89,5,0)</f>
        <v>419.07036599999969</v>
      </c>
      <c r="AK96" s="13">
        <f t="shared" si="89"/>
        <v>95.6323471708928</v>
      </c>
      <c r="AL96" s="20">
        <f t="shared" si="58"/>
        <v>896.4405587726377</v>
      </c>
      <c r="AM96" s="59">
        <f t="shared" si="59"/>
        <v>1189.7738921059711</v>
      </c>
      <c r="AN96" s="59">
        <f ca="1">AVERAGE(OFFSET($AM$3,0,0,'Données projet'!$E$10+1,1))-AVERAGE(OFFSET($H$3,0,0,'Données projet'!$E$10+1,1))</f>
        <v>733.95677909577444</v>
      </c>
      <c r="AO96" s="59">
        <f t="shared" si="90"/>
        <v>264.63778993239799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128.31372504129357</v>
      </c>
      <c r="AV96" s="21">
        <f>EXP(-LN(2)/25)*AV95+(1-EXP(-LN(2)/25))/(LN(2)/25)*Calculateur!AQ96*Calculateur!AS96*VLOOKUP('Données projet'!$B$10,Paramètres!$A$1:$I$89,3,0)*0.475*44/12</f>
        <v>0</v>
      </c>
      <c r="AW96" s="21">
        <f>EXP(-LN(2)/2)*AW95+(1-EXP(-LN(2)/2))/(LN(2)/2)*AQ96*AT96*VLOOKUP('Données projet'!$B$10,Paramètres!$A$1:$I$89,3,0)*0.475*44/12</f>
        <v>0</v>
      </c>
      <c r="AX96" s="21">
        <f t="shared" si="60"/>
        <v>128.31372504129357</v>
      </c>
      <c r="AY96" s="7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0</v>
      </c>
      <c r="BE96" s="13">
        <f>BD96*VLOOKUP('Données projet'!$B$11,Paramètres!$A$1:$I$89,3,0)*VLOOKUP('Données projet'!$B$11,Paramètres!$A$1:$I$89,5,0)</f>
        <v>0</v>
      </c>
      <c r="BF96" s="13" t="e">
        <f t="shared" si="91"/>
        <v>#NUM!</v>
      </c>
      <c r="BG96" s="20" t="e">
        <f t="shared" si="61"/>
        <v>#NUM!</v>
      </c>
      <c r="BH96" s="59" t="e">
        <f t="shared" si="62"/>
        <v>#NUM!</v>
      </c>
      <c r="BI96" s="59">
        <f ca="1">AVERAGE(OFFSET($BH$3,0,0,'Données projet'!$E$11+1,1))-AVERAGE(OFFSET($H$3,0,0,'Données projet'!$E$11+1,1))</f>
        <v>187.80389738728508</v>
      </c>
      <c r="BJ96" s="59">
        <f t="shared" si="92"/>
        <v>439.28159165815265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35.468894035805413</v>
      </c>
      <c r="BQ96" s="21">
        <f>EXP(-LN(2)/25)*BQ95+(1-EXP(-LN(2)/25))/(LN(2)/25)*Calculateur!BL96*Calculateur!BN96*VLOOKUP('Données projet'!$B$11,Paramètres!$A$1:$I$89,3,0)*0.475*44/12</f>
        <v>2.506582687619344</v>
      </c>
      <c r="BR96" s="21">
        <f>EXP(-LN(2)/2)*BR95+(1-EXP(-LN(2)/2))/(LN(2)/2)*BL96*BO96*VLOOKUP('Données projet'!$B$11,Paramètres!$A$1:$I$89,3,0)*0.475*44/12</f>
        <v>1.480474106043429E-11</v>
      </c>
      <c r="BS96" s="22">
        <f t="shared" si="63"/>
        <v>37.975476723439563</v>
      </c>
      <c r="BT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0</v>
      </c>
      <c r="BZ96" s="13" t="e">
        <f>BY96*VLOOKUP('Données projet'!$B$12,Paramètres!$A$1:$I$89,3,0)*VLOOKUP('Données projet'!$B$12,Paramètres!$A$1:$I$89,5,0)</f>
        <v>#N/A</v>
      </c>
      <c r="CA96" s="13" t="e">
        <f t="shared" si="93"/>
        <v>#N/A</v>
      </c>
      <c r="CB96" s="20" t="e">
        <f t="shared" si="64"/>
        <v>#N/A</v>
      </c>
      <c r="CC96" s="59" t="e">
        <f t="shared" si="65"/>
        <v>#N/A</v>
      </c>
      <c r="CD96" s="59" t="e">
        <f ca="1">AVERAGE(OFFSET($CC$3,0,0,'Données projet'!$E$12+1,1))-AVERAGE(OFFSET($H$3,0,0,'Données projet'!$E$12+1,1))</f>
        <v>#N/A</v>
      </c>
      <c r="CE96" s="59" t="e">
        <f t="shared" si="94"/>
        <v>#N/A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 t="e">
        <f>EXP(-LN(2)/35)*CK95+(1-EXP(-LN(2)/35))/(LN(2)/35)*CG96*CH96*VLOOKUP('Données projet'!$B$12,Paramètres!$A$1:$I$89,3,0)*0.475*44/12</f>
        <v>#N/A</v>
      </c>
      <c r="CL96" s="21" t="e">
        <f>EXP(-LN(2)/25)*CL95+(1-EXP(-LN(2)/25))/(LN(2)/25)*Calculateur!CG96*Calculateur!CI96*VLOOKUP('Données projet'!$B$12,Paramètres!$A$1:$I$89,3,0)*0.475*44/12</f>
        <v>#N/A</v>
      </c>
      <c r="CM96" s="21" t="e">
        <f>EXP(-LN(2)/2)*CM95+(1-EXP(-LN(2)/2))/(LN(2)/2)*CG96*CJ96*VLOOKUP('Données projet'!$B$12,Paramètres!$A$1:$I$89,3,0)*0.475*44/12</f>
        <v>#N/A</v>
      </c>
      <c r="CN96" s="22" t="e">
        <f t="shared" si="66"/>
        <v>#N/A</v>
      </c>
      <c r="CO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35">
      <c r="A97" s="10">
        <f t="shared" si="85"/>
        <v>94</v>
      </c>
      <c r="B97" s="72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1">
        <f t="shared" si="86"/>
        <v>0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66">
        <f t="shared" si="56"/>
        <v>256.66666666666669</v>
      </c>
      <c r="I97" s="6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10.754999999999995</v>
      </c>
      <c r="N97" s="13">
        <f>IF('Données projet'!$A$36&gt;35,N96+M97-V96,IF(A97&lt;'Données projet'!$A$36,$K$205^A97,IF(A97='Données projet'!$A$36,'Données projet'!$B$36,N96+M97-V96)))</f>
        <v>451.1399999999997</v>
      </c>
      <c r="O97" s="13">
        <f>N97*VLOOKUP('Données projet'!$B$9,Paramètres!$A$1:$I$89,3,0)*VLOOKUP('Données projet'!$B$9,Paramètres!$A$1:$I$89,5,0)</f>
        <v>408.19147199999975</v>
      </c>
      <c r="P97" s="13">
        <f t="shared" si="87"/>
        <v>93.435396066328195</v>
      </c>
      <c r="Q97" s="20">
        <f t="shared" si="54"/>
        <v>873.66679521552112</v>
      </c>
      <c r="R97" s="59">
        <f t="shared" si="55"/>
        <v>1167.0001285488545</v>
      </c>
      <c r="S97" s="59">
        <f ca="1">AVERAGE(OFFSET($R$3,0,0,'Données projet'!$E$9+1,1))-AVERAGE(OFFSET($H$3,0,0,'Données projet'!$E$9+1,1))</f>
        <v>700.22008319944644</v>
      </c>
      <c r="T97" s="59">
        <f t="shared" si="88"/>
        <v>253.69632671986739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119.6108053622776</v>
      </c>
      <c r="AA97" s="21">
        <f>EXP(-LN(2)/25)*AA96+(1-EXP(-LN(2)/25))/(LN(2)/25)*Calculateur!V97*Calculateur!X97*VLOOKUP('Données projet'!$B$9,Paramètres!$A$1:$I$89,3,0)*0.475*44/12</f>
        <v>0</v>
      </c>
      <c r="AB97" s="21">
        <f>EXP(-LN(2)/2)*AB96+(1-EXP(-LN(2)/2))/(LN(2)/2)*V97*Y97*VLOOKUP('Données projet'!$B$9,Paramètres!$A$1:$I$89,3,0)*0.475*44/12</f>
        <v>0</v>
      </c>
      <c r="AC97" s="22">
        <f t="shared" si="57"/>
        <v>119.6108053622776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10.754999999999995</v>
      </c>
      <c r="AI97" s="13">
        <f>IF('Données projet'!$A$62&gt;35,AI96+AH97-AQ96,IF(A97&lt;'Données projet'!$A$62,$AF$205^A97,IF(A97='Données projet'!$A$62,'Données projet'!$B$62,AI96+AH97-AQ96)))</f>
        <v>451.1399999999997</v>
      </c>
      <c r="AJ97" s="13">
        <f>AI97*VLOOKUP('Données projet'!$B$10,Paramètres!$A$1:$I$89,3,0)*VLOOKUP('Données projet'!$B$10,Paramètres!$A$1:$I$89,5,0)</f>
        <v>429.30482399999977</v>
      </c>
      <c r="AK97" s="13">
        <f t="shared" si="89"/>
        <v>97.693101600789092</v>
      </c>
      <c r="AL97" s="20">
        <f t="shared" si="58"/>
        <v>917.85472042137405</v>
      </c>
      <c r="AM97" s="59">
        <f t="shared" si="59"/>
        <v>1211.1880537547074</v>
      </c>
      <c r="AN97" s="59">
        <f ca="1">AVERAGE(OFFSET($AM$3,0,0,'Données projet'!$E$10+1,1))-AVERAGE(OFFSET($H$3,0,0,'Données projet'!$E$10+1,1))</f>
        <v>733.95677909577444</v>
      </c>
      <c r="AO97" s="59">
        <f t="shared" si="90"/>
        <v>264.63778993239799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125.79757115687818</v>
      </c>
      <c r="AV97" s="21">
        <f>EXP(-LN(2)/25)*AV96+(1-EXP(-LN(2)/25))/(LN(2)/25)*Calculateur!AQ97*Calculateur!AS97*VLOOKUP('Données projet'!$B$10,Paramètres!$A$1:$I$89,3,0)*0.475*44/12</f>
        <v>0</v>
      </c>
      <c r="AW97" s="21">
        <f>EXP(-LN(2)/2)*AW96+(1-EXP(-LN(2)/2))/(LN(2)/2)*AQ97*AT97*VLOOKUP('Données projet'!$B$10,Paramètres!$A$1:$I$89,3,0)*0.475*44/12</f>
        <v>0</v>
      </c>
      <c r="AX97" s="21">
        <f t="shared" si="60"/>
        <v>125.79757115687818</v>
      </c>
      <c r="AY97" s="7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0</v>
      </c>
      <c r="BE97" s="13">
        <f>BD97*VLOOKUP('Données projet'!$B$11,Paramètres!$A$1:$I$89,3,0)*VLOOKUP('Données projet'!$B$11,Paramètres!$A$1:$I$89,5,0)</f>
        <v>0</v>
      </c>
      <c r="BF97" s="13" t="e">
        <f t="shared" si="91"/>
        <v>#NUM!</v>
      </c>
      <c r="BG97" s="20" t="e">
        <f t="shared" si="61"/>
        <v>#NUM!</v>
      </c>
      <c r="BH97" s="59" t="e">
        <f t="shared" si="62"/>
        <v>#NUM!</v>
      </c>
      <c r="BI97" s="59">
        <f ca="1">AVERAGE(OFFSET($BH$3,0,0,'Données projet'!$E$11+1,1))-AVERAGE(OFFSET($H$3,0,0,'Données projet'!$E$11+1,1))</f>
        <v>187.80389738728508</v>
      </c>
      <c r="BJ97" s="59">
        <f t="shared" si="92"/>
        <v>439.28159165815265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34.773370657652464</v>
      </c>
      <c r="BQ97" s="21">
        <f>EXP(-LN(2)/25)*BQ96+(1-EXP(-LN(2)/25))/(LN(2)/25)*Calculateur!BL97*Calculateur!BN97*VLOOKUP('Données projet'!$B$11,Paramètres!$A$1:$I$89,3,0)*0.475*44/12</f>
        <v>2.4380400522109382</v>
      </c>
      <c r="BR97" s="21">
        <f>EXP(-LN(2)/2)*BR96+(1-EXP(-LN(2)/2))/(LN(2)/2)*BL97*BO97*VLOOKUP('Données projet'!$B$11,Paramètres!$A$1:$I$89,3,0)*0.475*44/12</f>
        <v>1.0468532797544005E-11</v>
      </c>
      <c r="BS97" s="22">
        <f t="shared" si="63"/>
        <v>37.211410709873867</v>
      </c>
      <c r="BT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0</v>
      </c>
      <c r="BZ97" s="13" t="e">
        <f>BY97*VLOOKUP('Données projet'!$B$12,Paramètres!$A$1:$I$89,3,0)*VLOOKUP('Données projet'!$B$12,Paramètres!$A$1:$I$89,5,0)</f>
        <v>#N/A</v>
      </c>
      <c r="CA97" s="13" t="e">
        <f t="shared" si="93"/>
        <v>#N/A</v>
      </c>
      <c r="CB97" s="20" t="e">
        <f t="shared" si="64"/>
        <v>#N/A</v>
      </c>
      <c r="CC97" s="59" t="e">
        <f t="shared" si="65"/>
        <v>#N/A</v>
      </c>
      <c r="CD97" s="59" t="e">
        <f ca="1">AVERAGE(OFFSET($CC$3,0,0,'Données projet'!$E$12+1,1))-AVERAGE(OFFSET($H$3,0,0,'Données projet'!$E$12+1,1))</f>
        <v>#N/A</v>
      </c>
      <c r="CE97" s="59" t="e">
        <f t="shared" si="94"/>
        <v>#N/A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 t="e">
        <f>EXP(-LN(2)/35)*CK96+(1-EXP(-LN(2)/35))/(LN(2)/35)*CG97*CH97*VLOOKUP('Données projet'!$B$12,Paramètres!$A$1:$I$89,3,0)*0.475*44/12</f>
        <v>#N/A</v>
      </c>
      <c r="CL97" s="21" t="e">
        <f>EXP(-LN(2)/25)*CL96+(1-EXP(-LN(2)/25))/(LN(2)/25)*Calculateur!CG97*Calculateur!CI97*VLOOKUP('Données projet'!$B$12,Paramètres!$A$1:$I$89,3,0)*0.475*44/12</f>
        <v>#N/A</v>
      </c>
      <c r="CM97" s="21" t="e">
        <f>EXP(-LN(2)/2)*CM96+(1-EXP(-LN(2)/2))/(LN(2)/2)*CG97*CJ97*VLOOKUP('Données projet'!$B$12,Paramètres!$A$1:$I$89,3,0)*0.475*44/12</f>
        <v>#N/A</v>
      </c>
      <c r="CN97" s="22" t="e">
        <f t="shared" si="66"/>
        <v>#N/A</v>
      </c>
      <c r="CO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35">
      <c r="A98" s="10">
        <f t="shared" si="85"/>
        <v>95</v>
      </c>
      <c r="B98" s="72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1">
        <f t="shared" si="86"/>
        <v>0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66">
        <f t="shared" si="56"/>
        <v>256.66666666666669</v>
      </c>
      <c r="I98" s="6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10.754999999999995</v>
      </c>
      <c r="N98" s="13">
        <f>IF('Données projet'!$A$36&gt;35,N97+M98-V97,IF(A98&lt;'Données projet'!$A$36,$K$205^A98,IF(A98='Données projet'!$A$36,'Données projet'!$B$36,N97+M98-V97)))</f>
        <v>461.8949999999997</v>
      </c>
      <c r="O98" s="13">
        <f>N98*VLOOKUP('Données projet'!$B$9,Paramètres!$A$1:$I$89,3,0)*VLOOKUP('Données projet'!$B$9,Paramètres!$A$1:$I$89,5,0)</f>
        <v>417.92259599999971</v>
      </c>
      <c r="P98" s="13">
        <f t="shared" si="87"/>
        <v>95.400875561025359</v>
      </c>
      <c r="Q98" s="20">
        <f t="shared" si="54"/>
        <v>894.03837963545186</v>
      </c>
      <c r="R98" s="59">
        <f t="shared" si="55"/>
        <v>1187.3717129687852</v>
      </c>
      <c r="S98" s="59">
        <f ca="1">AVERAGE(OFFSET($R$3,0,0,'Données projet'!$E$9+1,1))-AVERAGE(OFFSET($H$3,0,0,'Données projet'!$E$9+1,1))</f>
        <v>700.22008319944644</v>
      </c>
      <c r="T98" s="59">
        <f t="shared" si="88"/>
        <v>253.69632671986739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117.26531042451086</v>
      </c>
      <c r="AA98" s="21">
        <f>EXP(-LN(2)/25)*AA97+(1-EXP(-LN(2)/25))/(LN(2)/25)*Calculateur!V98*Calculateur!X98*VLOOKUP('Données projet'!$B$9,Paramètres!$A$1:$I$89,3,0)*0.475*44/12</f>
        <v>0</v>
      </c>
      <c r="AB98" s="21">
        <f>EXP(-LN(2)/2)*AB97+(1-EXP(-LN(2)/2))/(LN(2)/2)*V98*Y98*VLOOKUP('Données projet'!$B$9,Paramètres!$A$1:$I$89,3,0)*0.475*44/12</f>
        <v>0</v>
      </c>
      <c r="AC98" s="22">
        <f t="shared" si="57"/>
        <v>117.26531042451086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10.754999999999995</v>
      </c>
      <c r="AI98" s="13">
        <f>IF('Données projet'!$A$62&gt;35,AI97+AH98-AQ97,IF(A98&lt;'Données projet'!$A$62,$AF$205^A98,IF(A98='Données projet'!$A$62,'Données projet'!$B$62,AI97+AH98-AQ97)))</f>
        <v>461.8949999999997</v>
      </c>
      <c r="AJ98" s="13">
        <f>AI98*VLOOKUP('Données projet'!$B$10,Paramètres!$A$1:$I$89,3,0)*VLOOKUP('Données projet'!$B$10,Paramètres!$A$1:$I$89,5,0)</f>
        <v>439.53928199999973</v>
      </c>
      <c r="AK98" s="13">
        <f t="shared" si="89"/>
        <v>99.748144936115864</v>
      </c>
      <c r="AL98" s="20">
        <f t="shared" si="58"/>
        <v>939.25893524706783</v>
      </c>
      <c r="AM98" s="59">
        <f t="shared" si="59"/>
        <v>1232.5922685804012</v>
      </c>
      <c r="AN98" s="59">
        <f ca="1">AVERAGE(OFFSET($AM$3,0,0,'Données projet'!$E$10+1,1))-AVERAGE(OFFSET($H$3,0,0,'Données projet'!$E$10+1,1))</f>
        <v>733.95677909577444</v>
      </c>
      <c r="AO98" s="59">
        <f t="shared" si="90"/>
        <v>264.63778993239799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123.33075751543385</v>
      </c>
      <c r="AV98" s="21">
        <f>EXP(-LN(2)/25)*AV97+(1-EXP(-LN(2)/25))/(LN(2)/25)*Calculateur!AQ98*Calculateur!AS98*VLOOKUP('Données projet'!$B$10,Paramètres!$A$1:$I$89,3,0)*0.475*44/12</f>
        <v>0</v>
      </c>
      <c r="AW98" s="21">
        <f>EXP(-LN(2)/2)*AW97+(1-EXP(-LN(2)/2))/(LN(2)/2)*AQ98*AT98*VLOOKUP('Données projet'!$B$10,Paramètres!$A$1:$I$89,3,0)*0.475*44/12</f>
        <v>0</v>
      </c>
      <c r="AX98" s="21">
        <f t="shared" si="60"/>
        <v>123.33075751543385</v>
      </c>
      <c r="AY98" s="7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0</v>
      </c>
      <c r="BE98" s="13">
        <f>BD98*VLOOKUP('Données projet'!$B$11,Paramètres!$A$1:$I$89,3,0)*VLOOKUP('Données projet'!$B$11,Paramètres!$A$1:$I$89,5,0)</f>
        <v>0</v>
      </c>
      <c r="BF98" s="13" t="e">
        <f t="shared" si="91"/>
        <v>#NUM!</v>
      </c>
      <c r="BG98" s="20" t="e">
        <f t="shared" si="61"/>
        <v>#NUM!</v>
      </c>
      <c r="BH98" s="59" t="e">
        <f t="shared" si="62"/>
        <v>#NUM!</v>
      </c>
      <c r="BI98" s="59">
        <f ca="1">AVERAGE(OFFSET($BH$3,0,0,'Données projet'!$E$11+1,1))-AVERAGE(OFFSET($H$3,0,0,'Données projet'!$E$11+1,1))</f>
        <v>187.80389738728508</v>
      </c>
      <c r="BJ98" s="59">
        <f t="shared" si="92"/>
        <v>439.28159165815265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34.091486068717721</v>
      </c>
      <c r="BQ98" s="21">
        <f>EXP(-LN(2)/25)*BQ97+(1-EXP(-LN(2)/25))/(LN(2)/25)*Calculateur!BL98*Calculateur!BN98*VLOOKUP('Données projet'!$B$11,Paramètres!$A$1:$I$89,3,0)*0.475*44/12</f>
        <v>2.3713717187722758</v>
      </c>
      <c r="BR98" s="21">
        <f>EXP(-LN(2)/2)*BR97+(1-EXP(-LN(2)/2))/(LN(2)/2)*BL98*BO98*VLOOKUP('Données projet'!$B$11,Paramètres!$A$1:$I$89,3,0)*0.475*44/12</f>
        <v>7.4023705302171452E-12</v>
      </c>
      <c r="BS98" s="22">
        <f t="shared" si="63"/>
        <v>36.462857787497398</v>
      </c>
      <c r="BT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0</v>
      </c>
      <c r="BZ98" s="13" t="e">
        <f>BY98*VLOOKUP('Données projet'!$B$12,Paramètres!$A$1:$I$89,3,0)*VLOOKUP('Données projet'!$B$12,Paramètres!$A$1:$I$89,5,0)</f>
        <v>#N/A</v>
      </c>
      <c r="CA98" s="13" t="e">
        <f t="shared" si="93"/>
        <v>#N/A</v>
      </c>
      <c r="CB98" s="20" t="e">
        <f t="shared" si="64"/>
        <v>#N/A</v>
      </c>
      <c r="CC98" s="59" t="e">
        <f t="shared" si="65"/>
        <v>#N/A</v>
      </c>
      <c r="CD98" s="59" t="e">
        <f ca="1">AVERAGE(OFFSET($CC$3,0,0,'Données projet'!$E$12+1,1))-AVERAGE(OFFSET($H$3,0,0,'Données projet'!$E$12+1,1))</f>
        <v>#N/A</v>
      </c>
      <c r="CE98" s="59" t="e">
        <f t="shared" si="94"/>
        <v>#N/A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 t="e">
        <f>EXP(-LN(2)/35)*CK97+(1-EXP(-LN(2)/35))/(LN(2)/35)*CG98*CH98*VLOOKUP('Données projet'!$B$12,Paramètres!$A$1:$I$89,3,0)*0.475*44/12</f>
        <v>#N/A</v>
      </c>
      <c r="CL98" s="21" t="e">
        <f>EXP(-LN(2)/25)*CL97+(1-EXP(-LN(2)/25))/(LN(2)/25)*Calculateur!CG98*Calculateur!CI98*VLOOKUP('Données projet'!$B$12,Paramètres!$A$1:$I$89,3,0)*0.475*44/12</f>
        <v>#N/A</v>
      </c>
      <c r="CM98" s="21" t="e">
        <f>EXP(-LN(2)/2)*CM97+(1-EXP(-LN(2)/2))/(LN(2)/2)*CG98*CJ98*VLOOKUP('Données projet'!$B$12,Paramètres!$A$1:$I$89,3,0)*0.475*44/12</f>
        <v>#N/A</v>
      </c>
      <c r="CN98" s="22" t="e">
        <f t="shared" si="66"/>
        <v>#N/A</v>
      </c>
      <c r="CO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35">
      <c r="A99" s="10">
        <f t="shared" si="85"/>
        <v>96</v>
      </c>
      <c r="B99" s="72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1">
        <f t="shared" si="86"/>
        <v>0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66">
        <f t="shared" si="56"/>
        <v>256.66666666666669</v>
      </c>
      <c r="I99" s="6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10.754999999999995</v>
      </c>
      <c r="N99" s="13">
        <f>IF('Données projet'!$A$36&gt;35,N98+M99-V98,IF(A99&lt;'Données projet'!$A$36,$K$205^A99,IF(A99='Données projet'!$A$36,'Données projet'!$B$36,N98+M99-V98)))</f>
        <v>472.64999999999969</v>
      </c>
      <c r="O99" s="13">
        <f>N99*VLOOKUP('Données projet'!$B$9,Paramètres!$A$1:$I$89,3,0)*VLOOKUP('Données projet'!$B$9,Paramètres!$A$1:$I$89,5,0)</f>
        <v>427.65371999999974</v>
      </c>
      <c r="P99" s="13">
        <f t="shared" si="87"/>
        <v>97.361034687082608</v>
      </c>
      <c r="Q99" s="20">
        <f t="shared" ref="Q99:Q130" si="107">(O99+P99)*0.475*44/12</f>
        <v>914.40069774666847</v>
      </c>
      <c r="R99" s="59">
        <f t="shared" si="55"/>
        <v>1207.7340310800018</v>
      </c>
      <c r="S99" s="59">
        <f ca="1">AVERAGE(OFFSET($R$3,0,0,'Données projet'!$E$9+1,1))-AVERAGE(OFFSET($H$3,0,0,'Données projet'!$E$9+1,1))</f>
        <v>700.22008319944644</v>
      </c>
      <c r="T99" s="59">
        <f t="shared" si="88"/>
        <v>253.69632671986739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114.96580921186307</v>
      </c>
      <c r="AA99" s="21">
        <f>EXP(-LN(2)/25)*AA98+(1-EXP(-LN(2)/25))/(LN(2)/25)*Calculateur!V99*Calculateur!X99*VLOOKUP('Données projet'!$B$9,Paramètres!$A$1:$I$89,3,0)*0.475*44/12</f>
        <v>0</v>
      </c>
      <c r="AB99" s="21">
        <f>EXP(-LN(2)/2)*AB98+(1-EXP(-LN(2)/2))/(LN(2)/2)*V99*Y99*VLOOKUP('Données projet'!$B$9,Paramètres!$A$1:$I$89,3,0)*0.475*44/12</f>
        <v>0</v>
      </c>
      <c r="AC99" s="22">
        <f t="shared" si="57"/>
        <v>114.96580921186307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10.754999999999995</v>
      </c>
      <c r="AI99" s="13">
        <f>IF('Données projet'!$A$62&gt;35,AI98+AH99-AQ98,IF(A99&lt;'Données projet'!$A$62,$AF$205^A99,IF(A99='Données projet'!$A$62,'Données projet'!$B$62,AI98+AH99-AQ98)))</f>
        <v>472.64999999999969</v>
      </c>
      <c r="AJ99" s="13">
        <f>AI99*VLOOKUP('Données projet'!$B$10,Paramètres!$A$1:$I$89,3,0)*VLOOKUP('Données projet'!$B$10,Paramètres!$A$1:$I$89,5,0)</f>
        <v>449.77373999999969</v>
      </c>
      <c r="AK99" s="13">
        <f t="shared" si="89"/>
        <v>101.79762546188671</v>
      </c>
      <c r="AL99" s="20">
        <f t="shared" si="58"/>
        <v>960.65346151278561</v>
      </c>
      <c r="AM99" s="59">
        <f t="shared" si="59"/>
        <v>1253.986794846119</v>
      </c>
      <c r="AN99" s="59">
        <f ca="1">AVERAGE(OFFSET($AM$3,0,0,'Données projet'!$E$10+1,1))-AVERAGE(OFFSET($H$3,0,0,'Données projet'!$E$10+1,1))</f>
        <v>733.95677909577444</v>
      </c>
      <c r="AO99" s="59">
        <f t="shared" si="90"/>
        <v>264.63778993239799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120.91231658489049</v>
      </c>
      <c r="AV99" s="21">
        <f>EXP(-LN(2)/25)*AV98+(1-EXP(-LN(2)/25))/(LN(2)/25)*Calculateur!AQ99*Calculateur!AS99*VLOOKUP('Données projet'!$B$10,Paramètres!$A$1:$I$89,3,0)*0.475*44/12</f>
        <v>0</v>
      </c>
      <c r="AW99" s="21">
        <f>EXP(-LN(2)/2)*AW98+(1-EXP(-LN(2)/2))/(LN(2)/2)*AQ99*AT99*VLOOKUP('Données projet'!$B$10,Paramètres!$A$1:$I$89,3,0)*0.475*44/12</f>
        <v>0</v>
      </c>
      <c r="AX99" s="21">
        <f t="shared" si="60"/>
        <v>120.91231658489049</v>
      </c>
      <c r="AY99" s="7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0</v>
      </c>
      <c r="BE99" s="13">
        <f>BD99*VLOOKUP('Données projet'!$B$11,Paramètres!$A$1:$I$89,3,0)*VLOOKUP('Données projet'!$B$11,Paramètres!$A$1:$I$89,5,0)</f>
        <v>0</v>
      </c>
      <c r="BF99" s="13" t="e">
        <f t="shared" si="91"/>
        <v>#NUM!</v>
      </c>
      <c r="BG99" s="20" t="e">
        <f t="shared" si="61"/>
        <v>#NUM!</v>
      </c>
      <c r="BH99" s="59" t="e">
        <f t="shared" si="62"/>
        <v>#NUM!</v>
      </c>
      <c r="BI99" s="59">
        <f ca="1">AVERAGE(OFFSET($BH$3,0,0,'Données projet'!$E$11+1,1))-AVERAGE(OFFSET($H$3,0,0,'Données projet'!$E$11+1,1))</f>
        <v>187.80389738728508</v>
      </c>
      <c r="BJ99" s="59">
        <f t="shared" si="92"/>
        <v>439.28159165815265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33.422972820663453</v>
      </c>
      <c r="BQ99" s="21">
        <f>EXP(-LN(2)/25)*BQ98+(1-EXP(-LN(2)/25))/(LN(2)/25)*Calculateur!BL99*Calculateur!BN99*VLOOKUP('Données projet'!$B$11,Paramètres!$A$1:$I$89,3,0)*0.475*44/12</f>
        <v>2.306526434417429</v>
      </c>
      <c r="BR99" s="21">
        <f>EXP(-LN(2)/2)*BR98+(1-EXP(-LN(2)/2))/(LN(2)/2)*BL99*BO99*VLOOKUP('Données projet'!$B$11,Paramètres!$A$1:$I$89,3,0)*0.475*44/12</f>
        <v>5.2342663987720027E-12</v>
      </c>
      <c r="BS99" s="22">
        <f t="shared" si="63"/>
        <v>35.729499255086118</v>
      </c>
      <c r="BT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0</v>
      </c>
      <c r="BZ99" s="13" t="e">
        <f>BY99*VLOOKUP('Données projet'!$B$12,Paramètres!$A$1:$I$89,3,0)*VLOOKUP('Données projet'!$B$12,Paramètres!$A$1:$I$89,5,0)</f>
        <v>#N/A</v>
      </c>
      <c r="CA99" s="13" t="e">
        <f t="shared" si="93"/>
        <v>#N/A</v>
      </c>
      <c r="CB99" s="20" t="e">
        <f t="shared" si="64"/>
        <v>#N/A</v>
      </c>
      <c r="CC99" s="59" t="e">
        <f t="shared" si="65"/>
        <v>#N/A</v>
      </c>
      <c r="CD99" s="59" t="e">
        <f ca="1">AVERAGE(OFFSET($CC$3,0,0,'Données projet'!$E$12+1,1))-AVERAGE(OFFSET($H$3,0,0,'Données projet'!$E$12+1,1))</f>
        <v>#N/A</v>
      </c>
      <c r="CE99" s="59" t="e">
        <f t="shared" si="94"/>
        <v>#N/A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 t="e">
        <f>EXP(-LN(2)/35)*CK98+(1-EXP(-LN(2)/35))/(LN(2)/35)*CG99*CH99*VLOOKUP('Données projet'!$B$12,Paramètres!$A$1:$I$89,3,0)*0.475*44/12</f>
        <v>#N/A</v>
      </c>
      <c r="CL99" s="21" t="e">
        <f>EXP(-LN(2)/25)*CL98+(1-EXP(-LN(2)/25))/(LN(2)/25)*Calculateur!CG99*Calculateur!CI99*VLOOKUP('Données projet'!$B$12,Paramètres!$A$1:$I$89,3,0)*0.475*44/12</f>
        <v>#N/A</v>
      </c>
      <c r="CM99" s="21" t="e">
        <f>EXP(-LN(2)/2)*CM98+(1-EXP(-LN(2)/2))/(LN(2)/2)*CG99*CJ99*VLOOKUP('Données projet'!$B$12,Paramètres!$A$1:$I$89,3,0)*0.475*44/12</f>
        <v>#N/A</v>
      </c>
      <c r="CN99" s="22" t="e">
        <f t="shared" si="66"/>
        <v>#N/A</v>
      </c>
      <c r="CO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35">
      <c r="A100" s="10">
        <f t="shared" si="85"/>
        <v>97</v>
      </c>
      <c r="B100" s="72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1">
        <f t="shared" si="86"/>
        <v>0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66">
        <f t="shared" si="56"/>
        <v>256.66666666666669</v>
      </c>
      <c r="I100" s="6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10.754999999999995</v>
      </c>
      <c r="N100" s="13">
        <f>IF('Données projet'!$A$36&gt;35,N99+M100-V99,IF(A100&lt;'Données projet'!$A$36,$K$205^A100,IF(A100='Données projet'!$A$36,'Données projet'!$B$36,N99+M100-V99)))</f>
        <v>483.40499999999969</v>
      </c>
      <c r="O100" s="13">
        <f>N100*VLOOKUP('Données projet'!$B$9,Paramètres!$A$1:$I$89,3,0)*VLOOKUP('Données projet'!$B$9,Paramètres!$A$1:$I$89,5,0)</f>
        <v>437.3848439999997</v>
      </c>
      <c r="P100" s="13">
        <f t="shared" si="87"/>
        <v>99.316008444270537</v>
      </c>
      <c r="Q100" s="20">
        <f t="shared" si="107"/>
        <v>934.75398467377056</v>
      </c>
      <c r="R100" s="59">
        <f t="shared" si="55"/>
        <v>1228.0873180071039</v>
      </c>
      <c r="S100" s="59">
        <f ca="1">AVERAGE(OFFSET($R$3,0,0,'Données projet'!$E$9+1,1))-AVERAGE(OFFSET($H$3,0,0,'Données projet'!$E$9+1,1))</f>
        <v>700.22008319944644</v>
      </c>
      <c r="T100" s="59">
        <f t="shared" si="88"/>
        <v>253.69632671986739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112.71139981543807</v>
      </c>
      <c r="AA100" s="21">
        <f>EXP(-LN(2)/25)*AA99+(1-EXP(-LN(2)/25))/(LN(2)/25)*Calculateur!V100*Calculateur!X100*VLOOKUP('Données projet'!$B$9,Paramètres!$A$1:$I$89,3,0)*0.475*44/12</f>
        <v>0</v>
      </c>
      <c r="AB100" s="21">
        <f>EXP(-LN(2)/2)*AB99+(1-EXP(-LN(2)/2))/(LN(2)/2)*V100*Y100*VLOOKUP('Données projet'!$B$9,Paramètres!$A$1:$I$89,3,0)*0.475*44/12</f>
        <v>0</v>
      </c>
      <c r="AC100" s="22">
        <f t="shared" si="57"/>
        <v>112.71139981543807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10.754999999999995</v>
      </c>
      <c r="AI100" s="13">
        <f>IF('Données projet'!$A$62&gt;35,AI99+AH100-AQ99,IF(A100&lt;'Données projet'!$A$62,$AF$205^A100,IF(A100='Données projet'!$A$62,'Données projet'!$B$62,AI99+AH100-AQ99)))</f>
        <v>483.40499999999969</v>
      </c>
      <c r="AJ100" s="13">
        <f>AI100*VLOOKUP('Données projet'!$B$10,Paramètres!$A$1:$I$89,3,0)*VLOOKUP('Données projet'!$B$10,Paramètres!$A$1:$I$89,5,0)</f>
        <v>460.00819799999977</v>
      </c>
      <c r="AK100" s="13">
        <f t="shared" si="89"/>
        <v>103.84168432960156</v>
      </c>
      <c r="AL100" s="20">
        <f t="shared" si="58"/>
        <v>982.03854505738889</v>
      </c>
      <c r="AM100" s="59">
        <f t="shared" si="59"/>
        <v>1275.3718783907223</v>
      </c>
      <c r="AN100" s="59">
        <f ca="1">AVERAGE(OFFSET($AM$3,0,0,'Données projet'!$E$10+1,1))-AVERAGE(OFFSET($H$3,0,0,'Données projet'!$E$10+1,1))</f>
        <v>733.95677909577444</v>
      </c>
      <c r="AO100" s="59">
        <f t="shared" si="90"/>
        <v>264.63778993239799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118.54129980589177</v>
      </c>
      <c r="AV100" s="21">
        <f>EXP(-LN(2)/25)*AV99+(1-EXP(-LN(2)/25))/(LN(2)/25)*Calculateur!AQ100*Calculateur!AS100*VLOOKUP('Données projet'!$B$10,Paramètres!$A$1:$I$89,3,0)*0.475*44/12</f>
        <v>0</v>
      </c>
      <c r="AW100" s="21">
        <f>EXP(-LN(2)/2)*AW99+(1-EXP(-LN(2)/2))/(LN(2)/2)*AQ100*AT100*VLOOKUP('Données projet'!$B$10,Paramètres!$A$1:$I$89,3,0)*0.475*44/12</f>
        <v>0</v>
      </c>
      <c r="AX100" s="21">
        <f t="shared" si="60"/>
        <v>118.54129980589177</v>
      </c>
      <c r="AY100" s="7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0</v>
      </c>
      <c r="BE100" s="13">
        <f>BD100*VLOOKUP('Données projet'!$B$11,Paramètres!$A$1:$I$89,3,0)*VLOOKUP('Données projet'!$B$11,Paramètres!$A$1:$I$89,5,0)</f>
        <v>0</v>
      </c>
      <c r="BF100" s="13" t="e">
        <f t="shared" si="91"/>
        <v>#NUM!</v>
      </c>
      <c r="BG100" s="20" t="e">
        <f t="shared" si="61"/>
        <v>#NUM!</v>
      </c>
      <c r="BH100" s="59" t="e">
        <f t="shared" si="62"/>
        <v>#NUM!</v>
      </c>
      <c r="BI100" s="59">
        <f ca="1">AVERAGE(OFFSET($BH$3,0,0,'Données projet'!$E$11+1,1))-AVERAGE(OFFSET($H$3,0,0,'Données projet'!$E$11+1,1))</f>
        <v>187.80389738728508</v>
      </c>
      <c r="BJ100" s="59">
        <f t="shared" si="92"/>
        <v>439.28159165815265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32.76756870965071</v>
      </c>
      <c r="BQ100" s="21">
        <f>EXP(-LN(2)/25)*BQ99+(1-EXP(-LN(2)/25))/(LN(2)/25)*Calculateur!BL100*Calculateur!BN100*VLOOKUP('Données projet'!$B$11,Paramètres!$A$1:$I$89,3,0)*0.475*44/12</f>
        <v>2.2434543477733309</v>
      </c>
      <c r="BR100" s="21">
        <f>EXP(-LN(2)/2)*BR99+(1-EXP(-LN(2)/2))/(LN(2)/2)*BL100*BO100*VLOOKUP('Données projet'!$B$11,Paramètres!$A$1:$I$89,3,0)*0.475*44/12</f>
        <v>3.7011852651085726E-12</v>
      </c>
      <c r="BS100" s="22">
        <f t="shared" si="63"/>
        <v>35.011023057427742</v>
      </c>
      <c r="BT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0</v>
      </c>
      <c r="BZ100" s="13" t="e">
        <f>BY100*VLOOKUP('Données projet'!$B$12,Paramètres!$A$1:$I$89,3,0)*VLOOKUP('Données projet'!$B$12,Paramètres!$A$1:$I$89,5,0)</f>
        <v>#N/A</v>
      </c>
      <c r="CA100" s="13" t="e">
        <f t="shared" si="93"/>
        <v>#N/A</v>
      </c>
      <c r="CB100" s="20" t="e">
        <f t="shared" si="64"/>
        <v>#N/A</v>
      </c>
      <c r="CC100" s="59" t="e">
        <f t="shared" si="65"/>
        <v>#N/A</v>
      </c>
      <c r="CD100" s="59" t="e">
        <f ca="1">AVERAGE(OFFSET($CC$3,0,0,'Données projet'!$E$12+1,1))-AVERAGE(OFFSET($H$3,0,0,'Données projet'!$E$12+1,1))</f>
        <v>#N/A</v>
      </c>
      <c r="CE100" s="59" t="e">
        <f t="shared" si="94"/>
        <v>#N/A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 t="e">
        <f>EXP(-LN(2)/35)*CK99+(1-EXP(-LN(2)/35))/(LN(2)/35)*CG100*CH100*VLOOKUP('Données projet'!$B$12,Paramètres!$A$1:$I$89,3,0)*0.475*44/12</f>
        <v>#N/A</v>
      </c>
      <c r="CL100" s="21" t="e">
        <f>EXP(-LN(2)/25)*CL99+(1-EXP(-LN(2)/25))/(LN(2)/25)*Calculateur!CG100*Calculateur!CI100*VLOOKUP('Données projet'!$B$12,Paramètres!$A$1:$I$89,3,0)*0.475*44/12</f>
        <v>#N/A</v>
      </c>
      <c r="CM100" s="21" t="e">
        <f>EXP(-LN(2)/2)*CM99+(1-EXP(-LN(2)/2))/(LN(2)/2)*CG100*CJ100*VLOOKUP('Données projet'!$B$12,Paramètres!$A$1:$I$89,3,0)*0.475*44/12</f>
        <v>#N/A</v>
      </c>
      <c r="CN100" s="22" t="e">
        <f t="shared" si="66"/>
        <v>#N/A</v>
      </c>
      <c r="CO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35">
      <c r="A101" s="10">
        <f t="shared" si="85"/>
        <v>98</v>
      </c>
      <c r="B101" s="72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1">
        <f t="shared" si="86"/>
        <v>0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66">
        <f t="shared" si="56"/>
        <v>256.66666666666669</v>
      </c>
      <c r="I101" s="6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10.754999999999995</v>
      </c>
      <c r="N101" s="13">
        <f>IF('Données projet'!$A$36&gt;35,N100+M101-V100,IF(A101&lt;'Données projet'!$A$36,$K$205^A101,IF(A101='Données projet'!$A$36,'Données projet'!$B$36,N100+M101-V100)))</f>
        <v>494.15999999999968</v>
      </c>
      <c r="O101" s="13">
        <f>N101*VLOOKUP('Données projet'!$B$9,Paramètres!$A$1:$I$89,3,0)*VLOOKUP('Données projet'!$B$9,Paramètres!$A$1:$I$89,5,0)</f>
        <v>447.11596799999973</v>
      </c>
      <c r="P101" s="13">
        <f t="shared" si="87"/>
        <v>101.26592548233283</v>
      </c>
      <c r="Q101" s="20">
        <f t="shared" si="107"/>
        <v>955.09846448172914</v>
      </c>
      <c r="R101" s="59">
        <f t="shared" si="55"/>
        <v>1248.4317978150625</v>
      </c>
      <c r="S101" s="59">
        <f ca="1">AVERAGE(OFFSET($R$3,0,0,'Données projet'!$E$9+1,1))-AVERAGE(OFFSET($H$3,0,0,'Données projet'!$E$9+1,1))</f>
        <v>700.22008319944644</v>
      </c>
      <c r="T101" s="59">
        <f t="shared" si="88"/>
        <v>253.69632671986739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110.501198012223</v>
      </c>
      <c r="AA101" s="21">
        <f>EXP(-LN(2)/25)*AA100+(1-EXP(-LN(2)/25))/(LN(2)/25)*Calculateur!V101*Calculateur!X101*VLOOKUP('Données projet'!$B$9,Paramètres!$A$1:$I$89,3,0)*0.475*44/12</f>
        <v>0</v>
      </c>
      <c r="AB101" s="21">
        <f>EXP(-LN(2)/2)*AB100+(1-EXP(-LN(2)/2))/(LN(2)/2)*V101*Y101*VLOOKUP('Données projet'!$B$9,Paramètres!$A$1:$I$89,3,0)*0.475*44/12</f>
        <v>0</v>
      </c>
      <c r="AC101" s="22">
        <f t="shared" si="57"/>
        <v>110.501198012223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10.754999999999995</v>
      </c>
      <c r="AI101" s="13">
        <f>IF('Données projet'!$A$62&gt;35,AI100+AH101-AQ100,IF(A101&lt;'Données projet'!$A$62,$AF$205^A101,IF(A101='Données projet'!$A$62,'Données projet'!$B$62,AI100+AH101-AQ100)))</f>
        <v>494.15999999999968</v>
      </c>
      <c r="AJ101" s="13">
        <f>AI101*VLOOKUP('Données projet'!$B$10,Paramètres!$A$1:$I$89,3,0)*VLOOKUP('Données projet'!$B$10,Paramètres!$A$1:$I$89,5,0)</f>
        <v>470.24265599999973</v>
      </c>
      <c r="AK101" s="13">
        <f t="shared" si="89"/>
        <v>105.88045605137275</v>
      </c>
      <c r="AL101" s="20">
        <f t="shared" si="58"/>
        <v>1003.4144201561403</v>
      </c>
      <c r="AM101" s="59">
        <f t="shared" si="59"/>
        <v>1296.7477534894736</v>
      </c>
      <c r="AN101" s="59">
        <f ca="1">AVERAGE(OFFSET($AM$3,0,0,'Données projet'!$E$10+1,1))-AVERAGE(OFFSET($H$3,0,0,'Données projet'!$E$10+1,1))</f>
        <v>733.95677909577444</v>
      </c>
      <c r="AO101" s="59">
        <f t="shared" si="90"/>
        <v>264.63778993239799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116.21677721975178</v>
      </c>
      <c r="AV101" s="21">
        <f>EXP(-LN(2)/25)*AV100+(1-EXP(-LN(2)/25))/(LN(2)/25)*Calculateur!AQ101*Calculateur!AS101*VLOOKUP('Données projet'!$B$10,Paramètres!$A$1:$I$89,3,0)*0.475*44/12</f>
        <v>0</v>
      </c>
      <c r="AW101" s="21">
        <f>EXP(-LN(2)/2)*AW100+(1-EXP(-LN(2)/2))/(LN(2)/2)*AQ101*AT101*VLOOKUP('Données projet'!$B$10,Paramètres!$A$1:$I$89,3,0)*0.475*44/12</f>
        <v>0</v>
      </c>
      <c r="AX101" s="21">
        <f t="shared" si="60"/>
        <v>116.21677721975178</v>
      </c>
      <c r="AY101" s="7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0</v>
      </c>
      <c r="BE101" s="13">
        <f>BD101*VLOOKUP('Données projet'!$B$11,Paramètres!$A$1:$I$89,3,0)*VLOOKUP('Données projet'!$B$11,Paramètres!$A$1:$I$89,5,0)</f>
        <v>0</v>
      </c>
      <c r="BF101" s="13" t="e">
        <f t="shared" si="91"/>
        <v>#NUM!</v>
      </c>
      <c r="BG101" s="20" t="e">
        <f t="shared" si="61"/>
        <v>#NUM!</v>
      </c>
      <c r="BH101" s="59" t="e">
        <f t="shared" si="62"/>
        <v>#NUM!</v>
      </c>
      <c r="BI101" s="59">
        <f ca="1">AVERAGE(OFFSET($BH$3,0,0,'Données projet'!$E$11+1,1))-AVERAGE(OFFSET($H$3,0,0,'Données projet'!$E$11+1,1))</f>
        <v>187.80389738728508</v>
      </c>
      <c r="BJ101" s="59">
        <f t="shared" si="92"/>
        <v>439.28159165815265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32.125016673497896</v>
      </c>
      <c r="BQ101" s="21">
        <f>EXP(-LN(2)/25)*BQ100+(1-EXP(-LN(2)/25))/(LN(2)/25)*Calculateur!BL101*Calculateur!BN101*VLOOKUP('Données projet'!$B$11,Paramètres!$A$1:$I$89,3,0)*0.475*44/12</f>
        <v>2.1821069706553327</v>
      </c>
      <c r="BR101" s="21">
        <f>EXP(-LN(2)/2)*BR100+(1-EXP(-LN(2)/2))/(LN(2)/2)*BL101*BO101*VLOOKUP('Données projet'!$B$11,Paramètres!$A$1:$I$89,3,0)*0.475*44/12</f>
        <v>2.6171331993860014E-12</v>
      </c>
      <c r="BS101" s="22">
        <f t="shared" si="63"/>
        <v>34.307123644155844</v>
      </c>
      <c r="BT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0</v>
      </c>
      <c r="BZ101" s="13" t="e">
        <f>BY101*VLOOKUP('Données projet'!$B$12,Paramètres!$A$1:$I$89,3,0)*VLOOKUP('Données projet'!$B$12,Paramètres!$A$1:$I$89,5,0)</f>
        <v>#N/A</v>
      </c>
      <c r="CA101" s="13" t="e">
        <f t="shared" si="93"/>
        <v>#N/A</v>
      </c>
      <c r="CB101" s="20" t="e">
        <f t="shared" si="64"/>
        <v>#N/A</v>
      </c>
      <c r="CC101" s="59" t="e">
        <f t="shared" si="65"/>
        <v>#N/A</v>
      </c>
      <c r="CD101" s="59" t="e">
        <f ca="1">AVERAGE(OFFSET($CC$3,0,0,'Données projet'!$E$12+1,1))-AVERAGE(OFFSET($H$3,0,0,'Données projet'!$E$12+1,1))</f>
        <v>#N/A</v>
      </c>
      <c r="CE101" s="59" t="e">
        <f t="shared" si="94"/>
        <v>#N/A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 t="e">
        <f>EXP(-LN(2)/35)*CK100+(1-EXP(-LN(2)/35))/(LN(2)/35)*CG101*CH101*VLOOKUP('Données projet'!$B$12,Paramètres!$A$1:$I$89,3,0)*0.475*44/12</f>
        <v>#N/A</v>
      </c>
      <c r="CL101" s="21" t="e">
        <f>EXP(-LN(2)/25)*CL100+(1-EXP(-LN(2)/25))/(LN(2)/25)*Calculateur!CG101*Calculateur!CI101*VLOOKUP('Données projet'!$B$12,Paramètres!$A$1:$I$89,3,0)*0.475*44/12</f>
        <v>#N/A</v>
      </c>
      <c r="CM101" s="21" t="e">
        <f>EXP(-LN(2)/2)*CM100+(1-EXP(-LN(2)/2))/(LN(2)/2)*CG101*CJ101*VLOOKUP('Données projet'!$B$12,Paramètres!$A$1:$I$89,3,0)*0.475*44/12</f>
        <v>#N/A</v>
      </c>
      <c r="CN101" s="22" t="e">
        <f t="shared" si="66"/>
        <v>#N/A</v>
      </c>
      <c r="CO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35">
      <c r="A102" s="10">
        <f t="shared" si="85"/>
        <v>99</v>
      </c>
      <c r="B102" s="72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1">
        <f t="shared" si="86"/>
        <v>0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66">
        <f t="shared" si="56"/>
        <v>256.66666666666669</v>
      </c>
      <c r="I102" s="6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10.754999999999995</v>
      </c>
      <c r="N102" s="13">
        <f>IF('Données projet'!$A$36&gt;35,N101+M102-V101,IF(A102&lt;'Données projet'!$A$36,$K$205^A102,IF(A102='Données projet'!$A$36,'Données projet'!$B$36,N101+M102-V101)))</f>
        <v>504.91499999999968</v>
      </c>
      <c r="O102" s="13">
        <f>N102*VLOOKUP('Données projet'!$B$9,Paramètres!$A$1:$I$89,3,0)*VLOOKUP('Données projet'!$B$9,Paramètres!$A$1:$I$89,5,0)</f>
        <v>456.84709199999969</v>
      </c>
      <c r="P102" s="13">
        <f t="shared" si="87"/>
        <v>103.21090853127453</v>
      </c>
      <c r="Q102" s="20">
        <f t="shared" si="107"/>
        <v>975.43435092530251</v>
      </c>
      <c r="R102" s="59">
        <f t="shared" si="55"/>
        <v>1268.7676842586359</v>
      </c>
      <c r="S102" s="59">
        <f ca="1">AVERAGE(OFFSET($R$3,0,0,'Données projet'!$E$9+1,1))-AVERAGE(OFFSET($H$3,0,0,'Données projet'!$E$9+1,1))</f>
        <v>700.22008319944644</v>
      </c>
      <c r="T102" s="59">
        <f t="shared" si="88"/>
        <v>253.69632671986739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108.33433691827899</v>
      </c>
      <c r="AA102" s="21">
        <f>EXP(-LN(2)/25)*AA101+(1-EXP(-LN(2)/25))/(LN(2)/25)*Calculateur!V102*Calculateur!X102*VLOOKUP('Données projet'!$B$9,Paramètres!$A$1:$I$89,3,0)*0.475*44/12</f>
        <v>0</v>
      </c>
      <c r="AB102" s="21">
        <f>EXP(-LN(2)/2)*AB101+(1-EXP(-LN(2)/2))/(LN(2)/2)*V102*Y102*VLOOKUP('Données projet'!$B$9,Paramètres!$A$1:$I$89,3,0)*0.475*44/12</f>
        <v>0</v>
      </c>
      <c r="AC102" s="22">
        <f t="shared" si="57"/>
        <v>108.33433691827899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10.754999999999995</v>
      </c>
      <c r="AI102" s="13">
        <f>IF('Données projet'!$A$62&gt;35,AI101+AH102-AQ101,IF(A102&lt;'Données projet'!$A$62,$AF$205^A102,IF(A102='Données projet'!$A$62,'Données projet'!$B$62,AI101+AH102-AQ101)))</f>
        <v>504.91499999999968</v>
      </c>
      <c r="AJ102" s="13">
        <f>AI102*VLOOKUP('Données projet'!$B$10,Paramètres!$A$1:$I$89,3,0)*VLOOKUP('Données projet'!$B$10,Paramètres!$A$1:$I$89,5,0)</f>
        <v>480.47711399999969</v>
      </c>
      <c r="AK102" s="13">
        <f t="shared" si="89"/>
        <v>107.91406894982076</v>
      </c>
      <c r="AL102" s="20">
        <f t="shared" si="58"/>
        <v>1024.7813103042704</v>
      </c>
      <c r="AM102" s="59">
        <f t="shared" si="59"/>
        <v>1318.1146436376036</v>
      </c>
      <c r="AN102" s="59">
        <f ca="1">AVERAGE(OFFSET($AM$3,0,0,'Données projet'!$E$10+1,1))-AVERAGE(OFFSET($H$3,0,0,'Données projet'!$E$10+1,1))</f>
        <v>733.95677909577444</v>
      </c>
      <c r="AO102" s="59">
        <f t="shared" si="90"/>
        <v>264.63778993239799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113.93783710370721</v>
      </c>
      <c r="AV102" s="21">
        <f>EXP(-LN(2)/25)*AV101+(1-EXP(-LN(2)/25))/(LN(2)/25)*Calculateur!AQ102*Calculateur!AS102*VLOOKUP('Données projet'!$B$10,Paramètres!$A$1:$I$89,3,0)*0.475*44/12</f>
        <v>0</v>
      </c>
      <c r="AW102" s="21">
        <f>EXP(-LN(2)/2)*AW101+(1-EXP(-LN(2)/2))/(LN(2)/2)*AQ102*AT102*VLOOKUP('Données projet'!$B$10,Paramètres!$A$1:$I$89,3,0)*0.475*44/12</f>
        <v>0</v>
      </c>
      <c r="AX102" s="21">
        <f t="shared" si="60"/>
        <v>113.93783710370721</v>
      </c>
      <c r="AY102" s="7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0</v>
      </c>
      <c r="BE102" s="13">
        <f>BD102*VLOOKUP('Données projet'!$B$11,Paramètres!$A$1:$I$89,3,0)*VLOOKUP('Données projet'!$B$11,Paramètres!$A$1:$I$89,5,0)</f>
        <v>0</v>
      </c>
      <c r="BF102" s="13" t="e">
        <f t="shared" si="91"/>
        <v>#NUM!</v>
      </c>
      <c r="BG102" s="20" t="e">
        <f t="shared" si="61"/>
        <v>#NUM!</v>
      </c>
      <c r="BH102" s="59" t="e">
        <f t="shared" si="62"/>
        <v>#NUM!</v>
      </c>
      <c r="BI102" s="59">
        <f ca="1">AVERAGE(OFFSET($BH$3,0,0,'Données projet'!$E$11+1,1))-AVERAGE(OFFSET($H$3,0,0,'Données projet'!$E$11+1,1))</f>
        <v>187.80389738728508</v>
      </c>
      <c r="BJ102" s="59">
        <f t="shared" si="92"/>
        <v>439.28159165815265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31.495064690855994</v>
      </c>
      <c r="BQ102" s="21">
        <f>EXP(-LN(2)/25)*BQ101+(1-EXP(-LN(2)/25))/(LN(2)/25)*Calculateur!BL102*Calculateur!BN102*VLOOKUP('Données projet'!$B$11,Paramètres!$A$1:$I$89,3,0)*0.475*44/12</f>
        <v>2.1224371407907441</v>
      </c>
      <c r="BR102" s="21">
        <f>EXP(-LN(2)/2)*BR101+(1-EXP(-LN(2)/2))/(LN(2)/2)*BL102*BO102*VLOOKUP('Données projet'!$B$11,Paramètres!$A$1:$I$89,3,0)*0.475*44/12</f>
        <v>1.8505926325542863E-12</v>
      </c>
      <c r="BS102" s="22">
        <f t="shared" si="63"/>
        <v>33.617501831648582</v>
      </c>
      <c r="BT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0</v>
      </c>
      <c r="BZ102" s="13" t="e">
        <f>BY102*VLOOKUP('Données projet'!$B$12,Paramètres!$A$1:$I$89,3,0)*VLOOKUP('Données projet'!$B$12,Paramètres!$A$1:$I$89,5,0)</f>
        <v>#N/A</v>
      </c>
      <c r="CA102" s="13" t="e">
        <f t="shared" si="93"/>
        <v>#N/A</v>
      </c>
      <c r="CB102" s="20" t="e">
        <f t="shared" si="64"/>
        <v>#N/A</v>
      </c>
      <c r="CC102" s="59" t="e">
        <f t="shared" si="65"/>
        <v>#N/A</v>
      </c>
      <c r="CD102" s="59" t="e">
        <f ca="1">AVERAGE(OFFSET($CC$3,0,0,'Données projet'!$E$12+1,1))-AVERAGE(OFFSET($H$3,0,0,'Données projet'!$E$12+1,1))</f>
        <v>#N/A</v>
      </c>
      <c r="CE102" s="59" t="e">
        <f t="shared" si="94"/>
        <v>#N/A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 t="e">
        <f>EXP(-LN(2)/35)*CK101+(1-EXP(-LN(2)/35))/(LN(2)/35)*CG102*CH102*VLOOKUP('Données projet'!$B$12,Paramètres!$A$1:$I$89,3,0)*0.475*44/12</f>
        <v>#N/A</v>
      </c>
      <c r="CL102" s="21" t="e">
        <f>EXP(-LN(2)/25)*CL101+(1-EXP(-LN(2)/25))/(LN(2)/25)*Calculateur!CG102*Calculateur!CI102*VLOOKUP('Données projet'!$B$12,Paramètres!$A$1:$I$89,3,0)*0.475*44/12</f>
        <v>#N/A</v>
      </c>
      <c r="CM102" s="21" t="e">
        <f>EXP(-LN(2)/2)*CM101+(1-EXP(-LN(2)/2))/(LN(2)/2)*CG102*CJ102*VLOOKUP('Données projet'!$B$12,Paramètres!$A$1:$I$89,3,0)*0.475*44/12</f>
        <v>#N/A</v>
      </c>
      <c r="CN102" s="22" t="e">
        <f t="shared" si="66"/>
        <v>#N/A</v>
      </c>
      <c r="CO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35">
      <c r="A103" s="10">
        <f t="shared" si="85"/>
        <v>100</v>
      </c>
      <c r="B103" s="72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1">
        <f t="shared" si="86"/>
        <v>0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66">
        <f t="shared" si="56"/>
        <v>256.66666666666669</v>
      </c>
      <c r="I103" s="6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>
        <f>VLOOKUP(A103,'Données projet'!$A$35:$I$55,2,0)</f>
        <v>515.66999999999996</v>
      </c>
      <c r="L103" s="12">
        <f>VLOOKUP(A103,'Données projet'!$A$35:$I$55,9,0)</f>
        <v>10.754999999999995</v>
      </c>
      <c r="M103" s="12">
        <f t="array" ref="M103">INDEX(L:L,MIN(IF(ISNUMBER(L103:L299),ROW(L103:L299),"")))</f>
        <v>10.754999999999995</v>
      </c>
      <c r="N103" s="13">
        <f>IF('Données projet'!$A$36&gt;35,N102+M103-V102,IF(A103&lt;'Données projet'!$A$36,$K$205^A103,IF(A103='Données projet'!$A$36,'Données projet'!$B$36,N102+M103-V102)))</f>
        <v>515.66999999999962</v>
      </c>
      <c r="O103" s="13">
        <f>N103*VLOOKUP('Données projet'!$B$9,Paramètres!$A$1:$I$89,3,0)*VLOOKUP('Données projet'!$B$9,Paramètres!$A$1:$I$89,5,0)</f>
        <v>466.57821599999966</v>
      </c>
      <c r="P103" s="13">
        <f t="shared" si="87"/>
        <v>105.15107479395371</v>
      </c>
      <c r="Q103" s="20">
        <f t="shared" si="107"/>
        <v>995.76184813280224</v>
      </c>
      <c r="R103" s="59">
        <f t="shared" si="55"/>
        <v>1289.0951814661355</v>
      </c>
      <c r="S103" s="59">
        <f ca="1">AVERAGE(OFFSET($R$3,0,0,'Données projet'!$E$9+1,1))-AVERAGE(OFFSET($H$3,0,0,'Données projet'!$E$9+1,1))</f>
        <v>700.22008319944644</v>
      </c>
      <c r="T103" s="59">
        <f t="shared" si="88"/>
        <v>253.69632671986739</v>
      </c>
      <c r="U103" s="15">
        <f>IF(ISNA(VLOOKUP(A103,'Données projet'!$A$35:$I$55,3,0)),0,VLOOKUP(A103,'Données projet'!$A$35:$I$55,3,0))</f>
        <v>9</v>
      </c>
      <c r="V103" s="15">
        <f>IF(ISNA(VLOOKUP(A103,'Données projet'!$A$35:$I$55,4,0)),0,VLOOKUP(A103,'Données projet'!$A$35:$I$55,4,0))</f>
        <v>85.23</v>
      </c>
      <c r="W103" s="16">
        <f>IF(ISNA(VLOOKUP(A103,'Données projet'!$A$35:$I$55,5,0)),0%,VLOOKUP(A103,'Données projet'!$A$35:$I$55,5,0)*VLOOKUP('Données projet'!$B$9,Paramètres!$A$1:$I$89,7,0))</f>
        <v>0.43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142.86728121423491</v>
      </c>
      <c r="AA103" s="21">
        <f>EXP(-LN(2)/25)*AA102+(1-EXP(-LN(2)/25))/(LN(2)/25)*Calculateur!V103*Calculateur!X103*VLOOKUP('Données projet'!$B$9,Paramètres!$A$1:$I$89,3,0)*0.475*44/12</f>
        <v>0</v>
      </c>
      <c r="AB103" s="21">
        <f>EXP(-LN(2)/2)*AB102+(1-EXP(-LN(2)/2))/(LN(2)/2)*V103*Y103*VLOOKUP('Données projet'!$B$9,Paramètres!$A$1:$I$89,3,0)*0.475*44/12</f>
        <v>0</v>
      </c>
      <c r="AC103" s="22">
        <f t="shared" si="57"/>
        <v>142.86728121423491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>
        <f>VLOOKUP(A103,'Données projet'!$A$61:$I$81,2,0)</f>
        <v>515.66999999999996</v>
      </c>
      <c r="AG103" s="12">
        <f>VLOOKUP(A103,'Données projet'!$A$61:$I$81,9,0)</f>
        <v>10.754999999999995</v>
      </c>
      <c r="AH103" s="12">
        <f t="array" ref="AH103">INDEX(AG:AG,MIN(IF(ISNUMBER(AG103:AG299),ROW(AG103:AG299),"")))</f>
        <v>10.754999999999995</v>
      </c>
      <c r="AI103" s="13">
        <f>IF('Données projet'!$A$62&gt;35,AI102+AH103-AQ102,IF(A103&lt;'Données projet'!$A$62,$AF$205^A103,IF(A103='Données projet'!$A$62,'Données projet'!$B$62,AI102+AH103-AQ102)))</f>
        <v>515.66999999999962</v>
      </c>
      <c r="AJ103" s="13">
        <f>AI103*VLOOKUP('Données projet'!$B$10,Paramètres!$A$1:$I$89,3,0)*VLOOKUP('Données projet'!$B$10,Paramètres!$A$1:$I$89,5,0)</f>
        <v>490.71157199999965</v>
      </c>
      <c r="AK103" s="13">
        <f t="shared" si="89"/>
        <v>109.94264556855514</v>
      </c>
      <c r="AL103" s="20">
        <f t="shared" si="58"/>
        <v>1046.1394289318996</v>
      </c>
      <c r="AM103" s="59">
        <f t="shared" si="59"/>
        <v>1339.4727622652329</v>
      </c>
      <c r="AN103" s="59">
        <f ca="1">AVERAGE(OFFSET($AM$3,0,0,'Données projet'!$E$10+1,1))-AVERAGE(OFFSET($H$3,0,0,'Données projet'!$E$10+1,1))</f>
        <v>733.95677909577444</v>
      </c>
      <c r="AO103" s="59">
        <f t="shared" si="90"/>
        <v>264.63778993239799</v>
      </c>
      <c r="AP103" s="15">
        <f>IF(ISNA(VLOOKUP(A103,'Données projet'!$A$61:$I$81,3,0)),0,VLOOKUP(A103,'Données projet'!$A$61:$I$81,3,0))</f>
        <v>9</v>
      </c>
      <c r="AQ103" s="15">
        <f>IF(ISNA(VLOOKUP(A103,'Données projet'!$A$61:$I$81,4,0)),0,VLOOKUP(A103,'Données projet'!$A$61:$I$81,4,0))</f>
        <v>85.23</v>
      </c>
      <c r="AR103" s="16">
        <f>IF(ISNA(VLOOKUP(A103,'Données projet'!$A$61:$I$81,5,0)),0%,VLOOKUP(A103,'Données projet'!$A$61:$I$81,5,0)*VLOOKUP('Données projet'!$B$10,Paramètres!$A$1:$I$89,7,0))</f>
        <v>0.43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150.25696817359187</v>
      </c>
      <c r="AV103" s="21">
        <f>EXP(-LN(2)/25)*AV102+(1-EXP(-LN(2)/25))/(LN(2)/25)*Calculateur!AQ103*Calculateur!AS103*VLOOKUP('Données projet'!$B$10,Paramètres!$A$1:$I$89,3,0)*0.475*44/12</f>
        <v>0</v>
      </c>
      <c r="AW103" s="21">
        <f>EXP(-LN(2)/2)*AW102+(1-EXP(-LN(2)/2))/(LN(2)/2)*AQ103*AT103*VLOOKUP('Données projet'!$B$10,Paramètres!$A$1:$I$89,3,0)*0.475*44/12</f>
        <v>0</v>
      </c>
      <c r="AX103" s="21">
        <f t="shared" si="60"/>
        <v>150.25696817359187</v>
      </c>
      <c r="AY103" s="7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0</v>
      </c>
      <c r="BE103" s="13">
        <f>BD103*VLOOKUP('Données projet'!$B$11,Paramètres!$A$1:$I$89,3,0)*VLOOKUP('Données projet'!$B$11,Paramètres!$A$1:$I$89,5,0)</f>
        <v>0</v>
      </c>
      <c r="BF103" s="13" t="e">
        <f t="shared" si="91"/>
        <v>#NUM!</v>
      </c>
      <c r="BG103" s="20" t="e">
        <f t="shared" si="61"/>
        <v>#NUM!</v>
      </c>
      <c r="BH103" s="59" t="e">
        <f t="shared" si="62"/>
        <v>#NUM!</v>
      </c>
      <c r="BI103" s="59">
        <f ca="1">AVERAGE(OFFSET($BH$3,0,0,'Données projet'!$E$11+1,1))-AVERAGE(OFFSET($H$3,0,0,'Données projet'!$E$11+1,1))</f>
        <v>187.80389738728508</v>
      </c>
      <c r="BJ103" s="59">
        <f t="shared" si="92"/>
        <v>439.28159165815265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30.877465682360931</v>
      </c>
      <c r="BQ103" s="21">
        <f>EXP(-LN(2)/25)*BQ102+(1-EXP(-LN(2)/25))/(LN(2)/25)*Calculateur!BL103*Calculateur!BN103*VLOOKUP('Données projet'!$B$11,Paramètres!$A$1:$I$89,3,0)*0.475*44/12</f>
        <v>2.0643989855617026</v>
      </c>
      <c r="BR103" s="21">
        <f>EXP(-LN(2)/2)*BR102+(1-EXP(-LN(2)/2))/(LN(2)/2)*BL103*BO103*VLOOKUP('Données projet'!$B$11,Paramètres!$A$1:$I$89,3,0)*0.475*44/12</f>
        <v>1.3085665996930007E-12</v>
      </c>
      <c r="BS103" s="22">
        <f t="shared" si="63"/>
        <v>32.941864667923944</v>
      </c>
      <c r="BT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0</v>
      </c>
      <c r="BZ103" s="13" t="e">
        <f>BY103*VLOOKUP('Données projet'!$B$12,Paramètres!$A$1:$I$89,3,0)*VLOOKUP('Données projet'!$B$12,Paramètres!$A$1:$I$89,5,0)</f>
        <v>#N/A</v>
      </c>
      <c r="CA103" s="13" t="e">
        <f t="shared" si="93"/>
        <v>#N/A</v>
      </c>
      <c r="CB103" s="20" t="e">
        <f t="shared" si="64"/>
        <v>#N/A</v>
      </c>
      <c r="CC103" s="59" t="e">
        <f t="shared" si="65"/>
        <v>#N/A</v>
      </c>
      <c r="CD103" s="59" t="e">
        <f ca="1">AVERAGE(OFFSET($CC$3,0,0,'Données projet'!$E$12+1,1))-AVERAGE(OFFSET($H$3,0,0,'Données projet'!$E$12+1,1))</f>
        <v>#N/A</v>
      </c>
      <c r="CE103" s="59" t="e">
        <f t="shared" si="94"/>
        <v>#N/A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 t="e">
        <f>EXP(-LN(2)/35)*CK102+(1-EXP(-LN(2)/35))/(LN(2)/35)*CG103*CH103*VLOOKUP('Données projet'!$B$12,Paramètres!$A$1:$I$89,3,0)*0.475*44/12</f>
        <v>#N/A</v>
      </c>
      <c r="CL103" s="21" t="e">
        <f>EXP(-LN(2)/25)*CL102+(1-EXP(-LN(2)/25))/(LN(2)/25)*Calculateur!CG103*Calculateur!CI103*VLOOKUP('Données projet'!$B$12,Paramètres!$A$1:$I$89,3,0)*0.475*44/12</f>
        <v>#N/A</v>
      </c>
      <c r="CM103" s="21" t="e">
        <f>EXP(-LN(2)/2)*CM102+(1-EXP(-LN(2)/2))/(LN(2)/2)*CG103*CJ103*VLOOKUP('Données projet'!$B$12,Paramètres!$A$1:$I$89,3,0)*0.475*44/12</f>
        <v>#N/A</v>
      </c>
      <c r="CN103" s="22" t="e">
        <f t="shared" si="66"/>
        <v>#N/A</v>
      </c>
      <c r="CO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35">
      <c r="A104" s="10">
        <f t="shared" si="85"/>
        <v>101</v>
      </c>
      <c r="B104" s="72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1">
        <f t="shared" si="86"/>
        <v>0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66">
        <f t="shared" si="56"/>
        <v>256.66666666666669</v>
      </c>
      <c r="I104" s="6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10.060000000000002</v>
      </c>
      <c r="N104" s="13">
        <f>IF('Données projet'!$A$36&gt;35,N103+M104-V103,IF(A104&lt;'Données projet'!$A$36,$K$205^A104,IF(A104='Données projet'!$A$36,'Données projet'!$B$36,N103+M104-V103)))</f>
        <v>440.49999999999955</v>
      </c>
      <c r="O104" s="13">
        <f>N104*VLOOKUP('Données projet'!$B$9,Paramètres!$A$1:$I$89,3,0)*VLOOKUP('Données projet'!$B$9,Paramètres!$A$1:$I$89,5,0)</f>
        <v>398.56439999999958</v>
      </c>
      <c r="P104" s="13">
        <f t="shared" si="87"/>
        <v>91.48555847776619</v>
      </c>
      <c r="Q104" s="20">
        <f t="shared" si="107"/>
        <v>853.50367768210856</v>
      </c>
      <c r="R104" s="59">
        <f t="shared" si="55"/>
        <v>1146.8370110154419</v>
      </c>
      <c r="S104" s="59">
        <f ca="1">AVERAGE(OFFSET($R$3,0,0,'Données projet'!$E$9+1,1))-AVERAGE(OFFSET($H$3,0,0,'Données projet'!$E$9+1,1))</f>
        <v>700.22008319944644</v>
      </c>
      <c r="T104" s="59">
        <f t="shared" si="88"/>
        <v>253.69632671986739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140.06574097006089</v>
      </c>
      <c r="AA104" s="21">
        <f>EXP(-LN(2)/25)*AA103+(1-EXP(-LN(2)/25))/(LN(2)/25)*Calculateur!V104*Calculateur!X104*VLOOKUP('Données projet'!$B$9,Paramètres!$A$1:$I$89,3,0)*0.475*44/12</f>
        <v>0</v>
      </c>
      <c r="AB104" s="21">
        <f>EXP(-LN(2)/2)*AB103+(1-EXP(-LN(2)/2))/(LN(2)/2)*V104*Y104*VLOOKUP('Données projet'!$B$9,Paramètres!$A$1:$I$89,3,0)*0.475*44/12</f>
        <v>0</v>
      </c>
      <c r="AC104" s="22">
        <f t="shared" si="57"/>
        <v>140.06574097006089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10.060000000000002</v>
      </c>
      <c r="AI104" s="13">
        <f>IF('Données projet'!$A$62&gt;35,AI103+AH104-AQ103,IF(A104&lt;'Données projet'!$A$62,$AF$205^A104,IF(A104='Données projet'!$A$62,'Données projet'!$B$62,AI103+AH104-AQ103)))</f>
        <v>440.49999999999955</v>
      </c>
      <c r="AJ104" s="13">
        <f>AI104*VLOOKUP('Données projet'!$B$10,Paramètres!$A$1:$I$89,3,0)*VLOOKUP('Données projet'!$B$10,Paramètres!$A$1:$I$89,5,0)</f>
        <v>419.17979999999955</v>
      </c>
      <c r="AK104" s="13">
        <f t="shared" si="89"/>
        <v>95.654412948908117</v>
      </c>
      <c r="AL104" s="20">
        <f t="shared" si="58"/>
        <v>896.6695875526807</v>
      </c>
      <c r="AM104" s="59">
        <f t="shared" si="59"/>
        <v>1190.002920886014</v>
      </c>
      <c r="AN104" s="59">
        <f ca="1">AVERAGE(OFFSET($AM$3,0,0,'Données projet'!$E$10+1,1))-AVERAGE(OFFSET($H$3,0,0,'Données projet'!$E$10+1,1))</f>
        <v>733.95677909577444</v>
      </c>
      <c r="AO104" s="59">
        <f t="shared" si="90"/>
        <v>264.63778993239799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147.31052067540887</v>
      </c>
      <c r="AV104" s="21">
        <f>EXP(-LN(2)/25)*AV103+(1-EXP(-LN(2)/25))/(LN(2)/25)*Calculateur!AQ104*Calculateur!AS104*VLOOKUP('Données projet'!$B$10,Paramètres!$A$1:$I$89,3,0)*0.475*44/12</f>
        <v>0</v>
      </c>
      <c r="AW104" s="21">
        <f>EXP(-LN(2)/2)*AW103+(1-EXP(-LN(2)/2))/(LN(2)/2)*AQ104*AT104*VLOOKUP('Données projet'!$B$10,Paramètres!$A$1:$I$89,3,0)*0.475*44/12</f>
        <v>0</v>
      </c>
      <c r="AX104" s="21">
        <f t="shared" si="60"/>
        <v>147.31052067540887</v>
      </c>
      <c r="AY104" s="7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0</v>
      </c>
      <c r="BE104" s="13">
        <f>BD104*VLOOKUP('Données projet'!$B$11,Paramètres!$A$1:$I$89,3,0)*VLOOKUP('Données projet'!$B$11,Paramètres!$A$1:$I$89,5,0)</f>
        <v>0</v>
      </c>
      <c r="BF104" s="13" t="e">
        <f t="shared" si="91"/>
        <v>#NUM!</v>
      </c>
      <c r="BG104" s="20" t="e">
        <f t="shared" si="61"/>
        <v>#NUM!</v>
      </c>
      <c r="BH104" s="59" t="e">
        <f t="shared" si="62"/>
        <v>#NUM!</v>
      </c>
      <c r="BI104" s="59">
        <f ca="1">AVERAGE(OFFSET($BH$3,0,0,'Données projet'!$E$11+1,1))-AVERAGE(OFFSET($H$3,0,0,'Données projet'!$E$11+1,1))</f>
        <v>187.80389738728508</v>
      </c>
      <c r="BJ104" s="59">
        <f t="shared" si="92"/>
        <v>439.28159165815265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30.271977413724258</v>
      </c>
      <c r="BQ104" s="21">
        <f>EXP(-LN(2)/25)*BQ103+(1-EXP(-LN(2)/25))/(LN(2)/25)*Calculateur!BL104*Calculateur!BN104*VLOOKUP('Données projet'!$B$11,Paramètres!$A$1:$I$89,3,0)*0.475*44/12</f>
        <v>2.0079478867394935</v>
      </c>
      <c r="BR104" s="21">
        <f>EXP(-LN(2)/2)*BR103+(1-EXP(-LN(2)/2))/(LN(2)/2)*BL104*BO104*VLOOKUP('Données projet'!$B$11,Paramètres!$A$1:$I$89,3,0)*0.475*44/12</f>
        <v>9.2529631627714316E-13</v>
      </c>
      <c r="BS104" s="22">
        <f t="shared" si="63"/>
        <v>32.279925300464676</v>
      </c>
      <c r="BT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0</v>
      </c>
      <c r="BZ104" s="13" t="e">
        <f>BY104*VLOOKUP('Données projet'!$B$12,Paramètres!$A$1:$I$89,3,0)*VLOOKUP('Données projet'!$B$12,Paramètres!$A$1:$I$89,5,0)</f>
        <v>#N/A</v>
      </c>
      <c r="CA104" s="13" t="e">
        <f t="shared" si="93"/>
        <v>#N/A</v>
      </c>
      <c r="CB104" s="20" t="e">
        <f t="shared" si="64"/>
        <v>#N/A</v>
      </c>
      <c r="CC104" s="59" t="e">
        <f t="shared" si="65"/>
        <v>#N/A</v>
      </c>
      <c r="CD104" s="59" t="e">
        <f ca="1">AVERAGE(OFFSET($CC$3,0,0,'Données projet'!$E$12+1,1))-AVERAGE(OFFSET($H$3,0,0,'Données projet'!$E$12+1,1))</f>
        <v>#N/A</v>
      </c>
      <c r="CE104" s="59" t="e">
        <f t="shared" si="94"/>
        <v>#N/A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 t="e">
        <f>EXP(-LN(2)/35)*CK103+(1-EXP(-LN(2)/35))/(LN(2)/35)*CG104*CH104*VLOOKUP('Données projet'!$B$12,Paramètres!$A$1:$I$89,3,0)*0.475*44/12</f>
        <v>#N/A</v>
      </c>
      <c r="CL104" s="21" t="e">
        <f>EXP(-LN(2)/25)*CL103+(1-EXP(-LN(2)/25))/(LN(2)/25)*Calculateur!CG104*Calculateur!CI104*VLOOKUP('Données projet'!$B$12,Paramètres!$A$1:$I$89,3,0)*0.475*44/12</f>
        <v>#N/A</v>
      </c>
      <c r="CM104" s="21" t="e">
        <f>EXP(-LN(2)/2)*CM103+(1-EXP(-LN(2)/2))/(LN(2)/2)*CG104*CJ104*VLOOKUP('Données projet'!$B$12,Paramètres!$A$1:$I$89,3,0)*0.475*44/12</f>
        <v>#N/A</v>
      </c>
      <c r="CN104" s="22" t="e">
        <f t="shared" si="66"/>
        <v>#N/A</v>
      </c>
      <c r="CO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35">
      <c r="A105" s="10">
        <f t="shared" si="85"/>
        <v>102</v>
      </c>
      <c r="B105" s="72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1">
        <f t="shared" si="86"/>
        <v>0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66">
        <f t="shared" si="56"/>
        <v>256.66666666666669</v>
      </c>
      <c r="I105" s="6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10.060000000000002</v>
      </c>
      <c r="N105" s="13">
        <f>IF('Données projet'!$A$36&gt;35,N104+M105-V104,IF(A105&lt;'Données projet'!$A$36,$K$205^A105,IF(A105='Données projet'!$A$36,'Données projet'!$B$36,N104+M105-V104)))</f>
        <v>450.55999999999955</v>
      </c>
      <c r="O105" s="13">
        <f>N105*VLOOKUP('Données projet'!$B$9,Paramètres!$A$1:$I$89,3,0)*VLOOKUP('Données projet'!$B$9,Paramètres!$A$1:$I$89,5,0)</f>
        <v>407.66668799999957</v>
      </c>
      <c r="P105" s="13">
        <f t="shared" si="87"/>
        <v>93.329246968763528</v>
      </c>
      <c r="Q105" s="20">
        <f t="shared" si="107"/>
        <v>872.56792007059573</v>
      </c>
      <c r="R105" s="59">
        <f t="shared" si="55"/>
        <v>1165.9012534039291</v>
      </c>
      <c r="S105" s="59">
        <f ca="1">AVERAGE(OFFSET($R$3,0,0,'Données projet'!$E$9+1,1))-AVERAGE(OFFSET($H$3,0,0,'Données projet'!$E$9+1,1))</f>
        <v>700.22008319944644</v>
      </c>
      <c r="T105" s="59">
        <f t="shared" si="88"/>
        <v>253.69632671986739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137.31913722130432</v>
      </c>
      <c r="AA105" s="21">
        <f>EXP(-LN(2)/25)*AA104+(1-EXP(-LN(2)/25))/(LN(2)/25)*Calculateur!V105*Calculateur!X105*VLOOKUP('Données projet'!$B$9,Paramètres!$A$1:$I$89,3,0)*0.475*44/12</f>
        <v>0</v>
      </c>
      <c r="AB105" s="21">
        <f>EXP(-LN(2)/2)*AB104+(1-EXP(-LN(2)/2))/(LN(2)/2)*V105*Y105*VLOOKUP('Données projet'!$B$9,Paramètres!$A$1:$I$89,3,0)*0.475*44/12</f>
        <v>0</v>
      </c>
      <c r="AC105" s="22">
        <f t="shared" si="57"/>
        <v>137.31913722130432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10.060000000000002</v>
      </c>
      <c r="AI105" s="13">
        <f>IF('Données projet'!$A$62&gt;35,AI104+AH105-AQ104,IF(A105&lt;'Données projet'!$A$62,$AF$205^A105,IF(A105='Données projet'!$A$62,'Données projet'!$B$62,AI104+AH105-AQ104)))</f>
        <v>450.55999999999955</v>
      </c>
      <c r="AJ105" s="13">
        <f>AI105*VLOOKUP('Données projet'!$B$10,Paramètres!$A$1:$I$89,3,0)*VLOOKUP('Données projet'!$B$10,Paramètres!$A$1:$I$89,5,0)</f>
        <v>428.75289599999962</v>
      </c>
      <c r="AK105" s="13">
        <f t="shared" si="89"/>
        <v>97.582115454106003</v>
      </c>
      <c r="AL105" s="20">
        <f t="shared" si="58"/>
        <v>916.70014494923396</v>
      </c>
      <c r="AM105" s="59">
        <f t="shared" si="59"/>
        <v>1210.0334782825673</v>
      </c>
      <c r="AN105" s="59">
        <f ca="1">AVERAGE(OFFSET($AM$3,0,0,'Données projet'!$E$10+1,1))-AVERAGE(OFFSET($H$3,0,0,'Données projet'!$E$10+1,1))</f>
        <v>733.95677909577444</v>
      </c>
      <c r="AO105" s="59">
        <f t="shared" si="90"/>
        <v>264.63778993239799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144.42185121550972</v>
      </c>
      <c r="AV105" s="21">
        <f>EXP(-LN(2)/25)*AV104+(1-EXP(-LN(2)/25))/(LN(2)/25)*Calculateur!AQ105*Calculateur!AS105*VLOOKUP('Données projet'!$B$10,Paramètres!$A$1:$I$89,3,0)*0.475*44/12</f>
        <v>0</v>
      </c>
      <c r="AW105" s="21">
        <f>EXP(-LN(2)/2)*AW104+(1-EXP(-LN(2)/2))/(LN(2)/2)*AQ105*AT105*VLOOKUP('Données projet'!$B$10,Paramètres!$A$1:$I$89,3,0)*0.475*44/12</f>
        <v>0</v>
      </c>
      <c r="AX105" s="21">
        <f t="shared" si="60"/>
        <v>144.42185121550972</v>
      </c>
      <c r="AY105" s="7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0</v>
      </c>
      <c r="BE105" s="13">
        <f>BD105*VLOOKUP('Données projet'!$B$11,Paramètres!$A$1:$I$89,3,0)*VLOOKUP('Données projet'!$B$11,Paramètres!$A$1:$I$89,5,0)</f>
        <v>0</v>
      </c>
      <c r="BF105" s="13" t="e">
        <f t="shared" si="91"/>
        <v>#NUM!</v>
      </c>
      <c r="BG105" s="20" t="e">
        <f t="shared" si="61"/>
        <v>#NUM!</v>
      </c>
      <c r="BH105" s="59" t="e">
        <f t="shared" si="62"/>
        <v>#NUM!</v>
      </c>
      <c r="BI105" s="59">
        <f ca="1">AVERAGE(OFFSET($BH$3,0,0,'Données projet'!$E$11+1,1))-AVERAGE(OFFSET($H$3,0,0,'Données projet'!$E$11+1,1))</f>
        <v>187.80389738728508</v>
      </c>
      <c r="BJ105" s="59">
        <f t="shared" si="92"/>
        <v>439.28159165815265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29.678362400724172</v>
      </c>
      <c r="BQ105" s="21">
        <f>EXP(-LN(2)/25)*BQ104+(1-EXP(-LN(2)/25))/(LN(2)/25)*Calculateur!BL105*Calculateur!BN105*VLOOKUP('Données projet'!$B$11,Paramètres!$A$1:$I$89,3,0)*0.475*44/12</f>
        <v>1.953040446183212</v>
      </c>
      <c r="BR105" s="21">
        <f>EXP(-LN(2)/2)*BR104+(1-EXP(-LN(2)/2))/(LN(2)/2)*BL105*BO105*VLOOKUP('Données projet'!$B$11,Paramètres!$A$1:$I$89,3,0)*0.475*44/12</f>
        <v>6.5428329984650034E-13</v>
      </c>
      <c r="BS105" s="22">
        <f t="shared" si="63"/>
        <v>31.631402846908038</v>
      </c>
      <c r="BT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0</v>
      </c>
      <c r="BZ105" s="13" t="e">
        <f>BY105*VLOOKUP('Données projet'!$B$12,Paramètres!$A$1:$I$89,3,0)*VLOOKUP('Données projet'!$B$12,Paramètres!$A$1:$I$89,5,0)</f>
        <v>#N/A</v>
      </c>
      <c r="CA105" s="13" t="e">
        <f t="shared" si="93"/>
        <v>#N/A</v>
      </c>
      <c r="CB105" s="20" t="e">
        <f t="shared" si="64"/>
        <v>#N/A</v>
      </c>
      <c r="CC105" s="59" t="e">
        <f t="shared" si="65"/>
        <v>#N/A</v>
      </c>
      <c r="CD105" s="59" t="e">
        <f ca="1">AVERAGE(OFFSET($CC$3,0,0,'Données projet'!$E$12+1,1))-AVERAGE(OFFSET($H$3,0,0,'Données projet'!$E$12+1,1))</f>
        <v>#N/A</v>
      </c>
      <c r="CE105" s="59" t="e">
        <f t="shared" si="94"/>
        <v>#N/A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 t="e">
        <f>EXP(-LN(2)/35)*CK104+(1-EXP(-LN(2)/35))/(LN(2)/35)*CG105*CH105*VLOOKUP('Données projet'!$B$12,Paramètres!$A$1:$I$89,3,0)*0.475*44/12</f>
        <v>#N/A</v>
      </c>
      <c r="CL105" s="21" t="e">
        <f>EXP(-LN(2)/25)*CL104+(1-EXP(-LN(2)/25))/(LN(2)/25)*Calculateur!CG105*Calculateur!CI105*VLOOKUP('Données projet'!$B$12,Paramètres!$A$1:$I$89,3,0)*0.475*44/12</f>
        <v>#N/A</v>
      </c>
      <c r="CM105" s="21" t="e">
        <f>EXP(-LN(2)/2)*CM104+(1-EXP(-LN(2)/2))/(LN(2)/2)*CG105*CJ105*VLOOKUP('Données projet'!$B$12,Paramètres!$A$1:$I$89,3,0)*0.475*44/12</f>
        <v>#N/A</v>
      </c>
      <c r="CN105" s="22" t="e">
        <f t="shared" si="66"/>
        <v>#N/A</v>
      </c>
      <c r="CO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35">
      <c r="A106" s="10">
        <f t="shared" si="85"/>
        <v>103</v>
      </c>
      <c r="B106" s="72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1">
        <f t="shared" si="86"/>
        <v>0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66">
        <f t="shared" si="56"/>
        <v>256.66666666666669</v>
      </c>
      <c r="I106" s="6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10.060000000000002</v>
      </c>
      <c r="N106" s="13">
        <f>IF('Données projet'!$A$36&gt;35,N105+M106-V105,IF(A106&lt;'Données projet'!$A$36,$K$205^A106,IF(A106='Données projet'!$A$36,'Données projet'!$B$36,N105+M106-V105)))</f>
        <v>460.61999999999955</v>
      </c>
      <c r="O106" s="13">
        <f>N106*VLOOKUP('Données projet'!$B$9,Paramètres!$A$1:$I$89,3,0)*VLOOKUP('Données projet'!$B$9,Paramètres!$A$1:$I$89,5,0)</f>
        <v>416.76897599999961</v>
      </c>
      <c r="P106" s="13">
        <f t="shared" si="87"/>
        <v>95.168149602065114</v>
      </c>
      <c r="Q106" s="20">
        <f t="shared" si="107"/>
        <v>891.62382709026269</v>
      </c>
      <c r="R106" s="59">
        <f t="shared" si="55"/>
        <v>1184.957160423596</v>
      </c>
      <c r="S106" s="59">
        <f ca="1">AVERAGE(OFFSET($R$3,0,0,'Données projet'!$E$9+1,1))-AVERAGE(OFFSET($H$3,0,0,'Données projet'!$E$9+1,1))</f>
        <v>700.22008319944644</v>
      </c>
      <c r="T106" s="59">
        <f t="shared" si="88"/>
        <v>253.69632671986739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134.62639269679798</v>
      </c>
      <c r="AA106" s="21">
        <f>EXP(-LN(2)/25)*AA105+(1-EXP(-LN(2)/25))/(LN(2)/25)*Calculateur!V106*Calculateur!X106*VLOOKUP('Données projet'!$B$9,Paramètres!$A$1:$I$89,3,0)*0.475*44/12</f>
        <v>0</v>
      </c>
      <c r="AB106" s="21">
        <f>EXP(-LN(2)/2)*AB105+(1-EXP(-LN(2)/2))/(LN(2)/2)*V106*Y106*VLOOKUP('Données projet'!$B$9,Paramètres!$A$1:$I$89,3,0)*0.475*44/12</f>
        <v>0</v>
      </c>
      <c r="AC106" s="22">
        <f t="shared" si="57"/>
        <v>134.62639269679798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10.060000000000002</v>
      </c>
      <c r="AI106" s="13">
        <f>IF('Données projet'!$A$62&gt;35,AI105+AH106-AQ105,IF(A106&lt;'Données projet'!$A$62,$AF$205^A106,IF(A106='Données projet'!$A$62,'Données projet'!$B$62,AI105+AH106-AQ105)))</f>
        <v>460.61999999999955</v>
      </c>
      <c r="AJ106" s="13">
        <f>AI106*VLOOKUP('Données projet'!$B$10,Paramètres!$A$1:$I$89,3,0)*VLOOKUP('Données projet'!$B$10,Paramètres!$A$1:$I$89,5,0)</f>
        <v>438.32599199999959</v>
      </c>
      <c r="AK106" s="13">
        <f t="shared" si="89"/>
        <v>99.5048140175236</v>
      </c>
      <c r="AL106" s="20">
        <f t="shared" si="58"/>
        <v>936.72198714718616</v>
      </c>
      <c r="AM106" s="59">
        <f t="shared" si="59"/>
        <v>1230.0553204805194</v>
      </c>
      <c r="AN106" s="59">
        <f ca="1">AVERAGE(OFFSET($AM$3,0,0,'Données projet'!$E$10+1,1))-AVERAGE(OFFSET($H$3,0,0,'Données projet'!$E$10+1,1))</f>
        <v>733.95677909577444</v>
      </c>
      <c r="AO106" s="59">
        <f t="shared" si="90"/>
        <v>264.63778993239799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141.58982680180478</v>
      </c>
      <c r="AV106" s="21">
        <f>EXP(-LN(2)/25)*AV105+(1-EXP(-LN(2)/25))/(LN(2)/25)*Calculateur!AQ106*Calculateur!AS106*VLOOKUP('Données projet'!$B$10,Paramètres!$A$1:$I$89,3,0)*0.475*44/12</f>
        <v>0</v>
      </c>
      <c r="AW106" s="21">
        <f>EXP(-LN(2)/2)*AW105+(1-EXP(-LN(2)/2))/(LN(2)/2)*AQ106*AT106*VLOOKUP('Données projet'!$B$10,Paramètres!$A$1:$I$89,3,0)*0.475*44/12</f>
        <v>0</v>
      </c>
      <c r="AX106" s="21">
        <f t="shared" si="60"/>
        <v>141.58982680180478</v>
      </c>
      <c r="AY106" s="7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0</v>
      </c>
      <c r="BE106" s="13">
        <f>BD106*VLOOKUP('Données projet'!$B$11,Paramètres!$A$1:$I$89,3,0)*VLOOKUP('Données projet'!$B$11,Paramètres!$A$1:$I$89,5,0)</f>
        <v>0</v>
      </c>
      <c r="BF106" s="13" t="e">
        <f t="shared" si="91"/>
        <v>#NUM!</v>
      </c>
      <c r="BG106" s="20" t="e">
        <f t="shared" si="61"/>
        <v>#NUM!</v>
      </c>
      <c r="BH106" s="59" t="e">
        <f t="shared" si="62"/>
        <v>#NUM!</v>
      </c>
      <c r="BI106" s="59">
        <f ca="1">AVERAGE(OFFSET($BH$3,0,0,'Données projet'!$E$11+1,1))-AVERAGE(OFFSET($H$3,0,0,'Données projet'!$E$11+1,1))</f>
        <v>187.80389738728508</v>
      </c>
      <c r="BJ106" s="59">
        <f t="shared" si="92"/>
        <v>439.28159165815265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29.096387816059611</v>
      </c>
      <c r="BQ106" s="21">
        <f>EXP(-LN(2)/25)*BQ105+(1-EXP(-LN(2)/25))/(LN(2)/25)*Calculateur!BL106*Calculateur!BN106*VLOOKUP('Données projet'!$B$11,Paramètres!$A$1:$I$89,3,0)*0.475*44/12</f>
        <v>1.8996344524763988</v>
      </c>
      <c r="BR106" s="21">
        <f>EXP(-LN(2)/2)*BR105+(1-EXP(-LN(2)/2))/(LN(2)/2)*BL106*BO106*VLOOKUP('Données projet'!$B$11,Paramètres!$A$1:$I$89,3,0)*0.475*44/12</f>
        <v>4.6264815813857158E-13</v>
      </c>
      <c r="BS106" s="22">
        <f t="shared" si="63"/>
        <v>30.996022268536471</v>
      </c>
      <c r="BT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0</v>
      </c>
      <c r="BZ106" s="13" t="e">
        <f>BY106*VLOOKUP('Données projet'!$B$12,Paramètres!$A$1:$I$89,3,0)*VLOOKUP('Données projet'!$B$12,Paramètres!$A$1:$I$89,5,0)</f>
        <v>#N/A</v>
      </c>
      <c r="CA106" s="13" t="e">
        <f t="shared" si="93"/>
        <v>#N/A</v>
      </c>
      <c r="CB106" s="20" t="e">
        <f t="shared" si="64"/>
        <v>#N/A</v>
      </c>
      <c r="CC106" s="59" t="e">
        <f t="shared" si="65"/>
        <v>#N/A</v>
      </c>
      <c r="CD106" s="59" t="e">
        <f ca="1">AVERAGE(OFFSET($CC$3,0,0,'Données projet'!$E$12+1,1))-AVERAGE(OFFSET($H$3,0,0,'Données projet'!$E$12+1,1))</f>
        <v>#N/A</v>
      </c>
      <c r="CE106" s="59" t="e">
        <f t="shared" si="94"/>
        <v>#N/A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 t="e">
        <f>EXP(-LN(2)/35)*CK105+(1-EXP(-LN(2)/35))/(LN(2)/35)*CG106*CH106*VLOOKUP('Données projet'!$B$12,Paramètres!$A$1:$I$89,3,0)*0.475*44/12</f>
        <v>#N/A</v>
      </c>
      <c r="CL106" s="21" t="e">
        <f>EXP(-LN(2)/25)*CL105+(1-EXP(-LN(2)/25))/(LN(2)/25)*Calculateur!CG106*Calculateur!CI106*VLOOKUP('Données projet'!$B$12,Paramètres!$A$1:$I$89,3,0)*0.475*44/12</f>
        <v>#N/A</v>
      </c>
      <c r="CM106" s="21" t="e">
        <f>EXP(-LN(2)/2)*CM105+(1-EXP(-LN(2)/2))/(LN(2)/2)*CG106*CJ106*VLOOKUP('Données projet'!$B$12,Paramètres!$A$1:$I$89,3,0)*0.475*44/12</f>
        <v>#N/A</v>
      </c>
      <c r="CN106" s="22" t="e">
        <f t="shared" si="66"/>
        <v>#N/A</v>
      </c>
      <c r="CO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35">
      <c r="A107" s="10">
        <f t="shared" si="85"/>
        <v>104</v>
      </c>
      <c r="B107" s="72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1">
        <f t="shared" si="86"/>
        <v>0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66">
        <f t="shared" si="56"/>
        <v>256.66666666666669</v>
      </c>
      <c r="I107" s="6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10.060000000000002</v>
      </c>
      <c r="N107" s="13">
        <f>IF('Données projet'!$A$36&gt;35,N106+M107-V106,IF(A107&lt;'Données projet'!$A$36,$K$205^A107,IF(A107='Données projet'!$A$36,'Données projet'!$B$36,N106+M107-V106)))</f>
        <v>470.67999999999955</v>
      </c>
      <c r="O107" s="13">
        <f>N107*VLOOKUP('Données projet'!$B$9,Paramètres!$A$1:$I$89,3,0)*VLOOKUP('Données projet'!$B$9,Paramètres!$A$1:$I$89,5,0)</f>
        <v>425.87126399999954</v>
      </c>
      <c r="P107" s="13">
        <f t="shared" si="87"/>
        <v>97.002382938501356</v>
      </c>
      <c r="Q107" s="20">
        <f t="shared" si="107"/>
        <v>910.67160175122228</v>
      </c>
      <c r="R107" s="59">
        <f t="shared" si="55"/>
        <v>1204.0049350845557</v>
      </c>
      <c r="S107" s="59">
        <f ca="1">AVERAGE(OFFSET($R$3,0,0,'Données projet'!$E$9+1,1))-AVERAGE(OFFSET($H$3,0,0,'Données projet'!$E$9+1,1))</f>
        <v>700.22008319944644</v>
      </c>
      <c r="T107" s="59">
        <f t="shared" si="88"/>
        <v>253.69632671986739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131.98645125000525</v>
      </c>
      <c r="AA107" s="21">
        <f>EXP(-LN(2)/25)*AA106+(1-EXP(-LN(2)/25))/(LN(2)/25)*Calculateur!V107*Calculateur!X107*VLOOKUP('Données projet'!$B$9,Paramètres!$A$1:$I$89,3,0)*0.475*44/12</f>
        <v>0</v>
      </c>
      <c r="AB107" s="21">
        <f>EXP(-LN(2)/2)*AB106+(1-EXP(-LN(2)/2))/(LN(2)/2)*V107*Y107*VLOOKUP('Données projet'!$B$9,Paramètres!$A$1:$I$89,3,0)*0.475*44/12</f>
        <v>0</v>
      </c>
      <c r="AC107" s="22">
        <f t="shared" si="57"/>
        <v>131.98645125000525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10.060000000000002</v>
      </c>
      <c r="AI107" s="13">
        <f>IF('Données projet'!$A$62&gt;35,AI106+AH107-AQ106,IF(A107&lt;'Données projet'!$A$62,$AF$205^A107,IF(A107='Données projet'!$A$62,'Données projet'!$B$62,AI106+AH107-AQ106)))</f>
        <v>470.67999999999955</v>
      </c>
      <c r="AJ107" s="13">
        <f>AI107*VLOOKUP('Données projet'!$B$10,Paramètres!$A$1:$I$89,3,0)*VLOOKUP('Données projet'!$B$10,Paramètres!$A$1:$I$89,5,0)</f>
        <v>447.89908799999955</v>
      </c>
      <c r="AK107" s="13">
        <f t="shared" si="89"/>
        <v>101.42263051148704</v>
      </c>
      <c r="AL107" s="20">
        <f t="shared" si="58"/>
        <v>956.7353264075058</v>
      </c>
      <c r="AM107" s="59">
        <f t="shared" si="59"/>
        <v>1250.0686597408392</v>
      </c>
      <c r="AN107" s="59">
        <f ca="1">AVERAGE(OFFSET($AM$3,0,0,'Données projet'!$E$10+1,1))-AVERAGE(OFFSET($H$3,0,0,'Données projet'!$E$10+1,1))</f>
        <v>733.95677909577444</v>
      </c>
      <c r="AO107" s="59">
        <f t="shared" si="90"/>
        <v>264.63778993239799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138.81333665948827</v>
      </c>
      <c r="AV107" s="21">
        <f>EXP(-LN(2)/25)*AV106+(1-EXP(-LN(2)/25))/(LN(2)/25)*Calculateur!AQ107*Calculateur!AS107*VLOOKUP('Données projet'!$B$10,Paramètres!$A$1:$I$89,3,0)*0.475*44/12</f>
        <v>0</v>
      </c>
      <c r="AW107" s="21">
        <f>EXP(-LN(2)/2)*AW106+(1-EXP(-LN(2)/2))/(LN(2)/2)*AQ107*AT107*VLOOKUP('Données projet'!$B$10,Paramètres!$A$1:$I$89,3,0)*0.475*44/12</f>
        <v>0</v>
      </c>
      <c r="AX107" s="21">
        <f t="shared" si="60"/>
        <v>138.81333665948827</v>
      </c>
      <c r="AY107" s="7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0</v>
      </c>
      <c r="BE107" s="13">
        <f>BD107*VLOOKUP('Données projet'!$B$11,Paramètres!$A$1:$I$89,3,0)*VLOOKUP('Données projet'!$B$11,Paramètres!$A$1:$I$89,5,0)</f>
        <v>0</v>
      </c>
      <c r="BF107" s="13" t="e">
        <f t="shared" si="91"/>
        <v>#NUM!</v>
      </c>
      <c r="BG107" s="20" t="e">
        <f t="shared" si="61"/>
        <v>#NUM!</v>
      </c>
      <c r="BH107" s="59" t="e">
        <f t="shared" si="62"/>
        <v>#NUM!</v>
      </c>
      <c r="BI107" s="59">
        <f ca="1">AVERAGE(OFFSET($BH$3,0,0,'Données projet'!$E$11+1,1))-AVERAGE(OFFSET($H$3,0,0,'Données projet'!$E$11+1,1))</f>
        <v>187.80389738728508</v>
      </c>
      <c r="BJ107" s="59">
        <f t="shared" si="92"/>
        <v>439.28159165815265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28.525825398030875</v>
      </c>
      <c r="BQ107" s="21">
        <f>EXP(-LN(2)/25)*BQ106+(1-EXP(-LN(2)/25))/(LN(2)/25)*Calculateur!BL107*Calculateur!BN107*VLOOKUP('Données projet'!$B$11,Paramètres!$A$1:$I$89,3,0)*0.475*44/12</f>
        <v>1.8476888484759975</v>
      </c>
      <c r="BR107" s="21">
        <f>EXP(-LN(2)/2)*BR106+(1-EXP(-LN(2)/2))/(LN(2)/2)*BL107*BO107*VLOOKUP('Données projet'!$B$11,Paramètres!$A$1:$I$89,3,0)*0.475*44/12</f>
        <v>3.2714164992325017E-13</v>
      </c>
      <c r="BS107" s="22">
        <f t="shared" si="63"/>
        <v>30.373514246507199</v>
      </c>
      <c r="BT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0</v>
      </c>
      <c r="BZ107" s="13" t="e">
        <f>BY107*VLOOKUP('Données projet'!$B$12,Paramètres!$A$1:$I$89,3,0)*VLOOKUP('Données projet'!$B$12,Paramètres!$A$1:$I$89,5,0)</f>
        <v>#N/A</v>
      </c>
      <c r="CA107" s="13" t="e">
        <f t="shared" si="93"/>
        <v>#N/A</v>
      </c>
      <c r="CB107" s="20" t="e">
        <f t="shared" si="64"/>
        <v>#N/A</v>
      </c>
      <c r="CC107" s="59" t="e">
        <f t="shared" si="65"/>
        <v>#N/A</v>
      </c>
      <c r="CD107" s="59" t="e">
        <f ca="1">AVERAGE(OFFSET($CC$3,0,0,'Données projet'!$E$12+1,1))-AVERAGE(OFFSET($H$3,0,0,'Données projet'!$E$12+1,1))</f>
        <v>#N/A</v>
      </c>
      <c r="CE107" s="59" t="e">
        <f t="shared" si="94"/>
        <v>#N/A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 t="e">
        <f>EXP(-LN(2)/35)*CK106+(1-EXP(-LN(2)/35))/(LN(2)/35)*CG107*CH107*VLOOKUP('Données projet'!$B$12,Paramètres!$A$1:$I$89,3,0)*0.475*44/12</f>
        <v>#N/A</v>
      </c>
      <c r="CL107" s="21" t="e">
        <f>EXP(-LN(2)/25)*CL106+(1-EXP(-LN(2)/25))/(LN(2)/25)*Calculateur!CG107*Calculateur!CI107*VLOOKUP('Données projet'!$B$12,Paramètres!$A$1:$I$89,3,0)*0.475*44/12</f>
        <v>#N/A</v>
      </c>
      <c r="CM107" s="21" t="e">
        <f>EXP(-LN(2)/2)*CM106+(1-EXP(-LN(2)/2))/(LN(2)/2)*CG107*CJ107*VLOOKUP('Données projet'!$B$12,Paramètres!$A$1:$I$89,3,0)*0.475*44/12</f>
        <v>#N/A</v>
      </c>
      <c r="CN107" s="22" t="e">
        <f t="shared" si="66"/>
        <v>#N/A</v>
      </c>
      <c r="CO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35">
      <c r="A108" s="10">
        <f t="shared" si="85"/>
        <v>105</v>
      </c>
      <c r="B108" s="72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1">
        <f t="shared" si="86"/>
        <v>0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66">
        <f t="shared" si="56"/>
        <v>256.66666666666669</v>
      </c>
      <c r="I108" s="6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10.060000000000002</v>
      </c>
      <c r="N108" s="13">
        <f>IF('Données projet'!$A$36&gt;35,N107+M108-V107,IF(A108&lt;'Données projet'!$A$36,$K$205^A108,IF(A108='Données projet'!$A$36,'Données projet'!$B$36,N107+M108-V107)))</f>
        <v>480.73999999999955</v>
      </c>
      <c r="O108" s="13">
        <f>N108*VLOOKUP('Données projet'!$B$9,Paramètres!$A$1:$I$89,3,0)*VLOOKUP('Données projet'!$B$9,Paramètres!$A$1:$I$89,5,0)</f>
        <v>434.97355199999959</v>
      </c>
      <c r="P108" s="13">
        <f t="shared" si="87"/>
        <v>98.83205827167825</v>
      </c>
      <c r="Q108" s="20">
        <f t="shared" si="107"/>
        <v>929.71143788983875</v>
      </c>
      <c r="R108" s="59">
        <f t="shared" si="55"/>
        <v>1223.0447712231721</v>
      </c>
      <c r="S108" s="59">
        <f ca="1">AVERAGE(OFFSET($R$3,0,0,'Données projet'!$E$9+1,1))-AVERAGE(OFFSET($H$3,0,0,'Données projet'!$E$9+1,1))</f>
        <v>700.22008319944644</v>
      </c>
      <c r="T108" s="59">
        <f t="shared" si="88"/>
        <v>253.69632671986739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129.39827744477881</v>
      </c>
      <c r="AA108" s="21">
        <f>EXP(-LN(2)/25)*AA107+(1-EXP(-LN(2)/25))/(LN(2)/25)*Calculateur!V108*Calculateur!X108*VLOOKUP('Données projet'!$B$9,Paramètres!$A$1:$I$89,3,0)*0.475*44/12</f>
        <v>0</v>
      </c>
      <c r="AB108" s="21">
        <f>EXP(-LN(2)/2)*AB107+(1-EXP(-LN(2)/2))/(LN(2)/2)*V108*Y108*VLOOKUP('Données projet'!$B$9,Paramètres!$A$1:$I$89,3,0)*0.475*44/12</f>
        <v>0</v>
      </c>
      <c r="AC108" s="22">
        <f t="shared" si="57"/>
        <v>129.39827744477881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10.060000000000002</v>
      </c>
      <c r="AI108" s="13">
        <f>IF('Données projet'!$A$62&gt;35,AI107+AH108-AQ107,IF(A108&lt;'Données projet'!$A$62,$AF$205^A108,IF(A108='Données projet'!$A$62,'Données projet'!$B$62,AI107+AH108-AQ107)))</f>
        <v>480.73999999999955</v>
      </c>
      <c r="AJ108" s="13">
        <f>AI108*VLOOKUP('Données projet'!$B$10,Paramètres!$A$1:$I$89,3,0)*VLOOKUP('Données projet'!$B$10,Paramètres!$A$1:$I$89,5,0)</f>
        <v>457.47218399999957</v>
      </c>
      <c r="AK108" s="13">
        <f t="shared" si="89"/>
        <v>103.33568130107888</v>
      </c>
      <c r="AL108" s="20">
        <f t="shared" si="58"/>
        <v>976.74036539937833</v>
      </c>
      <c r="AM108" s="59">
        <f t="shared" si="59"/>
        <v>1270.0736987327116</v>
      </c>
      <c r="AN108" s="59">
        <f ca="1">AVERAGE(OFFSET($AM$3,0,0,'Données projet'!$E$10+1,1))-AVERAGE(OFFSET($H$3,0,0,'Données projet'!$E$10+1,1))</f>
        <v>733.95677909577444</v>
      </c>
      <c r="AO108" s="59">
        <f t="shared" si="90"/>
        <v>264.63778993239799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136.09129179537081</v>
      </c>
      <c r="AV108" s="21">
        <f>EXP(-LN(2)/25)*AV107+(1-EXP(-LN(2)/25))/(LN(2)/25)*Calculateur!AQ108*Calculateur!AS108*VLOOKUP('Données projet'!$B$10,Paramètres!$A$1:$I$89,3,0)*0.475*44/12</f>
        <v>0</v>
      </c>
      <c r="AW108" s="21">
        <f>EXP(-LN(2)/2)*AW107+(1-EXP(-LN(2)/2))/(LN(2)/2)*AQ108*AT108*VLOOKUP('Données projet'!$B$10,Paramètres!$A$1:$I$89,3,0)*0.475*44/12</f>
        <v>0</v>
      </c>
      <c r="AX108" s="21">
        <f t="shared" si="60"/>
        <v>136.09129179537081</v>
      </c>
      <c r="AY108" s="7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0</v>
      </c>
      <c r="BE108" s="13">
        <f>BD108*VLOOKUP('Données projet'!$B$11,Paramètres!$A$1:$I$89,3,0)*VLOOKUP('Données projet'!$B$11,Paramètres!$A$1:$I$89,5,0)</f>
        <v>0</v>
      </c>
      <c r="BF108" s="13" t="e">
        <f t="shared" si="91"/>
        <v>#NUM!</v>
      </c>
      <c r="BG108" s="20" t="e">
        <f t="shared" si="61"/>
        <v>#NUM!</v>
      </c>
      <c r="BH108" s="59" t="e">
        <f t="shared" si="62"/>
        <v>#NUM!</v>
      </c>
      <c r="BI108" s="59">
        <f ca="1">AVERAGE(OFFSET($BH$3,0,0,'Données projet'!$E$11+1,1))-AVERAGE(OFFSET($H$3,0,0,'Données projet'!$E$11+1,1))</f>
        <v>187.80389738728508</v>
      </c>
      <c r="BJ108" s="59">
        <f t="shared" si="92"/>
        <v>439.28159165815265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27.966451361010972</v>
      </c>
      <c r="BQ108" s="21">
        <f>EXP(-LN(2)/25)*BQ107+(1-EXP(-LN(2)/25))/(LN(2)/25)*Calculateur!BL108*Calculateur!BN108*VLOOKUP('Données projet'!$B$11,Paramètres!$A$1:$I$89,3,0)*0.475*44/12</f>
        <v>1.7971636997486877</v>
      </c>
      <c r="BR108" s="21">
        <f>EXP(-LN(2)/2)*BR107+(1-EXP(-LN(2)/2))/(LN(2)/2)*BL108*BO108*VLOOKUP('Données projet'!$B$11,Paramètres!$A$1:$I$89,3,0)*0.475*44/12</f>
        <v>2.3132407906928579E-13</v>
      </c>
      <c r="BS108" s="22">
        <f t="shared" si="63"/>
        <v>29.763615060759889</v>
      </c>
      <c r="BT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0</v>
      </c>
      <c r="BZ108" s="13" t="e">
        <f>BY108*VLOOKUP('Données projet'!$B$12,Paramètres!$A$1:$I$89,3,0)*VLOOKUP('Données projet'!$B$12,Paramètres!$A$1:$I$89,5,0)</f>
        <v>#N/A</v>
      </c>
      <c r="CA108" s="13" t="e">
        <f t="shared" si="93"/>
        <v>#N/A</v>
      </c>
      <c r="CB108" s="20" t="e">
        <f t="shared" si="64"/>
        <v>#N/A</v>
      </c>
      <c r="CC108" s="59" t="e">
        <f t="shared" si="65"/>
        <v>#N/A</v>
      </c>
      <c r="CD108" s="59" t="e">
        <f ca="1">AVERAGE(OFFSET($CC$3,0,0,'Données projet'!$E$12+1,1))-AVERAGE(OFFSET($H$3,0,0,'Données projet'!$E$12+1,1))</f>
        <v>#N/A</v>
      </c>
      <c r="CE108" s="59" t="e">
        <f t="shared" si="94"/>
        <v>#N/A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 t="e">
        <f>EXP(-LN(2)/35)*CK107+(1-EXP(-LN(2)/35))/(LN(2)/35)*CG108*CH108*VLOOKUP('Données projet'!$B$12,Paramètres!$A$1:$I$89,3,0)*0.475*44/12</f>
        <v>#N/A</v>
      </c>
      <c r="CL108" s="21" t="e">
        <f>EXP(-LN(2)/25)*CL107+(1-EXP(-LN(2)/25))/(LN(2)/25)*Calculateur!CG108*Calculateur!CI108*VLOOKUP('Données projet'!$B$12,Paramètres!$A$1:$I$89,3,0)*0.475*44/12</f>
        <v>#N/A</v>
      </c>
      <c r="CM108" s="21" t="e">
        <f>EXP(-LN(2)/2)*CM107+(1-EXP(-LN(2)/2))/(LN(2)/2)*CG108*CJ108*VLOOKUP('Données projet'!$B$12,Paramètres!$A$1:$I$89,3,0)*0.475*44/12</f>
        <v>#N/A</v>
      </c>
      <c r="CN108" s="22" t="e">
        <f t="shared" si="66"/>
        <v>#N/A</v>
      </c>
      <c r="CO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35">
      <c r="A109" s="10">
        <f t="shared" si="85"/>
        <v>106</v>
      </c>
      <c r="B109" s="72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1">
        <f t="shared" si="86"/>
        <v>0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66">
        <f t="shared" si="56"/>
        <v>256.66666666666669</v>
      </c>
      <c r="I109" s="6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10.060000000000002</v>
      </c>
      <c r="N109" s="13">
        <f>IF('Données projet'!$A$36&gt;35,N108+M109-V108,IF(A109&lt;'Données projet'!$A$36,$K$205^A109,IF(A109='Données projet'!$A$36,'Données projet'!$B$36,N108+M109-V108)))</f>
        <v>490.79999999999956</v>
      </c>
      <c r="O109" s="13">
        <f>N109*VLOOKUP('Données projet'!$B$9,Paramètres!$A$1:$I$89,3,0)*VLOOKUP('Données projet'!$B$9,Paramètres!$A$1:$I$89,5,0)</f>
        <v>444.07583999999957</v>
      </c>
      <c r="P109" s="13">
        <f t="shared" si="87"/>
        <v>100.65728197115644</v>
      </c>
      <c r="Q109" s="20">
        <f t="shared" si="107"/>
        <v>948.74352076643015</v>
      </c>
      <c r="R109" s="59">
        <f t="shared" si="55"/>
        <v>1242.0768540997635</v>
      </c>
      <c r="S109" s="59">
        <f ca="1">AVERAGE(OFFSET($R$3,0,0,'Données projet'!$E$9+1,1))-AVERAGE(OFFSET($H$3,0,0,'Données projet'!$E$9+1,1))</f>
        <v>700.22008319944644</v>
      </c>
      <c r="T109" s="59">
        <f t="shared" si="88"/>
        <v>253.69632671986739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126.86085614924274</v>
      </c>
      <c r="AA109" s="21">
        <f>EXP(-LN(2)/25)*AA108+(1-EXP(-LN(2)/25))/(LN(2)/25)*Calculateur!V109*Calculateur!X109*VLOOKUP('Données projet'!$B$9,Paramètres!$A$1:$I$89,3,0)*0.475*44/12</f>
        <v>0</v>
      </c>
      <c r="AB109" s="21">
        <f>EXP(-LN(2)/2)*AB108+(1-EXP(-LN(2)/2))/(LN(2)/2)*V109*Y109*VLOOKUP('Données projet'!$B$9,Paramètres!$A$1:$I$89,3,0)*0.475*44/12</f>
        <v>0</v>
      </c>
      <c r="AC109" s="22">
        <f t="shared" si="57"/>
        <v>126.86085614924274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10.060000000000002</v>
      </c>
      <c r="AI109" s="13">
        <f>IF('Données projet'!$A$62&gt;35,AI108+AH109-AQ108,IF(A109&lt;'Données projet'!$A$62,$AF$205^A109,IF(A109='Données projet'!$A$62,'Données projet'!$B$62,AI108+AH109-AQ108)))</f>
        <v>490.79999999999956</v>
      </c>
      <c r="AJ109" s="13">
        <f>AI109*VLOOKUP('Données projet'!$B$10,Paramètres!$A$1:$I$89,3,0)*VLOOKUP('Données projet'!$B$10,Paramètres!$A$1:$I$89,5,0)</f>
        <v>467.04527999999965</v>
      </c>
      <c r="AK109" s="13">
        <f t="shared" si="89"/>
        <v>105.24407760295479</v>
      </c>
      <c r="AL109" s="20">
        <f t="shared" si="58"/>
        <v>996.73729782514545</v>
      </c>
      <c r="AM109" s="59">
        <f t="shared" si="59"/>
        <v>1290.0706311584788</v>
      </c>
      <c r="AN109" s="59">
        <f ca="1">AVERAGE(OFFSET($AM$3,0,0,'Données projet'!$E$10+1,1))-AVERAGE(OFFSET($H$3,0,0,'Données projet'!$E$10+1,1))</f>
        <v>733.95677909577444</v>
      </c>
      <c r="AO109" s="59">
        <f t="shared" si="90"/>
        <v>264.63778993239799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133.42262457075526</v>
      </c>
      <c r="AV109" s="21">
        <f>EXP(-LN(2)/25)*AV108+(1-EXP(-LN(2)/25))/(LN(2)/25)*Calculateur!AQ109*Calculateur!AS109*VLOOKUP('Données projet'!$B$10,Paramètres!$A$1:$I$89,3,0)*0.475*44/12</f>
        <v>0</v>
      </c>
      <c r="AW109" s="21">
        <f>EXP(-LN(2)/2)*AW108+(1-EXP(-LN(2)/2))/(LN(2)/2)*AQ109*AT109*VLOOKUP('Données projet'!$B$10,Paramètres!$A$1:$I$89,3,0)*0.475*44/12</f>
        <v>0</v>
      </c>
      <c r="AX109" s="21">
        <f t="shared" si="60"/>
        <v>133.42262457075526</v>
      </c>
      <c r="AY109" s="7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0</v>
      </c>
      <c r="BE109" s="13">
        <f>BD109*VLOOKUP('Données projet'!$B$11,Paramètres!$A$1:$I$89,3,0)*VLOOKUP('Données projet'!$B$11,Paramètres!$A$1:$I$89,5,0)</f>
        <v>0</v>
      </c>
      <c r="BF109" s="13" t="e">
        <f t="shared" si="91"/>
        <v>#NUM!</v>
      </c>
      <c r="BG109" s="20" t="e">
        <f t="shared" si="61"/>
        <v>#NUM!</v>
      </c>
      <c r="BH109" s="59" t="e">
        <f t="shared" si="62"/>
        <v>#NUM!</v>
      </c>
      <c r="BI109" s="59">
        <f ca="1">AVERAGE(OFFSET($BH$3,0,0,'Données projet'!$E$11+1,1))-AVERAGE(OFFSET($H$3,0,0,'Données projet'!$E$11+1,1))</f>
        <v>187.80389738728508</v>
      </c>
      <c r="BJ109" s="59">
        <f t="shared" si="92"/>
        <v>439.28159165815265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27.418046307672554</v>
      </c>
      <c r="BQ109" s="21">
        <f>EXP(-LN(2)/25)*BQ108+(1-EXP(-LN(2)/25))/(LN(2)/25)*Calculateur!BL109*Calculateur!BN109*VLOOKUP('Données projet'!$B$11,Paramètres!$A$1:$I$89,3,0)*0.475*44/12</f>
        <v>1.7480201638703283</v>
      </c>
      <c r="BR109" s="21">
        <f>EXP(-LN(2)/2)*BR108+(1-EXP(-LN(2)/2))/(LN(2)/2)*BL109*BO109*VLOOKUP('Données projet'!$B$11,Paramètres!$A$1:$I$89,3,0)*0.475*44/12</f>
        <v>1.6357082496162509E-13</v>
      </c>
      <c r="BS109" s="22">
        <f t="shared" si="63"/>
        <v>29.166066471543047</v>
      </c>
      <c r="BT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0</v>
      </c>
      <c r="BZ109" s="13" t="e">
        <f>BY109*VLOOKUP('Données projet'!$B$12,Paramètres!$A$1:$I$89,3,0)*VLOOKUP('Données projet'!$B$12,Paramètres!$A$1:$I$89,5,0)</f>
        <v>#N/A</v>
      </c>
      <c r="CA109" s="13" t="e">
        <f t="shared" si="93"/>
        <v>#N/A</v>
      </c>
      <c r="CB109" s="20" t="e">
        <f t="shared" si="64"/>
        <v>#N/A</v>
      </c>
      <c r="CC109" s="59" t="e">
        <f t="shared" si="65"/>
        <v>#N/A</v>
      </c>
      <c r="CD109" s="59" t="e">
        <f ca="1">AVERAGE(OFFSET($CC$3,0,0,'Données projet'!$E$12+1,1))-AVERAGE(OFFSET($H$3,0,0,'Données projet'!$E$12+1,1))</f>
        <v>#N/A</v>
      </c>
      <c r="CE109" s="59" t="e">
        <f t="shared" si="94"/>
        <v>#N/A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 t="e">
        <f>EXP(-LN(2)/35)*CK108+(1-EXP(-LN(2)/35))/(LN(2)/35)*CG109*CH109*VLOOKUP('Données projet'!$B$12,Paramètres!$A$1:$I$89,3,0)*0.475*44/12</f>
        <v>#N/A</v>
      </c>
      <c r="CL109" s="21" t="e">
        <f>EXP(-LN(2)/25)*CL108+(1-EXP(-LN(2)/25))/(LN(2)/25)*Calculateur!CG109*Calculateur!CI109*VLOOKUP('Données projet'!$B$12,Paramètres!$A$1:$I$89,3,0)*0.475*44/12</f>
        <v>#N/A</v>
      </c>
      <c r="CM109" s="21" t="e">
        <f>EXP(-LN(2)/2)*CM108+(1-EXP(-LN(2)/2))/(LN(2)/2)*CG109*CJ109*VLOOKUP('Données projet'!$B$12,Paramètres!$A$1:$I$89,3,0)*0.475*44/12</f>
        <v>#N/A</v>
      </c>
      <c r="CN109" s="22" t="e">
        <f t="shared" si="66"/>
        <v>#N/A</v>
      </c>
      <c r="CO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35">
      <c r="A110" s="10">
        <f t="shared" si="85"/>
        <v>107</v>
      </c>
      <c r="B110" s="72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1">
        <f t="shared" si="86"/>
        <v>0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66">
        <f t="shared" si="56"/>
        <v>256.66666666666669</v>
      </c>
      <c r="I110" s="6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10.060000000000002</v>
      </c>
      <c r="N110" s="13">
        <f>IF('Données projet'!$A$36&gt;35,N109+M110-V109,IF(A110&lt;'Données projet'!$A$36,$K$205^A110,IF(A110='Données projet'!$A$36,'Données projet'!$B$36,N109+M110-V109)))</f>
        <v>500.85999999999956</v>
      </c>
      <c r="O110" s="13">
        <f>N110*VLOOKUP('Données projet'!$B$9,Paramètres!$A$1:$I$89,3,0)*VLOOKUP('Données projet'!$B$9,Paramètres!$A$1:$I$89,5,0)</f>
        <v>453.17812799999962</v>
      </c>
      <c r="P110" s="13">
        <f t="shared" si="87"/>
        <v>102.47815579669938</v>
      </c>
      <c r="Q110" s="20">
        <f t="shared" si="107"/>
        <v>967.76802761258398</v>
      </c>
      <c r="R110" s="59">
        <f t="shared" si="55"/>
        <v>1261.1013609459173</v>
      </c>
      <c r="S110" s="59">
        <f ca="1">AVERAGE(OFFSET($R$3,0,0,'Données projet'!$E$9+1,1))-AVERAGE(OFFSET($H$3,0,0,'Données projet'!$E$9+1,1))</f>
        <v>700.22008319944644</v>
      </c>
      <c r="T110" s="59">
        <f t="shared" si="88"/>
        <v>253.69632671986739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124.37319213763794</v>
      </c>
      <c r="AA110" s="21">
        <f>EXP(-LN(2)/25)*AA109+(1-EXP(-LN(2)/25))/(LN(2)/25)*Calculateur!V110*Calculateur!X110*VLOOKUP('Données projet'!$B$9,Paramètres!$A$1:$I$89,3,0)*0.475*44/12</f>
        <v>0</v>
      </c>
      <c r="AB110" s="21">
        <f>EXP(-LN(2)/2)*AB109+(1-EXP(-LN(2)/2))/(LN(2)/2)*V110*Y110*VLOOKUP('Données projet'!$B$9,Paramètres!$A$1:$I$89,3,0)*0.475*44/12</f>
        <v>0</v>
      </c>
      <c r="AC110" s="22">
        <f t="shared" si="57"/>
        <v>124.37319213763794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10.060000000000002</v>
      </c>
      <c r="AI110" s="13">
        <f>IF('Données projet'!$A$62&gt;35,AI109+AH110-AQ109,IF(A110&lt;'Données projet'!$A$62,$AF$205^A110,IF(A110='Données projet'!$A$62,'Données projet'!$B$62,AI109+AH110-AQ109)))</f>
        <v>500.85999999999956</v>
      </c>
      <c r="AJ110" s="13">
        <f>AI110*VLOOKUP('Données projet'!$B$10,Paramètres!$A$1:$I$89,3,0)*VLOOKUP('Données projet'!$B$10,Paramètres!$A$1:$I$89,5,0)</f>
        <v>476.61837599999961</v>
      </c>
      <c r="AK110" s="13">
        <f t="shared" si="89"/>
        <v>107.14792581391229</v>
      </c>
      <c r="AL110" s="20">
        <f t="shared" si="58"/>
        <v>1016.7263089925633</v>
      </c>
      <c r="AM110" s="59">
        <f t="shared" si="59"/>
        <v>1310.0596423258967</v>
      </c>
      <c r="AN110" s="59">
        <f ca="1">AVERAGE(OFFSET($AM$3,0,0,'Données projet'!$E$10+1,1))-AVERAGE(OFFSET($H$3,0,0,'Données projet'!$E$10+1,1))</f>
        <v>733.95677909577444</v>
      </c>
      <c r="AO110" s="59">
        <f t="shared" si="90"/>
        <v>264.63778993239799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130.80628828268814</v>
      </c>
      <c r="AV110" s="21">
        <f>EXP(-LN(2)/25)*AV109+(1-EXP(-LN(2)/25))/(LN(2)/25)*Calculateur!AQ110*Calculateur!AS110*VLOOKUP('Données projet'!$B$10,Paramètres!$A$1:$I$89,3,0)*0.475*44/12</f>
        <v>0</v>
      </c>
      <c r="AW110" s="21">
        <f>EXP(-LN(2)/2)*AW109+(1-EXP(-LN(2)/2))/(LN(2)/2)*AQ110*AT110*VLOOKUP('Données projet'!$B$10,Paramètres!$A$1:$I$89,3,0)*0.475*44/12</f>
        <v>0</v>
      </c>
      <c r="AX110" s="21">
        <f t="shared" si="60"/>
        <v>130.80628828268814</v>
      </c>
      <c r="AY110" s="7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0</v>
      </c>
      <c r="BE110" s="13">
        <f>BD110*VLOOKUP('Données projet'!$B$11,Paramètres!$A$1:$I$89,3,0)*VLOOKUP('Données projet'!$B$11,Paramètres!$A$1:$I$89,5,0)</f>
        <v>0</v>
      </c>
      <c r="BF110" s="13" t="e">
        <f t="shared" si="91"/>
        <v>#NUM!</v>
      </c>
      <c r="BG110" s="20" t="e">
        <f t="shared" si="61"/>
        <v>#NUM!</v>
      </c>
      <c r="BH110" s="59" t="e">
        <f t="shared" si="62"/>
        <v>#NUM!</v>
      </c>
      <c r="BI110" s="59">
        <f ca="1">AVERAGE(OFFSET($BH$3,0,0,'Données projet'!$E$11+1,1))-AVERAGE(OFFSET($H$3,0,0,'Données projet'!$E$11+1,1))</f>
        <v>187.80389738728508</v>
      </c>
      <c r="BJ110" s="59">
        <f t="shared" si="92"/>
        <v>439.28159165815265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26.880395142936049</v>
      </c>
      <c r="BQ110" s="21">
        <f>EXP(-LN(2)/25)*BQ109+(1-EXP(-LN(2)/25))/(LN(2)/25)*Calculateur!BL110*Calculateur!BN110*VLOOKUP('Données projet'!$B$11,Paramètres!$A$1:$I$89,3,0)*0.475*44/12</f>
        <v>1.7002204605649089</v>
      </c>
      <c r="BR110" s="21">
        <f>EXP(-LN(2)/2)*BR109+(1-EXP(-LN(2)/2))/(LN(2)/2)*BL110*BO110*VLOOKUP('Données projet'!$B$11,Paramètres!$A$1:$I$89,3,0)*0.475*44/12</f>
        <v>1.1566203953464289E-13</v>
      </c>
      <c r="BS110" s="22">
        <f t="shared" si="63"/>
        <v>28.580615603501077</v>
      </c>
      <c r="BT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0</v>
      </c>
      <c r="BZ110" s="13" t="e">
        <f>BY110*VLOOKUP('Données projet'!$B$12,Paramètres!$A$1:$I$89,3,0)*VLOOKUP('Données projet'!$B$12,Paramètres!$A$1:$I$89,5,0)</f>
        <v>#N/A</v>
      </c>
      <c r="CA110" s="13" t="e">
        <f t="shared" si="93"/>
        <v>#N/A</v>
      </c>
      <c r="CB110" s="20" t="e">
        <f t="shared" si="64"/>
        <v>#N/A</v>
      </c>
      <c r="CC110" s="59" t="e">
        <f t="shared" si="65"/>
        <v>#N/A</v>
      </c>
      <c r="CD110" s="59" t="e">
        <f ca="1">AVERAGE(OFFSET($CC$3,0,0,'Données projet'!$E$12+1,1))-AVERAGE(OFFSET($H$3,0,0,'Données projet'!$E$12+1,1))</f>
        <v>#N/A</v>
      </c>
      <c r="CE110" s="59" t="e">
        <f t="shared" si="94"/>
        <v>#N/A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 t="e">
        <f>EXP(-LN(2)/35)*CK109+(1-EXP(-LN(2)/35))/(LN(2)/35)*CG110*CH110*VLOOKUP('Données projet'!$B$12,Paramètres!$A$1:$I$89,3,0)*0.475*44/12</f>
        <v>#N/A</v>
      </c>
      <c r="CL110" s="21" t="e">
        <f>EXP(-LN(2)/25)*CL109+(1-EXP(-LN(2)/25))/(LN(2)/25)*Calculateur!CG110*Calculateur!CI110*VLOOKUP('Données projet'!$B$12,Paramètres!$A$1:$I$89,3,0)*0.475*44/12</f>
        <v>#N/A</v>
      </c>
      <c r="CM110" s="21" t="e">
        <f>EXP(-LN(2)/2)*CM109+(1-EXP(-LN(2)/2))/(LN(2)/2)*CG110*CJ110*VLOOKUP('Données projet'!$B$12,Paramètres!$A$1:$I$89,3,0)*0.475*44/12</f>
        <v>#N/A</v>
      </c>
      <c r="CN110" s="22" t="e">
        <f t="shared" si="66"/>
        <v>#N/A</v>
      </c>
      <c r="CO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35">
      <c r="A111" s="10">
        <f t="shared" si="85"/>
        <v>108</v>
      </c>
      <c r="B111" s="72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1">
        <f t="shared" si="86"/>
        <v>0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66">
        <f t="shared" si="56"/>
        <v>256.66666666666669</v>
      </c>
      <c r="I111" s="6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10.060000000000002</v>
      </c>
      <c r="N111" s="13">
        <f>IF('Données projet'!$A$36&gt;35,N110+M111-V110,IF(A111&lt;'Données projet'!$A$36,$K$205^A111,IF(A111='Données projet'!$A$36,'Données projet'!$B$36,N110+M111-V110)))</f>
        <v>510.91999999999956</v>
      </c>
      <c r="O111" s="13">
        <f>N111*VLOOKUP('Données projet'!$B$9,Paramètres!$A$1:$I$89,3,0)*VLOOKUP('Données projet'!$B$9,Paramètres!$A$1:$I$89,5,0)</f>
        <v>462.28041599999955</v>
      </c>
      <c r="P111" s="13">
        <f t="shared" si="87"/>
        <v>104.29477718656059</v>
      </c>
      <c r="Q111" s="20">
        <f t="shared" si="107"/>
        <v>986.7851281332587</v>
      </c>
      <c r="R111" s="59">
        <f t="shared" si="55"/>
        <v>1280.118461466592</v>
      </c>
      <c r="S111" s="59">
        <f ca="1">AVERAGE(OFFSET($R$3,0,0,'Données projet'!$E$9+1,1))-AVERAGE(OFFSET($H$3,0,0,'Données projet'!$E$9+1,1))</f>
        <v>700.22008319944644</v>
      </c>
      <c r="T111" s="59">
        <f t="shared" si="88"/>
        <v>253.69632671986739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121.9343096999755</v>
      </c>
      <c r="AA111" s="21">
        <f>EXP(-LN(2)/25)*AA110+(1-EXP(-LN(2)/25))/(LN(2)/25)*Calculateur!V111*Calculateur!X111*VLOOKUP('Données projet'!$B$9,Paramètres!$A$1:$I$89,3,0)*0.475*44/12</f>
        <v>0</v>
      </c>
      <c r="AB111" s="21">
        <f>EXP(-LN(2)/2)*AB110+(1-EXP(-LN(2)/2))/(LN(2)/2)*V111*Y111*VLOOKUP('Données projet'!$B$9,Paramètres!$A$1:$I$89,3,0)*0.475*44/12</f>
        <v>0</v>
      </c>
      <c r="AC111" s="22">
        <f t="shared" si="57"/>
        <v>121.9343096999755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10.060000000000002</v>
      </c>
      <c r="AI111" s="13">
        <f>IF('Données projet'!$A$62&gt;35,AI110+AH111-AQ110,IF(A111&lt;'Données projet'!$A$62,$AF$205^A111,IF(A111='Données projet'!$A$62,'Données projet'!$B$62,AI110+AH111-AQ110)))</f>
        <v>510.91999999999956</v>
      </c>
      <c r="AJ111" s="13">
        <f>AI111*VLOOKUP('Données projet'!$B$10,Paramètres!$A$1:$I$89,3,0)*VLOOKUP('Données projet'!$B$10,Paramètres!$A$1:$I$89,5,0)</f>
        <v>486.19147199999958</v>
      </c>
      <c r="AK111" s="13">
        <f t="shared" si="89"/>
        <v>109.04732781231442</v>
      </c>
      <c r="AL111" s="20">
        <f t="shared" si="58"/>
        <v>1036.7075763397804</v>
      </c>
      <c r="AM111" s="59">
        <f t="shared" si="59"/>
        <v>1330.0409096731137</v>
      </c>
      <c r="AN111" s="59">
        <f ca="1">AVERAGE(OFFSET($AM$3,0,0,'Données projet'!$E$10+1,1))-AVERAGE(OFFSET($H$3,0,0,'Données projet'!$E$10+1,1))</f>
        <v>733.95677909577444</v>
      </c>
      <c r="AO111" s="59">
        <f t="shared" si="90"/>
        <v>264.63778993239799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128.24125675342248</v>
      </c>
      <c r="AV111" s="21">
        <f>EXP(-LN(2)/25)*AV110+(1-EXP(-LN(2)/25))/(LN(2)/25)*Calculateur!AQ111*Calculateur!AS111*VLOOKUP('Données projet'!$B$10,Paramètres!$A$1:$I$89,3,0)*0.475*44/12</f>
        <v>0</v>
      </c>
      <c r="AW111" s="21">
        <f>EXP(-LN(2)/2)*AW110+(1-EXP(-LN(2)/2))/(LN(2)/2)*AQ111*AT111*VLOOKUP('Données projet'!$B$10,Paramètres!$A$1:$I$89,3,0)*0.475*44/12</f>
        <v>0</v>
      </c>
      <c r="AX111" s="21">
        <f t="shared" si="60"/>
        <v>128.24125675342248</v>
      </c>
      <c r="AY111" s="7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0</v>
      </c>
      <c r="BE111" s="13">
        <f>BD111*VLOOKUP('Données projet'!$B$11,Paramètres!$A$1:$I$89,3,0)*VLOOKUP('Données projet'!$B$11,Paramètres!$A$1:$I$89,5,0)</f>
        <v>0</v>
      </c>
      <c r="BF111" s="13" t="e">
        <f t="shared" si="91"/>
        <v>#NUM!</v>
      </c>
      <c r="BG111" s="20" t="e">
        <f t="shared" si="61"/>
        <v>#NUM!</v>
      </c>
      <c r="BH111" s="59" t="e">
        <f t="shared" si="62"/>
        <v>#NUM!</v>
      </c>
      <c r="BI111" s="59">
        <f ca="1">AVERAGE(OFFSET($BH$3,0,0,'Données projet'!$E$11+1,1))-AVERAGE(OFFSET($H$3,0,0,'Données projet'!$E$11+1,1))</f>
        <v>187.80389738728508</v>
      </c>
      <c r="BJ111" s="59">
        <f t="shared" si="92"/>
        <v>439.28159165815265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26.353286989605195</v>
      </c>
      <c r="BQ111" s="21">
        <f>EXP(-LN(2)/25)*BQ110+(1-EXP(-LN(2)/25))/(LN(2)/25)*Calculateur!BL111*Calculateur!BN111*VLOOKUP('Données projet'!$B$11,Paramètres!$A$1:$I$89,3,0)*0.475*44/12</f>
        <v>1.6537278426600535</v>
      </c>
      <c r="BR111" s="21">
        <f>EXP(-LN(2)/2)*BR110+(1-EXP(-LN(2)/2))/(LN(2)/2)*BL111*BO111*VLOOKUP('Données projet'!$B$11,Paramètres!$A$1:$I$89,3,0)*0.475*44/12</f>
        <v>8.1785412480812543E-14</v>
      </c>
      <c r="BS111" s="22">
        <f t="shared" si="63"/>
        <v>28.00701483226533</v>
      </c>
      <c r="BT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0</v>
      </c>
      <c r="BZ111" s="13" t="e">
        <f>BY111*VLOOKUP('Données projet'!$B$12,Paramètres!$A$1:$I$89,3,0)*VLOOKUP('Données projet'!$B$12,Paramètres!$A$1:$I$89,5,0)</f>
        <v>#N/A</v>
      </c>
      <c r="CA111" s="13" t="e">
        <f t="shared" si="93"/>
        <v>#N/A</v>
      </c>
      <c r="CB111" s="20" t="e">
        <f t="shared" si="64"/>
        <v>#N/A</v>
      </c>
      <c r="CC111" s="59" t="e">
        <f t="shared" si="65"/>
        <v>#N/A</v>
      </c>
      <c r="CD111" s="59" t="e">
        <f ca="1">AVERAGE(OFFSET($CC$3,0,0,'Données projet'!$E$12+1,1))-AVERAGE(OFFSET($H$3,0,0,'Données projet'!$E$12+1,1))</f>
        <v>#N/A</v>
      </c>
      <c r="CE111" s="59" t="e">
        <f t="shared" si="94"/>
        <v>#N/A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 t="e">
        <f>EXP(-LN(2)/35)*CK110+(1-EXP(-LN(2)/35))/(LN(2)/35)*CG111*CH111*VLOOKUP('Données projet'!$B$12,Paramètres!$A$1:$I$89,3,0)*0.475*44/12</f>
        <v>#N/A</v>
      </c>
      <c r="CL111" s="21" t="e">
        <f>EXP(-LN(2)/25)*CL110+(1-EXP(-LN(2)/25))/(LN(2)/25)*Calculateur!CG111*Calculateur!CI111*VLOOKUP('Données projet'!$B$12,Paramètres!$A$1:$I$89,3,0)*0.475*44/12</f>
        <v>#N/A</v>
      </c>
      <c r="CM111" s="21" t="e">
        <f>EXP(-LN(2)/2)*CM110+(1-EXP(-LN(2)/2))/(LN(2)/2)*CG111*CJ111*VLOOKUP('Données projet'!$B$12,Paramètres!$A$1:$I$89,3,0)*0.475*44/12</f>
        <v>#N/A</v>
      </c>
      <c r="CN111" s="22" t="e">
        <f t="shared" si="66"/>
        <v>#N/A</v>
      </c>
      <c r="CO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35">
      <c r="A112" s="10">
        <f t="shared" si="85"/>
        <v>109</v>
      </c>
      <c r="B112" s="72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1">
        <f t="shared" si="86"/>
        <v>0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66">
        <f t="shared" si="56"/>
        <v>256.66666666666669</v>
      </c>
      <c r="I112" s="6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10.060000000000002</v>
      </c>
      <c r="N112" s="13">
        <f>IF('Données projet'!$A$36&gt;35,N111+M112-V111,IF(A112&lt;'Données projet'!$A$36,$K$205^A112,IF(A112='Données projet'!$A$36,'Données projet'!$B$36,N111+M112-V111)))</f>
        <v>520.97999999999956</v>
      </c>
      <c r="O112" s="13">
        <f>N112*VLOOKUP('Données projet'!$B$9,Paramètres!$A$1:$I$89,3,0)*VLOOKUP('Données projet'!$B$9,Paramètres!$A$1:$I$89,5,0)</f>
        <v>471.38270399999959</v>
      </c>
      <c r="P112" s="13">
        <f t="shared" si="87"/>
        <v>106.10723952242445</v>
      </c>
      <c r="Q112" s="20">
        <f t="shared" si="107"/>
        <v>1005.7949849682217</v>
      </c>
      <c r="R112" s="59">
        <f t="shared" si="55"/>
        <v>1299.1283183015551</v>
      </c>
      <c r="S112" s="59">
        <f ca="1">AVERAGE(OFFSET($R$3,0,0,'Données projet'!$E$9+1,1))-AVERAGE(OFFSET($H$3,0,0,'Données projet'!$E$9+1,1))</f>
        <v>700.22008319944644</v>
      </c>
      <c r="T112" s="59">
        <f t="shared" si="88"/>
        <v>253.69632671986739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119.54325225934421</v>
      </c>
      <c r="AA112" s="21">
        <f>EXP(-LN(2)/25)*AA111+(1-EXP(-LN(2)/25))/(LN(2)/25)*Calculateur!V112*Calculateur!X112*VLOOKUP('Données projet'!$B$9,Paramètres!$A$1:$I$89,3,0)*0.475*44/12</f>
        <v>0</v>
      </c>
      <c r="AB112" s="21">
        <f>EXP(-LN(2)/2)*AB111+(1-EXP(-LN(2)/2))/(LN(2)/2)*V112*Y112*VLOOKUP('Données projet'!$B$9,Paramètres!$A$1:$I$89,3,0)*0.475*44/12</f>
        <v>0</v>
      </c>
      <c r="AC112" s="22">
        <f t="shared" si="57"/>
        <v>119.54325225934421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10.060000000000002</v>
      </c>
      <c r="AI112" s="13">
        <f>IF('Données projet'!$A$62&gt;35,AI111+AH112-AQ111,IF(A112&lt;'Données projet'!$A$62,$AF$205^A112,IF(A112='Données projet'!$A$62,'Données projet'!$B$62,AI111+AH112-AQ111)))</f>
        <v>520.97999999999956</v>
      </c>
      <c r="AJ112" s="13">
        <f>AI112*VLOOKUP('Données projet'!$B$10,Paramètres!$A$1:$I$89,3,0)*VLOOKUP('Données projet'!$B$10,Paramètres!$A$1:$I$89,5,0)</f>
        <v>495.76456799999954</v>
      </c>
      <c r="AK112" s="13">
        <f t="shared" si="89"/>
        <v>110.94238123510353</v>
      </c>
      <c r="AL112" s="20">
        <f t="shared" si="58"/>
        <v>1056.6812699178042</v>
      </c>
      <c r="AM112" s="59">
        <f t="shared" si="59"/>
        <v>1350.0146032511375</v>
      </c>
      <c r="AN112" s="59">
        <f ca="1">AVERAGE(OFFSET($AM$3,0,0,'Données projet'!$E$10+1,1))-AVERAGE(OFFSET($H$3,0,0,'Données projet'!$E$10+1,1))</f>
        <v>733.95677909577444</v>
      </c>
      <c r="AO112" s="59">
        <f t="shared" si="90"/>
        <v>264.63778993239799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125.72652392793096</v>
      </c>
      <c r="AV112" s="21">
        <f>EXP(-LN(2)/25)*AV111+(1-EXP(-LN(2)/25))/(LN(2)/25)*Calculateur!AQ112*Calculateur!AS112*VLOOKUP('Données projet'!$B$10,Paramètres!$A$1:$I$89,3,0)*0.475*44/12</f>
        <v>0</v>
      </c>
      <c r="AW112" s="21">
        <f>EXP(-LN(2)/2)*AW111+(1-EXP(-LN(2)/2))/(LN(2)/2)*AQ112*AT112*VLOOKUP('Données projet'!$B$10,Paramètres!$A$1:$I$89,3,0)*0.475*44/12</f>
        <v>0</v>
      </c>
      <c r="AX112" s="21">
        <f t="shared" si="60"/>
        <v>125.72652392793096</v>
      </c>
      <c r="AY112" s="7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0</v>
      </c>
      <c r="BE112" s="13">
        <f>BD112*VLOOKUP('Données projet'!$B$11,Paramètres!$A$1:$I$89,3,0)*VLOOKUP('Données projet'!$B$11,Paramètres!$A$1:$I$89,5,0)</f>
        <v>0</v>
      </c>
      <c r="BF112" s="13" t="e">
        <f t="shared" si="91"/>
        <v>#NUM!</v>
      </c>
      <c r="BG112" s="20" t="e">
        <f t="shared" si="61"/>
        <v>#NUM!</v>
      </c>
      <c r="BH112" s="59" t="e">
        <f t="shared" si="62"/>
        <v>#NUM!</v>
      </c>
      <c r="BI112" s="59">
        <f ca="1">AVERAGE(OFFSET($BH$3,0,0,'Données projet'!$E$11+1,1))-AVERAGE(OFFSET($H$3,0,0,'Données projet'!$E$11+1,1))</f>
        <v>187.80389738728508</v>
      </c>
      <c r="BJ112" s="59">
        <f t="shared" si="92"/>
        <v>439.28159165815265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25.836515105656932</v>
      </c>
      <c r="BQ112" s="21">
        <f>EXP(-LN(2)/25)*BQ111+(1-EXP(-LN(2)/25))/(LN(2)/25)*Calculateur!BL112*Calculateur!BN112*VLOOKUP('Données projet'!$B$11,Paramètres!$A$1:$I$89,3,0)*0.475*44/12</f>
        <v>1.6085065678367467</v>
      </c>
      <c r="BR112" s="21">
        <f>EXP(-LN(2)/2)*BR111+(1-EXP(-LN(2)/2))/(LN(2)/2)*BL112*BO112*VLOOKUP('Données projet'!$B$11,Paramètres!$A$1:$I$89,3,0)*0.475*44/12</f>
        <v>5.7831019767321447E-14</v>
      </c>
      <c r="BS112" s="22">
        <f t="shared" si="63"/>
        <v>27.445021673493734</v>
      </c>
      <c r="BT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0</v>
      </c>
      <c r="BZ112" s="13" t="e">
        <f>BY112*VLOOKUP('Données projet'!$B$12,Paramètres!$A$1:$I$89,3,0)*VLOOKUP('Données projet'!$B$12,Paramètres!$A$1:$I$89,5,0)</f>
        <v>#N/A</v>
      </c>
      <c r="CA112" s="13" t="e">
        <f t="shared" si="93"/>
        <v>#N/A</v>
      </c>
      <c r="CB112" s="20" t="e">
        <f t="shared" si="64"/>
        <v>#N/A</v>
      </c>
      <c r="CC112" s="59" t="e">
        <f t="shared" si="65"/>
        <v>#N/A</v>
      </c>
      <c r="CD112" s="59" t="e">
        <f ca="1">AVERAGE(OFFSET($CC$3,0,0,'Données projet'!$E$12+1,1))-AVERAGE(OFFSET($H$3,0,0,'Données projet'!$E$12+1,1))</f>
        <v>#N/A</v>
      </c>
      <c r="CE112" s="59" t="e">
        <f t="shared" si="94"/>
        <v>#N/A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 t="e">
        <f>EXP(-LN(2)/35)*CK111+(1-EXP(-LN(2)/35))/(LN(2)/35)*CG112*CH112*VLOOKUP('Données projet'!$B$12,Paramètres!$A$1:$I$89,3,0)*0.475*44/12</f>
        <v>#N/A</v>
      </c>
      <c r="CL112" s="21" t="e">
        <f>EXP(-LN(2)/25)*CL111+(1-EXP(-LN(2)/25))/(LN(2)/25)*Calculateur!CG112*Calculateur!CI112*VLOOKUP('Données projet'!$B$12,Paramètres!$A$1:$I$89,3,0)*0.475*44/12</f>
        <v>#N/A</v>
      </c>
      <c r="CM112" s="21" t="e">
        <f>EXP(-LN(2)/2)*CM111+(1-EXP(-LN(2)/2))/(LN(2)/2)*CG112*CJ112*VLOOKUP('Données projet'!$B$12,Paramètres!$A$1:$I$89,3,0)*0.475*44/12</f>
        <v>#N/A</v>
      </c>
      <c r="CN112" s="22" t="e">
        <f t="shared" si="66"/>
        <v>#N/A</v>
      </c>
      <c r="CO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35">
      <c r="A113" s="10">
        <f t="shared" si="85"/>
        <v>110</v>
      </c>
      <c r="B113" s="72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1">
        <f t="shared" si="86"/>
        <v>0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66">
        <f t="shared" si="56"/>
        <v>256.66666666666669</v>
      </c>
      <c r="I113" s="6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>
        <f>VLOOKUP(A113,'Données projet'!$A$35:$I$55,2,0)</f>
        <v>531.04</v>
      </c>
      <c r="L113" s="12">
        <f>VLOOKUP(A113,'Données projet'!$A$35:$I$55,9,0)</f>
        <v>10.060000000000002</v>
      </c>
      <c r="M113" s="12">
        <f t="array" ref="M113">INDEX(L:L,MIN(IF(ISNUMBER(L113:L309),ROW(L113:L309),"")))</f>
        <v>10.060000000000002</v>
      </c>
      <c r="N113" s="13">
        <f>IF('Données projet'!$A$36&gt;35,N112+M113-V112,IF(A113&lt;'Données projet'!$A$36,$K$205^A113,IF(A113='Données projet'!$A$36,'Données projet'!$B$36,N112+M113-V112)))</f>
        <v>531.03999999999951</v>
      </c>
      <c r="O113" s="13">
        <f>N113*VLOOKUP('Données projet'!$B$9,Paramètres!$A$1:$I$89,3,0)*VLOOKUP('Données projet'!$B$9,Paramètres!$A$1:$I$89,5,0)</f>
        <v>480.48499199999958</v>
      </c>
      <c r="P113" s="13">
        <f t="shared" si="87"/>
        <v>107.91563237330452</v>
      </c>
      <c r="Q113" s="20">
        <f t="shared" si="107"/>
        <v>1024.797754116838</v>
      </c>
      <c r="R113" s="59">
        <f t="shared" si="55"/>
        <v>1318.1310874501712</v>
      </c>
      <c r="S113" s="59">
        <f ca="1">AVERAGE(OFFSET($R$3,0,0,'Données projet'!$E$9+1,1))-AVERAGE(OFFSET($H$3,0,0,'Données projet'!$E$9+1,1))</f>
        <v>700.22008319944644</v>
      </c>
      <c r="T113" s="59">
        <f t="shared" si="88"/>
        <v>253.69632671986739</v>
      </c>
      <c r="U113" s="15">
        <f>IF(ISNA(VLOOKUP(A113,'Données projet'!$A$35:$I$55,3,0)),0,VLOOKUP(A113,'Données projet'!$A$35:$I$55,3,0))</f>
        <v>10</v>
      </c>
      <c r="V113" s="15">
        <f>IF(ISNA(VLOOKUP(A113,'Données projet'!$A$35:$I$55,4,0)),0,VLOOKUP(A113,'Données projet'!$A$35:$I$55,4,0))</f>
        <v>67.22</v>
      </c>
      <c r="W113" s="16">
        <f>IF(ISNA(VLOOKUP(A113,'Données projet'!$A$35:$I$55,5,0)),0%,VLOOKUP(A113,'Données projet'!$A$35:$I$55,5,0)*VLOOKUP('Données projet'!$B$9,Paramètres!$A$1:$I$89,7,0))</f>
        <v>0.43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146.11031847558075</v>
      </c>
      <c r="AA113" s="21">
        <f>EXP(-LN(2)/25)*AA112+(1-EXP(-LN(2)/25))/(LN(2)/25)*Calculateur!V113*Calculateur!X113*VLOOKUP('Données projet'!$B$9,Paramètres!$A$1:$I$89,3,0)*0.475*44/12</f>
        <v>0</v>
      </c>
      <c r="AB113" s="21">
        <f>EXP(-LN(2)/2)*AB112+(1-EXP(-LN(2)/2))/(LN(2)/2)*V113*Y113*VLOOKUP('Données projet'!$B$9,Paramètres!$A$1:$I$89,3,0)*0.475*44/12</f>
        <v>0</v>
      </c>
      <c r="AC113" s="22">
        <f t="shared" si="57"/>
        <v>146.11031847558075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>
        <f>VLOOKUP(A113,'Données projet'!$A$61:$I$81,2,0)</f>
        <v>531.04</v>
      </c>
      <c r="AG113" s="12">
        <f>VLOOKUP(A113,'Données projet'!$A$61:$I$81,9,0)</f>
        <v>10.060000000000002</v>
      </c>
      <c r="AH113" s="12">
        <f t="array" ref="AH113">INDEX(AG:AG,MIN(IF(ISNUMBER(AG113:AG309),ROW(AG113:AG309),"")))</f>
        <v>10.060000000000002</v>
      </c>
      <c r="AI113" s="13">
        <f>IF('Données projet'!$A$62&gt;35,AI112+AH113-AQ112,IF(A113&lt;'Données projet'!$A$62,$AF$205^A113,IF(A113='Données projet'!$A$62,'Données projet'!$B$62,AI112+AH113-AQ112)))</f>
        <v>531.03999999999951</v>
      </c>
      <c r="AJ113" s="13">
        <f>AI113*VLOOKUP('Données projet'!$B$10,Paramètres!$A$1:$I$89,3,0)*VLOOKUP('Données projet'!$B$10,Paramètres!$A$1:$I$89,5,0)</f>
        <v>505.33766399999956</v>
      </c>
      <c r="AK113" s="13">
        <f t="shared" si="89"/>
        <v>112.83317973281368</v>
      </c>
      <c r="AL113" s="20">
        <f t="shared" si="58"/>
        <v>1076.6475528346496</v>
      </c>
      <c r="AM113" s="59">
        <f t="shared" si="59"/>
        <v>1369.9808861679828</v>
      </c>
      <c r="AN113" s="59">
        <f ca="1">AVERAGE(OFFSET($AM$3,0,0,'Données projet'!$E$10+1,1))-AVERAGE(OFFSET($H$3,0,0,'Données projet'!$E$10+1,1))</f>
        <v>733.95677909577444</v>
      </c>
      <c r="AO113" s="59">
        <f t="shared" si="90"/>
        <v>264.63778993239799</v>
      </c>
      <c r="AP113" s="15">
        <f>IF(ISNA(VLOOKUP(A113,'Données projet'!$A$61:$I$81,3,0)),0,VLOOKUP(A113,'Données projet'!$A$61:$I$81,3,0))</f>
        <v>10</v>
      </c>
      <c r="AQ113" s="15">
        <f>IF(ISNA(VLOOKUP(A113,'Données projet'!$A$61:$I$81,4,0)),0,VLOOKUP(A113,'Données projet'!$A$61:$I$81,4,0))</f>
        <v>67.22</v>
      </c>
      <c r="AR113" s="16">
        <f>IF(ISNA(VLOOKUP(A113,'Données projet'!$A$61:$I$81,5,0)),0%,VLOOKUP(A113,'Données projet'!$A$61:$I$81,5,0)*VLOOKUP('Données projet'!$B$10,Paramètres!$A$1:$I$89,7,0))</f>
        <v>0.43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153.66774874155905</v>
      </c>
      <c r="AV113" s="21">
        <f>EXP(-LN(2)/25)*AV112+(1-EXP(-LN(2)/25))/(LN(2)/25)*Calculateur!AQ113*Calculateur!AS113*VLOOKUP('Données projet'!$B$10,Paramètres!$A$1:$I$89,3,0)*0.475*44/12</f>
        <v>0</v>
      </c>
      <c r="AW113" s="21">
        <f>EXP(-LN(2)/2)*AW112+(1-EXP(-LN(2)/2))/(LN(2)/2)*AQ113*AT113*VLOOKUP('Données projet'!$B$10,Paramètres!$A$1:$I$89,3,0)*0.475*44/12</f>
        <v>0</v>
      </c>
      <c r="AX113" s="21">
        <f t="shared" si="60"/>
        <v>153.66774874155905</v>
      </c>
      <c r="AY113" s="7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0</v>
      </c>
      <c r="BE113" s="13">
        <f>BD113*VLOOKUP('Données projet'!$B$11,Paramètres!$A$1:$I$89,3,0)*VLOOKUP('Données projet'!$B$11,Paramètres!$A$1:$I$89,5,0)</f>
        <v>0</v>
      </c>
      <c r="BF113" s="13" t="e">
        <f t="shared" si="91"/>
        <v>#NUM!</v>
      </c>
      <c r="BG113" s="20" t="e">
        <f t="shared" si="61"/>
        <v>#NUM!</v>
      </c>
      <c r="BH113" s="59" t="e">
        <f t="shared" si="62"/>
        <v>#NUM!</v>
      </c>
      <c r="BI113" s="59">
        <f ca="1">AVERAGE(OFFSET($BH$3,0,0,'Données projet'!$E$11+1,1))-AVERAGE(OFFSET($H$3,0,0,'Données projet'!$E$11+1,1))</f>
        <v>187.80389738728508</v>
      </c>
      <c r="BJ113" s="59">
        <f t="shared" si="92"/>
        <v>439.28159165815265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25.329876803153169</v>
      </c>
      <c r="BQ113" s="21">
        <f>EXP(-LN(2)/25)*BQ112+(1-EXP(-LN(2)/25))/(LN(2)/25)*Calculateur!BL113*Calculateur!BN113*VLOOKUP('Données projet'!$B$11,Paramètres!$A$1:$I$89,3,0)*0.475*44/12</f>
        <v>1.5645218711515667</v>
      </c>
      <c r="BR113" s="21">
        <f>EXP(-LN(2)/2)*BR112+(1-EXP(-LN(2)/2))/(LN(2)/2)*BL113*BO113*VLOOKUP('Données projet'!$B$11,Paramètres!$A$1:$I$89,3,0)*0.475*44/12</f>
        <v>4.0892706240406271E-14</v>
      </c>
      <c r="BS113" s="22">
        <f t="shared" si="63"/>
        <v>26.894398674304778</v>
      </c>
      <c r="BT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0</v>
      </c>
      <c r="BZ113" s="13" t="e">
        <f>BY113*VLOOKUP('Données projet'!$B$12,Paramètres!$A$1:$I$89,3,0)*VLOOKUP('Données projet'!$B$12,Paramètres!$A$1:$I$89,5,0)</f>
        <v>#N/A</v>
      </c>
      <c r="CA113" s="13" t="e">
        <f t="shared" si="93"/>
        <v>#N/A</v>
      </c>
      <c r="CB113" s="20" t="e">
        <f t="shared" si="64"/>
        <v>#N/A</v>
      </c>
      <c r="CC113" s="59" t="e">
        <f t="shared" si="65"/>
        <v>#N/A</v>
      </c>
      <c r="CD113" s="59" t="e">
        <f ca="1">AVERAGE(OFFSET($CC$3,0,0,'Données projet'!$E$12+1,1))-AVERAGE(OFFSET($H$3,0,0,'Données projet'!$E$12+1,1))</f>
        <v>#N/A</v>
      </c>
      <c r="CE113" s="59" t="e">
        <f t="shared" si="94"/>
        <v>#N/A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 t="e">
        <f>EXP(-LN(2)/35)*CK112+(1-EXP(-LN(2)/35))/(LN(2)/35)*CG113*CH113*VLOOKUP('Données projet'!$B$12,Paramètres!$A$1:$I$89,3,0)*0.475*44/12</f>
        <v>#N/A</v>
      </c>
      <c r="CL113" s="21" t="e">
        <f>EXP(-LN(2)/25)*CL112+(1-EXP(-LN(2)/25))/(LN(2)/25)*Calculateur!CG113*Calculateur!CI113*VLOOKUP('Données projet'!$B$12,Paramètres!$A$1:$I$89,3,0)*0.475*44/12</f>
        <v>#N/A</v>
      </c>
      <c r="CM113" s="21" t="e">
        <f>EXP(-LN(2)/2)*CM112+(1-EXP(-LN(2)/2))/(LN(2)/2)*CG113*CJ113*VLOOKUP('Données projet'!$B$12,Paramètres!$A$1:$I$89,3,0)*0.475*44/12</f>
        <v>#N/A</v>
      </c>
      <c r="CN113" s="22" t="e">
        <f t="shared" si="66"/>
        <v>#N/A</v>
      </c>
      <c r="CO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35">
      <c r="A114" s="10">
        <f t="shared" si="85"/>
        <v>111</v>
      </c>
      <c r="B114" s="72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1">
        <f t="shared" si="86"/>
        <v>0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66">
        <f t="shared" si="56"/>
        <v>256.66666666666669</v>
      </c>
      <c r="I114" s="6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10.118000000000006</v>
      </c>
      <c r="N114" s="13">
        <f>IF('Données projet'!$A$36&gt;35,N113+M114-V113,IF(A114&lt;'Données projet'!$A$36,$K$205^A114,IF(A114='Données projet'!$A$36,'Données projet'!$B$36,N113+M114-V113)))</f>
        <v>473.93799999999953</v>
      </c>
      <c r="O114" s="13">
        <f>N114*VLOOKUP('Données projet'!$B$9,Paramètres!$A$1:$I$89,3,0)*VLOOKUP('Données projet'!$B$9,Paramètres!$A$1:$I$89,5,0)</f>
        <v>428.81910239999951</v>
      </c>
      <c r="P114" s="13">
        <f t="shared" si="87"/>
        <v>97.59542964993237</v>
      </c>
      <c r="Q114" s="20">
        <f t="shared" si="107"/>
        <v>916.83864332029782</v>
      </c>
      <c r="R114" s="59">
        <f t="shared" si="55"/>
        <v>1210.1719766536312</v>
      </c>
      <c r="S114" s="59">
        <f ca="1">AVERAGE(OFFSET($R$3,0,0,'Données projet'!$E$9+1,1))-AVERAGE(OFFSET($H$3,0,0,'Données projet'!$E$9+1,1))</f>
        <v>700.22008319944644</v>
      </c>
      <c r="T114" s="59">
        <f t="shared" si="88"/>
        <v>253.69632671986739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143.24518424876916</v>
      </c>
      <c r="AA114" s="21">
        <f>EXP(-LN(2)/25)*AA113+(1-EXP(-LN(2)/25))/(LN(2)/25)*Calculateur!V114*Calculateur!X114*VLOOKUP('Données projet'!$B$9,Paramètres!$A$1:$I$89,3,0)*0.475*44/12</f>
        <v>0</v>
      </c>
      <c r="AB114" s="21">
        <f>EXP(-LN(2)/2)*AB113+(1-EXP(-LN(2)/2))/(LN(2)/2)*V114*Y114*VLOOKUP('Données projet'!$B$9,Paramètres!$A$1:$I$89,3,0)*0.475*44/12</f>
        <v>0</v>
      </c>
      <c r="AC114" s="22">
        <f t="shared" si="57"/>
        <v>143.24518424876916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10.118000000000006</v>
      </c>
      <c r="AI114" s="13">
        <f>IF('Données projet'!$A$62&gt;35,AI113+AH114-AQ113,IF(A114&lt;'Données projet'!$A$62,$AF$205^A114,IF(A114='Données projet'!$A$62,'Données projet'!$B$62,AI113+AH114-AQ113)))</f>
        <v>473.93799999999953</v>
      </c>
      <c r="AJ114" s="13">
        <f>AI114*VLOOKUP('Données projet'!$B$10,Paramètres!$A$1:$I$89,3,0)*VLOOKUP('Données projet'!$B$10,Paramètres!$A$1:$I$89,5,0)</f>
        <v>450.99940079999953</v>
      </c>
      <c r="AK114" s="13">
        <f t="shared" si="89"/>
        <v>102.04270143827719</v>
      </c>
      <c r="AL114" s="20">
        <f t="shared" si="58"/>
        <v>963.21499473166512</v>
      </c>
      <c r="AM114" s="59">
        <f t="shared" si="59"/>
        <v>1256.5483280649985</v>
      </c>
      <c r="AN114" s="59">
        <f ca="1">AVERAGE(OFFSET($AM$3,0,0,'Données projet'!$E$10+1,1))-AVERAGE(OFFSET($H$3,0,0,'Données projet'!$E$10+1,1))</f>
        <v>733.95677909577444</v>
      </c>
      <c r="AO114" s="59">
        <f t="shared" si="90"/>
        <v>264.63778993239799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150.65441791680894</v>
      </c>
      <c r="AV114" s="21">
        <f>EXP(-LN(2)/25)*AV113+(1-EXP(-LN(2)/25))/(LN(2)/25)*Calculateur!AQ114*Calculateur!AS114*VLOOKUP('Données projet'!$B$10,Paramètres!$A$1:$I$89,3,0)*0.475*44/12</f>
        <v>0</v>
      </c>
      <c r="AW114" s="21">
        <f>EXP(-LN(2)/2)*AW113+(1-EXP(-LN(2)/2))/(LN(2)/2)*AQ114*AT114*VLOOKUP('Données projet'!$B$10,Paramètres!$A$1:$I$89,3,0)*0.475*44/12</f>
        <v>0</v>
      </c>
      <c r="AX114" s="21">
        <f t="shared" si="60"/>
        <v>150.65441791680894</v>
      </c>
      <c r="AY114" s="7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0</v>
      </c>
      <c r="BE114" s="13">
        <f>BD114*VLOOKUP('Données projet'!$B$11,Paramètres!$A$1:$I$89,3,0)*VLOOKUP('Données projet'!$B$11,Paramètres!$A$1:$I$89,5,0)</f>
        <v>0</v>
      </c>
      <c r="BF114" s="13" t="e">
        <f t="shared" si="91"/>
        <v>#NUM!</v>
      </c>
      <c r="BG114" s="20" t="e">
        <f t="shared" si="61"/>
        <v>#NUM!</v>
      </c>
      <c r="BH114" s="59" t="e">
        <f t="shared" si="62"/>
        <v>#NUM!</v>
      </c>
      <c r="BI114" s="59">
        <f ca="1">AVERAGE(OFFSET($BH$3,0,0,'Données projet'!$E$11+1,1))-AVERAGE(OFFSET($H$3,0,0,'Données projet'!$E$11+1,1))</f>
        <v>187.80389738728508</v>
      </c>
      <c r="BJ114" s="59">
        <f t="shared" si="92"/>
        <v>439.28159165815265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24.833173368742653</v>
      </c>
      <c r="BQ114" s="21">
        <f>EXP(-LN(2)/25)*BQ113+(1-EXP(-LN(2)/25))/(LN(2)/25)*Calculateur!BL114*Calculateur!BN114*VLOOKUP('Données projet'!$B$11,Paramètres!$A$1:$I$89,3,0)*0.475*44/12</f>
        <v>1.5217399383102976</v>
      </c>
      <c r="BR114" s="21">
        <f>EXP(-LN(2)/2)*BR113+(1-EXP(-LN(2)/2))/(LN(2)/2)*BL114*BO114*VLOOKUP('Données projet'!$B$11,Paramètres!$A$1:$I$89,3,0)*0.475*44/12</f>
        <v>2.8915509883660724E-14</v>
      </c>
      <c r="BS114" s="22">
        <f t="shared" si="63"/>
        <v>26.354913307052978</v>
      </c>
      <c r="BT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0</v>
      </c>
      <c r="BZ114" s="13" t="e">
        <f>BY114*VLOOKUP('Données projet'!$B$12,Paramètres!$A$1:$I$89,3,0)*VLOOKUP('Données projet'!$B$12,Paramètres!$A$1:$I$89,5,0)</f>
        <v>#N/A</v>
      </c>
      <c r="CA114" s="13" t="e">
        <f t="shared" si="93"/>
        <v>#N/A</v>
      </c>
      <c r="CB114" s="20" t="e">
        <f t="shared" si="64"/>
        <v>#N/A</v>
      </c>
      <c r="CC114" s="59" t="e">
        <f t="shared" si="65"/>
        <v>#N/A</v>
      </c>
      <c r="CD114" s="59" t="e">
        <f ca="1">AVERAGE(OFFSET($CC$3,0,0,'Données projet'!$E$12+1,1))-AVERAGE(OFFSET($H$3,0,0,'Données projet'!$E$12+1,1))</f>
        <v>#N/A</v>
      </c>
      <c r="CE114" s="59" t="e">
        <f t="shared" si="94"/>
        <v>#N/A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 t="e">
        <f>EXP(-LN(2)/35)*CK113+(1-EXP(-LN(2)/35))/(LN(2)/35)*CG114*CH114*VLOOKUP('Données projet'!$B$12,Paramètres!$A$1:$I$89,3,0)*0.475*44/12</f>
        <v>#N/A</v>
      </c>
      <c r="CL114" s="21" t="e">
        <f>EXP(-LN(2)/25)*CL113+(1-EXP(-LN(2)/25))/(LN(2)/25)*Calculateur!CG114*Calculateur!CI114*VLOOKUP('Données projet'!$B$12,Paramètres!$A$1:$I$89,3,0)*0.475*44/12</f>
        <v>#N/A</v>
      </c>
      <c r="CM114" s="21" t="e">
        <f>EXP(-LN(2)/2)*CM113+(1-EXP(-LN(2)/2))/(LN(2)/2)*CG114*CJ114*VLOOKUP('Données projet'!$B$12,Paramètres!$A$1:$I$89,3,0)*0.475*44/12</f>
        <v>#N/A</v>
      </c>
      <c r="CN114" s="22" t="e">
        <f t="shared" si="66"/>
        <v>#N/A</v>
      </c>
      <c r="CO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35">
      <c r="A115" s="10">
        <f t="shared" si="85"/>
        <v>112</v>
      </c>
      <c r="B115" s="72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1">
        <f t="shared" si="86"/>
        <v>0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66">
        <f t="shared" si="56"/>
        <v>256.66666666666669</v>
      </c>
      <c r="I115" s="6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10.118000000000006</v>
      </c>
      <c r="N115" s="13">
        <f>IF('Données projet'!$A$36&gt;35,N114+M115-V114,IF(A115&lt;'Données projet'!$A$36,$K$205^A115,IF(A115='Données projet'!$A$36,'Données projet'!$B$36,N114+M115-V114)))</f>
        <v>484.05599999999953</v>
      </c>
      <c r="O115" s="13">
        <f>N115*VLOOKUP('Données projet'!$B$9,Paramètres!$A$1:$I$89,3,0)*VLOOKUP('Données projet'!$B$9,Paramètres!$A$1:$I$89,5,0)</f>
        <v>437.97386879999954</v>
      </c>
      <c r="P115" s="13">
        <f t="shared" si="87"/>
        <v>99.434179411722852</v>
      </c>
      <c r="Q115" s="20">
        <f t="shared" si="107"/>
        <v>935.98568396874987</v>
      </c>
      <c r="R115" s="59">
        <f t="shared" si="55"/>
        <v>1229.3190173020832</v>
      </c>
      <c r="S115" s="59">
        <f ca="1">AVERAGE(OFFSET($R$3,0,0,'Données projet'!$E$9+1,1))-AVERAGE(OFFSET($H$3,0,0,'Données projet'!$E$9+1,1))</f>
        <v>700.22008319944644</v>
      </c>
      <c r="T115" s="59">
        <f t="shared" si="88"/>
        <v>253.69632671986739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140.43623355658602</v>
      </c>
      <c r="AA115" s="21">
        <f>EXP(-LN(2)/25)*AA114+(1-EXP(-LN(2)/25))/(LN(2)/25)*Calculateur!V115*Calculateur!X115*VLOOKUP('Données projet'!$B$9,Paramètres!$A$1:$I$89,3,0)*0.475*44/12</f>
        <v>0</v>
      </c>
      <c r="AB115" s="21">
        <f>EXP(-LN(2)/2)*AB114+(1-EXP(-LN(2)/2))/(LN(2)/2)*V115*Y115*VLOOKUP('Données projet'!$B$9,Paramètres!$A$1:$I$89,3,0)*0.475*44/12</f>
        <v>0</v>
      </c>
      <c r="AC115" s="22">
        <f t="shared" si="57"/>
        <v>140.43623355658602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10.118000000000006</v>
      </c>
      <c r="AI115" s="13">
        <f>IF('Données projet'!$A$62&gt;35,AI114+AH115-AQ114,IF(A115&lt;'Données projet'!$A$62,$AF$205^A115,IF(A115='Données projet'!$A$62,'Données projet'!$B$62,AI114+AH115-AQ114)))</f>
        <v>484.05599999999953</v>
      </c>
      <c r="AJ115" s="13">
        <f>AI115*VLOOKUP('Données projet'!$B$10,Paramètres!$A$1:$I$89,3,0)*VLOOKUP('Données projet'!$B$10,Paramètres!$A$1:$I$89,5,0)</f>
        <v>460.62768959999954</v>
      </c>
      <c r="AK115" s="13">
        <f t="shared" si="89"/>
        <v>103.96524016406698</v>
      </c>
      <c r="AL115" s="20">
        <f t="shared" si="58"/>
        <v>983.33268600574911</v>
      </c>
      <c r="AM115" s="59">
        <f t="shared" si="59"/>
        <v>1276.6660193390824</v>
      </c>
      <c r="AN115" s="59">
        <f ca="1">AVERAGE(OFFSET($AM$3,0,0,'Données projet'!$E$10+1,1))-AVERAGE(OFFSET($H$3,0,0,'Données projet'!$E$10+1,1))</f>
        <v>733.95677909577444</v>
      </c>
      <c r="AO115" s="59">
        <f t="shared" si="90"/>
        <v>264.63778993239799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147.70017667158186</v>
      </c>
      <c r="AV115" s="21">
        <f>EXP(-LN(2)/25)*AV114+(1-EXP(-LN(2)/25))/(LN(2)/25)*Calculateur!AQ115*Calculateur!AS115*VLOOKUP('Données projet'!$B$10,Paramètres!$A$1:$I$89,3,0)*0.475*44/12</f>
        <v>0</v>
      </c>
      <c r="AW115" s="21">
        <f>EXP(-LN(2)/2)*AW114+(1-EXP(-LN(2)/2))/(LN(2)/2)*AQ115*AT115*VLOOKUP('Données projet'!$B$10,Paramètres!$A$1:$I$89,3,0)*0.475*44/12</f>
        <v>0</v>
      </c>
      <c r="AX115" s="21">
        <f t="shared" si="60"/>
        <v>147.70017667158186</v>
      </c>
      <c r="AY115" s="7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0</v>
      </c>
      <c r="BE115" s="13">
        <f>BD115*VLOOKUP('Données projet'!$B$11,Paramètres!$A$1:$I$89,3,0)*VLOOKUP('Données projet'!$B$11,Paramètres!$A$1:$I$89,5,0)</f>
        <v>0</v>
      </c>
      <c r="BF115" s="13" t="e">
        <f t="shared" si="91"/>
        <v>#NUM!</v>
      </c>
      <c r="BG115" s="20" t="e">
        <f t="shared" si="61"/>
        <v>#NUM!</v>
      </c>
      <c r="BH115" s="59" t="e">
        <f t="shared" si="62"/>
        <v>#NUM!</v>
      </c>
      <c r="BI115" s="59">
        <f ca="1">AVERAGE(OFFSET($BH$3,0,0,'Données projet'!$E$11+1,1))-AVERAGE(OFFSET($H$3,0,0,'Données projet'!$E$11+1,1))</f>
        <v>187.80389738728508</v>
      </c>
      <c r="BJ115" s="59">
        <f t="shared" si="92"/>
        <v>439.28159165815265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24.34620998572175</v>
      </c>
      <c r="BQ115" s="21">
        <f>EXP(-LN(2)/25)*BQ114+(1-EXP(-LN(2)/25))/(LN(2)/25)*Calculateur!BL115*Calculateur!BN115*VLOOKUP('Données projet'!$B$11,Paramètres!$A$1:$I$89,3,0)*0.475*44/12</f>
        <v>1.4801278796723771</v>
      </c>
      <c r="BR115" s="21">
        <f>EXP(-LN(2)/2)*BR114+(1-EXP(-LN(2)/2))/(LN(2)/2)*BL115*BO115*VLOOKUP('Données projet'!$B$11,Paramètres!$A$1:$I$89,3,0)*0.475*44/12</f>
        <v>2.0446353120203136E-14</v>
      </c>
      <c r="BS115" s="22">
        <f t="shared" si="63"/>
        <v>25.826337865394148</v>
      </c>
      <c r="BT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0</v>
      </c>
      <c r="BZ115" s="13" t="e">
        <f>BY115*VLOOKUP('Données projet'!$B$12,Paramètres!$A$1:$I$89,3,0)*VLOOKUP('Données projet'!$B$12,Paramètres!$A$1:$I$89,5,0)</f>
        <v>#N/A</v>
      </c>
      <c r="CA115" s="13" t="e">
        <f t="shared" si="93"/>
        <v>#N/A</v>
      </c>
      <c r="CB115" s="20" t="e">
        <f t="shared" si="64"/>
        <v>#N/A</v>
      </c>
      <c r="CC115" s="59" t="e">
        <f t="shared" si="65"/>
        <v>#N/A</v>
      </c>
      <c r="CD115" s="59" t="e">
        <f ca="1">AVERAGE(OFFSET($CC$3,0,0,'Données projet'!$E$12+1,1))-AVERAGE(OFFSET($H$3,0,0,'Données projet'!$E$12+1,1))</f>
        <v>#N/A</v>
      </c>
      <c r="CE115" s="59" t="e">
        <f t="shared" si="94"/>
        <v>#N/A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 t="e">
        <f>EXP(-LN(2)/35)*CK114+(1-EXP(-LN(2)/35))/(LN(2)/35)*CG115*CH115*VLOOKUP('Données projet'!$B$12,Paramètres!$A$1:$I$89,3,0)*0.475*44/12</f>
        <v>#N/A</v>
      </c>
      <c r="CL115" s="21" t="e">
        <f>EXP(-LN(2)/25)*CL114+(1-EXP(-LN(2)/25))/(LN(2)/25)*Calculateur!CG115*Calculateur!CI115*VLOOKUP('Données projet'!$B$12,Paramètres!$A$1:$I$89,3,0)*0.475*44/12</f>
        <v>#N/A</v>
      </c>
      <c r="CM115" s="21" t="e">
        <f>EXP(-LN(2)/2)*CM114+(1-EXP(-LN(2)/2))/(LN(2)/2)*CG115*CJ115*VLOOKUP('Données projet'!$B$12,Paramètres!$A$1:$I$89,3,0)*0.475*44/12</f>
        <v>#N/A</v>
      </c>
      <c r="CN115" s="22" t="e">
        <f t="shared" si="66"/>
        <v>#N/A</v>
      </c>
      <c r="CO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35">
      <c r="A116" s="10">
        <f t="shared" si="85"/>
        <v>113</v>
      </c>
      <c r="B116" s="72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1">
        <f t="shared" si="86"/>
        <v>0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66">
        <f t="shared" si="56"/>
        <v>256.66666666666669</v>
      </c>
      <c r="I116" s="6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10.118000000000006</v>
      </c>
      <c r="N116" s="13">
        <f>IF('Données projet'!$A$36&gt;35,N115+M116-V115,IF(A116&lt;'Données projet'!$A$36,$K$205^A116,IF(A116='Données projet'!$A$36,'Données projet'!$B$36,N115+M116-V115)))</f>
        <v>494.17399999999952</v>
      </c>
      <c r="O116" s="13">
        <f>N116*VLOOKUP('Données projet'!$B$9,Paramètres!$A$1:$I$89,3,0)*VLOOKUP('Données projet'!$B$9,Paramètres!$A$1:$I$89,5,0)</f>
        <v>447.12863519999956</v>
      </c>
      <c r="P116" s="13">
        <f t="shared" si="87"/>
        <v>101.26846048706624</v>
      </c>
      <c r="Q116" s="20">
        <f t="shared" si="107"/>
        <v>955.12494165497276</v>
      </c>
      <c r="R116" s="59">
        <f t="shared" si="55"/>
        <v>1248.4582749883061</v>
      </c>
      <c r="S116" s="59">
        <f ca="1">AVERAGE(OFFSET($R$3,0,0,'Données projet'!$E$9+1,1))-AVERAGE(OFFSET($H$3,0,0,'Données projet'!$E$9+1,1))</f>
        <v>700.22008319944644</v>
      </c>
      <c r="T116" s="59">
        <f t="shared" si="88"/>
        <v>253.69632671986739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137.68236467418583</v>
      </c>
      <c r="AA116" s="21">
        <f>EXP(-LN(2)/25)*AA115+(1-EXP(-LN(2)/25))/(LN(2)/25)*Calculateur!V116*Calculateur!X116*VLOOKUP('Données projet'!$B$9,Paramètres!$A$1:$I$89,3,0)*0.475*44/12</f>
        <v>0</v>
      </c>
      <c r="AB116" s="21">
        <f>EXP(-LN(2)/2)*AB115+(1-EXP(-LN(2)/2))/(LN(2)/2)*V116*Y116*VLOOKUP('Données projet'!$B$9,Paramètres!$A$1:$I$89,3,0)*0.475*44/12</f>
        <v>0</v>
      </c>
      <c r="AC116" s="22">
        <f t="shared" si="57"/>
        <v>137.68236467418583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10.118000000000006</v>
      </c>
      <c r="AI116" s="13">
        <f>IF('Données projet'!$A$62&gt;35,AI115+AH116-AQ115,IF(A116&lt;'Données projet'!$A$62,$AF$205^A116,IF(A116='Données projet'!$A$62,'Données projet'!$B$62,AI115+AH116-AQ115)))</f>
        <v>494.17399999999952</v>
      </c>
      <c r="AJ116" s="13">
        <f>AI116*VLOOKUP('Données projet'!$B$10,Paramètres!$A$1:$I$89,3,0)*VLOOKUP('Données projet'!$B$10,Paramètres!$A$1:$I$89,5,0)</f>
        <v>470.25597839999961</v>
      </c>
      <c r="AK116" s="13">
        <f t="shared" si="89"/>
        <v>105.88310657232535</v>
      </c>
      <c r="AL116" s="20">
        <f t="shared" si="58"/>
        <v>1003.4422396601326</v>
      </c>
      <c r="AM116" s="59">
        <f t="shared" si="59"/>
        <v>1296.7755729934659</v>
      </c>
      <c r="AN116" s="59">
        <f ca="1">AVERAGE(OFFSET($AM$3,0,0,'Données projet'!$E$10+1,1))-AVERAGE(OFFSET($H$3,0,0,'Données projet'!$E$10+1,1))</f>
        <v>733.95677909577444</v>
      </c>
      <c r="AO116" s="59">
        <f t="shared" si="90"/>
        <v>264.63778993239799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144.80386629526444</v>
      </c>
      <c r="AV116" s="21">
        <f>EXP(-LN(2)/25)*AV115+(1-EXP(-LN(2)/25))/(LN(2)/25)*Calculateur!AQ116*Calculateur!AS116*VLOOKUP('Données projet'!$B$10,Paramètres!$A$1:$I$89,3,0)*0.475*44/12</f>
        <v>0</v>
      </c>
      <c r="AW116" s="21">
        <f>EXP(-LN(2)/2)*AW115+(1-EXP(-LN(2)/2))/(LN(2)/2)*AQ116*AT116*VLOOKUP('Données projet'!$B$10,Paramètres!$A$1:$I$89,3,0)*0.475*44/12</f>
        <v>0</v>
      </c>
      <c r="AX116" s="21">
        <f t="shared" si="60"/>
        <v>144.80386629526444</v>
      </c>
      <c r="AY116" s="7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0</v>
      </c>
      <c r="BE116" s="13">
        <f>BD116*VLOOKUP('Données projet'!$B$11,Paramètres!$A$1:$I$89,3,0)*VLOOKUP('Données projet'!$B$11,Paramètres!$A$1:$I$89,5,0)</f>
        <v>0</v>
      </c>
      <c r="BF116" s="13" t="e">
        <f t="shared" si="91"/>
        <v>#NUM!</v>
      </c>
      <c r="BG116" s="20" t="e">
        <f t="shared" si="61"/>
        <v>#NUM!</v>
      </c>
      <c r="BH116" s="59" t="e">
        <f t="shared" si="62"/>
        <v>#NUM!</v>
      </c>
      <c r="BI116" s="59">
        <f ca="1">AVERAGE(OFFSET($BH$3,0,0,'Données projet'!$E$11+1,1))-AVERAGE(OFFSET($H$3,0,0,'Données projet'!$E$11+1,1))</f>
        <v>187.80389738728508</v>
      </c>
      <c r="BJ116" s="59">
        <f t="shared" si="92"/>
        <v>439.28159165815265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23.868795657623551</v>
      </c>
      <c r="BQ116" s="21">
        <f>EXP(-LN(2)/25)*BQ115+(1-EXP(-LN(2)/25))/(LN(2)/25)*Calculateur!BL116*Calculateur!BN116*VLOOKUP('Données projet'!$B$11,Paramètres!$A$1:$I$89,3,0)*0.475*44/12</f>
        <v>1.4396537049661937</v>
      </c>
      <c r="BR116" s="21">
        <f>EXP(-LN(2)/2)*BR115+(1-EXP(-LN(2)/2))/(LN(2)/2)*BL116*BO116*VLOOKUP('Données projet'!$B$11,Paramètres!$A$1:$I$89,3,0)*0.475*44/12</f>
        <v>1.4457754941830362E-14</v>
      </c>
      <c r="BS116" s="22">
        <f t="shared" si="63"/>
        <v>25.308449362589759</v>
      </c>
      <c r="BT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0</v>
      </c>
      <c r="BZ116" s="13" t="e">
        <f>BY116*VLOOKUP('Données projet'!$B$12,Paramètres!$A$1:$I$89,3,0)*VLOOKUP('Données projet'!$B$12,Paramètres!$A$1:$I$89,5,0)</f>
        <v>#N/A</v>
      </c>
      <c r="CA116" s="13" t="e">
        <f t="shared" si="93"/>
        <v>#N/A</v>
      </c>
      <c r="CB116" s="20" t="e">
        <f t="shared" si="64"/>
        <v>#N/A</v>
      </c>
      <c r="CC116" s="59" t="e">
        <f t="shared" si="65"/>
        <v>#N/A</v>
      </c>
      <c r="CD116" s="59" t="e">
        <f ca="1">AVERAGE(OFFSET($CC$3,0,0,'Données projet'!$E$12+1,1))-AVERAGE(OFFSET($H$3,0,0,'Données projet'!$E$12+1,1))</f>
        <v>#N/A</v>
      </c>
      <c r="CE116" s="59" t="e">
        <f t="shared" si="94"/>
        <v>#N/A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 t="e">
        <f>EXP(-LN(2)/35)*CK115+(1-EXP(-LN(2)/35))/(LN(2)/35)*CG116*CH116*VLOOKUP('Données projet'!$B$12,Paramètres!$A$1:$I$89,3,0)*0.475*44/12</f>
        <v>#N/A</v>
      </c>
      <c r="CL116" s="21" t="e">
        <f>EXP(-LN(2)/25)*CL115+(1-EXP(-LN(2)/25))/(LN(2)/25)*Calculateur!CG116*Calculateur!CI116*VLOOKUP('Données projet'!$B$12,Paramètres!$A$1:$I$89,3,0)*0.475*44/12</f>
        <v>#N/A</v>
      </c>
      <c r="CM116" s="21" t="e">
        <f>EXP(-LN(2)/2)*CM115+(1-EXP(-LN(2)/2))/(LN(2)/2)*CG116*CJ116*VLOOKUP('Données projet'!$B$12,Paramètres!$A$1:$I$89,3,0)*0.475*44/12</f>
        <v>#N/A</v>
      </c>
      <c r="CN116" s="22" t="e">
        <f t="shared" si="66"/>
        <v>#N/A</v>
      </c>
      <c r="CO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35">
      <c r="A117" s="10">
        <f t="shared" si="85"/>
        <v>114</v>
      </c>
      <c r="B117" s="72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1">
        <f t="shared" si="86"/>
        <v>0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66">
        <f t="shared" si="56"/>
        <v>256.66666666666669</v>
      </c>
      <c r="I117" s="6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10.118000000000006</v>
      </c>
      <c r="N117" s="13">
        <f>IF('Données projet'!$A$36&gt;35,N116+M117-V116,IF(A117&lt;'Données projet'!$A$36,$K$205^A117,IF(A117='Données projet'!$A$36,'Données projet'!$B$36,N116+M117-V116)))</f>
        <v>504.29199999999952</v>
      </c>
      <c r="O117" s="13">
        <f>N117*VLOOKUP('Données projet'!$B$9,Paramètres!$A$1:$I$89,3,0)*VLOOKUP('Données projet'!$B$9,Paramètres!$A$1:$I$89,5,0)</f>
        <v>456.28340159999954</v>
      </c>
      <c r="P117" s="13">
        <f t="shared" si="87"/>
        <v>103.09837491311735</v>
      </c>
      <c r="Q117" s="20">
        <f t="shared" si="107"/>
        <v>974.25659409367847</v>
      </c>
      <c r="R117" s="59">
        <f t="shared" si="55"/>
        <v>1267.5899274270118</v>
      </c>
      <c r="S117" s="59">
        <f ca="1">AVERAGE(OFFSET($R$3,0,0,'Données projet'!$E$9+1,1))-AVERAGE(OFFSET($H$3,0,0,'Données projet'!$E$9+1,1))</f>
        <v>700.22008319944644</v>
      </c>
      <c r="T117" s="59">
        <f t="shared" si="88"/>
        <v>253.69632671986739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134.98249748087537</v>
      </c>
      <c r="AA117" s="21">
        <f>EXP(-LN(2)/25)*AA116+(1-EXP(-LN(2)/25))/(LN(2)/25)*Calculateur!V117*Calculateur!X117*VLOOKUP('Données projet'!$B$9,Paramètres!$A$1:$I$89,3,0)*0.475*44/12</f>
        <v>0</v>
      </c>
      <c r="AB117" s="21">
        <f>EXP(-LN(2)/2)*AB116+(1-EXP(-LN(2)/2))/(LN(2)/2)*V117*Y117*VLOOKUP('Données projet'!$B$9,Paramètres!$A$1:$I$89,3,0)*0.475*44/12</f>
        <v>0</v>
      </c>
      <c r="AC117" s="22">
        <f t="shared" si="57"/>
        <v>134.98249748087537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10.118000000000006</v>
      </c>
      <c r="AI117" s="13">
        <f>IF('Données projet'!$A$62&gt;35,AI116+AH117-AQ116,IF(A117&lt;'Données projet'!$A$62,$AF$205^A117,IF(A117='Données projet'!$A$62,'Données projet'!$B$62,AI116+AH117-AQ116)))</f>
        <v>504.29199999999952</v>
      </c>
      <c r="AJ117" s="13">
        <f>AI117*VLOOKUP('Données projet'!$B$10,Paramètres!$A$1:$I$89,3,0)*VLOOKUP('Données projet'!$B$10,Paramètres!$A$1:$I$89,5,0)</f>
        <v>479.88426719999956</v>
      </c>
      <c r="AK117" s="13">
        <f t="shared" si="89"/>
        <v>107.79640734988138</v>
      </c>
      <c r="AL117" s="20">
        <f t="shared" si="58"/>
        <v>1023.5438415077092</v>
      </c>
      <c r="AM117" s="59">
        <f t="shared" si="59"/>
        <v>1316.8771748410425</v>
      </c>
      <c r="AN117" s="59">
        <f ca="1">AVERAGE(OFFSET($AM$3,0,0,'Données projet'!$E$10+1,1))-AVERAGE(OFFSET($H$3,0,0,'Données projet'!$E$10+1,1))</f>
        <v>733.95677909577444</v>
      </c>
      <c r="AO117" s="59">
        <f t="shared" si="90"/>
        <v>264.63778993239799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141.96435079885171</v>
      </c>
      <c r="AV117" s="21">
        <f>EXP(-LN(2)/25)*AV116+(1-EXP(-LN(2)/25))/(LN(2)/25)*Calculateur!AQ117*Calculateur!AS117*VLOOKUP('Données projet'!$B$10,Paramètres!$A$1:$I$89,3,0)*0.475*44/12</f>
        <v>0</v>
      </c>
      <c r="AW117" s="21">
        <f>EXP(-LN(2)/2)*AW116+(1-EXP(-LN(2)/2))/(LN(2)/2)*AQ117*AT117*VLOOKUP('Données projet'!$B$10,Paramètres!$A$1:$I$89,3,0)*0.475*44/12</f>
        <v>0</v>
      </c>
      <c r="AX117" s="21">
        <f t="shared" si="60"/>
        <v>141.96435079885171</v>
      </c>
      <c r="AY117" s="7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0</v>
      </c>
      <c r="BE117" s="13">
        <f>BD117*VLOOKUP('Données projet'!$B$11,Paramètres!$A$1:$I$89,3,0)*VLOOKUP('Données projet'!$B$11,Paramètres!$A$1:$I$89,5,0)</f>
        <v>0</v>
      </c>
      <c r="BF117" s="13" t="e">
        <f t="shared" si="91"/>
        <v>#NUM!</v>
      </c>
      <c r="BG117" s="20" t="e">
        <f t="shared" si="61"/>
        <v>#NUM!</v>
      </c>
      <c r="BH117" s="59" t="e">
        <f t="shared" si="62"/>
        <v>#NUM!</v>
      </c>
      <c r="BI117" s="59">
        <f ca="1">AVERAGE(OFFSET($BH$3,0,0,'Données projet'!$E$11+1,1))-AVERAGE(OFFSET($H$3,0,0,'Données projet'!$E$11+1,1))</f>
        <v>187.80389738728508</v>
      </c>
      <c r="BJ117" s="59">
        <f t="shared" si="92"/>
        <v>439.28159165815265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23.400743133305369</v>
      </c>
      <c r="BQ117" s="21">
        <f>EXP(-LN(2)/25)*BQ116+(1-EXP(-LN(2)/25))/(LN(2)/25)*Calculateur!BL117*Calculateur!BN117*VLOOKUP('Données projet'!$B$11,Paramètres!$A$1:$I$89,3,0)*0.475*44/12</f>
        <v>1.4002862986957951</v>
      </c>
      <c r="BR117" s="21">
        <f>EXP(-LN(2)/2)*BR116+(1-EXP(-LN(2)/2))/(LN(2)/2)*BL117*BO117*VLOOKUP('Données projet'!$B$11,Paramètres!$A$1:$I$89,3,0)*0.475*44/12</f>
        <v>1.0223176560101568E-14</v>
      </c>
      <c r="BS117" s="22">
        <f t="shared" si="63"/>
        <v>24.801029432001176</v>
      </c>
      <c r="BT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0</v>
      </c>
      <c r="BZ117" s="13" t="e">
        <f>BY117*VLOOKUP('Données projet'!$B$12,Paramètres!$A$1:$I$89,3,0)*VLOOKUP('Données projet'!$B$12,Paramètres!$A$1:$I$89,5,0)</f>
        <v>#N/A</v>
      </c>
      <c r="CA117" s="13" t="e">
        <f t="shared" si="93"/>
        <v>#N/A</v>
      </c>
      <c r="CB117" s="20" t="e">
        <f t="shared" si="64"/>
        <v>#N/A</v>
      </c>
      <c r="CC117" s="59" t="e">
        <f t="shared" si="65"/>
        <v>#N/A</v>
      </c>
      <c r="CD117" s="59" t="e">
        <f ca="1">AVERAGE(OFFSET($CC$3,0,0,'Données projet'!$E$12+1,1))-AVERAGE(OFFSET($H$3,0,0,'Données projet'!$E$12+1,1))</f>
        <v>#N/A</v>
      </c>
      <c r="CE117" s="59" t="e">
        <f t="shared" si="94"/>
        <v>#N/A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 t="e">
        <f>EXP(-LN(2)/35)*CK116+(1-EXP(-LN(2)/35))/(LN(2)/35)*CG117*CH117*VLOOKUP('Données projet'!$B$12,Paramètres!$A$1:$I$89,3,0)*0.475*44/12</f>
        <v>#N/A</v>
      </c>
      <c r="CL117" s="21" t="e">
        <f>EXP(-LN(2)/25)*CL116+(1-EXP(-LN(2)/25))/(LN(2)/25)*Calculateur!CG117*Calculateur!CI117*VLOOKUP('Données projet'!$B$12,Paramètres!$A$1:$I$89,3,0)*0.475*44/12</f>
        <v>#N/A</v>
      </c>
      <c r="CM117" s="21" t="e">
        <f>EXP(-LN(2)/2)*CM116+(1-EXP(-LN(2)/2))/(LN(2)/2)*CG117*CJ117*VLOOKUP('Données projet'!$B$12,Paramètres!$A$1:$I$89,3,0)*0.475*44/12</f>
        <v>#N/A</v>
      </c>
      <c r="CN117" s="22" t="e">
        <f t="shared" si="66"/>
        <v>#N/A</v>
      </c>
      <c r="CO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35">
      <c r="A118" s="10">
        <f t="shared" si="85"/>
        <v>115</v>
      </c>
      <c r="B118" s="72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1">
        <f t="shared" si="86"/>
        <v>0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66">
        <f t="shared" si="56"/>
        <v>256.66666666666669</v>
      </c>
      <c r="I118" s="6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10.118000000000006</v>
      </c>
      <c r="N118" s="13">
        <f>IF('Données projet'!$A$36&gt;35,N117+M118-V117,IF(A118&lt;'Données projet'!$A$36,$K$205^A118,IF(A118='Données projet'!$A$36,'Données projet'!$B$36,N117+M118-V117)))</f>
        <v>514.40999999999951</v>
      </c>
      <c r="O118" s="13">
        <f>N118*VLOOKUP('Données projet'!$B$9,Paramètres!$A$1:$I$89,3,0)*VLOOKUP('Données projet'!$B$9,Paramètres!$A$1:$I$89,5,0)</f>
        <v>465.43816799999956</v>
      </c>
      <c r="P118" s="13">
        <f t="shared" si="87"/>
        <v>104.92402039841517</v>
      </c>
      <c r="Q118" s="20">
        <f t="shared" si="107"/>
        <v>993.3808114605722</v>
      </c>
      <c r="R118" s="59">
        <f t="shared" si="55"/>
        <v>1286.7141447939055</v>
      </c>
      <c r="S118" s="59">
        <f ca="1">AVERAGE(OFFSET($R$3,0,0,'Données projet'!$E$9+1,1))-AVERAGE(OFFSET($H$3,0,0,'Données projet'!$E$9+1,1))</f>
        <v>700.22008319944644</v>
      </c>
      <c r="T118" s="59">
        <f t="shared" si="88"/>
        <v>253.69632671986739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132.33557303646933</v>
      </c>
      <c r="AA118" s="21">
        <f>EXP(-LN(2)/25)*AA117+(1-EXP(-LN(2)/25))/(LN(2)/25)*Calculateur!V118*Calculateur!X118*VLOOKUP('Données projet'!$B$9,Paramètres!$A$1:$I$89,3,0)*0.475*44/12</f>
        <v>0</v>
      </c>
      <c r="AB118" s="21">
        <f>EXP(-LN(2)/2)*AB117+(1-EXP(-LN(2)/2))/(LN(2)/2)*V118*Y118*VLOOKUP('Données projet'!$B$9,Paramètres!$A$1:$I$89,3,0)*0.475*44/12</f>
        <v>0</v>
      </c>
      <c r="AC118" s="22">
        <f t="shared" si="57"/>
        <v>132.33557303646933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10.118000000000006</v>
      </c>
      <c r="AI118" s="13">
        <f>IF('Données projet'!$A$62&gt;35,AI117+AH118-AQ117,IF(A118&lt;'Données projet'!$A$62,$AF$205^A118,IF(A118='Données projet'!$A$62,'Données projet'!$B$62,AI117+AH118-AQ117)))</f>
        <v>514.40999999999951</v>
      </c>
      <c r="AJ118" s="13">
        <f>AI118*VLOOKUP('Données projet'!$B$10,Paramètres!$A$1:$I$89,3,0)*VLOOKUP('Données projet'!$B$10,Paramètres!$A$1:$I$89,5,0)</f>
        <v>489.51255599999956</v>
      </c>
      <c r="AK118" s="13">
        <f t="shared" si="89"/>
        <v>109.70524465770005</v>
      </c>
      <c r="AL118" s="20">
        <f t="shared" si="58"/>
        <v>1043.6376694788269</v>
      </c>
      <c r="AM118" s="59">
        <f t="shared" si="59"/>
        <v>1336.9710028121601</v>
      </c>
      <c r="AN118" s="59">
        <f ca="1">AVERAGE(OFFSET($AM$3,0,0,'Données projet'!$E$10+1,1))-AVERAGE(OFFSET($H$3,0,0,'Données projet'!$E$10+1,1))</f>
        <v>733.95677909577444</v>
      </c>
      <c r="AO118" s="59">
        <f t="shared" si="90"/>
        <v>264.63778993239799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139.1805164693902</v>
      </c>
      <c r="AV118" s="21">
        <f>EXP(-LN(2)/25)*AV117+(1-EXP(-LN(2)/25))/(LN(2)/25)*Calculateur!AQ118*Calculateur!AS118*VLOOKUP('Données projet'!$B$10,Paramètres!$A$1:$I$89,3,0)*0.475*44/12</f>
        <v>0</v>
      </c>
      <c r="AW118" s="21">
        <f>EXP(-LN(2)/2)*AW117+(1-EXP(-LN(2)/2))/(LN(2)/2)*AQ118*AT118*VLOOKUP('Données projet'!$B$10,Paramètres!$A$1:$I$89,3,0)*0.475*44/12</f>
        <v>0</v>
      </c>
      <c r="AX118" s="21">
        <f t="shared" si="60"/>
        <v>139.1805164693902</v>
      </c>
      <c r="AY118" s="7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0</v>
      </c>
      <c r="BE118" s="13">
        <f>BD118*VLOOKUP('Données projet'!$B$11,Paramètres!$A$1:$I$89,3,0)*VLOOKUP('Données projet'!$B$11,Paramètres!$A$1:$I$89,5,0)</f>
        <v>0</v>
      </c>
      <c r="BF118" s="13" t="e">
        <f t="shared" si="91"/>
        <v>#NUM!</v>
      </c>
      <c r="BG118" s="20" t="e">
        <f t="shared" si="61"/>
        <v>#NUM!</v>
      </c>
      <c r="BH118" s="59" t="e">
        <f t="shared" si="62"/>
        <v>#NUM!</v>
      </c>
      <c r="BI118" s="59">
        <f ca="1">AVERAGE(OFFSET($BH$3,0,0,'Données projet'!$E$11+1,1))-AVERAGE(OFFSET($H$3,0,0,'Données projet'!$E$11+1,1))</f>
        <v>187.80389738728508</v>
      </c>
      <c r="BJ118" s="59">
        <f t="shared" si="92"/>
        <v>439.28159165815265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22.941868833505215</v>
      </c>
      <c r="BQ118" s="21">
        <f>EXP(-LN(2)/25)*BQ117+(1-EXP(-LN(2)/25))/(LN(2)/25)*Calculateur!BL118*Calculateur!BN118*VLOOKUP('Données projet'!$B$11,Paramètres!$A$1:$I$89,3,0)*0.475*44/12</f>
        <v>1.3619953962201026</v>
      </c>
      <c r="BR118" s="21">
        <f>EXP(-LN(2)/2)*BR117+(1-EXP(-LN(2)/2))/(LN(2)/2)*BL118*BO118*VLOOKUP('Données projet'!$B$11,Paramètres!$A$1:$I$89,3,0)*0.475*44/12</f>
        <v>7.2288774709151809E-15</v>
      </c>
      <c r="BS118" s="22">
        <f t="shared" si="63"/>
        <v>24.303864229725324</v>
      </c>
      <c r="BT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0</v>
      </c>
      <c r="BZ118" s="13" t="e">
        <f>BY118*VLOOKUP('Données projet'!$B$12,Paramètres!$A$1:$I$89,3,0)*VLOOKUP('Données projet'!$B$12,Paramètres!$A$1:$I$89,5,0)</f>
        <v>#N/A</v>
      </c>
      <c r="CA118" s="13" t="e">
        <f t="shared" si="93"/>
        <v>#N/A</v>
      </c>
      <c r="CB118" s="20" t="e">
        <f t="shared" si="64"/>
        <v>#N/A</v>
      </c>
      <c r="CC118" s="59" t="e">
        <f t="shared" si="65"/>
        <v>#N/A</v>
      </c>
      <c r="CD118" s="59" t="e">
        <f ca="1">AVERAGE(OFFSET($CC$3,0,0,'Données projet'!$E$12+1,1))-AVERAGE(OFFSET($H$3,0,0,'Données projet'!$E$12+1,1))</f>
        <v>#N/A</v>
      </c>
      <c r="CE118" s="59" t="e">
        <f t="shared" si="94"/>
        <v>#N/A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 t="e">
        <f>EXP(-LN(2)/35)*CK117+(1-EXP(-LN(2)/35))/(LN(2)/35)*CG118*CH118*VLOOKUP('Données projet'!$B$12,Paramètres!$A$1:$I$89,3,0)*0.475*44/12</f>
        <v>#N/A</v>
      </c>
      <c r="CL118" s="21" t="e">
        <f>EXP(-LN(2)/25)*CL117+(1-EXP(-LN(2)/25))/(LN(2)/25)*Calculateur!CG118*Calculateur!CI118*VLOOKUP('Données projet'!$B$12,Paramètres!$A$1:$I$89,3,0)*0.475*44/12</f>
        <v>#N/A</v>
      </c>
      <c r="CM118" s="21" t="e">
        <f>EXP(-LN(2)/2)*CM117+(1-EXP(-LN(2)/2))/(LN(2)/2)*CG118*CJ118*VLOOKUP('Données projet'!$B$12,Paramètres!$A$1:$I$89,3,0)*0.475*44/12</f>
        <v>#N/A</v>
      </c>
      <c r="CN118" s="22" t="e">
        <f t="shared" si="66"/>
        <v>#N/A</v>
      </c>
      <c r="CO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35">
      <c r="A119" s="10">
        <f t="shared" si="85"/>
        <v>116</v>
      </c>
      <c r="B119" s="72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1">
        <f t="shared" si="86"/>
        <v>0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66">
        <f t="shared" si="56"/>
        <v>256.66666666666669</v>
      </c>
      <c r="I119" s="6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10.118000000000006</v>
      </c>
      <c r="N119" s="13">
        <f>IF('Données projet'!$A$36&gt;35,N118+M119-V118,IF(A119&lt;'Données projet'!$A$36,$K$205^A119,IF(A119='Données projet'!$A$36,'Données projet'!$B$36,N118+M119-V118)))</f>
        <v>524.52799999999957</v>
      </c>
      <c r="O119" s="13">
        <f>N119*VLOOKUP('Données projet'!$B$9,Paramètres!$A$1:$I$89,3,0)*VLOOKUP('Données projet'!$B$9,Paramètres!$A$1:$I$89,5,0)</f>
        <v>474.59293439999959</v>
      </c>
      <c r="P119" s="13">
        <f t="shared" si="87"/>
        <v>106.74549058797768</v>
      </c>
      <c r="Q119" s="20">
        <f t="shared" si="107"/>
        <v>1012.4977568540604</v>
      </c>
      <c r="R119" s="59">
        <f t="shared" si="55"/>
        <v>1305.8310901873938</v>
      </c>
      <c r="S119" s="59">
        <f ca="1">AVERAGE(OFFSET($R$3,0,0,'Données projet'!$E$9+1,1))-AVERAGE(OFFSET($H$3,0,0,'Données projet'!$E$9+1,1))</f>
        <v>700.22008319944644</v>
      </c>
      <c r="T119" s="59">
        <f t="shared" si="88"/>
        <v>253.69632671986739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129.7405531659536</v>
      </c>
      <c r="AA119" s="21">
        <f>EXP(-LN(2)/25)*AA118+(1-EXP(-LN(2)/25))/(LN(2)/25)*Calculateur!V119*Calculateur!X119*VLOOKUP('Données projet'!$B$9,Paramètres!$A$1:$I$89,3,0)*0.475*44/12</f>
        <v>0</v>
      </c>
      <c r="AB119" s="21">
        <f>EXP(-LN(2)/2)*AB118+(1-EXP(-LN(2)/2))/(LN(2)/2)*V119*Y119*VLOOKUP('Données projet'!$B$9,Paramètres!$A$1:$I$89,3,0)*0.475*44/12</f>
        <v>0</v>
      </c>
      <c r="AC119" s="22">
        <f t="shared" si="57"/>
        <v>129.7405531659536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10.118000000000006</v>
      </c>
      <c r="AI119" s="13">
        <f>IF('Données projet'!$A$62&gt;35,AI118+AH119-AQ118,IF(A119&lt;'Données projet'!$A$62,$AF$205^A119,IF(A119='Données projet'!$A$62,'Données projet'!$B$62,AI118+AH119-AQ118)))</f>
        <v>524.52799999999957</v>
      </c>
      <c r="AJ119" s="13">
        <f>AI119*VLOOKUP('Données projet'!$B$10,Paramètres!$A$1:$I$89,3,0)*VLOOKUP('Données projet'!$B$10,Paramètres!$A$1:$I$89,5,0)</f>
        <v>499.14084479999957</v>
      </c>
      <c r="AK119" s="13">
        <f t="shared" si="89"/>
        <v>111.60971640805695</v>
      </c>
      <c r="AL119" s="20">
        <f t="shared" si="58"/>
        <v>1063.7238941040316</v>
      </c>
      <c r="AM119" s="59">
        <f t="shared" si="59"/>
        <v>1357.0572274373649</v>
      </c>
      <c r="AN119" s="59">
        <f ca="1">AVERAGE(OFFSET($AM$3,0,0,'Données projet'!$E$10+1,1))-AVERAGE(OFFSET($H$3,0,0,'Données projet'!$E$10+1,1))</f>
        <v>733.95677909577444</v>
      </c>
      <c r="AO119" s="59">
        <f t="shared" si="90"/>
        <v>264.63778993239799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136.45127143315815</v>
      </c>
      <c r="AV119" s="21">
        <f>EXP(-LN(2)/25)*AV118+(1-EXP(-LN(2)/25))/(LN(2)/25)*Calculateur!AQ119*Calculateur!AS119*VLOOKUP('Données projet'!$B$10,Paramètres!$A$1:$I$89,3,0)*0.475*44/12</f>
        <v>0</v>
      </c>
      <c r="AW119" s="21">
        <f>EXP(-LN(2)/2)*AW118+(1-EXP(-LN(2)/2))/(LN(2)/2)*AQ119*AT119*VLOOKUP('Données projet'!$B$10,Paramètres!$A$1:$I$89,3,0)*0.475*44/12</f>
        <v>0</v>
      </c>
      <c r="AX119" s="21">
        <f t="shared" si="60"/>
        <v>136.45127143315815</v>
      </c>
      <c r="AY119" s="7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0</v>
      </c>
      <c r="BE119" s="13">
        <f>BD119*VLOOKUP('Données projet'!$B$11,Paramètres!$A$1:$I$89,3,0)*VLOOKUP('Données projet'!$B$11,Paramètres!$A$1:$I$89,5,0)</f>
        <v>0</v>
      </c>
      <c r="BF119" s="13" t="e">
        <f t="shared" si="91"/>
        <v>#NUM!</v>
      </c>
      <c r="BG119" s="20" t="e">
        <f t="shared" si="61"/>
        <v>#NUM!</v>
      </c>
      <c r="BH119" s="59" t="e">
        <f t="shared" si="62"/>
        <v>#NUM!</v>
      </c>
      <c r="BI119" s="59">
        <f ca="1">AVERAGE(OFFSET($BH$3,0,0,'Données projet'!$E$11+1,1))-AVERAGE(OFFSET($H$3,0,0,'Données projet'!$E$11+1,1))</f>
        <v>187.80389738728508</v>
      </c>
      <c r="BJ119" s="59">
        <f t="shared" si="92"/>
        <v>439.28159165815265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22.491992778838455</v>
      </c>
      <c r="BQ119" s="21">
        <f>EXP(-LN(2)/25)*BQ118+(1-EXP(-LN(2)/25))/(LN(2)/25)*Calculateur!BL119*Calculateur!BN119*VLOOKUP('Données projet'!$B$11,Paramètres!$A$1:$I$89,3,0)*0.475*44/12</f>
        <v>1.3247515604862388</v>
      </c>
      <c r="BR119" s="21">
        <f>EXP(-LN(2)/2)*BR118+(1-EXP(-LN(2)/2))/(LN(2)/2)*BL119*BO119*VLOOKUP('Données projet'!$B$11,Paramètres!$A$1:$I$89,3,0)*0.475*44/12</f>
        <v>5.1115882800507839E-15</v>
      </c>
      <c r="BS119" s="22">
        <f t="shared" si="63"/>
        <v>23.816744339324696</v>
      </c>
      <c r="BT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0</v>
      </c>
      <c r="BZ119" s="13" t="e">
        <f>BY119*VLOOKUP('Données projet'!$B$12,Paramètres!$A$1:$I$89,3,0)*VLOOKUP('Données projet'!$B$12,Paramètres!$A$1:$I$89,5,0)</f>
        <v>#N/A</v>
      </c>
      <c r="CA119" s="13" t="e">
        <f t="shared" si="93"/>
        <v>#N/A</v>
      </c>
      <c r="CB119" s="20" t="e">
        <f t="shared" si="64"/>
        <v>#N/A</v>
      </c>
      <c r="CC119" s="59" t="e">
        <f t="shared" si="65"/>
        <v>#N/A</v>
      </c>
      <c r="CD119" s="59" t="e">
        <f ca="1">AVERAGE(OFFSET($CC$3,0,0,'Données projet'!$E$12+1,1))-AVERAGE(OFFSET($H$3,0,0,'Données projet'!$E$12+1,1))</f>
        <v>#N/A</v>
      </c>
      <c r="CE119" s="59" t="e">
        <f t="shared" si="94"/>
        <v>#N/A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 t="e">
        <f>EXP(-LN(2)/35)*CK118+(1-EXP(-LN(2)/35))/(LN(2)/35)*CG119*CH119*VLOOKUP('Données projet'!$B$12,Paramètres!$A$1:$I$89,3,0)*0.475*44/12</f>
        <v>#N/A</v>
      </c>
      <c r="CL119" s="21" t="e">
        <f>EXP(-LN(2)/25)*CL118+(1-EXP(-LN(2)/25))/(LN(2)/25)*Calculateur!CG119*Calculateur!CI119*VLOOKUP('Données projet'!$B$12,Paramètres!$A$1:$I$89,3,0)*0.475*44/12</f>
        <v>#N/A</v>
      </c>
      <c r="CM119" s="21" t="e">
        <f>EXP(-LN(2)/2)*CM118+(1-EXP(-LN(2)/2))/(LN(2)/2)*CG119*CJ119*VLOOKUP('Données projet'!$B$12,Paramètres!$A$1:$I$89,3,0)*0.475*44/12</f>
        <v>#N/A</v>
      </c>
      <c r="CN119" s="22" t="e">
        <f t="shared" si="66"/>
        <v>#N/A</v>
      </c>
      <c r="CO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35">
      <c r="A120" s="10">
        <f t="shared" si="85"/>
        <v>117</v>
      </c>
      <c r="B120" s="72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1">
        <f t="shared" si="86"/>
        <v>0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66">
        <f t="shared" si="56"/>
        <v>256.66666666666669</v>
      </c>
      <c r="I120" s="6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10.118000000000006</v>
      </c>
      <c r="N120" s="13">
        <f>IF('Données projet'!$A$36&gt;35,N119+M120-V119,IF(A120&lt;'Données projet'!$A$36,$K$205^A120,IF(A120='Données projet'!$A$36,'Données projet'!$B$36,N119+M120-V119)))</f>
        <v>534.64599999999962</v>
      </c>
      <c r="O120" s="13">
        <f>N120*VLOOKUP('Données projet'!$B$9,Paramètres!$A$1:$I$89,3,0)*VLOOKUP('Données projet'!$B$9,Paramètres!$A$1:$I$89,5,0)</f>
        <v>483.74770079999962</v>
      </c>
      <c r="P120" s="13">
        <f t="shared" si="87"/>
        <v>108.56287530736564</v>
      </c>
      <c r="Q120" s="20">
        <f t="shared" si="107"/>
        <v>1031.6075867203278</v>
      </c>
      <c r="R120" s="59">
        <f t="shared" si="55"/>
        <v>1324.9409200536611</v>
      </c>
      <c r="S120" s="59">
        <f ca="1">AVERAGE(OFFSET($R$3,0,0,'Données projet'!$E$9+1,1))-AVERAGE(OFFSET($H$3,0,0,'Données projet'!$E$9+1,1))</f>
        <v>700.22008319944644</v>
      </c>
      <c r="T120" s="59">
        <f t="shared" si="88"/>
        <v>253.69632671986739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127.19642005229285</v>
      </c>
      <c r="AA120" s="21">
        <f>EXP(-LN(2)/25)*AA119+(1-EXP(-LN(2)/25))/(LN(2)/25)*Calculateur!V120*Calculateur!X120*VLOOKUP('Données projet'!$B$9,Paramètres!$A$1:$I$89,3,0)*0.475*44/12</f>
        <v>0</v>
      </c>
      <c r="AB120" s="21">
        <f>EXP(-LN(2)/2)*AB119+(1-EXP(-LN(2)/2))/(LN(2)/2)*V120*Y120*VLOOKUP('Données projet'!$B$9,Paramètres!$A$1:$I$89,3,0)*0.475*44/12</f>
        <v>0</v>
      </c>
      <c r="AC120" s="22">
        <f t="shared" si="57"/>
        <v>127.19642005229285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10.118000000000006</v>
      </c>
      <c r="AI120" s="13">
        <f>IF('Données projet'!$A$62&gt;35,AI119+AH120-AQ119,IF(A120&lt;'Données projet'!$A$62,$AF$205^A120,IF(A120='Données projet'!$A$62,'Données projet'!$B$62,AI119+AH120-AQ119)))</f>
        <v>534.64599999999962</v>
      </c>
      <c r="AJ120" s="13">
        <f>AI120*VLOOKUP('Données projet'!$B$10,Paramètres!$A$1:$I$89,3,0)*VLOOKUP('Données projet'!$B$10,Paramètres!$A$1:$I$89,5,0)</f>
        <v>508.76913359999963</v>
      </c>
      <c r="AK120" s="13">
        <f t="shared" si="89"/>
        <v>113.50991651972407</v>
      </c>
      <c r="AL120" s="20">
        <f t="shared" si="58"/>
        <v>1083.802678958519</v>
      </c>
      <c r="AM120" s="59">
        <f t="shared" si="59"/>
        <v>1377.1360122918522</v>
      </c>
      <c r="AN120" s="59">
        <f ca="1">AVERAGE(OFFSET($AM$3,0,0,'Données projet'!$E$10+1,1))-AVERAGE(OFFSET($H$3,0,0,'Données projet'!$E$10+1,1))</f>
        <v>733.95677909577444</v>
      </c>
      <c r="AO120" s="59">
        <f t="shared" si="90"/>
        <v>264.63778993239799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133.7755452274115</v>
      </c>
      <c r="AV120" s="21">
        <f>EXP(-LN(2)/25)*AV119+(1-EXP(-LN(2)/25))/(LN(2)/25)*Calculateur!AQ120*Calculateur!AS120*VLOOKUP('Données projet'!$B$10,Paramètres!$A$1:$I$89,3,0)*0.475*44/12</f>
        <v>0</v>
      </c>
      <c r="AW120" s="21">
        <f>EXP(-LN(2)/2)*AW119+(1-EXP(-LN(2)/2))/(LN(2)/2)*AQ120*AT120*VLOOKUP('Données projet'!$B$10,Paramètres!$A$1:$I$89,3,0)*0.475*44/12</f>
        <v>0</v>
      </c>
      <c r="AX120" s="21">
        <f t="shared" si="60"/>
        <v>133.7755452274115</v>
      </c>
      <c r="AY120" s="7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0</v>
      </c>
      <c r="BE120" s="13">
        <f>BD120*VLOOKUP('Données projet'!$B$11,Paramètres!$A$1:$I$89,3,0)*VLOOKUP('Données projet'!$B$11,Paramètres!$A$1:$I$89,5,0)</f>
        <v>0</v>
      </c>
      <c r="BF120" s="13" t="e">
        <f t="shared" si="91"/>
        <v>#NUM!</v>
      </c>
      <c r="BG120" s="20" t="e">
        <f t="shared" si="61"/>
        <v>#NUM!</v>
      </c>
      <c r="BH120" s="59" t="e">
        <f t="shared" si="62"/>
        <v>#NUM!</v>
      </c>
      <c r="BI120" s="59">
        <f ca="1">AVERAGE(OFFSET($BH$3,0,0,'Données projet'!$E$11+1,1))-AVERAGE(OFFSET($H$3,0,0,'Données projet'!$E$11+1,1))</f>
        <v>187.80389738728508</v>
      </c>
      <c r="BJ120" s="59">
        <f t="shared" si="92"/>
        <v>439.28159165815265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22.050938519206412</v>
      </c>
      <c r="BQ120" s="21">
        <f>EXP(-LN(2)/25)*BQ119+(1-EXP(-LN(2)/25))/(LN(2)/25)*Calculateur!BL120*Calculateur!BN120*VLOOKUP('Données projet'!$B$11,Paramètres!$A$1:$I$89,3,0)*0.475*44/12</f>
        <v>1.2885261593990858</v>
      </c>
      <c r="BR120" s="21">
        <f>EXP(-LN(2)/2)*BR119+(1-EXP(-LN(2)/2))/(LN(2)/2)*BL120*BO120*VLOOKUP('Données projet'!$B$11,Paramètres!$A$1:$I$89,3,0)*0.475*44/12</f>
        <v>3.6144387354575905E-15</v>
      </c>
      <c r="BS120" s="22">
        <f t="shared" si="63"/>
        <v>23.339464678605502</v>
      </c>
      <c r="BT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0</v>
      </c>
      <c r="BZ120" s="13" t="e">
        <f>BY120*VLOOKUP('Données projet'!$B$12,Paramètres!$A$1:$I$89,3,0)*VLOOKUP('Données projet'!$B$12,Paramètres!$A$1:$I$89,5,0)</f>
        <v>#N/A</v>
      </c>
      <c r="CA120" s="13" t="e">
        <f t="shared" si="93"/>
        <v>#N/A</v>
      </c>
      <c r="CB120" s="20" t="e">
        <f t="shared" si="64"/>
        <v>#N/A</v>
      </c>
      <c r="CC120" s="59" t="e">
        <f t="shared" si="65"/>
        <v>#N/A</v>
      </c>
      <c r="CD120" s="59" t="e">
        <f ca="1">AVERAGE(OFFSET($CC$3,0,0,'Données projet'!$E$12+1,1))-AVERAGE(OFFSET($H$3,0,0,'Données projet'!$E$12+1,1))</f>
        <v>#N/A</v>
      </c>
      <c r="CE120" s="59" t="e">
        <f t="shared" si="94"/>
        <v>#N/A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 t="e">
        <f>EXP(-LN(2)/35)*CK119+(1-EXP(-LN(2)/35))/(LN(2)/35)*CG120*CH120*VLOOKUP('Données projet'!$B$12,Paramètres!$A$1:$I$89,3,0)*0.475*44/12</f>
        <v>#N/A</v>
      </c>
      <c r="CL120" s="21" t="e">
        <f>EXP(-LN(2)/25)*CL119+(1-EXP(-LN(2)/25))/(LN(2)/25)*Calculateur!CG120*Calculateur!CI120*VLOOKUP('Données projet'!$B$12,Paramètres!$A$1:$I$89,3,0)*0.475*44/12</f>
        <v>#N/A</v>
      </c>
      <c r="CM120" s="21" t="e">
        <f>EXP(-LN(2)/2)*CM119+(1-EXP(-LN(2)/2))/(LN(2)/2)*CG120*CJ120*VLOOKUP('Données projet'!$B$12,Paramètres!$A$1:$I$89,3,0)*0.475*44/12</f>
        <v>#N/A</v>
      </c>
      <c r="CN120" s="22" t="e">
        <f t="shared" si="66"/>
        <v>#N/A</v>
      </c>
      <c r="CO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35">
      <c r="A121" s="10">
        <f t="shared" si="85"/>
        <v>118</v>
      </c>
      <c r="B121" s="72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1">
        <f t="shared" si="86"/>
        <v>0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66">
        <f t="shared" si="56"/>
        <v>256.66666666666669</v>
      </c>
      <c r="I121" s="6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10.118000000000006</v>
      </c>
      <c r="N121" s="13">
        <f>IF('Données projet'!$A$36&gt;35,N120+M121-V120,IF(A121&lt;'Données projet'!$A$36,$K$205^A121,IF(A121='Données projet'!$A$36,'Données projet'!$B$36,N120+M121-V120)))</f>
        <v>544.76399999999967</v>
      </c>
      <c r="O121" s="13">
        <f>N121*VLOOKUP('Données projet'!$B$9,Paramètres!$A$1:$I$89,3,0)*VLOOKUP('Données projet'!$B$9,Paramètres!$A$1:$I$89,5,0)</f>
        <v>492.90246719999965</v>
      </c>
      <c r="P121" s="13">
        <f t="shared" si="87"/>
        <v>110.37626078774746</v>
      </c>
      <c r="Q121" s="20">
        <f t="shared" si="107"/>
        <v>1050.7104512453261</v>
      </c>
      <c r="R121" s="59">
        <f t="shared" si="55"/>
        <v>1344.0437845786594</v>
      </c>
      <c r="S121" s="59">
        <f ca="1">AVERAGE(OFFSET($R$3,0,0,'Données projet'!$E$9+1,1))-AVERAGE(OFFSET($H$3,0,0,'Données projet'!$E$9+1,1))</f>
        <v>700.22008319944644</v>
      </c>
      <c r="T121" s="59">
        <f t="shared" si="88"/>
        <v>253.69632671986739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124.70217583722302</v>
      </c>
      <c r="AA121" s="21">
        <f>EXP(-LN(2)/25)*AA120+(1-EXP(-LN(2)/25))/(LN(2)/25)*Calculateur!V121*Calculateur!X121*VLOOKUP('Données projet'!$B$9,Paramètres!$A$1:$I$89,3,0)*0.475*44/12</f>
        <v>0</v>
      </c>
      <c r="AB121" s="21">
        <f>EXP(-LN(2)/2)*AB120+(1-EXP(-LN(2)/2))/(LN(2)/2)*V121*Y121*VLOOKUP('Données projet'!$B$9,Paramètres!$A$1:$I$89,3,0)*0.475*44/12</f>
        <v>0</v>
      </c>
      <c r="AC121" s="22">
        <f t="shared" si="57"/>
        <v>124.70217583722302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10.118000000000006</v>
      </c>
      <c r="AI121" s="13">
        <f>IF('Données projet'!$A$62&gt;35,AI120+AH121-AQ120,IF(A121&lt;'Données projet'!$A$62,$AF$205^A121,IF(A121='Données projet'!$A$62,'Données projet'!$B$62,AI120+AH121-AQ120)))</f>
        <v>544.76399999999967</v>
      </c>
      <c r="AJ121" s="13">
        <f>AI121*VLOOKUP('Données projet'!$B$10,Paramètres!$A$1:$I$89,3,0)*VLOOKUP('Données projet'!$B$10,Paramètres!$A$1:$I$89,5,0)</f>
        <v>518.39742239999964</v>
      </c>
      <c r="AK121" s="13">
        <f t="shared" si="89"/>
        <v>115.40593515328962</v>
      </c>
      <c r="AL121" s="20">
        <f t="shared" si="58"/>
        <v>1103.8741810719787</v>
      </c>
      <c r="AM121" s="59">
        <f t="shared" si="59"/>
        <v>1397.2075144053119</v>
      </c>
      <c r="AN121" s="59">
        <f ca="1">AVERAGE(OFFSET($AM$3,0,0,'Données projet'!$E$10+1,1))-AVERAGE(OFFSET($H$3,0,0,'Données projet'!$E$10+1,1))</f>
        <v>733.95677909577444</v>
      </c>
      <c r="AO121" s="59">
        <f t="shared" si="90"/>
        <v>264.63778993239799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131.15228838052772</v>
      </c>
      <c r="AV121" s="21">
        <f>EXP(-LN(2)/25)*AV120+(1-EXP(-LN(2)/25))/(LN(2)/25)*Calculateur!AQ121*Calculateur!AS121*VLOOKUP('Données projet'!$B$10,Paramètres!$A$1:$I$89,3,0)*0.475*44/12</f>
        <v>0</v>
      </c>
      <c r="AW121" s="21">
        <f>EXP(-LN(2)/2)*AW120+(1-EXP(-LN(2)/2))/(LN(2)/2)*AQ121*AT121*VLOOKUP('Données projet'!$B$10,Paramètres!$A$1:$I$89,3,0)*0.475*44/12</f>
        <v>0</v>
      </c>
      <c r="AX121" s="21">
        <f t="shared" si="60"/>
        <v>131.15228838052772</v>
      </c>
      <c r="AY121" s="7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0</v>
      </c>
      <c r="BE121" s="13">
        <f>BD121*VLOOKUP('Données projet'!$B$11,Paramètres!$A$1:$I$89,3,0)*VLOOKUP('Données projet'!$B$11,Paramètres!$A$1:$I$89,5,0)</f>
        <v>0</v>
      </c>
      <c r="BF121" s="13" t="e">
        <f t="shared" si="91"/>
        <v>#NUM!</v>
      </c>
      <c r="BG121" s="20" t="e">
        <f t="shared" si="61"/>
        <v>#NUM!</v>
      </c>
      <c r="BH121" s="59" t="e">
        <f t="shared" si="62"/>
        <v>#NUM!</v>
      </c>
      <c r="BI121" s="59">
        <f ca="1">AVERAGE(OFFSET($BH$3,0,0,'Données projet'!$E$11+1,1))-AVERAGE(OFFSET($H$3,0,0,'Données projet'!$E$11+1,1))</f>
        <v>187.80389738728508</v>
      </c>
      <c r="BJ121" s="59">
        <f t="shared" si="92"/>
        <v>439.28159165815265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21.618533064589219</v>
      </c>
      <c r="BQ121" s="21">
        <f>EXP(-LN(2)/25)*BQ120+(1-EXP(-LN(2)/25))/(LN(2)/25)*Calculateur!BL121*Calculateur!BN121*VLOOKUP('Données projet'!$B$11,Paramètres!$A$1:$I$89,3,0)*0.475*44/12</f>
        <v>1.253291343809672</v>
      </c>
      <c r="BR121" s="21">
        <f>EXP(-LN(2)/2)*BR120+(1-EXP(-LN(2)/2))/(LN(2)/2)*BL121*BO121*VLOOKUP('Données projet'!$B$11,Paramètres!$A$1:$I$89,3,0)*0.475*44/12</f>
        <v>2.555794140025392E-15</v>
      </c>
      <c r="BS121" s="22">
        <f t="shared" si="63"/>
        <v>22.871824408398894</v>
      </c>
      <c r="BT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0</v>
      </c>
      <c r="BZ121" s="13" t="e">
        <f>BY121*VLOOKUP('Données projet'!$B$12,Paramètres!$A$1:$I$89,3,0)*VLOOKUP('Données projet'!$B$12,Paramètres!$A$1:$I$89,5,0)</f>
        <v>#N/A</v>
      </c>
      <c r="CA121" s="13" t="e">
        <f t="shared" si="93"/>
        <v>#N/A</v>
      </c>
      <c r="CB121" s="20" t="e">
        <f t="shared" si="64"/>
        <v>#N/A</v>
      </c>
      <c r="CC121" s="59" t="e">
        <f t="shared" si="65"/>
        <v>#N/A</v>
      </c>
      <c r="CD121" s="59" t="e">
        <f ca="1">AVERAGE(OFFSET($CC$3,0,0,'Données projet'!$E$12+1,1))-AVERAGE(OFFSET($H$3,0,0,'Données projet'!$E$12+1,1))</f>
        <v>#N/A</v>
      </c>
      <c r="CE121" s="59" t="e">
        <f t="shared" si="94"/>
        <v>#N/A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 t="e">
        <f>EXP(-LN(2)/35)*CK120+(1-EXP(-LN(2)/35))/(LN(2)/35)*CG121*CH121*VLOOKUP('Données projet'!$B$12,Paramètres!$A$1:$I$89,3,0)*0.475*44/12</f>
        <v>#N/A</v>
      </c>
      <c r="CL121" s="21" t="e">
        <f>EXP(-LN(2)/25)*CL120+(1-EXP(-LN(2)/25))/(LN(2)/25)*Calculateur!CG121*Calculateur!CI121*VLOOKUP('Données projet'!$B$12,Paramètres!$A$1:$I$89,3,0)*0.475*44/12</f>
        <v>#N/A</v>
      </c>
      <c r="CM121" s="21" t="e">
        <f>EXP(-LN(2)/2)*CM120+(1-EXP(-LN(2)/2))/(LN(2)/2)*CG121*CJ121*VLOOKUP('Données projet'!$B$12,Paramètres!$A$1:$I$89,3,0)*0.475*44/12</f>
        <v>#N/A</v>
      </c>
      <c r="CN121" s="22" t="e">
        <f t="shared" si="66"/>
        <v>#N/A</v>
      </c>
      <c r="CO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35">
      <c r="A122" s="10">
        <f t="shared" si="85"/>
        <v>119</v>
      </c>
      <c r="B122" s="72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1">
        <f t="shared" si="86"/>
        <v>0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66">
        <f t="shared" si="56"/>
        <v>256.66666666666669</v>
      </c>
      <c r="I122" s="6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10.118000000000006</v>
      </c>
      <c r="N122" s="13">
        <f>IF('Données projet'!$A$36&gt;35,N121+M122-V121,IF(A122&lt;'Données projet'!$A$36,$K$205^A122,IF(A122='Données projet'!$A$36,'Données projet'!$B$36,N121+M122-V121)))</f>
        <v>554.88199999999972</v>
      </c>
      <c r="O122" s="13">
        <f>N122*VLOOKUP('Données projet'!$B$9,Paramètres!$A$1:$I$89,3,0)*VLOOKUP('Données projet'!$B$9,Paramètres!$A$1:$I$89,5,0)</f>
        <v>502.05723359999968</v>
      </c>
      <c r="P122" s="13">
        <f t="shared" si="87"/>
        <v>112.18572987377097</v>
      </c>
      <c r="Q122" s="20">
        <f t="shared" si="107"/>
        <v>1069.806494716817</v>
      </c>
      <c r="R122" s="59">
        <f t="shared" si="55"/>
        <v>1363.1398280501503</v>
      </c>
      <c r="S122" s="59">
        <f ca="1">AVERAGE(OFFSET($R$3,0,0,'Données projet'!$E$9+1,1))-AVERAGE(OFFSET($H$3,0,0,'Données projet'!$E$9+1,1))</f>
        <v>700.22008319944644</v>
      </c>
      <c r="T122" s="59">
        <f t="shared" si="88"/>
        <v>253.69632671986739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122.25684222987196</v>
      </c>
      <c r="AA122" s="21">
        <f>EXP(-LN(2)/25)*AA121+(1-EXP(-LN(2)/25))/(LN(2)/25)*Calculateur!V122*Calculateur!X122*VLOOKUP('Données projet'!$B$9,Paramètres!$A$1:$I$89,3,0)*0.475*44/12</f>
        <v>0</v>
      </c>
      <c r="AB122" s="21">
        <f>EXP(-LN(2)/2)*AB121+(1-EXP(-LN(2)/2))/(LN(2)/2)*V122*Y122*VLOOKUP('Données projet'!$B$9,Paramètres!$A$1:$I$89,3,0)*0.475*44/12</f>
        <v>0</v>
      </c>
      <c r="AC122" s="22">
        <f t="shared" si="57"/>
        <v>122.25684222987196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10.118000000000006</v>
      </c>
      <c r="AI122" s="13">
        <f>IF('Données projet'!$A$62&gt;35,AI121+AH122-AQ121,IF(A122&lt;'Données projet'!$A$62,$AF$205^A122,IF(A122='Données projet'!$A$62,'Données projet'!$B$62,AI121+AH122-AQ121)))</f>
        <v>554.88199999999972</v>
      </c>
      <c r="AJ122" s="13">
        <f>AI122*VLOOKUP('Données projet'!$B$10,Paramètres!$A$1:$I$89,3,0)*VLOOKUP('Données projet'!$B$10,Paramètres!$A$1:$I$89,5,0)</f>
        <v>528.02571119999982</v>
      </c>
      <c r="AK122" s="13">
        <f t="shared" si="89"/>
        <v>117.29785892850319</v>
      </c>
      <c r="AL122" s="20">
        <f t="shared" si="58"/>
        <v>1123.9385513071427</v>
      </c>
      <c r="AM122" s="59">
        <f t="shared" si="59"/>
        <v>1417.2718846404759</v>
      </c>
      <c r="AN122" s="59">
        <f ca="1">AVERAGE(OFFSET($AM$3,0,0,'Données projet'!$E$10+1,1))-AVERAGE(OFFSET($H$3,0,0,'Données projet'!$E$10+1,1))</f>
        <v>733.95677909577444</v>
      </c>
      <c r="AO122" s="59">
        <f t="shared" si="90"/>
        <v>264.63778993239799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128.58047200038263</v>
      </c>
      <c r="AV122" s="21">
        <f>EXP(-LN(2)/25)*AV121+(1-EXP(-LN(2)/25))/(LN(2)/25)*Calculateur!AQ122*Calculateur!AS122*VLOOKUP('Données projet'!$B$10,Paramètres!$A$1:$I$89,3,0)*0.475*44/12</f>
        <v>0</v>
      </c>
      <c r="AW122" s="21">
        <f>EXP(-LN(2)/2)*AW121+(1-EXP(-LN(2)/2))/(LN(2)/2)*AQ122*AT122*VLOOKUP('Données projet'!$B$10,Paramètres!$A$1:$I$89,3,0)*0.475*44/12</f>
        <v>0</v>
      </c>
      <c r="AX122" s="21">
        <f t="shared" si="60"/>
        <v>128.58047200038263</v>
      </c>
      <c r="AY122" s="7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0</v>
      </c>
      <c r="BE122" s="13">
        <f>BD122*VLOOKUP('Données projet'!$B$11,Paramètres!$A$1:$I$89,3,0)*VLOOKUP('Données projet'!$B$11,Paramètres!$A$1:$I$89,5,0)</f>
        <v>0</v>
      </c>
      <c r="BF122" s="13" t="e">
        <f t="shared" si="91"/>
        <v>#NUM!</v>
      </c>
      <c r="BG122" s="20" t="e">
        <f t="shared" si="61"/>
        <v>#NUM!</v>
      </c>
      <c r="BH122" s="59" t="e">
        <f t="shared" si="62"/>
        <v>#NUM!</v>
      </c>
      <c r="BI122" s="59">
        <f ca="1">AVERAGE(OFFSET($BH$3,0,0,'Données projet'!$E$11+1,1))-AVERAGE(OFFSET($H$3,0,0,'Données projet'!$E$11+1,1))</f>
        <v>187.80389738728508</v>
      </c>
      <c r="BJ122" s="59">
        <f t="shared" si="92"/>
        <v>439.28159165815265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21.194606817195783</v>
      </c>
      <c r="BQ122" s="21">
        <f>EXP(-LN(2)/25)*BQ121+(1-EXP(-LN(2)/25))/(LN(2)/25)*Calculateur!BL122*Calculateur!BN122*VLOOKUP('Données projet'!$B$11,Paramètres!$A$1:$I$89,3,0)*0.475*44/12</f>
        <v>1.2190200261054691</v>
      </c>
      <c r="BR122" s="21">
        <f>EXP(-LN(2)/2)*BR121+(1-EXP(-LN(2)/2))/(LN(2)/2)*BL122*BO122*VLOOKUP('Données projet'!$B$11,Paramètres!$A$1:$I$89,3,0)*0.475*44/12</f>
        <v>1.8072193677287952E-15</v>
      </c>
      <c r="BS122" s="22">
        <f t="shared" si="63"/>
        <v>22.413626843301255</v>
      </c>
      <c r="BT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0</v>
      </c>
      <c r="BZ122" s="13" t="e">
        <f>BY122*VLOOKUP('Données projet'!$B$12,Paramètres!$A$1:$I$89,3,0)*VLOOKUP('Données projet'!$B$12,Paramètres!$A$1:$I$89,5,0)</f>
        <v>#N/A</v>
      </c>
      <c r="CA122" s="13" t="e">
        <f t="shared" si="93"/>
        <v>#N/A</v>
      </c>
      <c r="CB122" s="20" t="e">
        <f t="shared" si="64"/>
        <v>#N/A</v>
      </c>
      <c r="CC122" s="59" t="e">
        <f t="shared" si="65"/>
        <v>#N/A</v>
      </c>
      <c r="CD122" s="59" t="e">
        <f ca="1">AVERAGE(OFFSET($CC$3,0,0,'Données projet'!$E$12+1,1))-AVERAGE(OFFSET($H$3,0,0,'Données projet'!$E$12+1,1))</f>
        <v>#N/A</v>
      </c>
      <c r="CE122" s="59" t="e">
        <f t="shared" si="94"/>
        <v>#N/A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 t="e">
        <f>EXP(-LN(2)/35)*CK121+(1-EXP(-LN(2)/35))/(LN(2)/35)*CG122*CH122*VLOOKUP('Données projet'!$B$12,Paramètres!$A$1:$I$89,3,0)*0.475*44/12</f>
        <v>#N/A</v>
      </c>
      <c r="CL122" s="21" t="e">
        <f>EXP(-LN(2)/25)*CL121+(1-EXP(-LN(2)/25))/(LN(2)/25)*Calculateur!CG122*Calculateur!CI122*VLOOKUP('Données projet'!$B$12,Paramètres!$A$1:$I$89,3,0)*0.475*44/12</f>
        <v>#N/A</v>
      </c>
      <c r="CM122" s="21" t="e">
        <f>EXP(-LN(2)/2)*CM121+(1-EXP(-LN(2)/2))/(LN(2)/2)*CG122*CJ122*VLOOKUP('Données projet'!$B$12,Paramètres!$A$1:$I$89,3,0)*0.475*44/12</f>
        <v>#N/A</v>
      </c>
      <c r="CN122" s="22" t="e">
        <f t="shared" si="66"/>
        <v>#N/A</v>
      </c>
      <c r="CO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35">
      <c r="A123" s="10">
        <f t="shared" si="85"/>
        <v>120</v>
      </c>
      <c r="B123" s="72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1">
        <f t="shared" si="86"/>
        <v>0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66">
        <f t="shared" si="56"/>
        <v>256.66666666666669</v>
      </c>
      <c r="I123" s="6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>
        <f>VLOOKUP(A123,'Données projet'!$A$35:$I$55,2,0)</f>
        <v>565</v>
      </c>
      <c r="L123" s="12">
        <f>VLOOKUP(A123,'Données projet'!$A$35:$I$55,9,0)</f>
        <v>10.118000000000006</v>
      </c>
      <c r="M123" s="12">
        <f t="array" ref="M123">INDEX(L:L,MIN(IF(ISNUMBER(L123:L319),ROW(L123:L319),"")))</f>
        <v>10.118000000000006</v>
      </c>
      <c r="N123" s="13">
        <f>IF('Données projet'!$A$36&gt;35,N122+M123-V122,IF(A123&lt;'Données projet'!$A$36,$K$205^A123,IF(A123='Données projet'!$A$36,'Données projet'!$B$36,N122+M123-V122)))</f>
        <v>564.99999999999977</v>
      </c>
      <c r="O123" s="13">
        <f>N123*VLOOKUP('Données projet'!$B$9,Paramètres!$A$1:$I$89,3,0)*VLOOKUP('Données projet'!$B$9,Paramètres!$A$1:$I$89,5,0)</f>
        <v>511.21199999999976</v>
      </c>
      <c r="P123" s="13">
        <f t="shared" si="87"/>
        <v>113.99136221584421</v>
      </c>
      <c r="Q123" s="20">
        <f t="shared" si="107"/>
        <v>1088.8958558592615</v>
      </c>
      <c r="R123" s="59">
        <f t="shared" si="55"/>
        <v>1382.2291891925947</v>
      </c>
      <c r="S123" s="59">
        <f ca="1">AVERAGE(OFFSET($R$3,0,0,'Données projet'!$E$9+1,1))-AVERAGE(OFFSET($H$3,0,0,'Données projet'!$E$9+1,1))</f>
        <v>700.22008319944644</v>
      </c>
      <c r="T123" s="59">
        <f t="shared" si="88"/>
        <v>253.69632671986739</v>
      </c>
      <c r="U123" s="15">
        <f>IF(ISNA(VLOOKUP(A123,'Données projet'!$A$35:$I$55,3,0)),0,VLOOKUP(A123,'Données projet'!$A$35:$I$55,3,0))</f>
        <v>11</v>
      </c>
      <c r="V123" s="15">
        <f>IF(ISNA(VLOOKUP(A123,'Données projet'!$A$35:$I$55,4,0)),0,VLOOKUP(A123,'Données projet'!$A$35:$I$55,4,0))</f>
        <v>60.46</v>
      </c>
      <c r="W123" s="16">
        <f>IF(ISNA(VLOOKUP(A123,'Données projet'!$A$35:$I$55,5,0)),0%,VLOOKUP(A123,'Données projet'!$A$35:$I$55,5,0)*VLOOKUP('Données projet'!$B$9,Paramètres!$A$1:$I$89,7,0))</f>
        <v>0.43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145.86322920237291</v>
      </c>
      <c r="AA123" s="21">
        <f>EXP(-LN(2)/25)*AA122+(1-EXP(-LN(2)/25))/(LN(2)/25)*Calculateur!V123*Calculateur!X123*VLOOKUP('Données projet'!$B$9,Paramètres!$A$1:$I$89,3,0)*0.475*44/12</f>
        <v>0</v>
      </c>
      <c r="AB123" s="21">
        <f>EXP(-LN(2)/2)*AB122+(1-EXP(-LN(2)/2))/(LN(2)/2)*V123*Y123*VLOOKUP('Données projet'!$B$9,Paramètres!$A$1:$I$89,3,0)*0.475*44/12</f>
        <v>0</v>
      </c>
      <c r="AC123" s="22">
        <f t="shared" si="57"/>
        <v>145.86322920237291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>
        <f>VLOOKUP(A123,'Données projet'!$A$61:$I$81,2,0)</f>
        <v>565</v>
      </c>
      <c r="AG123" s="12">
        <f>VLOOKUP(A123,'Données projet'!$A$61:$I$81,9,0)</f>
        <v>10.118000000000006</v>
      </c>
      <c r="AH123" s="12">
        <f t="array" ref="AH123">INDEX(AG:AG,MIN(IF(ISNUMBER(AG123:AG319),ROW(AG123:AG319),"")))</f>
        <v>10.118000000000006</v>
      </c>
      <c r="AI123" s="13">
        <f>IF('Données projet'!$A$62&gt;35,AI122+AH123-AQ122,IF(A123&lt;'Données projet'!$A$62,$AF$205^A123,IF(A123='Données projet'!$A$62,'Données projet'!$B$62,AI122+AH123-AQ122)))</f>
        <v>564.99999999999977</v>
      </c>
      <c r="AJ123" s="13">
        <f>AI123*VLOOKUP('Données projet'!$B$10,Paramètres!$A$1:$I$89,3,0)*VLOOKUP('Données projet'!$B$10,Paramètres!$A$1:$I$89,5,0)</f>
        <v>537.65399999999977</v>
      </c>
      <c r="AK123" s="13">
        <f t="shared" si="89"/>
        <v>119.18577112531787</v>
      </c>
      <c r="AL123" s="20">
        <f t="shared" si="58"/>
        <v>1143.9959347099282</v>
      </c>
      <c r="AM123" s="59">
        <f t="shared" si="59"/>
        <v>1437.3292680432614</v>
      </c>
      <c r="AN123" s="59">
        <f ca="1">AVERAGE(OFFSET($AM$3,0,0,'Données projet'!$E$10+1,1))-AVERAGE(OFFSET($H$3,0,0,'Données projet'!$E$10+1,1))</f>
        <v>733.95677909577444</v>
      </c>
      <c r="AO123" s="59">
        <f t="shared" si="90"/>
        <v>264.63778993239799</v>
      </c>
      <c r="AP123" s="15">
        <f>IF(ISNA(VLOOKUP(A123,'Données projet'!$A$61:$I$81,3,0)),0,VLOOKUP(A123,'Données projet'!$A$61:$I$81,3,0))</f>
        <v>11</v>
      </c>
      <c r="AQ123" s="15">
        <f>IF(ISNA(VLOOKUP(A123,'Données projet'!$A$61:$I$81,4,0)),0,VLOOKUP(A123,'Données projet'!$A$61:$I$81,4,0))</f>
        <v>60.46</v>
      </c>
      <c r="AR123" s="16">
        <f>IF(ISNA(VLOOKUP(A123,'Données projet'!$A$61:$I$81,5,0)),0%,VLOOKUP(A123,'Données projet'!$A$61:$I$81,5,0)*VLOOKUP('Données projet'!$B$10,Paramètres!$A$1:$I$89,7,0))</f>
        <v>0.43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153.40787898870258</v>
      </c>
      <c r="AV123" s="21">
        <f>EXP(-LN(2)/25)*AV122+(1-EXP(-LN(2)/25))/(LN(2)/25)*Calculateur!AQ123*Calculateur!AS123*VLOOKUP('Données projet'!$B$10,Paramètres!$A$1:$I$89,3,0)*0.475*44/12</f>
        <v>0</v>
      </c>
      <c r="AW123" s="21">
        <f>EXP(-LN(2)/2)*AW122+(1-EXP(-LN(2)/2))/(LN(2)/2)*AQ123*AT123*VLOOKUP('Données projet'!$B$10,Paramètres!$A$1:$I$89,3,0)*0.475*44/12</f>
        <v>0</v>
      </c>
      <c r="AX123" s="21">
        <f t="shared" si="60"/>
        <v>153.40787898870258</v>
      </c>
      <c r="AY123" s="7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0</v>
      </c>
      <c r="BE123" s="13">
        <f>BD123*VLOOKUP('Données projet'!$B$11,Paramètres!$A$1:$I$89,3,0)*VLOOKUP('Données projet'!$B$11,Paramètres!$A$1:$I$89,5,0)</f>
        <v>0</v>
      </c>
      <c r="BF123" s="13" t="e">
        <f t="shared" si="91"/>
        <v>#NUM!</v>
      </c>
      <c r="BG123" s="20" t="e">
        <f t="shared" si="61"/>
        <v>#NUM!</v>
      </c>
      <c r="BH123" s="59" t="e">
        <f t="shared" si="62"/>
        <v>#NUM!</v>
      </c>
      <c r="BI123" s="59">
        <f ca="1">AVERAGE(OFFSET($BH$3,0,0,'Données projet'!$E$11+1,1))-AVERAGE(OFFSET($H$3,0,0,'Données projet'!$E$11+1,1))</f>
        <v>187.80389738728508</v>
      </c>
      <c r="BJ123" s="59">
        <f t="shared" si="92"/>
        <v>439.28159165815265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20.778993504944253</v>
      </c>
      <c r="BQ123" s="21">
        <f>EXP(-LN(2)/25)*BQ122+(1-EXP(-LN(2)/25))/(LN(2)/25)*Calculateur!BL123*Calculateur!BN123*VLOOKUP('Données projet'!$B$11,Paramètres!$A$1:$I$89,3,0)*0.475*44/12</f>
        <v>1.1856858593861379</v>
      </c>
      <c r="BR123" s="21">
        <f>EXP(-LN(2)/2)*BR122+(1-EXP(-LN(2)/2))/(LN(2)/2)*BL123*BO123*VLOOKUP('Données projet'!$B$11,Paramètres!$A$1:$I$89,3,0)*0.475*44/12</f>
        <v>1.277897070012696E-15</v>
      </c>
      <c r="BS123" s="22">
        <f t="shared" si="63"/>
        <v>21.96467936433039</v>
      </c>
      <c r="BT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0</v>
      </c>
      <c r="BZ123" s="13" t="e">
        <f>BY123*VLOOKUP('Données projet'!$B$12,Paramètres!$A$1:$I$89,3,0)*VLOOKUP('Données projet'!$B$12,Paramètres!$A$1:$I$89,5,0)</f>
        <v>#N/A</v>
      </c>
      <c r="CA123" s="13" t="e">
        <f t="shared" si="93"/>
        <v>#N/A</v>
      </c>
      <c r="CB123" s="20" t="e">
        <f t="shared" si="64"/>
        <v>#N/A</v>
      </c>
      <c r="CC123" s="59" t="e">
        <f t="shared" si="65"/>
        <v>#N/A</v>
      </c>
      <c r="CD123" s="59" t="e">
        <f ca="1">AVERAGE(OFFSET($CC$3,0,0,'Données projet'!$E$12+1,1))-AVERAGE(OFFSET($H$3,0,0,'Données projet'!$E$12+1,1))</f>
        <v>#N/A</v>
      </c>
      <c r="CE123" s="59" t="e">
        <f t="shared" si="94"/>
        <v>#N/A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 t="e">
        <f>EXP(-LN(2)/35)*CK122+(1-EXP(-LN(2)/35))/(LN(2)/35)*CG123*CH123*VLOOKUP('Données projet'!$B$12,Paramètres!$A$1:$I$89,3,0)*0.475*44/12</f>
        <v>#N/A</v>
      </c>
      <c r="CL123" s="21" t="e">
        <f>EXP(-LN(2)/25)*CL122+(1-EXP(-LN(2)/25))/(LN(2)/25)*Calculateur!CG123*Calculateur!CI123*VLOOKUP('Données projet'!$B$12,Paramètres!$A$1:$I$89,3,0)*0.475*44/12</f>
        <v>#N/A</v>
      </c>
      <c r="CM123" s="21" t="e">
        <f>EXP(-LN(2)/2)*CM122+(1-EXP(-LN(2)/2))/(LN(2)/2)*CG123*CJ123*VLOOKUP('Données projet'!$B$12,Paramètres!$A$1:$I$89,3,0)*0.475*44/12</f>
        <v>#N/A</v>
      </c>
      <c r="CN123" s="22" t="e">
        <f t="shared" si="66"/>
        <v>#N/A</v>
      </c>
      <c r="CO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35">
      <c r="A124" s="10">
        <f t="shared" si="85"/>
        <v>121</v>
      </c>
      <c r="B124" s="72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1">
        <f t="shared" si="86"/>
        <v>0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66">
        <f t="shared" si="56"/>
        <v>256.66666666666669</v>
      </c>
      <c r="I124" s="6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10.186999999999994</v>
      </c>
      <c r="N124" s="13">
        <f>IF('Données projet'!$A$36&gt;35,N123+M124-V123,IF(A124&lt;'Données projet'!$A$36,$K$205^A124,IF(A124='Données projet'!$A$36,'Données projet'!$B$36,N123+M124-V123)))</f>
        <v>514.72699999999975</v>
      </c>
      <c r="O124" s="13">
        <f>N124*VLOOKUP('Données projet'!$B$9,Paramètres!$A$1:$I$89,3,0)*VLOOKUP('Données projet'!$B$9,Paramètres!$A$1:$I$89,5,0)</f>
        <v>465.72498959999973</v>
      </c>
      <c r="P124" s="13">
        <f t="shared" si="87"/>
        <v>104.9811504896077</v>
      </c>
      <c r="Q124" s="20">
        <f t="shared" si="107"/>
        <v>993.97986065606619</v>
      </c>
      <c r="R124" s="59">
        <f t="shared" si="55"/>
        <v>1287.3131939893995</v>
      </c>
      <c r="S124" s="59">
        <f ca="1">AVERAGE(OFFSET($R$3,0,0,'Données projet'!$E$9+1,1))-AVERAGE(OFFSET($H$3,0,0,'Données projet'!$E$9+1,1))</f>
        <v>700.22008319944644</v>
      </c>
      <c r="T124" s="59">
        <f t="shared" si="88"/>
        <v>253.69632671986739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143.00294024549936</v>
      </c>
      <c r="AA124" s="21">
        <f>EXP(-LN(2)/25)*AA123+(1-EXP(-LN(2)/25))/(LN(2)/25)*Calculateur!V124*Calculateur!X124*VLOOKUP('Données projet'!$B$9,Paramètres!$A$1:$I$89,3,0)*0.475*44/12</f>
        <v>0</v>
      </c>
      <c r="AB124" s="21">
        <f>EXP(-LN(2)/2)*AB123+(1-EXP(-LN(2)/2))/(LN(2)/2)*V124*Y124*VLOOKUP('Données projet'!$B$9,Paramètres!$A$1:$I$89,3,0)*0.475*44/12</f>
        <v>0</v>
      </c>
      <c r="AC124" s="22">
        <f t="shared" si="57"/>
        <v>143.00294024549936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10.186999999999994</v>
      </c>
      <c r="AI124" s="13">
        <f>IF('Données projet'!$A$62&gt;35,AI123+AH124-AQ123,IF(A124&lt;'Données projet'!$A$62,$AF$205^A124,IF(A124='Données projet'!$A$62,'Données projet'!$B$62,AI123+AH124-AQ123)))</f>
        <v>514.72699999999975</v>
      </c>
      <c r="AJ124" s="13">
        <f>AI124*VLOOKUP('Données projet'!$B$10,Paramètres!$A$1:$I$89,3,0)*VLOOKUP('Données projet'!$B$10,Paramètres!$A$1:$I$89,5,0)</f>
        <v>489.81421319999976</v>
      </c>
      <c r="AK124" s="13">
        <f t="shared" si="89"/>
        <v>109.76497807820563</v>
      </c>
      <c r="AL124" s="20">
        <f t="shared" si="58"/>
        <v>1044.2670914762077</v>
      </c>
      <c r="AM124" s="59">
        <f t="shared" si="59"/>
        <v>1337.600424809541</v>
      </c>
      <c r="AN124" s="59">
        <f ca="1">AVERAGE(OFFSET($AM$3,0,0,'Données projet'!$E$10+1,1))-AVERAGE(OFFSET($H$3,0,0,'Données projet'!$E$10+1,1))</f>
        <v>733.95677909577444</v>
      </c>
      <c r="AO124" s="59">
        <f t="shared" si="90"/>
        <v>264.63778993239799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150.39964405130107</v>
      </c>
      <c r="AV124" s="21">
        <f>EXP(-LN(2)/25)*AV123+(1-EXP(-LN(2)/25))/(LN(2)/25)*Calculateur!AQ124*Calculateur!AS124*VLOOKUP('Données projet'!$B$10,Paramètres!$A$1:$I$89,3,0)*0.475*44/12</f>
        <v>0</v>
      </c>
      <c r="AW124" s="21">
        <f>EXP(-LN(2)/2)*AW123+(1-EXP(-LN(2)/2))/(LN(2)/2)*AQ124*AT124*VLOOKUP('Données projet'!$B$10,Paramètres!$A$1:$I$89,3,0)*0.475*44/12</f>
        <v>0</v>
      </c>
      <c r="AX124" s="21">
        <f t="shared" si="60"/>
        <v>150.39964405130107</v>
      </c>
      <c r="AY124" s="7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0</v>
      </c>
      <c r="BE124" s="13">
        <f>BD124*VLOOKUP('Données projet'!$B$11,Paramètres!$A$1:$I$89,3,0)*VLOOKUP('Données projet'!$B$11,Paramètres!$A$1:$I$89,5,0)</f>
        <v>0</v>
      </c>
      <c r="BF124" s="13" t="e">
        <f t="shared" si="91"/>
        <v>#NUM!</v>
      </c>
      <c r="BG124" s="20" t="e">
        <f t="shared" si="61"/>
        <v>#NUM!</v>
      </c>
      <c r="BH124" s="59" t="e">
        <f t="shared" si="62"/>
        <v>#NUM!</v>
      </c>
      <c r="BI124" s="59">
        <f ca="1">AVERAGE(OFFSET($BH$3,0,0,'Données projet'!$E$11+1,1))-AVERAGE(OFFSET($H$3,0,0,'Données projet'!$E$11+1,1))</f>
        <v>187.80389738728508</v>
      </c>
      <c r="BJ124" s="59">
        <f t="shared" si="92"/>
        <v>439.28159165815265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20.371530116246888</v>
      </c>
      <c r="BQ124" s="21">
        <f>EXP(-LN(2)/25)*BQ123+(1-EXP(-LN(2)/25))/(LN(2)/25)*Calculateur!BL124*Calculateur!BN124*VLOOKUP('Données projet'!$B$11,Paramètres!$A$1:$I$89,3,0)*0.475*44/12</f>
        <v>1.1532632172087145</v>
      </c>
      <c r="BR124" s="21">
        <f>EXP(-LN(2)/2)*BR123+(1-EXP(-LN(2)/2))/(LN(2)/2)*BL124*BO124*VLOOKUP('Données projet'!$B$11,Paramètres!$A$1:$I$89,3,0)*0.475*44/12</f>
        <v>9.0360968386439761E-16</v>
      </c>
      <c r="BS124" s="22">
        <f t="shared" si="63"/>
        <v>21.524793333455602</v>
      </c>
      <c r="BT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0</v>
      </c>
      <c r="BZ124" s="13" t="e">
        <f>BY124*VLOOKUP('Données projet'!$B$12,Paramètres!$A$1:$I$89,3,0)*VLOOKUP('Données projet'!$B$12,Paramètres!$A$1:$I$89,5,0)</f>
        <v>#N/A</v>
      </c>
      <c r="CA124" s="13" t="e">
        <f t="shared" si="93"/>
        <v>#N/A</v>
      </c>
      <c r="CB124" s="20" t="e">
        <f t="shared" si="64"/>
        <v>#N/A</v>
      </c>
      <c r="CC124" s="59" t="e">
        <f t="shared" si="65"/>
        <v>#N/A</v>
      </c>
      <c r="CD124" s="59" t="e">
        <f ca="1">AVERAGE(OFFSET($CC$3,0,0,'Données projet'!$E$12+1,1))-AVERAGE(OFFSET($H$3,0,0,'Données projet'!$E$12+1,1))</f>
        <v>#N/A</v>
      </c>
      <c r="CE124" s="59" t="e">
        <f t="shared" si="94"/>
        <v>#N/A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 t="e">
        <f>EXP(-LN(2)/35)*CK123+(1-EXP(-LN(2)/35))/(LN(2)/35)*CG124*CH124*VLOOKUP('Données projet'!$B$12,Paramètres!$A$1:$I$89,3,0)*0.475*44/12</f>
        <v>#N/A</v>
      </c>
      <c r="CL124" s="21" t="e">
        <f>EXP(-LN(2)/25)*CL123+(1-EXP(-LN(2)/25))/(LN(2)/25)*Calculateur!CG124*Calculateur!CI124*VLOOKUP('Données projet'!$B$12,Paramètres!$A$1:$I$89,3,0)*0.475*44/12</f>
        <v>#N/A</v>
      </c>
      <c r="CM124" s="21" t="e">
        <f>EXP(-LN(2)/2)*CM123+(1-EXP(-LN(2)/2))/(LN(2)/2)*CG124*CJ124*VLOOKUP('Données projet'!$B$12,Paramètres!$A$1:$I$89,3,0)*0.475*44/12</f>
        <v>#N/A</v>
      </c>
      <c r="CN124" s="22" t="e">
        <f t="shared" si="66"/>
        <v>#N/A</v>
      </c>
      <c r="CO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35">
      <c r="A125" s="10">
        <f t="shared" si="85"/>
        <v>122</v>
      </c>
      <c r="B125" s="72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1">
        <f t="shared" si="86"/>
        <v>0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66">
        <f t="shared" si="56"/>
        <v>256.66666666666669</v>
      </c>
      <c r="I125" s="6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10.186999999999994</v>
      </c>
      <c r="N125" s="13">
        <f>IF('Données projet'!$A$36&gt;35,N124+M125-V124,IF(A125&lt;'Données projet'!$A$36,$K$205^A125,IF(A125='Données projet'!$A$36,'Données projet'!$B$36,N124+M125-V124)))</f>
        <v>524.91399999999976</v>
      </c>
      <c r="O125" s="13">
        <f>N125*VLOOKUP('Données projet'!$B$9,Paramètres!$A$1:$I$89,3,0)*VLOOKUP('Données projet'!$B$9,Paramètres!$A$1:$I$89,5,0)</f>
        <v>474.94218719999981</v>
      </c>
      <c r="P125" s="13">
        <f t="shared" si="87"/>
        <v>106.81489790824931</v>
      </c>
      <c r="Q125" s="20">
        <f t="shared" si="107"/>
        <v>1013.2269232302006</v>
      </c>
      <c r="R125" s="59">
        <f t="shared" si="55"/>
        <v>1306.5602565635338</v>
      </c>
      <c r="S125" s="59">
        <f ca="1">AVERAGE(OFFSET($R$3,0,0,'Données projet'!$E$9+1,1))-AVERAGE(OFFSET($H$3,0,0,'Données projet'!$E$9+1,1))</f>
        <v>700.22008319944644</v>
      </c>
      <c r="T125" s="59">
        <f t="shared" si="88"/>
        <v>253.69632671986739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140.19873981046609</v>
      </c>
      <c r="AA125" s="21">
        <f>EXP(-LN(2)/25)*AA124+(1-EXP(-LN(2)/25))/(LN(2)/25)*Calculateur!V125*Calculateur!X125*VLOOKUP('Données projet'!$B$9,Paramètres!$A$1:$I$89,3,0)*0.475*44/12</f>
        <v>0</v>
      </c>
      <c r="AB125" s="21">
        <f>EXP(-LN(2)/2)*AB124+(1-EXP(-LN(2)/2))/(LN(2)/2)*V125*Y125*VLOOKUP('Données projet'!$B$9,Paramètres!$A$1:$I$89,3,0)*0.475*44/12</f>
        <v>0</v>
      </c>
      <c r="AC125" s="22">
        <f t="shared" si="57"/>
        <v>140.19873981046609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10.186999999999994</v>
      </c>
      <c r="AI125" s="13">
        <f>IF('Données projet'!$A$62&gt;35,AI124+AH125-AQ124,IF(A125&lt;'Données projet'!$A$62,$AF$205^A125,IF(A125='Données projet'!$A$62,'Données projet'!$B$62,AI124+AH125-AQ124)))</f>
        <v>524.91399999999976</v>
      </c>
      <c r="AJ125" s="13">
        <f>AI125*VLOOKUP('Données projet'!$B$10,Paramètres!$A$1:$I$89,3,0)*VLOOKUP('Données projet'!$B$10,Paramètres!$A$1:$I$89,5,0)</f>
        <v>499.50816239999978</v>
      </c>
      <c r="AK125" s="13">
        <f t="shared" si="89"/>
        <v>111.68228651185701</v>
      </c>
      <c r="AL125" s="20">
        <f t="shared" si="58"/>
        <v>1064.4900318548173</v>
      </c>
      <c r="AM125" s="59">
        <f t="shared" si="59"/>
        <v>1357.8233651881505</v>
      </c>
      <c r="AN125" s="59">
        <f ca="1">AVERAGE(OFFSET($AM$3,0,0,'Données projet'!$E$10+1,1))-AVERAGE(OFFSET($H$3,0,0,'Données projet'!$E$10+1,1))</f>
        <v>733.95677909577444</v>
      </c>
      <c r="AO125" s="59">
        <f t="shared" si="90"/>
        <v>264.63778993239799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147.45039876617986</v>
      </c>
      <c r="AV125" s="21">
        <f>EXP(-LN(2)/25)*AV124+(1-EXP(-LN(2)/25))/(LN(2)/25)*Calculateur!AQ125*Calculateur!AS125*VLOOKUP('Données projet'!$B$10,Paramètres!$A$1:$I$89,3,0)*0.475*44/12</f>
        <v>0</v>
      </c>
      <c r="AW125" s="21">
        <f>EXP(-LN(2)/2)*AW124+(1-EXP(-LN(2)/2))/(LN(2)/2)*AQ125*AT125*VLOOKUP('Données projet'!$B$10,Paramètres!$A$1:$I$89,3,0)*0.475*44/12</f>
        <v>0</v>
      </c>
      <c r="AX125" s="21">
        <f t="shared" si="60"/>
        <v>147.45039876617986</v>
      </c>
      <c r="AY125" s="7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0</v>
      </c>
      <c r="BE125" s="13">
        <f>BD125*VLOOKUP('Données projet'!$B$11,Paramètres!$A$1:$I$89,3,0)*VLOOKUP('Données projet'!$B$11,Paramètres!$A$1:$I$89,5,0)</f>
        <v>0</v>
      </c>
      <c r="BF125" s="13" t="e">
        <f t="shared" si="91"/>
        <v>#NUM!</v>
      </c>
      <c r="BG125" s="20" t="e">
        <f t="shared" si="61"/>
        <v>#NUM!</v>
      </c>
      <c r="BH125" s="59" t="e">
        <f t="shared" si="62"/>
        <v>#NUM!</v>
      </c>
      <c r="BI125" s="59">
        <f ca="1">AVERAGE(OFFSET($BH$3,0,0,'Données projet'!$E$11+1,1))-AVERAGE(OFFSET($H$3,0,0,'Données projet'!$E$11+1,1))</f>
        <v>187.80389738728508</v>
      </c>
      <c r="BJ125" s="59">
        <f t="shared" si="92"/>
        <v>439.28159165815265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19.972056836073751</v>
      </c>
      <c r="BQ125" s="21">
        <f>EXP(-LN(2)/25)*BQ124+(1-EXP(-LN(2)/25))/(LN(2)/25)*Calculateur!BL125*Calculateur!BN125*VLOOKUP('Données projet'!$B$11,Paramètres!$A$1:$I$89,3,0)*0.475*44/12</f>
        <v>1.1217271738866654</v>
      </c>
      <c r="BR125" s="21">
        <f>EXP(-LN(2)/2)*BR124+(1-EXP(-LN(2)/2))/(LN(2)/2)*BL125*BO125*VLOOKUP('Données projet'!$B$11,Paramètres!$A$1:$I$89,3,0)*0.475*44/12</f>
        <v>6.3894853500634799E-16</v>
      </c>
      <c r="BS125" s="22">
        <f t="shared" si="63"/>
        <v>21.093784009960416</v>
      </c>
      <c r="BT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0</v>
      </c>
      <c r="BZ125" s="13" t="e">
        <f>BY125*VLOOKUP('Données projet'!$B$12,Paramètres!$A$1:$I$89,3,0)*VLOOKUP('Données projet'!$B$12,Paramètres!$A$1:$I$89,5,0)</f>
        <v>#N/A</v>
      </c>
      <c r="CA125" s="13" t="e">
        <f t="shared" si="93"/>
        <v>#N/A</v>
      </c>
      <c r="CB125" s="20" t="e">
        <f t="shared" si="64"/>
        <v>#N/A</v>
      </c>
      <c r="CC125" s="59" t="e">
        <f t="shared" si="65"/>
        <v>#N/A</v>
      </c>
      <c r="CD125" s="59" t="e">
        <f ca="1">AVERAGE(OFFSET($CC$3,0,0,'Données projet'!$E$12+1,1))-AVERAGE(OFFSET($H$3,0,0,'Données projet'!$E$12+1,1))</f>
        <v>#N/A</v>
      </c>
      <c r="CE125" s="59" t="e">
        <f t="shared" si="94"/>
        <v>#N/A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 t="e">
        <f>EXP(-LN(2)/35)*CK124+(1-EXP(-LN(2)/35))/(LN(2)/35)*CG125*CH125*VLOOKUP('Données projet'!$B$12,Paramètres!$A$1:$I$89,3,0)*0.475*44/12</f>
        <v>#N/A</v>
      </c>
      <c r="CL125" s="21" t="e">
        <f>EXP(-LN(2)/25)*CL124+(1-EXP(-LN(2)/25))/(LN(2)/25)*Calculateur!CG125*Calculateur!CI125*VLOOKUP('Données projet'!$B$12,Paramètres!$A$1:$I$89,3,0)*0.475*44/12</f>
        <v>#N/A</v>
      </c>
      <c r="CM125" s="21" t="e">
        <f>EXP(-LN(2)/2)*CM124+(1-EXP(-LN(2)/2))/(LN(2)/2)*CG125*CJ125*VLOOKUP('Données projet'!$B$12,Paramètres!$A$1:$I$89,3,0)*0.475*44/12</f>
        <v>#N/A</v>
      </c>
      <c r="CN125" s="22" t="e">
        <f t="shared" si="66"/>
        <v>#N/A</v>
      </c>
      <c r="CO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35">
      <c r="A126" s="10">
        <f t="shared" si="85"/>
        <v>123</v>
      </c>
      <c r="B126" s="72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1">
        <f t="shared" si="86"/>
        <v>0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66">
        <f t="shared" si="56"/>
        <v>256.66666666666669</v>
      </c>
      <c r="I126" s="6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10.186999999999994</v>
      </c>
      <c r="N126" s="13">
        <f>IF('Données projet'!$A$36&gt;35,N125+M126-V125,IF(A126&lt;'Données projet'!$A$36,$K$205^A126,IF(A126='Données projet'!$A$36,'Données projet'!$B$36,N125+M126-V125)))</f>
        <v>535.10099999999977</v>
      </c>
      <c r="O126" s="13">
        <f>N126*VLOOKUP('Données projet'!$B$9,Paramètres!$A$1:$I$89,3,0)*VLOOKUP('Données projet'!$B$9,Paramètres!$A$1:$I$89,5,0)</f>
        <v>484.15938479999977</v>
      </c>
      <c r="P126" s="13">
        <f t="shared" si="87"/>
        <v>108.64450734079013</v>
      </c>
      <c r="Q126" s="20">
        <f t="shared" si="107"/>
        <v>1032.4667788118757</v>
      </c>
      <c r="R126" s="59">
        <f t="shared" si="55"/>
        <v>1325.8001121452089</v>
      </c>
      <c r="S126" s="59">
        <f ca="1">AVERAGE(OFFSET($R$3,0,0,'Données projet'!$E$9+1,1))-AVERAGE(OFFSET($H$3,0,0,'Données projet'!$E$9+1,1))</f>
        <v>700.22008319944644</v>
      </c>
      <c r="T126" s="59">
        <f t="shared" si="88"/>
        <v>253.69632671986739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137.44952803557044</v>
      </c>
      <c r="AA126" s="21">
        <f>EXP(-LN(2)/25)*AA125+(1-EXP(-LN(2)/25))/(LN(2)/25)*Calculateur!V126*Calculateur!X126*VLOOKUP('Données projet'!$B$9,Paramètres!$A$1:$I$89,3,0)*0.475*44/12</f>
        <v>0</v>
      </c>
      <c r="AB126" s="21">
        <f>EXP(-LN(2)/2)*AB125+(1-EXP(-LN(2)/2))/(LN(2)/2)*V126*Y126*VLOOKUP('Données projet'!$B$9,Paramètres!$A$1:$I$89,3,0)*0.475*44/12</f>
        <v>0</v>
      </c>
      <c r="AC126" s="22">
        <f t="shared" si="57"/>
        <v>137.44952803557044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10.186999999999994</v>
      </c>
      <c r="AI126" s="13">
        <f>IF('Données projet'!$A$62&gt;35,AI125+AH126-AQ125,IF(A126&lt;'Données projet'!$A$62,$AF$205^A126,IF(A126='Données projet'!$A$62,'Données projet'!$B$62,AI125+AH126-AQ125)))</f>
        <v>535.10099999999977</v>
      </c>
      <c r="AJ126" s="13">
        <f>AI126*VLOOKUP('Données projet'!$B$10,Paramètres!$A$1:$I$89,3,0)*VLOOKUP('Données projet'!$B$10,Paramètres!$A$1:$I$89,5,0)</f>
        <v>509.20211159999974</v>
      </c>
      <c r="AK126" s="13">
        <f t="shared" si="89"/>
        <v>113.59526839782332</v>
      </c>
      <c r="AL126" s="20">
        <f t="shared" si="58"/>
        <v>1084.7054368295419</v>
      </c>
      <c r="AM126" s="59">
        <f t="shared" si="59"/>
        <v>1378.0387701628752</v>
      </c>
      <c r="AN126" s="59">
        <f ca="1">AVERAGE(OFFSET($AM$3,0,0,'Données projet'!$E$10+1,1))-AVERAGE(OFFSET($H$3,0,0,'Données projet'!$E$10+1,1))</f>
        <v>733.95677909577444</v>
      </c>
      <c r="AO126" s="59">
        <f t="shared" si="90"/>
        <v>264.63778993239799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144.55898638223789</v>
      </c>
      <c r="AV126" s="21">
        <f>EXP(-LN(2)/25)*AV125+(1-EXP(-LN(2)/25))/(LN(2)/25)*Calculateur!AQ126*Calculateur!AS126*VLOOKUP('Données projet'!$B$10,Paramètres!$A$1:$I$89,3,0)*0.475*44/12</f>
        <v>0</v>
      </c>
      <c r="AW126" s="21">
        <f>EXP(-LN(2)/2)*AW125+(1-EXP(-LN(2)/2))/(LN(2)/2)*AQ126*AT126*VLOOKUP('Données projet'!$B$10,Paramètres!$A$1:$I$89,3,0)*0.475*44/12</f>
        <v>0</v>
      </c>
      <c r="AX126" s="21">
        <f t="shared" si="60"/>
        <v>144.55898638223789</v>
      </c>
      <c r="AY126" s="7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0</v>
      </c>
      <c r="BE126" s="13">
        <f>BD126*VLOOKUP('Données projet'!$B$11,Paramètres!$A$1:$I$89,3,0)*VLOOKUP('Données projet'!$B$11,Paramètres!$A$1:$I$89,5,0)</f>
        <v>0</v>
      </c>
      <c r="BF126" s="13" t="e">
        <f t="shared" si="91"/>
        <v>#NUM!</v>
      </c>
      <c r="BG126" s="20" t="e">
        <f t="shared" si="61"/>
        <v>#NUM!</v>
      </c>
      <c r="BH126" s="59" t="e">
        <f t="shared" si="62"/>
        <v>#NUM!</v>
      </c>
      <c r="BI126" s="59">
        <f ca="1">AVERAGE(OFFSET($BH$3,0,0,'Données projet'!$E$11+1,1))-AVERAGE(OFFSET($H$3,0,0,'Données projet'!$E$11+1,1))</f>
        <v>187.80389738728508</v>
      </c>
      <c r="BJ126" s="59">
        <f t="shared" si="92"/>
        <v>439.28159165815265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19.580416983270165</v>
      </c>
      <c r="BQ126" s="21">
        <f>EXP(-LN(2)/25)*BQ125+(1-EXP(-LN(2)/25))/(LN(2)/25)*Calculateur!BL126*Calculateur!BN126*VLOOKUP('Données projet'!$B$11,Paramètres!$A$1:$I$89,3,0)*0.475*44/12</f>
        <v>1.0910534853276663</v>
      </c>
      <c r="BR126" s="21">
        <f>EXP(-LN(2)/2)*BR125+(1-EXP(-LN(2)/2))/(LN(2)/2)*BL126*BO126*VLOOKUP('Données projet'!$B$11,Paramètres!$A$1:$I$89,3,0)*0.475*44/12</f>
        <v>4.5180484193219881E-16</v>
      </c>
      <c r="BS126" s="22">
        <f t="shared" si="63"/>
        <v>20.671470468597832</v>
      </c>
      <c r="BT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0</v>
      </c>
      <c r="BZ126" s="13" t="e">
        <f>BY126*VLOOKUP('Données projet'!$B$12,Paramètres!$A$1:$I$89,3,0)*VLOOKUP('Données projet'!$B$12,Paramètres!$A$1:$I$89,5,0)</f>
        <v>#N/A</v>
      </c>
      <c r="CA126" s="13" t="e">
        <f t="shared" si="93"/>
        <v>#N/A</v>
      </c>
      <c r="CB126" s="20" t="e">
        <f t="shared" si="64"/>
        <v>#N/A</v>
      </c>
      <c r="CC126" s="59" t="e">
        <f t="shared" si="65"/>
        <v>#N/A</v>
      </c>
      <c r="CD126" s="59" t="e">
        <f ca="1">AVERAGE(OFFSET($CC$3,0,0,'Données projet'!$E$12+1,1))-AVERAGE(OFFSET($H$3,0,0,'Données projet'!$E$12+1,1))</f>
        <v>#N/A</v>
      </c>
      <c r="CE126" s="59" t="e">
        <f t="shared" si="94"/>
        <v>#N/A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 t="e">
        <f>EXP(-LN(2)/35)*CK125+(1-EXP(-LN(2)/35))/(LN(2)/35)*CG126*CH126*VLOOKUP('Données projet'!$B$12,Paramètres!$A$1:$I$89,3,0)*0.475*44/12</f>
        <v>#N/A</v>
      </c>
      <c r="CL126" s="21" t="e">
        <f>EXP(-LN(2)/25)*CL125+(1-EXP(-LN(2)/25))/(LN(2)/25)*Calculateur!CG126*Calculateur!CI126*VLOOKUP('Données projet'!$B$12,Paramètres!$A$1:$I$89,3,0)*0.475*44/12</f>
        <v>#N/A</v>
      </c>
      <c r="CM126" s="21" t="e">
        <f>EXP(-LN(2)/2)*CM125+(1-EXP(-LN(2)/2))/(LN(2)/2)*CG126*CJ126*VLOOKUP('Données projet'!$B$12,Paramètres!$A$1:$I$89,3,0)*0.475*44/12</f>
        <v>#N/A</v>
      </c>
      <c r="CN126" s="22" t="e">
        <f t="shared" si="66"/>
        <v>#N/A</v>
      </c>
      <c r="CO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35">
      <c r="A127" s="10">
        <f t="shared" si="85"/>
        <v>124</v>
      </c>
      <c r="B127" s="72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1">
        <f t="shared" si="86"/>
        <v>0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66">
        <f t="shared" si="56"/>
        <v>256.66666666666669</v>
      </c>
      <c r="I127" s="6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10.186999999999994</v>
      </c>
      <c r="N127" s="13">
        <f>IF('Données projet'!$A$36&gt;35,N126+M127-V126,IF(A127&lt;'Données projet'!$A$36,$K$205^A127,IF(A127='Données projet'!$A$36,'Données projet'!$B$36,N126+M127-V126)))</f>
        <v>545.28799999999978</v>
      </c>
      <c r="O127" s="13">
        <f>N127*VLOOKUP('Données projet'!$B$9,Paramètres!$A$1:$I$89,3,0)*VLOOKUP('Données projet'!$B$9,Paramètres!$A$1:$I$89,5,0)</f>
        <v>493.37658239999979</v>
      </c>
      <c r="P127" s="13">
        <f t="shared" si="87"/>
        <v>110.47006664723473</v>
      </c>
      <c r="Q127" s="20">
        <f t="shared" si="107"/>
        <v>1051.6995804239334</v>
      </c>
      <c r="R127" s="59">
        <f t="shared" si="55"/>
        <v>1345.0329137572667</v>
      </c>
      <c r="S127" s="59">
        <f ca="1">AVERAGE(OFFSET($R$3,0,0,'Données projet'!$E$9+1,1))-AVERAGE(OFFSET($H$3,0,0,'Données projet'!$E$9+1,1))</f>
        <v>700.22008319944644</v>
      </c>
      <c r="T127" s="59">
        <f t="shared" si="88"/>
        <v>253.69632671986739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134.7542266267269</v>
      </c>
      <c r="AA127" s="21">
        <f>EXP(-LN(2)/25)*AA126+(1-EXP(-LN(2)/25))/(LN(2)/25)*Calculateur!V127*Calculateur!X127*VLOOKUP('Données projet'!$B$9,Paramètres!$A$1:$I$89,3,0)*0.475*44/12</f>
        <v>0</v>
      </c>
      <c r="AB127" s="21">
        <f>EXP(-LN(2)/2)*AB126+(1-EXP(-LN(2)/2))/(LN(2)/2)*V127*Y127*VLOOKUP('Données projet'!$B$9,Paramètres!$A$1:$I$89,3,0)*0.475*44/12</f>
        <v>0</v>
      </c>
      <c r="AC127" s="22">
        <f t="shared" si="57"/>
        <v>134.7542266267269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10.186999999999994</v>
      </c>
      <c r="AI127" s="13">
        <f>IF('Données projet'!$A$62&gt;35,AI126+AH127-AQ126,IF(A127&lt;'Données projet'!$A$62,$AF$205^A127,IF(A127='Données projet'!$A$62,'Données projet'!$B$62,AI126+AH127-AQ126)))</f>
        <v>545.28799999999978</v>
      </c>
      <c r="AJ127" s="13">
        <f>AI127*VLOOKUP('Données projet'!$B$10,Paramètres!$A$1:$I$89,3,0)*VLOOKUP('Données projet'!$B$10,Paramètres!$A$1:$I$89,5,0)</f>
        <v>518.89606079999987</v>
      </c>
      <c r="AK127" s="13">
        <f t="shared" si="89"/>
        <v>115.50401559975271</v>
      </c>
      <c r="AL127" s="20">
        <f t="shared" si="58"/>
        <v>1104.9134663962357</v>
      </c>
      <c r="AM127" s="59">
        <f t="shared" si="59"/>
        <v>1398.2467997295689</v>
      </c>
      <c r="AN127" s="59">
        <f ca="1">AVERAGE(OFFSET($AM$3,0,0,'Données projet'!$E$10+1,1))-AVERAGE(OFFSET($H$3,0,0,'Données projet'!$E$10+1,1))</f>
        <v>733.95677909577444</v>
      </c>
      <c r="AO127" s="59">
        <f t="shared" si="90"/>
        <v>264.63778993239799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141.72427283155761</v>
      </c>
      <c r="AV127" s="21">
        <f>EXP(-LN(2)/25)*AV126+(1-EXP(-LN(2)/25))/(LN(2)/25)*Calculateur!AQ127*Calculateur!AS127*VLOOKUP('Données projet'!$B$10,Paramètres!$A$1:$I$89,3,0)*0.475*44/12</f>
        <v>0</v>
      </c>
      <c r="AW127" s="21">
        <f>EXP(-LN(2)/2)*AW126+(1-EXP(-LN(2)/2))/(LN(2)/2)*AQ127*AT127*VLOOKUP('Données projet'!$B$10,Paramètres!$A$1:$I$89,3,0)*0.475*44/12</f>
        <v>0</v>
      </c>
      <c r="AX127" s="21">
        <f t="shared" si="60"/>
        <v>141.72427283155761</v>
      </c>
      <c r="AY127" s="7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0</v>
      </c>
      <c r="BE127" s="13">
        <f>BD127*VLOOKUP('Données projet'!$B$11,Paramètres!$A$1:$I$89,3,0)*VLOOKUP('Données projet'!$B$11,Paramètres!$A$1:$I$89,5,0)</f>
        <v>0</v>
      </c>
      <c r="BF127" s="13" t="e">
        <f t="shared" si="91"/>
        <v>#NUM!</v>
      </c>
      <c r="BG127" s="20" t="e">
        <f t="shared" si="61"/>
        <v>#NUM!</v>
      </c>
      <c r="BH127" s="59" t="e">
        <f t="shared" si="62"/>
        <v>#NUM!</v>
      </c>
      <c r="BI127" s="59">
        <f ca="1">AVERAGE(OFFSET($BH$3,0,0,'Données projet'!$E$11+1,1))-AVERAGE(OFFSET($H$3,0,0,'Données projet'!$E$11+1,1))</f>
        <v>187.80389738728508</v>
      </c>
      <c r="BJ127" s="59">
        <f t="shared" si="92"/>
        <v>439.28159165815265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19.196456949103336</v>
      </c>
      <c r="BQ127" s="21">
        <f>EXP(-LN(2)/25)*BQ126+(1-EXP(-LN(2)/25))/(LN(2)/25)*Calculateur!BL127*Calculateur!BN127*VLOOKUP('Données projet'!$B$11,Paramètres!$A$1:$I$89,3,0)*0.475*44/12</f>
        <v>1.061218570395372</v>
      </c>
      <c r="BR127" s="21">
        <f>EXP(-LN(2)/2)*BR126+(1-EXP(-LN(2)/2))/(LN(2)/2)*BL127*BO127*VLOOKUP('Données projet'!$B$11,Paramètres!$A$1:$I$89,3,0)*0.475*44/12</f>
        <v>3.1947426750317399E-16</v>
      </c>
      <c r="BS127" s="22">
        <f t="shared" si="63"/>
        <v>20.257675519498708</v>
      </c>
      <c r="BT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0</v>
      </c>
      <c r="BZ127" s="13" t="e">
        <f>BY127*VLOOKUP('Données projet'!$B$12,Paramètres!$A$1:$I$89,3,0)*VLOOKUP('Données projet'!$B$12,Paramètres!$A$1:$I$89,5,0)</f>
        <v>#N/A</v>
      </c>
      <c r="CA127" s="13" t="e">
        <f t="shared" si="93"/>
        <v>#N/A</v>
      </c>
      <c r="CB127" s="20" t="e">
        <f t="shared" si="64"/>
        <v>#N/A</v>
      </c>
      <c r="CC127" s="59" t="e">
        <f t="shared" si="65"/>
        <v>#N/A</v>
      </c>
      <c r="CD127" s="59" t="e">
        <f ca="1">AVERAGE(OFFSET($CC$3,0,0,'Données projet'!$E$12+1,1))-AVERAGE(OFFSET($H$3,0,0,'Données projet'!$E$12+1,1))</f>
        <v>#N/A</v>
      </c>
      <c r="CE127" s="59" t="e">
        <f t="shared" si="94"/>
        <v>#N/A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 t="e">
        <f>EXP(-LN(2)/35)*CK126+(1-EXP(-LN(2)/35))/(LN(2)/35)*CG127*CH127*VLOOKUP('Données projet'!$B$12,Paramètres!$A$1:$I$89,3,0)*0.475*44/12</f>
        <v>#N/A</v>
      </c>
      <c r="CL127" s="21" t="e">
        <f>EXP(-LN(2)/25)*CL126+(1-EXP(-LN(2)/25))/(LN(2)/25)*Calculateur!CG127*Calculateur!CI127*VLOOKUP('Données projet'!$B$12,Paramètres!$A$1:$I$89,3,0)*0.475*44/12</f>
        <v>#N/A</v>
      </c>
      <c r="CM127" s="21" t="e">
        <f>EXP(-LN(2)/2)*CM126+(1-EXP(-LN(2)/2))/(LN(2)/2)*CG127*CJ127*VLOOKUP('Données projet'!$B$12,Paramètres!$A$1:$I$89,3,0)*0.475*44/12</f>
        <v>#N/A</v>
      </c>
      <c r="CN127" s="22" t="e">
        <f t="shared" si="66"/>
        <v>#N/A</v>
      </c>
      <c r="CO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35">
      <c r="A128" s="10">
        <f t="shared" si="85"/>
        <v>125</v>
      </c>
      <c r="B128" s="72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1">
        <f t="shared" si="86"/>
        <v>0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66">
        <f t="shared" si="56"/>
        <v>256.66666666666669</v>
      </c>
      <c r="I128" s="6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10.186999999999994</v>
      </c>
      <c r="N128" s="13">
        <f>IF('Données projet'!$A$36&gt;35,N127+M128-V127,IF(A128&lt;'Données projet'!$A$36,$K$205^A128,IF(A128='Données projet'!$A$36,'Données projet'!$B$36,N127+M128-V127)))</f>
        <v>555.4749999999998</v>
      </c>
      <c r="O128" s="13">
        <f>N128*VLOOKUP('Données projet'!$B$9,Paramètres!$A$1:$I$89,3,0)*VLOOKUP('Données projet'!$B$9,Paramètres!$A$1:$I$89,5,0)</f>
        <v>502.59377999999987</v>
      </c>
      <c r="P128" s="13">
        <f t="shared" si="87"/>
        <v>112.29166021692112</v>
      </c>
      <c r="Q128" s="20">
        <f t="shared" si="107"/>
        <v>1070.9254750444707</v>
      </c>
      <c r="R128" s="59">
        <f t="shared" si="55"/>
        <v>1364.2588083778039</v>
      </c>
      <c r="S128" s="59">
        <f ca="1">AVERAGE(OFFSET($R$3,0,0,'Données projet'!$E$9+1,1))-AVERAGE(OFFSET($H$3,0,0,'Données projet'!$E$9+1,1))</f>
        <v>700.22008319944644</v>
      </c>
      <c r="T128" s="59">
        <f t="shared" si="88"/>
        <v>253.69632671986739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132.11177843453925</v>
      </c>
      <c r="AA128" s="21">
        <f>EXP(-LN(2)/25)*AA127+(1-EXP(-LN(2)/25))/(LN(2)/25)*Calculateur!V128*Calculateur!X128*VLOOKUP('Données projet'!$B$9,Paramètres!$A$1:$I$89,3,0)*0.475*44/12</f>
        <v>0</v>
      </c>
      <c r="AB128" s="21">
        <f>EXP(-LN(2)/2)*AB127+(1-EXP(-LN(2)/2))/(LN(2)/2)*V128*Y128*VLOOKUP('Données projet'!$B$9,Paramètres!$A$1:$I$89,3,0)*0.475*44/12</f>
        <v>0</v>
      </c>
      <c r="AC128" s="22">
        <f t="shared" si="57"/>
        <v>132.11177843453925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10.186999999999994</v>
      </c>
      <c r="AI128" s="13">
        <f>IF('Données projet'!$A$62&gt;35,AI127+AH128-AQ127,IF(A128&lt;'Données projet'!$A$62,$AF$205^A128,IF(A128='Données projet'!$A$62,'Données projet'!$B$62,AI127+AH128-AQ127)))</f>
        <v>555.4749999999998</v>
      </c>
      <c r="AJ128" s="13">
        <f>AI128*VLOOKUP('Données projet'!$B$10,Paramètres!$A$1:$I$89,3,0)*VLOOKUP('Données projet'!$B$10,Paramètres!$A$1:$I$89,5,0)</f>
        <v>528.59000999999978</v>
      </c>
      <c r="AK128" s="13">
        <f t="shared" si="89"/>
        <v>117.40861635247373</v>
      </c>
      <c r="AL128" s="20">
        <f t="shared" si="58"/>
        <v>1125.1142742305578</v>
      </c>
      <c r="AM128" s="59">
        <f t="shared" si="59"/>
        <v>1418.4476075638911</v>
      </c>
      <c r="AN128" s="59">
        <f ca="1">AVERAGE(OFFSET($AM$3,0,0,'Données projet'!$E$10+1,1))-AVERAGE(OFFSET($H$3,0,0,'Données projet'!$E$10+1,1))</f>
        <v>733.95677909577444</v>
      </c>
      <c r="AO128" s="59">
        <f t="shared" si="90"/>
        <v>264.63778993239799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138.94514628460163</v>
      </c>
      <c r="AV128" s="21">
        <f>EXP(-LN(2)/25)*AV127+(1-EXP(-LN(2)/25))/(LN(2)/25)*Calculateur!AQ128*Calculateur!AS128*VLOOKUP('Données projet'!$B$10,Paramètres!$A$1:$I$89,3,0)*0.475*44/12</f>
        <v>0</v>
      </c>
      <c r="AW128" s="21">
        <f>EXP(-LN(2)/2)*AW127+(1-EXP(-LN(2)/2))/(LN(2)/2)*AQ128*AT128*VLOOKUP('Données projet'!$B$10,Paramètres!$A$1:$I$89,3,0)*0.475*44/12</f>
        <v>0</v>
      </c>
      <c r="AX128" s="21">
        <f t="shared" si="60"/>
        <v>138.94514628460163</v>
      </c>
      <c r="AY128" s="7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0</v>
      </c>
      <c r="BE128" s="13">
        <f>BD128*VLOOKUP('Données projet'!$B$11,Paramètres!$A$1:$I$89,3,0)*VLOOKUP('Données projet'!$B$11,Paramètres!$A$1:$I$89,5,0)</f>
        <v>0</v>
      </c>
      <c r="BF128" s="13" t="e">
        <f t="shared" si="91"/>
        <v>#NUM!</v>
      </c>
      <c r="BG128" s="20" t="e">
        <f t="shared" si="61"/>
        <v>#NUM!</v>
      </c>
      <c r="BH128" s="59" t="e">
        <f t="shared" si="62"/>
        <v>#NUM!</v>
      </c>
      <c r="BI128" s="59">
        <f ca="1">AVERAGE(OFFSET($BH$3,0,0,'Données projet'!$E$11+1,1))-AVERAGE(OFFSET($H$3,0,0,'Données projet'!$E$11+1,1))</f>
        <v>187.80389738728508</v>
      </c>
      <c r="BJ128" s="59">
        <f t="shared" si="92"/>
        <v>439.28159165815265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18.820026137014022</v>
      </c>
      <c r="BQ128" s="21">
        <f>EXP(-LN(2)/25)*BQ127+(1-EXP(-LN(2)/25))/(LN(2)/25)*Calculateur!BL128*Calculateur!BN128*VLOOKUP('Données projet'!$B$11,Paramètres!$A$1:$I$89,3,0)*0.475*44/12</f>
        <v>1.0321994927808513</v>
      </c>
      <c r="BR128" s="21">
        <f>EXP(-LN(2)/2)*BR127+(1-EXP(-LN(2)/2))/(LN(2)/2)*BL128*BO128*VLOOKUP('Données projet'!$B$11,Paramètres!$A$1:$I$89,3,0)*0.475*44/12</f>
        <v>2.259024209660994E-16</v>
      </c>
      <c r="BS128" s="22">
        <f t="shared" si="63"/>
        <v>19.852225629794873</v>
      </c>
      <c r="BT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0</v>
      </c>
      <c r="BZ128" s="13" t="e">
        <f>BY128*VLOOKUP('Données projet'!$B$12,Paramètres!$A$1:$I$89,3,0)*VLOOKUP('Données projet'!$B$12,Paramètres!$A$1:$I$89,5,0)</f>
        <v>#N/A</v>
      </c>
      <c r="CA128" s="13" t="e">
        <f t="shared" si="93"/>
        <v>#N/A</v>
      </c>
      <c r="CB128" s="20" t="e">
        <f t="shared" si="64"/>
        <v>#N/A</v>
      </c>
      <c r="CC128" s="59" t="e">
        <f t="shared" si="65"/>
        <v>#N/A</v>
      </c>
      <c r="CD128" s="59" t="e">
        <f ca="1">AVERAGE(OFFSET($CC$3,0,0,'Données projet'!$E$12+1,1))-AVERAGE(OFFSET($H$3,0,0,'Données projet'!$E$12+1,1))</f>
        <v>#N/A</v>
      </c>
      <c r="CE128" s="59" t="e">
        <f t="shared" si="94"/>
        <v>#N/A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 t="e">
        <f>EXP(-LN(2)/35)*CK127+(1-EXP(-LN(2)/35))/(LN(2)/35)*CG128*CH128*VLOOKUP('Données projet'!$B$12,Paramètres!$A$1:$I$89,3,0)*0.475*44/12</f>
        <v>#N/A</v>
      </c>
      <c r="CL128" s="21" t="e">
        <f>EXP(-LN(2)/25)*CL127+(1-EXP(-LN(2)/25))/(LN(2)/25)*Calculateur!CG128*Calculateur!CI128*VLOOKUP('Données projet'!$B$12,Paramètres!$A$1:$I$89,3,0)*0.475*44/12</f>
        <v>#N/A</v>
      </c>
      <c r="CM128" s="21" t="e">
        <f>EXP(-LN(2)/2)*CM127+(1-EXP(-LN(2)/2))/(LN(2)/2)*CG128*CJ128*VLOOKUP('Données projet'!$B$12,Paramètres!$A$1:$I$89,3,0)*0.475*44/12</f>
        <v>#N/A</v>
      </c>
      <c r="CN128" s="22" t="e">
        <f t="shared" si="66"/>
        <v>#N/A</v>
      </c>
      <c r="CO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35">
      <c r="A129" s="10">
        <f t="shared" si="85"/>
        <v>126</v>
      </c>
      <c r="B129" s="72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1">
        <f t="shared" si="86"/>
        <v>0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66">
        <f t="shared" si="56"/>
        <v>256.66666666666669</v>
      </c>
      <c r="I129" s="6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10.186999999999994</v>
      </c>
      <c r="N129" s="13">
        <f>IF('Données projet'!$A$36&gt;35,N128+M129-V128,IF(A129&lt;'Données projet'!$A$36,$K$205^A129,IF(A129='Données projet'!$A$36,'Données projet'!$B$36,N128+M129-V128)))</f>
        <v>565.66199999999981</v>
      </c>
      <c r="O129" s="13">
        <f>N129*VLOOKUP('Données projet'!$B$9,Paramètres!$A$1:$I$89,3,0)*VLOOKUP('Données projet'!$B$9,Paramètres!$A$1:$I$89,5,0)</f>
        <v>511.81097759999983</v>
      </c>
      <c r="P129" s="13">
        <f t="shared" si="87"/>
        <v>114.10936916671025</v>
      </c>
      <c r="Q129" s="20">
        <f t="shared" si="107"/>
        <v>1090.1446039520199</v>
      </c>
      <c r="R129" s="59">
        <f t="shared" si="55"/>
        <v>1383.4779372853532</v>
      </c>
      <c r="S129" s="59">
        <f ca="1">AVERAGE(OFFSET($R$3,0,0,'Données projet'!$E$9+1,1))-AVERAGE(OFFSET($H$3,0,0,'Données projet'!$E$9+1,1))</f>
        <v>700.22008319944644</v>
      </c>
      <c r="T129" s="59">
        <f t="shared" si="88"/>
        <v>253.69632671986739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129.52114703966615</v>
      </c>
      <c r="AA129" s="21">
        <f>EXP(-LN(2)/25)*AA128+(1-EXP(-LN(2)/25))/(LN(2)/25)*Calculateur!V129*Calculateur!X129*VLOOKUP('Données projet'!$B$9,Paramètres!$A$1:$I$89,3,0)*0.475*44/12</f>
        <v>0</v>
      </c>
      <c r="AB129" s="21">
        <f>EXP(-LN(2)/2)*AB128+(1-EXP(-LN(2)/2))/(LN(2)/2)*V129*Y129*VLOOKUP('Données projet'!$B$9,Paramètres!$A$1:$I$89,3,0)*0.475*44/12</f>
        <v>0</v>
      </c>
      <c r="AC129" s="22">
        <f t="shared" si="57"/>
        <v>129.52114703966615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10.186999999999994</v>
      </c>
      <c r="AI129" s="13">
        <f>IF('Données projet'!$A$62&gt;35,AI128+AH129-AQ128,IF(A129&lt;'Données projet'!$A$62,$AF$205^A129,IF(A129='Données projet'!$A$62,'Données projet'!$B$62,AI128+AH129-AQ128)))</f>
        <v>565.66199999999981</v>
      </c>
      <c r="AJ129" s="13">
        <f>AI129*VLOOKUP('Données projet'!$B$10,Paramètres!$A$1:$I$89,3,0)*VLOOKUP('Données projet'!$B$10,Paramètres!$A$1:$I$89,5,0)</f>
        <v>538.2839591999998</v>
      </c>
      <c r="AK129" s="13">
        <f t="shared" si="89"/>
        <v>119.30915546921653</v>
      </c>
      <c r="AL129" s="20">
        <f t="shared" si="58"/>
        <v>1145.3080080488851</v>
      </c>
      <c r="AM129" s="59">
        <f t="shared" si="59"/>
        <v>1438.6413413822183</v>
      </c>
      <c r="AN129" s="59">
        <f ca="1">AVERAGE(OFFSET($AM$3,0,0,'Données projet'!$E$10+1,1))-AVERAGE(OFFSET($H$3,0,0,'Données projet'!$E$10+1,1))</f>
        <v>733.95677909577444</v>
      </c>
      <c r="AO129" s="59">
        <f t="shared" si="90"/>
        <v>264.63778993239799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136.22051671413163</v>
      </c>
      <c r="AV129" s="21">
        <f>EXP(-LN(2)/25)*AV128+(1-EXP(-LN(2)/25))/(LN(2)/25)*Calculateur!AQ129*Calculateur!AS129*VLOOKUP('Données projet'!$B$10,Paramètres!$A$1:$I$89,3,0)*0.475*44/12</f>
        <v>0</v>
      </c>
      <c r="AW129" s="21">
        <f>EXP(-LN(2)/2)*AW128+(1-EXP(-LN(2)/2))/(LN(2)/2)*AQ129*AT129*VLOOKUP('Données projet'!$B$10,Paramètres!$A$1:$I$89,3,0)*0.475*44/12</f>
        <v>0</v>
      </c>
      <c r="AX129" s="21">
        <f t="shared" si="60"/>
        <v>136.22051671413163</v>
      </c>
      <c r="AY129" s="7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0</v>
      </c>
      <c r="BE129" s="13">
        <f>BD129*VLOOKUP('Données projet'!$B$11,Paramètres!$A$1:$I$89,3,0)*VLOOKUP('Données projet'!$B$11,Paramètres!$A$1:$I$89,5,0)</f>
        <v>0</v>
      </c>
      <c r="BF129" s="13" t="e">
        <f t="shared" si="91"/>
        <v>#NUM!</v>
      </c>
      <c r="BG129" s="20" t="e">
        <f t="shared" si="61"/>
        <v>#NUM!</v>
      </c>
      <c r="BH129" s="59" t="e">
        <f t="shared" si="62"/>
        <v>#NUM!</v>
      </c>
      <c r="BI129" s="59">
        <f ca="1">AVERAGE(OFFSET($BH$3,0,0,'Données projet'!$E$11+1,1))-AVERAGE(OFFSET($H$3,0,0,'Données projet'!$E$11+1,1))</f>
        <v>187.80389738728508</v>
      </c>
      <c r="BJ129" s="59">
        <f t="shared" si="92"/>
        <v>439.28159165815265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18.450976903549655</v>
      </c>
      <c r="BQ129" s="21">
        <f>EXP(-LN(2)/25)*BQ128+(1-EXP(-LN(2)/25))/(LN(2)/25)*Calculateur!BL129*Calculateur!BN129*VLOOKUP('Données projet'!$B$11,Paramètres!$A$1:$I$89,3,0)*0.475*44/12</f>
        <v>1.0039739433697468</v>
      </c>
      <c r="BR129" s="21">
        <f>EXP(-LN(2)/2)*BR128+(1-EXP(-LN(2)/2))/(LN(2)/2)*BL129*BO129*VLOOKUP('Données projet'!$B$11,Paramètres!$A$1:$I$89,3,0)*0.475*44/12</f>
        <v>1.59737133751587E-16</v>
      </c>
      <c r="BS129" s="22">
        <f t="shared" si="63"/>
        <v>19.454950846919402</v>
      </c>
      <c r="BT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0</v>
      </c>
      <c r="BZ129" s="13" t="e">
        <f>BY129*VLOOKUP('Données projet'!$B$12,Paramètres!$A$1:$I$89,3,0)*VLOOKUP('Données projet'!$B$12,Paramètres!$A$1:$I$89,5,0)</f>
        <v>#N/A</v>
      </c>
      <c r="CA129" s="13" t="e">
        <f t="shared" si="93"/>
        <v>#N/A</v>
      </c>
      <c r="CB129" s="20" t="e">
        <f t="shared" si="64"/>
        <v>#N/A</v>
      </c>
      <c r="CC129" s="59" t="e">
        <f t="shared" si="65"/>
        <v>#N/A</v>
      </c>
      <c r="CD129" s="59" t="e">
        <f ca="1">AVERAGE(OFFSET($CC$3,0,0,'Données projet'!$E$12+1,1))-AVERAGE(OFFSET($H$3,0,0,'Données projet'!$E$12+1,1))</f>
        <v>#N/A</v>
      </c>
      <c r="CE129" s="59" t="e">
        <f t="shared" si="94"/>
        <v>#N/A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 t="e">
        <f>EXP(-LN(2)/35)*CK128+(1-EXP(-LN(2)/35))/(LN(2)/35)*CG129*CH129*VLOOKUP('Données projet'!$B$12,Paramètres!$A$1:$I$89,3,0)*0.475*44/12</f>
        <v>#N/A</v>
      </c>
      <c r="CL129" s="21" t="e">
        <f>EXP(-LN(2)/25)*CL128+(1-EXP(-LN(2)/25))/(LN(2)/25)*Calculateur!CG129*Calculateur!CI129*VLOOKUP('Données projet'!$B$12,Paramètres!$A$1:$I$89,3,0)*0.475*44/12</f>
        <v>#N/A</v>
      </c>
      <c r="CM129" s="21" t="e">
        <f>EXP(-LN(2)/2)*CM128+(1-EXP(-LN(2)/2))/(LN(2)/2)*CG129*CJ129*VLOOKUP('Données projet'!$B$12,Paramètres!$A$1:$I$89,3,0)*0.475*44/12</f>
        <v>#N/A</v>
      </c>
      <c r="CN129" s="22" t="e">
        <f t="shared" si="66"/>
        <v>#N/A</v>
      </c>
      <c r="CO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35">
      <c r="A130" s="10">
        <f t="shared" si="85"/>
        <v>127</v>
      </c>
      <c r="B130" s="72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1">
        <f t="shared" si="86"/>
        <v>0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66">
        <f t="shared" si="56"/>
        <v>256.66666666666669</v>
      </c>
      <c r="I130" s="6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10.186999999999994</v>
      </c>
      <c r="N130" s="13">
        <f>IF('Données projet'!$A$36&gt;35,N129+M130-V129,IF(A130&lt;'Données projet'!$A$36,$K$205^A130,IF(A130='Données projet'!$A$36,'Données projet'!$B$36,N129+M130-V129)))</f>
        <v>575.84899999999982</v>
      </c>
      <c r="O130" s="13">
        <f>N130*VLOOKUP('Données projet'!$B$9,Paramètres!$A$1:$I$89,3,0)*VLOOKUP('Données projet'!$B$9,Paramètres!$A$1:$I$89,5,0)</f>
        <v>521.02817519999985</v>
      </c>
      <c r="P130" s="13">
        <f t="shared" si="87"/>
        <v>115.92327152449572</v>
      </c>
      <c r="Q130" s="20">
        <f t="shared" si="107"/>
        <v>1109.3571030451628</v>
      </c>
      <c r="R130" s="59">
        <f t="shared" si="55"/>
        <v>1402.6904363784961</v>
      </c>
      <c r="S130" s="59">
        <f ca="1">AVERAGE(OFFSET($R$3,0,0,'Données projet'!$E$9+1,1))-AVERAGE(OFFSET($H$3,0,0,'Données projet'!$E$9+1,1))</f>
        <v>700.22008319944644</v>
      </c>
      <c r="T130" s="59">
        <f t="shared" si="88"/>
        <v>253.69632671986739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126.98131634631737</v>
      </c>
      <c r="AA130" s="21">
        <f>EXP(-LN(2)/25)*AA129+(1-EXP(-LN(2)/25))/(LN(2)/25)*Calculateur!V130*Calculateur!X130*VLOOKUP('Données projet'!$B$9,Paramètres!$A$1:$I$89,3,0)*0.475*44/12</f>
        <v>0</v>
      </c>
      <c r="AB130" s="21">
        <f>EXP(-LN(2)/2)*AB129+(1-EXP(-LN(2)/2))/(LN(2)/2)*V130*Y130*VLOOKUP('Données projet'!$B$9,Paramètres!$A$1:$I$89,3,0)*0.475*44/12</f>
        <v>0</v>
      </c>
      <c r="AC130" s="22">
        <f t="shared" si="57"/>
        <v>126.98131634631737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10.186999999999994</v>
      </c>
      <c r="AI130" s="13">
        <f>IF('Données projet'!$A$62&gt;35,AI129+AH130-AQ129,IF(A130&lt;'Données projet'!$A$62,$AF$205^A130,IF(A130='Données projet'!$A$62,'Données projet'!$B$62,AI129+AH130-AQ129)))</f>
        <v>575.84899999999982</v>
      </c>
      <c r="AJ130" s="13">
        <f>AI130*VLOOKUP('Données projet'!$B$10,Paramètres!$A$1:$I$89,3,0)*VLOOKUP('Données projet'!$B$10,Paramètres!$A$1:$I$89,5,0)</f>
        <v>547.97790839999993</v>
      </c>
      <c r="AK130" s="13">
        <f t="shared" si="89"/>
        <v>121.20571453348434</v>
      </c>
      <c r="AL130" s="20">
        <f t="shared" si="58"/>
        <v>1165.4948099424848</v>
      </c>
      <c r="AM130" s="59">
        <f t="shared" si="59"/>
        <v>1458.8281432758181</v>
      </c>
      <c r="AN130" s="59">
        <f ca="1">AVERAGE(OFFSET($AM$3,0,0,'Données projet'!$E$10+1,1))-AVERAGE(OFFSET($H$3,0,0,'Données projet'!$E$10+1,1))</f>
        <v>733.95677909577444</v>
      </c>
      <c r="AO130" s="59">
        <f t="shared" si="90"/>
        <v>264.63778993239799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133.54931546767861</v>
      </c>
      <c r="AV130" s="21">
        <f>EXP(-LN(2)/25)*AV129+(1-EXP(-LN(2)/25))/(LN(2)/25)*Calculateur!AQ130*Calculateur!AS130*VLOOKUP('Données projet'!$B$10,Paramètres!$A$1:$I$89,3,0)*0.475*44/12</f>
        <v>0</v>
      </c>
      <c r="AW130" s="21">
        <f>EXP(-LN(2)/2)*AW129+(1-EXP(-LN(2)/2))/(LN(2)/2)*AQ130*AT130*VLOOKUP('Données projet'!$B$10,Paramètres!$A$1:$I$89,3,0)*0.475*44/12</f>
        <v>0</v>
      </c>
      <c r="AX130" s="21">
        <f t="shared" si="60"/>
        <v>133.54931546767861</v>
      </c>
      <c r="AY130" s="7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0</v>
      </c>
      <c r="BE130" s="13">
        <f>BD130*VLOOKUP('Données projet'!$B$11,Paramètres!$A$1:$I$89,3,0)*VLOOKUP('Données projet'!$B$11,Paramètres!$A$1:$I$89,5,0)</f>
        <v>0</v>
      </c>
      <c r="BF130" s="13" t="e">
        <f t="shared" si="91"/>
        <v>#NUM!</v>
      </c>
      <c r="BG130" s="20" t="e">
        <f t="shared" si="61"/>
        <v>#NUM!</v>
      </c>
      <c r="BH130" s="59" t="e">
        <f t="shared" si="62"/>
        <v>#NUM!</v>
      </c>
      <c r="BI130" s="59">
        <f ca="1">AVERAGE(OFFSET($BH$3,0,0,'Données projet'!$E$11+1,1))-AVERAGE(OFFSET($H$3,0,0,'Données projet'!$E$11+1,1))</f>
        <v>187.80389738728508</v>
      </c>
      <c r="BJ130" s="59">
        <f t="shared" si="92"/>
        <v>439.28159165815265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18.08916450045572</v>
      </c>
      <c r="BQ130" s="21">
        <f>EXP(-LN(2)/25)*BQ129+(1-EXP(-LN(2)/25))/(LN(2)/25)*Calculateur!BL130*Calculateur!BN130*VLOOKUP('Données projet'!$B$11,Paramètres!$A$1:$I$89,3,0)*0.475*44/12</f>
        <v>0.97652022309160602</v>
      </c>
      <c r="BR130" s="21">
        <f>EXP(-LN(2)/2)*BR129+(1-EXP(-LN(2)/2))/(LN(2)/2)*BL130*BO130*VLOOKUP('Données projet'!$B$11,Paramètres!$A$1:$I$89,3,0)*0.475*44/12</f>
        <v>1.129512104830497E-16</v>
      </c>
      <c r="BS130" s="22">
        <f t="shared" si="63"/>
        <v>19.065684723547324</v>
      </c>
      <c r="BT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0</v>
      </c>
      <c r="BZ130" s="13" t="e">
        <f>BY130*VLOOKUP('Données projet'!$B$12,Paramètres!$A$1:$I$89,3,0)*VLOOKUP('Données projet'!$B$12,Paramètres!$A$1:$I$89,5,0)</f>
        <v>#N/A</v>
      </c>
      <c r="CA130" s="13" t="e">
        <f t="shared" si="93"/>
        <v>#N/A</v>
      </c>
      <c r="CB130" s="20" t="e">
        <f t="shared" si="64"/>
        <v>#N/A</v>
      </c>
      <c r="CC130" s="59" t="e">
        <f t="shared" si="65"/>
        <v>#N/A</v>
      </c>
      <c r="CD130" s="59" t="e">
        <f ca="1">AVERAGE(OFFSET($CC$3,0,0,'Données projet'!$E$12+1,1))-AVERAGE(OFFSET($H$3,0,0,'Données projet'!$E$12+1,1))</f>
        <v>#N/A</v>
      </c>
      <c r="CE130" s="59" t="e">
        <f t="shared" si="94"/>
        <v>#N/A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 t="e">
        <f>EXP(-LN(2)/35)*CK129+(1-EXP(-LN(2)/35))/(LN(2)/35)*CG130*CH130*VLOOKUP('Données projet'!$B$12,Paramètres!$A$1:$I$89,3,0)*0.475*44/12</f>
        <v>#N/A</v>
      </c>
      <c r="CL130" s="21" t="e">
        <f>EXP(-LN(2)/25)*CL129+(1-EXP(-LN(2)/25))/(LN(2)/25)*Calculateur!CG130*Calculateur!CI130*VLOOKUP('Données projet'!$B$12,Paramètres!$A$1:$I$89,3,0)*0.475*44/12</f>
        <v>#N/A</v>
      </c>
      <c r="CM130" s="21" t="e">
        <f>EXP(-LN(2)/2)*CM129+(1-EXP(-LN(2)/2))/(LN(2)/2)*CG130*CJ130*VLOOKUP('Données projet'!$B$12,Paramètres!$A$1:$I$89,3,0)*0.475*44/12</f>
        <v>#N/A</v>
      </c>
      <c r="CN130" s="22" t="e">
        <f t="shared" si="66"/>
        <v>#N/A</v>
      </c>
      <c r="CO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35">
      <c r="A131" s="10">
        <f t="shared" si="85"/>
        <v>128</v>
      </c>
      <c r="B131" s="72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1">
        <f t="shared" si="86"/>
        <v>0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66">
        <f t="shared" si="56"/>
        <v>256.66666666666669</v>
      </c>
      <c r="I131" s="6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10.186999999999994</v>
      </c>
      <c r="N131" s="13">
        <f>IF('Données projet'!$A$36&gt;35,N130+M131-V130,IF(A131&lt;'Données projet'!$A$36,$K$205^A131,IF(A131='Données projet'!$A$36,'Données projet'!$B$36,N130+M131-V130)))</f>
        <v>586.03599999999983</v>
      </c>
      <c r="O131" s="13">
        <f>N131*VLOOKUP('Données projet'!$B$9,Paramètres!$A$1:$I$89,3,0)*VLOOKUP('Données projet'!$B$9,Paramètres!$A$1:$I$89,5,0)</f>
        <v>530.24537279999981</v>
      </c>
      <c r="P131" s="13">
        <f t="shared" si="87"/>
        <v>117.73344239935948</v>
      </c>
      <c r="Q131" s="20">
        <f t="shared" ref="Q131:Q153" si="108">(O131+P131)*0.475*44/12</f>
        <v>1128.5631031388839</v>
      </c>
      <c r="R131" s="59">
        <f t="shared" ref="R131:R194" si="109">Q131+(I131+J131)*44/12</f>
        <v>1421.8964364722171</v>
      </c>
      <c r="S131" s="59">
        <f ca="1">AVERAGE(OFFSET($R$3,0,0,'Données projet'!$E$9+1,1))-AVERAGE(OFFSET($H$3,0,0,'Données projet'!$E$9+1,1))</f>
        <v>700.22008319944644</v>
      </c>
      <c r="T131" s="59">
        <f t="shared" si="88"/>
        <v>253.69632671986739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124.49129018372142</v>
      </c>
      <c r="AA131" s="21">
        <f>EXP(-LN(2)/25)*AA130+(1-EXP(-LN(2)/25))/(LN(2)/25)*Calculateur!V131*Calculateur!X131*VLOOKUP('Données projet'!$B$9,Paramètres!$A$1:$I$89,3,0)*0.475*44/12</f>
        <v>0</v>
      </c>
      <c r="AB131" s="21">
        <f>EXP(-LN(2)/2)*AB130+(1-EXP(-LN(2)/2))/(LN(2)/2)*V131*Y131*VLOOKUP('Données projet'!$B$9,Paramètres!$A$1:$I$89,3,0)*0.475*44/12</f>
        <v>0</v>
      </c>
      <c r="AC131" s="22">
        <f t="shared" si="57"/>
        <v>124.49129018372142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10.186999999999994</v>
      </c>
      <c r="AI131" s="13">
        <f>IF('Données projet'!$A$62&gt;35,AI130+AH131-AQ130,IF(A131&lt;'Données projet'!$A$62,$AF$205^A131,IF(A131='Données projet'!$A$62,'Données projet'!$B$62,AI130+AH131-AQ130)))</f>
        <v>586.03599999999983</v>
      </c>
      <c r="AJ131" s="13">
        <f>AI131*VLOOKUP('Données projet'!$B$10,Paramètres!$A$1:$I$89,3,0)*VLOOKUP('Données projet'!$B$10,Paramètres!$A$1:$I$89,5,0)</f>
        <v>557.67185759999984</v>
      </c>
      <c r="AK131" s="13">
        <f t="shared" si="89"/>
        <v>123.09837207696302</v>
      </c>
      <c r="AL131" s="20">
        <f t="shared" si="58"/>
        <v>1185.6748166873767</v>
      </c>
      <c r="AM131" s="59">
        <f t="shared" si="59"/>
        <v>1479.00815002071</v>
      </c>
      <c r="AN131" s="59">
        <f ca="1">AVERAGE(OFFSET($AM$3,0,0,'Données projet'!$E$10+1,1))-AVERAGE(OFFSET($H$3,0,0,'Données projet'!$E$10+1,1))</f>
        <v>733.95677909577444</v>
      </c>
      <c r="AO131" s="59">
        <f t="shared" si="90"/>
        <v>264.63778993239799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130.93049484839665</v>
      </c>
      <c r="AV131" s="21">
        <f>EXP(-LN(2)/25)*AV130+(1-EXP(-LN(2)/25))/(LN(2)/25)*Calculateur!AQ131*Calculateur!AS131*VLOOKUP('Données projet'!$B$10,Paramètres!$A$1:$I$89,3,0)*0.475*44/12</f>
        <v>0</v>
      </c>
      <c r="AW131" s="21">
        <f>EXP(-LN(2)/2)*AW130+(1-EXP(-LN(2)/2))/(LN(2)/2)*AQ131*AT131*VLOOKUP('Données projet'!$B$10,Paramètres!$A$1:$I$89,3,0)*0.475*44/12</f>
        <v>0</v>
      </c>
      <c r="AX131" s="21">
        <f t="shared" si="60"/>
        <v>130.93049484839665</v>
      </c>
      <c r="AY131" s="7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0</v>
      </c>
      <c r="BE131" s="13">
        <f>BD131*VLOOKUP('Données projet'!$B$11,Paramètres!$A$1:$I$89,3,0)*VLOOKUP('Données projet'!$B$11,Paramètres!$A$1:$I$89,5,0)</f>
        <v>0</v>
      </c>
      <c r="BF131" s="13" t="e">
        <f t="shared" si="91"/>
        <v>#NUM!</v>
      </c>
      <c r="BG131" s="20" t="e">
        <f t="shared" si="61"/>
        <v>#NUM!</v>
      </c>
      <c r="BH131" s="59" t="e">
        <f t="shared" si="62"/>
        <v>#NUM!</v>
      </c>
      <c r="BI131" s="59">
        <f ca="1">AVERAGE(OFFSET($BH$3,0,0,'Données projet'!$E$11+1,1))-AVERAGE(OFFSET($H$3,0,0,'Données projet'!$E$11+1,1))</f>
        <v>187.80389738728508</v>
      </c>
      <c r="BJ131" s="59">
        <f t="shared" si="92"/>
        <v>439.28159165815265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17.734447017902681</v>
      </c>
      <c r="BQ131" s="21">
        <f>EXP(-LN(2)/25)*BQ130+(1-EXP(-LN(2)/25))/(LN(2)/25)*Calculateur!BL131*Calculateur!BN131*VLOOKUP('Données projet'!$B$11,Paramètres!$A$1:$I$89,3,0)*0.475*44/12</f>
        <v>0.94981722623819942</v>
      </c>
      <c r="BR131" s="21">
        <f>EXP(-LN(2)/2)*BR130+(1-EXP(-LN(2)/2))/(LN(2)/2)*BL131*BO131*VLOOKUP('Données projet'!$B$11,Paramètres!$A$1:$I$89,3,0)*0.475*44/12</f>
        <v>7.9868566875793499E-17</v>
      </c>
      <c r="BS131" s="22">
        <f t="shared" si="63"/>
        <v>18.684264244140881</v>
      </c>
      <c r="BT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0</v>
      </c>
      <c r="BZ131" s="13" t="e">
        <f>BY131*VLOOKUP('Données projet'!$B$12,Paramètres!$A$1:$I$89,3,0)*VLOOKUP('Données projet'!$B$12,Paramètres!$A$1:$I$89,5,0)</f>
        <v>#N/A</v>
      </c>
      <c r="CA131" s="13" t="e">
        <f t="shared" si="93"/>
        <v>#N/A</v>
      </c>
      <c r="CB131" s="20" t="e">
        <f t="shared" si="64"/>
        <v>#N/A</v>
      </c>
      <c r="CC131" s="59" t="e">
        <f t="shared" si="65"/>
        <v>#N/A</v>
      </c>
      <c r="CD131" s="59" t="e">
        <f ca="1">AVERAGE(OFFSET($CC$3,0,0,'Données projet'!$E$12+1,1))-AVERAGE(OFFSET($H$3,0,0,'Données projet'!$E$12+1,1))</f>
        <v>#N/A</v>
      </c>
      <c r="CE131" s="59" t="e">
        <f t="shared" si="94"/>
        <v>#N/A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 t="e">
        <f>EXP(-LN(2)/35)*CK130+(1-EXP(-LN(2)/35))/(LN(2)/35)*CG131*CH131*VLOOKUP('Données projet'!$B$12,Paramètres!$A$1:$I$89,3,0)*0.475*44/12</f>
        <v>#N/A</v>
      </c>
      <c r="CL131" s="21" t="e">
        <f>EXP(-LN(2)/25)*CL130+(1-EXP(-LN(2)/25))/(LN(2)/25)*Calculateur!CG131*Calculateur!CI131*VLOOKUP('Données projet'!$B$12,Paramètres!$A$1:$I$89,3,0)*0.475*44/12</f>
        <v>#N/A</v>
      </c>
      <c r="CM131" s="21" t="e">
        <f>EXP(-LN(2)/2)*CM130+(1-EXP(-LN(2)/2))/(LN(2)/2)*CG131*CJ131*VLOOKUP('Données projet'!$B$12,Paramètres!$A$1:$I$89,3,0)*0.475*44/12</f>
        <v>#N/A</v>
      </c>
      <c r="CN131" s="22" t="e">
        <f t="shared" si="66"/>
        <v>#N/A</v>
      </c>
      <c r="CO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35">
      <c r="A132" s="10">
        <f t="shared" si="85"/>
        <v>129</v>
      </c>
      <c r="B132" s="72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1">
        <f t="shared" si="86"/>
        <v>0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66">
        <f t="shared" ref="H132:H195" si="110">(B132+E132+F132)*44/12+(C132+D132)*0.475*44/12</f>
        <v>256.66666666666669</v>
      </c>
      <c r="I132" s="6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10.186999999999994</v>
      </c>
      <c r="N132" s="13">
        <f>IF('Données projet'!$A$36&gt;35,N131+M132-V131,IF(A132&lt;'Données projet'!$A$36,$K$205^A132,IF(A132='Données projet'!$A$36,'Données projet'!$B$36,N131+M132-V131)))</f>
        <v>596.22299999999984</v>
      </c>
      <c r="O132" s="13">
        <f>N132*VLOOKUP('Données projet'!$B$9,Paramètres!$A$1:$I$89,3,0)*VLOOKUP('Données projet'!$B$9,Paramètres!$A$1:$I$89,5,0)</f>
        <v>539.46257039999989</v>
      </c>
      <c r="P132" s="13">
        <f t="shared" si="87"/>
        <v>119.53995413956184</v>
      </c>
      <c r="Q132" s="20">
        <f t="shared" si="108"/>
        <v>1147.7627302397366</v>
      </c>
      <c r="R132" s="59">
        <f t="shared" si="109"/>
        <v>1441.0960635730698</v>
      </c>
      <c r="S132" s="59">
        <f ca="1">AVERAGE(OFFSET($R$3,0,0,'Données projet'!$E$9+1,1))-AVERAGE(OFFSET($H$3,0,0,'Données projet'!$E$9+1,1))</f>
        <v>700.22008319944644</v>
      </c>
      <c r="T132" s="59">
        <f t="shared" si="88"/>
        <v>253.69632671986739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122.05009191540798</v>
      </c>
      <c r="AA132" s="21">
        <f>EXP(-LN(2)/25)*AA131+(1-EXP(-LN(2)/25))/(LN(2)/25)*Calculateur!V132*Calculateur!X132*VLOOKUP('Données projet'!$B$9,Paramètres!$A$1:$I$89,3,0)*0.475*44/12</f>
        <v>0</v>
      </c>
      <c r="AB132" s="21">
        <f>EXP(-LN(2)/2)*AB131+(1-EXP(-LN(2)/2))/(LN(2)/2)*V132*Y132*VLOOKUP('Données projet'!$B$9,Paramètres!$A$1:$I$89,3,0)*0.475*44/12</f>
        <v>0</v>
      </c>
      <c r="AC132" s="22">
        <f t="shared" ref="AC132:AC153" si="111">SUM(Z132:AB132)</f>
        <v>122.05009191540798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10.186999999999994</v>
      </c>
      <c r="AI132" s="13">
        <f>IF('Données projet'!$A$62&gt;35,AI131+AH132-AQ131,IF(A132&lt;'Données projet'!$A$62,$AF$205^A132,IF(A132='Données projet'!$A$62,'Données projet'!$B$62,AI131+AH132-AQ131)))</f>
        <v>596.22299999999984</v>
      </c>
      <c r="AJ132" s="13">
        <f>AI132*VLOOKUP('Données projet'!$B$10,Paramètres!$A$1:$I$89,3,0)*VLOOKUP('Données projet'!$B$10,Paramètres!$A$1:$I$89,5,0)</f>
        <v>567.36580679999986</v>
      </c>
      <c r="AK132" s="13">
        <f t="shared" si="89"/>
        <v>124.98720374471048</v>
      </c>
      <c r="AL132" s="20">
        <f t="shared" ref="AL132:AL153" si="112">(AJ132+AK132)*0.475*44/12</f>
        <v>1205.848160032037</v>
      </c>
      <c r="AM132" s="59">
        <f t="shared" ref="AM132:AM195" si="113">AL132+(AD132+AE132)*44/12</f>
        <v>1499.1814933653702</v>
      </c>
      <c r="AN132" s="59">
        <f ca="1">AVERAGE(OFFSET($AM$3,0,0,'Données projet'!$E$10+1,1))-AVERAGE(OFFSET($H$3,0,0,'Données projet'!$E$10+1,1))</f>
        <v>733.95677909577444</v>
      </c>
      <c r="AO132" s="59">
        <f t="shared" si="90"/>
        <v>264.63778993239799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128.36302770413596</v>
      </c>
      <c r="AV132" s="21">
        <f>EXP(-LN(2)/25)*AV131+(1-EXP(-LN(2)/25))/(LN(2)/25)*Calculateur!AQ132*Calculateur!AS132*VLOOKUP('Données projet'!$B$10,Paramètres!$A$1:$I$89,3,0)*0.475*44/12</f>
        <v>0</v>
      </c>
      <c r="AW132" s="21">
        <f>EXP(-LN(2)/2)*AW131+(1-EXP(-LN(2)/2))/(LN(2)/2)*AQ132*AT132*VLOOKUP('Données projet'!$B$10,Paramètres!$A$1:$I$89,3,0)*0.475*44/12</f>
        <v>0</v>
      </c>
      <c r="AX132" s="21">
        <f t="shared" ref="AX132:AX153" si="114">SUM(AU132:AW132)</f>
        <v>128.36302770413596</v>
      </c>
      <c r="AY132" s="7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0</v>
      </c>
      <c r="BE132" s="13">
        <f>BD132*VLOOKUP('Données projet'!$B$11,Paramètres!$A$1:$I$89,3,0)*VLOOKUP('Données projet'!$B$11,Paramètres!$A$1:$I$89,5,0)</f>
        <v>0</v>
      </c>
      <c r="BF132" s="13" t="e">
        <f t="shared" si="91"/>
        <v>#NUM!</v>
      </c>
      <c r="BG132" s="20" t="e">
        <f t="shared" ref="BG132:BG153" si="115">(BE132+BF132)*0.475*44/12</f>
        <v>#NUM!</v>
      </c>
      <c r="BH132" s="59" t="e">
        <f t="shared" ref="BH132:BH195" si="116">BG132+(AY132+AZ132)*44/12</f>
        <v>#NUM!</v>
      </c>
      <c r="BI132" s="59">
        <f ca="1">AVERAGE(OFFSET($BH$3,0,0,'Données projet'!$E$11+1,1))-AVERAGE(OFFSET($H$3,0,0,'Données projet'!$E$11+1,1))</f>
        <v>187.80389738728508</v>
      </c>
      <c r="BJ132" s="59">
        <f t="shared" si="92"/>
        <v>439.28159165815265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17.386685328826207</v>
      </c>
      <c r="BQ132" s="21">
        <f>EXP(-LN(2)/25)*BQ131+(1-EXP(-LN(2)/25))/(LN(2)/25)*Calculateur!BL132*Calculateur!BN132*VLOOKUP('Données projet'!$B$11,Paramètres!$A$1:$I$89,3,0)*0.475*44/12</f>
        <v>0.92384442423799873</v>
      </c>
      <c r="BR132" s="21">
        <f>EXP(-LN(2)/2)*BR131+(1-EXP(-LN(2)/2))/(LN(2)/2)*BL132*BO132*VLOOKUP('Données projet'!$B$11,Paramètres!$A$1:$I$89,3,0)*0.475*44/12</f>
        <v>5.6475605241524851E-17</v>
      </c>
      <c r="BS132" s="22">
        <f t="shared" ref="BS132:BS153" si="117">SUM(BP132:BR132)</f>
        <v>18.310529753064205</v>
      </c>
      <c r="BT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0</v>
      </c>
      <c r="BZ132" s="13" t="e">
        <f>BY132*VLOOKUP('Données projet'!$B$12,Paramètres!$A$1:$I$89,3,0)*VLOOKUP('Données projet'!$B$12,Paramètres!$A$1:$I$89,5,0)</f>
        <v>#N/A</v>
      </c>
      <c r="CA132" s="13" t="e">
        <f t="shared" si="93"/>
        <v>#N/A</v>
      </c>
      <c r="CB132" s="20" t="e">
        <f t="shared" ref="CB132:CB153" si="118">(BZ132+CA132)*0.475*44/12</f>
        <v>#N/A</v>
      </c>
      <c r="CC132" s="59" t="e">
        <f t="shared" ref="CC132:CC195" si="119">CB132+(BT132+BU132)*44/12</f>
        <v>#N/A</v>
      </c>
      <c r="CD132" s="59" t="e">
        <f ca="1">AVERAGE(OFFSET($CC$3,0,0,'Données projet'!$E$12+1,1))-AVERAGE(OFFSET($H$3,0,0,'Données projet'!$E$12+1,1))</f>
        <v>#N/A</v>
      </c>
      <c r="CE132" s="59" t="e">
        <f t="shared" si="94"/>
        <v>#N/A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 t="e">
        <f>EXP(-LN(2)/35)*CK131+(1-EXP(-LN(2)/35))/(LN(2)/35)*CG132*CH132*VLOOKUP('Données projet'!$B$12,Paramètres!$A$1:$I$89,3,0)*0.475*44/12</f>
        <v>#N/A</v>
      </c>
      <c r="CL132" s="21" t="e">
        <f>EXP(-LN(2)/25)*CL131+(1-EXP(-LN(2)/25))/(LN(2)/25)*Calculateur!CG132*Calculateur!CI132*VLOOKUP('Données projet'!$B$12,Paramètres!$A$1:$I$89,3,0)*0.475*44/12</f>
        <v>#N/A</v>
      </c>
      <c r="CM132" s="21" t="e">
        <f>EXP(-LN(2)/2)*CM131+(1-EXP(-LN(2)/2))/(LN(2)/2)*CG132*CJ132*VLOOKUP('Données projet'!$B$12,Paramètres!$A$1:$I$89,3,0)*0.475*44/12</f>
        <v>#N/A</v>
      </c>
      <c r="CN132" s="22" t="e">
        <f t="shared" ref="CN132:CN153" si="120">SUM(CK132:CM132)</f>
        <v>#N/A</v>
      </c>
      <c r="CO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35">
      <c r="A133" s="10">
        <f t="shared" ref="A133:A152" si="139">A132+1</f>
        <v>130</v>
      </c>
      <c r="B133" s="72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1">
        <f t="shared" ref="D133:D196" si="140">IFERROR(EXP(-1.0587+0.8836*LN(C133)+0.284),0)</f>
        <v>0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66">
        <f t="shared" si="110"/>
        <v>256.66666666666669</v>
      </c>
      <c r="I133" s="6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>
        <f>VLOOKUP(A133,'Données projet'!$A$35:$I$55,2,0)</f>
        <v>606.41</v>
      </c>
      <c r="L133" s="12">
        <f>VLOOKUP(A133,'Données projet'!$A$35:$I$55,9,0)</f>
        <v>10.186999999999994</v>
      </c>
      <c r="M133" s="12">
        <f t="array" ref="M133">INDEX(L:L,MIN(IF(ISNUMBER(L133:L329),ROW(L133:L329),"")))</f>
        <v>10.186999999999994</v>
      </c>
      <c r="N133" s="13">
        <f>IF('Données projet'!$A$36&gt;35,N132+M133-V132,IF(A133&lt;'Données projet'!$A$36,$K$205^A133,IF(A133='Données projet'!$A$36,'Données projet'!$B$36,N132+M133-V132)))</f>
        <v>606.40999999999985</v>
      </c>
      <c r="O133" s="13">
        <f>N133*VLOOKUP('Données projet'!$B$9,Paramètres!$A$1:$I$89,3,0)*VLOOKUP('Données projet'!$B$9,Paramètres!$A$1:$I$89,5,0)</f>
        <v>548.67976799999985</v>
      </c>
      <c r="P133" s="13">
        <f t="shared" ref="P133:P196" si="141">EXP(-1.0587+0.8836*LN(O133)+0.284)</f>
        <v>121.34287647942783</v>
      </c>
      <c r="Q133" s="20">
        <f t="shared" si="108"/>
        <v>1166.9561058016695</v>
      </c>
      <c r="R133" s="59">
        <f t="shared" si="109"/>
        <v>1460.2894391350028</v>
      </c>
      <c r="S133" s="59">
        <f ca="1">AVERAGE(OFFSET($R$3,0,0,'Données projet'!$E$9+1,1))-AVERAGE(OFFSET($H$3,0,0,'Données projet'!$E$9+1,1))</f>
        <v>700.22008319944644</v>
      </c>
      <c r="T133" s="59">
        <f t="shared" ref="T133:T196" si="142">$T$3</f>
        <v>253.69632671986739</v>
      </c>
      <c r="U133" s="15">
        <f>IF(ISNA(VLOOKUP(A133,'Données projet'!$A$35:$I$55,3,0)),0,VLOOKUP(A133,'Données projet'!$A$35:$I$55,3,0))</f>
        <v>12</v>
      </c>
      <c r="V133" s="15">
        <f>IF(ISNA(VLOOKUP(A133,'Données projet'!$A$35:$I$55,4,0)),0,VLOOKUP(A133,'Données projet'!$A$35:$I$55,4,0))</f>
        <v>69</v>
      </c>
      <c r="W133" s="16">
        <f>IF(ISNA(VLOOKUP(A133,'Données projet'!$A$35:$I$55,5,0)),0%,VLOOKUP(A133,'Données projet'!$A$35:$I$55,5,0)*VLOOKUP('Données projet'!$B$9,Paramètres!$A$1:$I$89,7,0))</f>
        <v>0.43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149.33357627039217</v>
      </c>
      <c r="AA133" s="21">
        <f>EXP(-LN(2)/25)*AA132+(1-EXP(-LN(2)/25))/(LN(2)/25)*Calculateur!V133*Calculateur!X133*VLOOKUP('Données projet'!$B$9,Paramètres!$A$1:$I$89,3,0)*0.475*44/12</f>
        <v>0</v>
      </c>
      <c r="AB133" s="21">
        <f>EXP(-LN(2)/2)*AB132+(1-EXP(-LN(2)/2))/(LN(2)/2)*V133*Y133*VLOOKUP('Données projet'!$B$9,Paramètres!$A$1:$I$89,3,0)*0.475*44/12</f>
        <v>0</v>
      </c>
      <c r="AC133" s="22">
        <f t="shared" si="111"/>
        <v>149.33357627039217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>
        <f>VLOOKUP(A133,'Données projet'!$A$61:$I$81,2,0)</f>
        <v>606.41</v>
      </c>
      <c r="AG133" s="12">
        <f>VLOOKUP(A133,'Données projet'!$A$61:$I$81,9,0)</f>
        <v>10.186999999999994</v>
      </c>
      <c r="AH133" s="12">
        <f t="array" ref="AH133">INDEX(AG:AG,MIN(IF(ISNUMBER(AG133:AG329),ROW(AG133:AG329),"")))</f>
        <v>10.186999999999994</v>
      </c>
      <c r="AI133" s="13">
        <f>IF('Données projet'!$A$62&gt;35,AI132+AH133-AQ132,IF(A133&lt;'Données projet'!$A$62,$AF$205^A133,IF(A133='Données projet'!$A$62,'Données projet'!$B$62,AI132+AH133-AQ132)))</f>
        <v>606.40999999999985</v>
      </c>
      <c r="AJ133" s="13">
        <f>AI133*VLOOKUP('Données projet'!$B$10,Paramètres!$A$1:$I$89,3,0)*VLOOKUP('Données projet'!$B$10,Paramètres!$A$1:$I$89,5,0)</f>
        <v>577.05975599999988</v>
      </c>
      <c r="AK133" s="13">
        <f t="shared" ref="AK133:AK153" si="143">EXP(-1.0587+0.8836*LN(AJ133)+0.284)</f>
        <v>126.87228244873639</v>
      </c>
      <c r="AL133" s="20">
        <f t="shared" si="112"/>
        <v>1226.0149669648824</v>
      </c>
      <c r="AM133" s="59">
        <f t="shared" si="113"/>
        <v>1519.3483002982157</v>
      </c>
      <c r="AN133" s="59">
        <f ca="1">AVERAGE(OFFSET($AM$3,0,0,'Données projet'!$E$10+1,1))-AVERAGE(OFFSET($H$3,0,0,'Données projet'!$E$10+1,1))</f>
        <v>733.95677909577444</v>
      </c>
      <c r="AO133" s="59">
        <f t="shared" ref="AO133:AO196" si="144">$AO$3</f>
        <v>264.63778993239799</v>
      </c>
      <c r="AP133" s="15">
        <f>IF(ISNA(VLOOKUP(A133,'Données projet'!$A$61:$I$81,3,0)),0,VLOOKUP(A133,'Données projet'!$A$61:$I$81,3,0))</f>
        <v>12</v>
      </c>
      <c r="AQ133" s="15">
        <f>IF(ISNA(VLOOKUP(A133,'Données projet'!$A$61:$I$81,4,0)),0,VLOOKUP(A133,'Données projet'!$A$61:$I$81,4,0))</f>
        <v>69</v>
      </c>
      <c r="AR133" s="16">
        <f>IF(ISNA(VLOOKUP(A133,'Données projet'!$A$61:$I$81,5,0)),0%,VLOOKUP(A133,'Données projet'!$A$61:$I$81,5,0)*VLOOKUP('Données projet'!$B$10,Paramètres!$A$1:$I$89,7,0))</f>
        <v>0.43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157.05772676713659</v>
      </c>
      <c r="AV133" s="21">
        <f>EXP(-LN(2)/25)*AV132+(1-EXP(-LN(2)/25))/(LN(2)/25)*Calculateur!AQ133*Calculateur!AS133*VLOOKUP('Données projet'!$B$10,Paramètres!$A$1:$I$89,3,0)*0.475*44/12</f>
        <v>0</v>
      </c>
      <c r="AW133" s="21">
        <f>EXP(-LN(2)/2)*AW132+(1-EXP(-LN(2)/2))/(LN(2)/2)*AQ133*AT133*VLOOKUP('Données projet'!$B$10,Paramètres!$A$1:$I$89,3,0)*0.475*44/12</f>
        <v>0</v>
      </c>
      <c r="AX133" s="21">
        <f t="shared" si="114"/>
        <v>157.05772676713659</v>
      </c>
      <c r="AY133" s="7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0</v>
      </c>
      <c r="BE133" s="13">
        <f>BD133*VLOOKUP('Données projet'!$B$11,Paramètres!$A$1:$I$89,3,0)*VLOOKUP('Données projet'!$B$11,Paramètres!$A$1:$I$89,5,0)</f>
        <v>0</v>
      </c>
      <c r="BF133" s="13" t="e">
        <f t="shared" ref="BF133:BF153" si="145">EXP(-1.0587+0.8836*LN(BE133)+0.284)</f>
        <v>#NUM!</v>
      </c>
      <c r="BG133" s="20" t="e">
        <f t="shared" si="115"/>
        <v>#NUM!</v>
      </c>
      <c r="BH133" s="59" t="e">
        <f t="shared" si="116"/>
        <v>#NUM!</v>
      </c>
      <c r="BI133" s="59">
        <f ca="1">AVERAGE(OFFSET($BH$3,0,0,'Données projet'!$E$11+1,1))-AVERAGE(OFFSET($H$3,0,0,'Données projet'!$E$11+1,1))</f>
        <v>187.80389738728508</v>
      </c>
      <c r="BJ133" s="59">
        <f t="shared" ref="BJ133:BJ196" si="146">$BJ$3</f>
        <v>439.28159165815265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17.045743034358836</v>
      </c>
      <c r="BQ133" s="21">
        <f>EXP(-LN(2)/25)*BQ132+(1-EXP(-LN(2)/25))/(LN(2)/25)*Calculateur!BL133*Calculateur!BN133*VLOOKUP('Données projet'!$B$11,Paramètres!$A$1:$I$89,3,0)*0.475*44/12</f>
        <v>0.89858184987434386</v>
      </c>
      <c r="BR133" s="21">
        <f>EXP(-LN(2)/2)*BR132+(1-EXP(-LN(2)/2))/(LN(2)/2)*BL133*BO133*VLOOKUP('Données projet'!$B$11,Paramètres!$A$1:$I$89,3,0)*0.475*44/12</f>
        <v>3.9934283437896749E-17</v>
      </c>
      <c r="BS133" s="22">
        <f t="shared" si="117"/>
        <v>17.944324884233179</v>
      </c>
      <c r="BT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0</v>
      </c>
      <c r="BZ133" s="13" t="e">
        <f>BY133*VLOOKUP('Données projet'!$B$12,Paramètres!$A$1:$I$89,3,0)*VLOOKUP('Données projet'!$B$12,Paramètres!$A$1:$I$89,5,0)</f>
        <v>#N/A</v>
      </c>
      <c r="CA133" s="13" t="e">
        <f t="shared" ref="CA133:CA153" si="147">EXP(-1.0587+0.8836*LN(BZ133)+0.284)</f>
        <v>#N/A</v>
      </c>
      <c r="CB133" s="20" t="e">
        <f t="shared" si="118"/>
        <v>#N/A</v>
      </c>
      <c r="CC133" s="59" t="e">
        <f t="shared" si="119"/>
        <v>#N/A</v>
      </c>
      <c r="CD133" s="59" t="e">
        <f ca="1">AVERAGE(OFFSET($CC$3,0,0,'Données projet'!$E$12+1,1))-AVERAGE(OFFSET($H$3,0,0,'Données projet'!$E$12+1,1))</f>
        <v>#N/A</v>
      </c>
      <c r="CE133" s="59" t="e">
        <f t="shared" ref="CE133:CE196" si="148">$CE$3</f>
        <v>#N/A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 t="e">
        <f>EXP(-LN(2)/35)*CK132+(1-EXP(-LN(2)/35))/(LN(2)/35)*CG133*CH133*VLOOKUP('Données projet'!$B$12,Paramètres!$A$1:$I$89,3,0)*0.475*44/12</f>
        <v>#N/A</v>
      </c>
      <c r="CL133" s="21" t="e">
        <f>EXP(-LN(2)/25)*CL132+(1-EXP(-LN(2)/25))/(LN(2)/25)*Calculateur!CG133*Calculateur!CI133*VLOOKUP('Données projet'!$B$12,Paramètres!$A$1:$I$89,3,0)*0.475*44/12</f>
        <v>#N/A</v>
      </c>
      <c r="CM133" s="21" t="e">
        <f>EXP(-LN(2)/2)*CM132+(1-EXP(-LN(2)/2))/(LN(2)/2)*CG133*CJ133*VLOOKUP('Données projet'!$B$12,Paramètres!$A$1:$I$89,3,0)*0.475*44/12</f>
        <v>#N/A</v>
      </c>
      <c r="CN133" s="22" t="e">
        <f t="shared" si="120"/>
        <v>#N/A</v>
      </c>
      <c r="CO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35">
      <c r="A134" s="10">
        <f t="shared" si="139"/>
        <v>131</v>
      </c>
      <c r="B134" s="72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1">
        <f t="shared" si="140"/>
        <v>0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66">
        <f t="shared" si="110"/>
        <v>256.66666666666669</v>
      </c>
      <c r="I134" s="6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10.163999999999998</v>
      </c>
      <c r="N134" s="13">
        <f>IF('Données projet'!$A$36&gt;35,N133+M134-V133,IF(A134&lt;'Données projet'!$A$36,$K$205^A134,IF(A134='Données projet'!$A$36,'Données projet'!$B$36,N133+M134-V133)))</f>
        <v>547.57399999999984</v>
      </c>
      <c r="O134" s="13">
        <f>N134*VLOOKUP('Données projet'!$B$9,Paramètres!$A$1:$I$89,3,0)*VLOOKUP('Données projet'!$B$9,Paramètres!$A$1:$I$89,5,0)</f>
        <v>495.44495519999981</v>
      </c>
      <c r="P134" s="13">
        <f t="shared" si="141"/>
        <v>110.87918107650623</v>
      </c>
      <c r="Q134" s="20">
        <f t="shared" si="108"/>
        <v>1056.0145373482478</v>
      </c>
      <c r="R134" s="59">
        <f t="shared" si="109"/>
        <v>1349.3478706815811</v>
      </c>
      <c r="S134" s="59">
        <f ca="1">AVERAGE(OFFSET($R$3,0,0,'Données projet'!$E$9+1,1))-AVERAGE(OFFSET($H$3,0,0,'Données projet'!$E$9+1,1))</f>
        <v>700.22008319944644</v>
      </c>
      <c r="T134" s="59">
        <f t="shared" si="142"/>
        <v>253.69632671986739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146.40523592421746</v>
      </c>
      <c r="AA134" s="21">
        <f>EXP(-LN(2)/25)*AA133+(1-EXP(-LN(2)/25))/(LN(2)/25)*Calculateur!V134*Calculateur!X134*VLOOKUP('Données projet'!$B$9,Paramètres!$A$1:$I$89,3,0)*0.475*44/12</f>
        <v>0</v>
      </c>
      <c r="AB134" s="21">
        <f>EXP(-LN(2)/2)*AB133+(1-EXP(-LN(2)/2))/(LN(2)/2)*V134*Y134*VLOOKUP('Données projet'!$B$9,Paramètres!$A$1:$I$89,3,0)*0.475*44/12</f>
        <v>0</v>
      </c>
      <c r="AC134" s="22">
        <f t="shared" si="111"/>
        <v>146.40523592421746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10.163999999999998</v>
      </c>
      <c r="AI134" s="13">
        <f>IF('Données projet'!$A$62&gt;35,AI133+AH134-AQ133,IF(A134&lt;'Données projet'!$A$62,$AF$205^A134,IF(A134='Données projet'!$A$62,'Données projet'!$B$62,AI133+AH134-AQ133)))</f>
        <v>547.57399999999984</v>
      </c>
      <c r="AJ134" s="13">
        <f>AI134*VLOOKUP('Données projet'!$B$10,Paramètres!$A$1:$I$89,3,0)*VLOOKUP('Données projet'!$B$10,Paramètres!$A$1:$I$89,5,0)</f>
        <v>521.07141839999986</v>
      </c>
      <c r="AK134" s="13">
        <f t="shared" si="143"/>
        <v>115.93177273663909</v>
      </c>
      <c r="AL134" s="20">
        <f t="shared" si="112"/>
        <v>1109.4472245629795</v>
      </c>
      <c r="AM134" s="59">
        <f t="shared" si="113"/>
        <v>1402.7805578963128</v>
      </c>
      <c r="AN134" s="59">
        <f ca="1">AVERAGE(OFFSET($AM$3,0,0,'Données projet'!$E$10+1,1))-AVERAGE(OFFSET($H$3,0,0,'Données projet'!$E$10+1,1))</f>
        <v>733.95677909577444</v>
      </c>
      <c r="AO134" s="59">
        <f t="shared" si="144"/>
        <v>264.63778993239799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153.97792054098733</v>
      </c>
      <c r="AV134" s="21">
        <f>EXP(-LN(2)/25)*AV133+(1-EXP(-LN(2)/25))/(LN(2)/25)*Calculateur!AQ134*Calculateur!AS134*VLOOKUP('Données projet'!$B$10,Paramètres!$A$1:$I$89,3,0)*0.475*44/12</f>
        <v>0</v>
      </c>
      <c r="AW134" s="21">
        <f>EXP(-LN(2)/2)*AW133+(1-EXP(-LN(2)/2))/(LN(2)/2)*AQ134*AT134*VLOOKUP('Données projet'!$B$10,Paramètres!$A$1:$I$89,3,0)*0.475*44/12</f>
        <v>0</v>
      </c>
      <c r="AX134" s="21">
        <f t="shared" si="114"/>
        <v>153.97792054098733</v>
      </c>
      <c r="AY134" s="7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0</v>
      </c>
      <c r="BE134" s="13">
        <f>BD134*VLOOKUP('Données projet'!$B$11,Paramètres!$A$1:$I$89,3,0)*VLOOKUP('Données projet'!$B$11,Paramètres!$A$1:$I$89,5,0)</f>
        <v>0</v>
      </c>
      <c r="BF134" s="13" t="e">
        <f t="shared" si="145"/>
        <v>#NUM!</v>
      </c>
      <c r="BG134" s="20" t="e">
        <f t="shared" si="115"/>
        <v>#NUM!</v>
      </c>
      <c r="BH134" s="59" t="e">
        <f t="shared" si="116"/>
        <v>#NUM!</v>
      </c>
      <c r="BI134" s="59">
        <f ca="1">AVERAGE(OFFSET($BH$3,0,0,'Données projet'!$E$11+1,1))-AVERAGE(OFFSET($H$3,0,0,'Données projet'!$E$11+1,1))</f>
        <v>187.80389738728508</v>
      </c>
      <c r="BJ134" s="59">
        <f t="shared" si="146"/>
        <v>439.28159165815265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16.711486410331702</v>
      </c>
      <c r="BQ134" s="21">
        <f>EXP(-LN(2)/25)*BQ133+(1-EXP(-LN(2)/25))/(LN(2)/25)*Calculateur!BL134*Calculateur!BN134*VLOOKUP('Données projet'!$B$11,Paramètres!$A$1:$I$89,3,0)*0.475*44/12</f>
        <v>0.87401008193516416</v>
      </c>
      <c r="BR134" s="21">
        <f>EXP(-LN(2)/2)*BR133+(1-EXP(-LN(2)/2))/(LN(2)/2)*BL134*BO134*VLOOKUP('Données projet'!$B$11,Paramètres!$A$1:$I$89,3,0)*0.475*44/12</f>
        <v>2.8237802620762425E-17</v>
      </c>
      <c r="BS134" s="22">
        <f t="shared" si="117"/>
        <v>17.585496492266866</v>
      </c>
      <c r="BT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0</v>
      </c>
      <c r="BZ134" s="13" t="e">
        <f>BY134*VLOOKUP('Données projet'!$B$12,Paramètres!$A$1:$I$89,3,0)*VLOOKUP('Données projet'!$B$12,Paramètres!$A$1:$I$89,5,0)</f>
        <v>#N/A</v>
      </c>
      <c r="CA134" s="13" t="e">
        <f t="shared" si="147"/>
        <v>#N/A</v>
      </c>
      <c r="CB134" s="20" t="e">
        <f t="shared" si="118"/>
        <v>#N/A</v>
      </c>
      <c r="CC134" s="59" t="e">
        <f t="shared" si="119"/>
        <v>#N/A</v>
      </c>
      <c r="CD134" s="59" t="e">
        <f ca="1">AVERAGE(OFFSET($CC$3,0,0,'Données projet'!$E$12+1,1))-AVERAGE(OFFSET($H$3,0,0,'Données projet'!$E$12+1,1))</f>
        <v>#N/A</v>
      </c>
      <c r="CE134" s="59" t="e">
        <f t="shared" si="148"/>
        <v>#N/A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 t="e">
        <f>EXP(-LN(2)/35)*CK133+(1-EXP(-LN(2)/35))/(LN(2)/35)*CG134*CH134*VLOOKUP('Données projet'!$B$12,Paramètres!$A$1:$I$89,3,0)*0.475*44/12</f>
        <v>#N/A</v>
      </c>
      <c r="CL134" s="21" t="e">
        <f>EXP(-LN(2)/25)*CL133+(1-EXP(-LN(2)/25))/(LN(2)/25)*Calculateur!CG134*Calculateur!CI134*VLOOKUP('Données projet'!$B$12,Paramètres!$A$1:$I$89,3,0)*0.475*44/12</f>
        <v>#N/A</v>
      </c>
      <c r="CM134" s="21" t="e">
        <f>EXP(-LN(2)/2)*CM133+(1-EXP(-LN(2)/2))/(LN(2)/2)*CG134*CJ134*VLOOKUP('Données projet'!$B$12,Paramètres!$A$1:$I$89,3,0)*0.475*44/12</f>
        <v>#N/A</v>
      </c>
      <c r="CN134" s="22" t="e">
        <f t="shared" si="120"/>
        <v>#N/A</v>
      </c>
      <c r="CO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35">
      <c r="A135" s="10">
        <f t="shared" si="139"/>
        <v>132</v>
      </c>
      <c r="B135" s="72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1">
        <f t="shared" si="140"/>
        <v>0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66">
        <f t="shared" si="110"/>
        <v>256.66666666666669</v>
      </c>
      <c r="I135" s="6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10.163999999999998</v>
      </c>
      <c r="N135" s="13">
        <f>IF('Données projet'!$A$36&gt;35,N134+M135-V134,IF(A135&lt;'Données projet'!$A$36,$K$205^A135,IF(A135='Données projet'!$A$36,'Données projet'!$B$36,N134+M135-V134)))</f>
        <v>557.73799999999983</v>
      </c>
      <c r="O135" s="13">
        <f>N135*VLOOKUP('Données projet'!$B$9,Paramètres!$A$1:$I$89,3,0)*VLOOKUP('Données projet'!$B$9,Paramètres!$A$1:$I$89,5,0)</f>
        <v>504.64134239999987</v>
      </c>
      <c r="P135" s="13">
        <f t="shared" si="141"/>
        <v>112.69578958899113</v>
      </c>
      <c r="Q135" s="20">
        <f t="shared" si="108"/>
        <v>1075.1955048808261</v>
      </c>
      <c r="R135" s="59">
        <f t="shared" si="109"/>
        <v>1368.5288382141594</v>
      </c>
      <c r="S135" s="59">
        <f ca="1">AVERAGE(OFFSET($R$3,0,0,'Données projet'!$E$9+1,1))-AVERAGE(OFFSET($H$3,0,0,'Données projet'!$E$9+1,1))</f>
        <v>700.22008319944644</v>
      </c>
      <c r="T135" s="59">
        <f t="shared" si="142"/>
        <v>253.69632671986739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143.53431854612001</v>
      </c>
      <c r="AA135" s="21">
        <f>EXP(-LN(2)/25)*AA134+(1-EXP(-LN(2)/25))/(LN(2)/25)*Calculateur!V135*Calculateur!X135*VLOOKUP('Données projet'!$B$9,Paramètres!$A$1:$I$89,3,0)*0.475*44/12</f>
        <v>0</v>
      </c>
      <c r="AB135" s="21">
        <f>EXP(-LN(2)/2)*AB134+(1-EXP(-LN(2)/2))/(LN(2)/2)*V135*Y135*VLOOKUP('Données projet'!$B$9,Paramètres!$A$1:$I$89,3,0)*0.475*44/12</f>
        <v>0</v>
      </c>
      <c r="AC135" s="22">
        <f t="shared" si="111"/>
        <v>143.53431854612001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10.163999999999998</v>
      </c>
      <c r="AI135" s="13">
        <f>IF('Données projet'!$A$62&gt;35,AI134+AH135-AQ134,IF(A135&lt;'Données projet'!$A$62,$AF$205^A135,IF(A135='Données projet'!$A$62,'Données projet'!$B$62,AI134+AH135-AQ134)))</f>
        <v>557.73799999999983</v>
      </c>
      <c r="AJ135" s="13">
        <f>AI135*VLOOKUP('Données projet'!$B$10,Paramètres!$A$1:$I$89,3,0)*VLOOKUP('Données projet'!$B$10,Paramètres!$A$1:$I$89,5,0)</f>
        <v>530.74348079999993</v>
      </c>
      <c r="AK135" s="13">
        <f t="shared" si="143"/>
        <v>117.83116127086282</v>
      </c>
      <c r="AL135" s="20">
        <f t="shared" si="112"/>
        <v>1129.6008349400859</v>
      </c>
      <c r="AM135" s="59">
        <f t="shared" si="113"/>
        <v>1422.9341682734191</v>
      </c>
      <c r="AN135" s="59">
        <f ca="1">AVERAGE(OFFSET($AM$3,0,0,'Données projet'!$E$10+1,1))-AVERAGE(OFFSET($H$3,0,0,'Données projet'!$E$10+1,1))</f>
        <v>733.95677909577444</v>
      </c>
      <c r="AO135" s="59">
        <f t="shared" si="144"/>
        <v>264.63778993239799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150.95850743643655</v>
      </c>
      <c r="AV135" s="21">
        <f>EXP(-LN(2)/25)*AV134+(1-EXP(-LN(2)/25))/(LN(2)/25)*Calculateur!AQ135*Calculateur!AS135*VLOOKUP('Données projet'!$B$10,Paramètres!$A$1:$I$89,3,0)*0.475*44/12</f>
        <v>0</v>
      </c>
      <c r="AW135" s="21">
        <f>EXP(-LN(2)/2)*AW134+(1-EXP(-LN(2)/2))/(LN(2)/2)*AQ135*AT135*VLOOKUP('Données projet'!$B$10,Paramètres!$A$1:$I$89,3,0)*0.475*44/12</f>
        <v>0</v>
      </c>
      <c r="AX135" s="21">
        <f t="shared" si="114"/>
        <v>150.95850743643655</v>
      </c>
      <c r="AY135" s="7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0</v>
      </c>
      <c r="BE135" s="13">
        <f>BD135*VLOOKUP('Données projet'!$B$11,Paramètres!$A$1:$I$89,3,0)*VLOOKUP('Données projet'!$B$11,Paramètres!$A$1:$I$89,5,0)</f>
        <v>0</v>
      </c>
      <c r="BF135" s="13" t="e">
        <f t="shared" si="145"/>
        <v>#NUM!</v>
      </c>
      <c r="BG135" s="20" t="e">
        <f t="shared" si="115"/>
        <v>#NUM!</v>
      </c>
      <c r="BH135" s="59" t="e">
        <f t="shared" si="116"/>
        <v>#NUM!</v>
      </c>
      <c r="BI135" s="59">
        <f ca="1">AVERAGE(OFFSET($BH$3,0,0,'Données projet'!$E$11+1,1))-AVERAGE(OFFSET($H$3,0,0,'Données projet'!$E$11+1,1))</f>
        <v>187.80389738728508</v>
      </c>
      <c r="BJ135" s="59">
        <f t="shared" si="146"/>
        <v>439.28159165815265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16.383784354825334</v>
      </c>
      <c r="BQ135" s="21">
        <f>EXP(-LN(2)/25)*BQ134+(1-EXP(-LN(2)/25))/(LN(2)/25)*Calculateur!BL135*Calculateur!BN135*VLOOKUP('Données projet'!$B$11,Paramètres!$A$1:$I$89,3,0)*0.475*44/12</f>
        <v>0.85011023028245447</v>
      </c>
      <c r="BR135" s="21">
        <f>EXP(-LN(2)/2)*BR134+(1-EXP(-LN(2)/2))/(LN(2)/2)*BL135*BO135*VLOOKUP('Données projet'!$B$11,Paramètres!$A$1:$I$89,3,0)*0.475*44/12</f>
        <v>1.9967141718948375E-17</v>
      </c>
      <c r="BS135" s="22">
        <f t="shared" si="117"/>
        <v>17.233894585107787</v>
      </c>
      <c r="BT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0</v>
      </c>
      <c r="BZ135" s="13" t="e">
        <f>BY135*VLOOKUP('Données projet'!$B$12,Paramètres!$A$1:$I$89,3,0)*VLOOKUP('Données projet'!$B$12,Paramètres!$A$1:$I$89,5,0)</f>
        <v>#N/A</v>
      </c>
      <c r="CA135" s="13" t="e">
        <f t="shared" si="147"/>
        <v>#N/A</v>
      </c>
      <c r="CB135" s="20" t="e">
        <f t="shared" si="118"/>
        <v>#N/A</v>
      </c>
      <c r="CC135" s="59" t="e">
        <f t="shared" si="119"/>
        <v>#N/A</v>
      </c>
      <c r="CD135" s="59" t="e">
        <f ca="1">AVERAGE(OFFSET($CC$3,0,0,'Données projet'!$E$12+1,1))-AVERAGE(OFFSET($H$3,0,0,'Données projet'!$E$12+1,1))</f>
        <v>#N/A</v>
      </c>
      <c r="CE135" s="59" t="e">
        <f t="shared" si="148"/>
        <v>#N/A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 t="e">
        <f>EXP(-LN(2)/35)*CK134+(1-EXP(-LN(2)/35))/(LN(2)/35)*CG135*CH135*VLOOKUP('Données projet'!$B$12,Paramètres!$A$1:$I$89,3,0)*0.475*44/12</f>
        <v>#N/A</v>
      </c>
      <c r="CL135" s="21" t="e">
        <f>EXP(-LN(2)/25)*CL134+(1-EXP(-LN(2)/25))/(LN(2)/25)*Calculateur!CG135*Calculateur!CI135*VLOOKUP('Données projet'!$B$12,Paramètres!$A$1:$I$89,3,0)*0.475*44/12</f>
        <v>#N/A</v>
      </c>
      <c r="CM135" s="21" t="e">
        <f>EXP(-LN(2)/2)*CM134+(1-EXP(-LN(2)/2))/(LN(2)/2)*CG135*CJ135*VLOOKUP('Données projet'!$B$12,Paramètres!$A$1:$I$89,3,0)*0.475*44/12</f>
        <v>#N/A</v>
      </c>
      <c r="CN135" s="22" t="e">
        <f t="shared" si="120"/>
        <v>#N/A</v>
      </c>
      <c r="CO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35">
      <c r="A136" s="10">
        <f t="shared" si="139"/>
        <v>133</v>
      </c>
      <c r="B136" s="72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1">
        <f t="shared" si="140"/>
        <v>0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66">
        <f t="shared" si="110"/>
        <v>256.66666666666669</v>
      </c>
      <c r="I136" s="6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10.163999999999998</v>
      </c>
      <c r="N136" s="13">
        <f>IF('Données projet'!$A$36&gt;35,N135+M136-V135,IF(A136&lt;'Données projet'!$A$36,$K$205^A136,IF(A136='Données projet'!$A$36,'Données projet'!$B$36,N135+M136-V135)))</f>
        <v>567.90199999999982</v>
      </c>
      <c r="O136" s="13">
        <f>N136*VLOOKUP('Données projet'!$B$9,Paramètres!$A$1:$I$89,3,0)*VLOOKUP('Données projet'!$B$9,Paramètres!$A$1:$I$89,5,0)</f>
        <v>513.83772959999976</v>
      </c>
      <c r="P136" s="13">
        <f t="shared" si="141"/>
        <v>114.5085485190572</v>
      </c>
      <c r="Q136" s="20">
        <f t="shared" si="108"/>
        <v>1094.3697677240241</v>
      </c>
      <c r="R136" s="59">
        <f t="shared" si="109"/>
        <v>1387.7031010573573</v>
      </c>
      <c r="S136" s="59">
        <f ca="1">AVERAGE(OFFSET($R$3,0,0,'Données projet'!$E$9+1,1))-AVERAGE(OFFSET($H$3,0,0,'Données projet'!$E$9+1,1))</f>
        <v>700.22008319944644</v>
      </c>
      <c r="T136" s="59">
        <f t="shared" si="142"/>
        <v>253.69632671986739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140.71969810672033</v>
      </c>
      <c r="AA136" s="21">
        <f>EXP(-LN(2)/25)*AA135+(1-EXP(-LN(2)/25))/(LN(2)/25)*Calculateur!V136*Calculateur!X136*VLOOKUP('Données projet'!$B$9,Paramètres!$A$1:$I$89,3,0)*0.475*44/12</f>
        <v>0</v>
      </c>
      <c r="AB136" s="21">
        <f>EXP(-LN(2)/2)*AB135+(1-EXP(-LN(2)/2))/(LN(2)/2)*V136*Y136*VLOOKUP('Données projet'!$B$9,Paramètres!$A$1:$I$89,3,0)*0.475*44/12</f>
        <v>0</v>
      </c>
      <c r="AC136" s="22">
        <f t="shared" si="111"/>
        <v>140.71969810672033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10.163999999999998</v>
      </c>
      <c r="AI136" s="13">
        <f>IF('Données projet'!$A$62&gt;35,AI135+AH136-AQ135,IF(A136&lt;'Données projet'!$A$62,$AF$205^A136,IF(A136='Données projet'!$A$62,'Données projet'!$B$62,AI135+AH136-AQ135)))</f>
        <v>567.90199999999982</v>
      </c>
      <c r="AJ136" s="13">
        <f>AI136*VLOOKUP('Données projet'!$B$10,Paramètres!$A$1:$I$89,3,0)*VLOOKUP('Données projet'!$B$10,Paramètres!$A$1:$I$89,5,0)</f>
        <v>540.41554319999977</v>
      </c>
      <c r="AK136" s="13">
        <f t="shared" si="143"/>
        <v>119.72652480319019</v>
      </c>
      <c r="AL136" s="20">
        <f t="shared" si="112"/>
        <v>1149.7474351055557</v>
      </c>
      <c r="AM136" s="59">
        <f t="shared" si="113"/>
        <v>1443.080768438889</v>
      </c>
      <c r="AN136" s="59">
        <f ca="1">AVERAGE(OFFSET($AM$3,0,0,'Données projet'!$E$10+1,1))-AVERAGE(OFFSET($H$3,0,0,'Données projet'!$E$10+1,1))</f>
        <v>733.95677909577444</v>
      </c>
      <c r="AO136" s="59">
        <f t="shared" si="144"/>
        <v>264.63778993239799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147.99830318120584</v>
      </c>
      <c r="AV136" s="21">
        <f>EXP(-LN(2)/25)*AV135+(1-EXP(-LN(2)/25))/(LN(2)/25)*Calculateur!AQ136*Calculateur!AS136*VLOOKUP('Données projet'!$B$10,Paramètres!$A$1:$I$89,3,0)*0.475*44/12</f>
        <v>0</v>
      </c>
      <c r="AW136" s="21">
        <f>EXP(-LN(2)/2)*AW135+(1-EXP(-LN(2)/2))/(LN(2)/2)*AQ136*AT136*VLOOKUP('Données projet'!$B$10,Paramètres!$A$1:$I$89,3,0)*0.475*44/12</f>
        <v>0</v>
      </c>
      <c r="AX136" s="21">
        <f t="shared" si="114"/>
        <v>147.99830318120584</v>
      </c>
      <c r="AY136" s="7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0</v>
      </c>
      <c r="BE136" s="13">
        <f>BD136*VLOOKUP('Données projet'!$B$11,Paramètres!$A$1:$I$89,3,0)*VLOOKUP('Données projet'!$B$11,Paramètres!$A$1:$I$89,5,0)</f>
        <v>0</v>
      </c>
      <c r="BF136" s="13" t="e">
        <f t="shared" si="145"/>
        <v>#NUM!</v>
      </c>
      <c r="BG136" s="20" t="e">
        <f t="shared" si="115"/>
        <v>#NUM!</v>
      </c>
      <c r="BH136" s="59" t="e">
        <f t="shared" si="116"/>
        <v>#NUM!</v>
      </c>
      <c r="BI136" s="59">
        <f ca="1">AVERAGE(OFFSET($BH$3,0,0,'Données projet'!$E$11+1,1))-AVERAGE(OFFSET($H$3,0,0,'Données projet'!$E$11+1,1))</f>
        <v>187.80389738728508</v>
      </c>
      <c r="BJ136" s="59">
        <f t="shared" si="146"/>
        <v>439.28159165815265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16.062508336748927</v>
      </c>
      <c r="BQ136" s="21">
        <f>EXP(-LN(2)/25)*BQ135+(1-EXP(-LN(2)/25))/(LN(2)/25)*Calculateur!BL136*Calculateur!BN136*VLOOKUP('Données projet'!$B$11,Paramètres!$A$1:$I$89,3,0)*0.475*44/12</f>
        <v>0.82686392133002673</v>
      </c>
      <c r="BR136" s="21">
        <f>EXP(-LN(2)/2)*BR135+(1-EXP(-LN(2)/2))/(LN(2)/2)*BL136*BO136*VLOOKUP('Données projet'!$B$11,Paramètres!$A$1:$I$89,3,0)*0.475*44/12</f>
        <v>1.4118901310381213E-17</v>
      </c>
      <c r="BS136" s="22">
        <f t="shared" si="117"/>
        <v>16.889372258078954</v>
      </c>
      <c r="BT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0</v>
      </c>
      <c r="BZ136" s="13" t="e">
        <f>BY136*VLOOKUP('Données projet'!$B$12,Paramètres!$A$1:$I$89,3,0)*VLOOKUP('Données projet'!$B$12,Paramètres!$A$1:$I$89,5,0)</f>
        <v>#N/A</v>
      </c>
      <c r="CA136" s="13" t="e">
        <f t="shared" si="147"/>
        <v>#N/A</v>
      </c>
      <c r="CB136" s="20" t="e">
        <f t="shared" si="118"/>
        <v>#N/A</v>
      </c>
      <c r="CC136" s="59" t="e">
        <f t="shared" si="119"/>
        <v>#N/A</v>
      </c>
      <c r="CD136" s="59" t="e">
        <f ca="1">AVERAGE(OFFSET($CC$3,0,0,'Données projet'!$E$12+1,1))-AVERAGE(OFFSET($H$3,0,0,'Données projet'!$E$12+1,1))</f>
        <v>#N/A</v>
      </c>
      <c r="CE136" s="59" t="e">
        <f t="shared" si="148"/>
        <v>#N/A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 t="e">
        <f>EXP(-LN(2)/35)*CK135+(1-EXP(-LN(2)/35))/(LN(2)/35)*CG136*CH136*VLOOKUP('Données projet'!$B$12,Paramètres!$A$1:$I$89,3,0)*0.475*44/12</f>
        <v>#N/A</v>
      </c>
      <c r="CL136" s="21" t="e">
        <f>EXP(-LN(2)/25)*CL135+(1-EXP(-LN(2)/25))/(LN(2)/25)*Calculateur!CG136*Calculateur!CI136*VLOOKUP('Données projet'!$B$12,Paramètres!$A$1:$I$89,3,0)*0.475*44/12</f>
        <v>#N/A</v>
      </c>
      <c r="CM136" s="21" t="e">
        <f>EXP(-LN(2)/2)*CM135+(1-EXP(-LN(2)/2))/(LN(2)/2)*CG136*CJ136*VLOOKUP('Données projet'!$B$12,Paramètres!$A$1:$I$89,3,0)*0.475*44/12</f>
        <v>#N/A</v>
      </c>
      <c r="CN136" s="22" t="e">
        <f t="shared" si="120"/>
        <v>#N/A</v>
      </c>
      <c r="CO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35">
      <c r="A137" s="10">
        <f t="shared" si="139"/>
        <v>134</v>
      </c>
      <c r="B137" s="72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1">
        <f t="shared" si="140"/>
        <v>0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66">
        <f t="shared" si="110"/>
        <v>256.66666666666669</v>
      </c>
      <c r="I137" s="6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10.163999999999998</v>
      </c>
      <c r="N137" s="13">
        <f>IF('Données projet'!$A$36&gt;35,N136+M137-V136,IF(A137&lt;'Données projet'!$A$36,$K$205^A137,IF(A137='Données projet'!$A$36,'Données projet'!$B$36,N136+M137-V136)))</f>
        <v>578.0659999999998</v>
      </c>
      <c r="O137" s="13">
        <f>N137*VLOOKUP('Données projet'!$B$9,Paramètres!$A$1:$I$89,3,0)*VLOOKUP('Données projet'!$B$9,Paramètres!$A$1:$I$89,5,0)</f>
        <v>523.03411679999988</v>
      </c>
      <c r="P137" s="13">
        <f t="shared" si="141"/>
        <v>116.31753471233222</v>
      </c>
      <c r="Q137" s="20">
        <f t="shared" si="108"/>
        <v>1113.5374597173118</v>
      </c>
      <c r="R137" s="59">
        <f t="shared" si="109"/>
        <v>1406.870793050645</v>
      </c>
      <c r="S137" s="59">
        <f ca="1">AVERAGE(OFFSET($R$3,0,0,'Données projet'!$E$9+1,1))-AVERAGE(OFFSET($H$3,0,0,'Données projet'!$E$9+1,1))</f>
        <v>700.22008319944644</v>
      </c>
      <c r="T137" s="59">
        <f t="shared" si="142"/>
        <v>253.69632671986739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137.96027065738832</v>
      </c>
      <c r="AA137" s="21">
        <f>EXP(-LN(2)/25)*AA136+(1-EXP(-LN(2)/25))/(LN(2)/25)*Calculateur!V137*Calculateur!X137*VLOOKUP('Données projet'!$B$9,Paramètres!$A$1:$I$89,3,0)*0.475*44/12</f>
        <v>0</v>
      </c>
      <c r="AB137" s="21">
        <f>EXP(-LN(2)/2)*AB136+(1-EXP(-LN(2)/2))/(LN(2)/2)*V137*Y137*VLOOKUP('Données projet'!$B$9,Paramètres!$A$1:$I$89,3,0)*0.475*44/12</f>
        <v>0</v>
      </c>
      <c r="AC137" s="22">
        <f t="shared" si="111"/>
        <v>137.96027065738832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10.163999999999998</v>
      </c>
      <c r="AI137" s="13">
        <f>IF('Données projet'!$A$62&gt;35,AI136+AH137-AQ136,IF(A137&lt;'Données projet'!$A$62,$AF$205^A137,IF(A137='Données projet'!$A$62,'Données projet'!$B$62,AI136+AH137-AQ136)))</f>
        <v>578.0659999999998</v>
      </c>
      <c r="AJ137" s="13">
        <f>AI137*VLOOKUP('Données projet'!$B$10,Paramètres!$A$1:$I$89,3,0)*VLOOKUP('Données projet'!$B$10,Paramètres!$A$1:$I$89,5,0)</f>
        <v>550.08760559999985</v>
      </c>
      <c r="AK137" s="13">
        <f t="shared" si="143"/>
        <v>121.6179436809846</v>
      </c>
      <c r="AL137" s="20">
        <f t="shared" si="112"/>
        <v>1169.8871649977145</v>
      </c>
      <c r="AM137" s="59">
        <f t="shared" si="113"/>
        <v>1463.2204983310478</v>
      </c>
      <c r="AN137" s="59">
        <f ca="1">AVERAGE(OFFSET($AM$3,0,0,'Données projet'!$E$10+1,1))-AVERAGE(OFFSET($H$3,0,0,'Données projet'!$E$10+1,1))</f>
        <v>733.95677909577444</v>
      </c>
      <c r="AO137" s="59">
        <f t="shared" si="144"/>
        <v>264.63778993239799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145.09614672587392</v>
      </c>
      <c r="AV137" s="21">
        <f>EXP(-LN(2)/25)*AV136+(1-EXP(-LN(2)/25))/(LN(2)/25)*Calculateur!AQ137*Calculateur!AS137*VLOOKUP('Données projet'!$B$10,Paramètres!$A$1:$I$89,3,0)*0.475*44/12</f>
        <v>0</v>
      </c>
      <c r="AW137" s="21">
        <f>EXP(-LN(2)/2)*AW136+(1-EXP(-LN(2)/2))/(LN(2)/2)*AQ137*AT137*VLOOKUP('Données projet'!$B$10,Paramètres!$A$1:$I$89,3,0)*0.475*44/12</f>
        <v>0</v>
      </c>
      <c r="AX137" s="21">
        <f t="shared" si="114"/>
        <v>145.09614672587392</v>
      </c>
      <c r="AY137" s="7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0</v>
      </c>
      <c r="BE137" s="13">
        <f>BD137*VLOOKUP('Données projet'!$B$11,Paramètres!$A$1:$I$89,3,0)*VLOOKUP('Données projet'!$B$11,Paramètres!$A$1:$I$89,5,0)</f>
        <v>0</v>
      </c>
      <c r="BF137" s="13" t="e">
        <f t="shared" si="145"/>
        <v>#NUM!</v>
      </c>
      <c r="BG137" s="20" t="e">
        <f t="shared" si="115"/>
        <v>#NUM!</v>
      </c>
      <c r="BH137" s="59" t="e">
        <f t="shared" si="116"/>
        <v>#NUM!</v>
      </c>
      <c r="BI137" s="59">
        <f ca="1">AVERAGE(OFFSET($BH$3,0,0,'Données projet'!$E$11+1,1))-AVERAGE(OFFSET($H$3,0,0,'Données projet'!$E$11+1,1))</f>
        <v>187.80389738728508</v>
      </c>
      <c r="BJ137" s="59">
        <f t="shared" si="146"/>
        <v>439.28159165815265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15.747532345427976</v>
      </c>
      <c r="BQ137" s="21">
        <f>EXP(-LN(2)/25)*BQ136+(1-EXP(-LN(2)/25))/(LN(2)/25)*Calculateur!BL137*Calculateur!BN137*VLOOKUP('Données projet'!$B$11,Paramètres!$A$1:$I$89,3,0)*0.475*44/12</f>
        <v>0.80425328391837336</v>
      </c>
      <c r="BR137" s="21">
        <f>EXP(-LN(2)/2)*BR136+(1-EXP(-LN(2)/2))/(LN(2)/2)*BL137*BO137*VLOOKUP('Données projet'!$B$11,Paramètres!$A$1:$I$89,3,0)*0.475*44/12</f>
        <v>9.9835708594741873E-18</v>
      </c>
      <c r="BS137" s="22">
        <f t="shared" si="117"/>
        <v>16.551785629346348</v>
      </c>
      <c r="BT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0</v>
      </c>
      <c r="BZ137" s="13" t="e">
        <f>BY137*VLOOKUP('Données projet'!$B$12,Paramètres!$A$1:$I$89,3,0)*VLOOKUP('Données projet'!$B$12,Paramètres!$A$1:$I$89,5,0)</f>
        <v>#N/A</v>
      </c>
      <c r="CA137" s="13" t="e">
        <f t="shared" si="147"/>
        <v>#N/A</v>
      </c>
      <c r="CB137" s="20" t="e">
        <f t="shared" si="118"/>
        <v>#N/A</v>
      </c>
      <c r="CC137" s="59" t="e">
        <f t="shared" si="119"/>
        <v>#N/A</v>
      </c>
      <c r="CD137" s="59" t="e">
        <f ca="1">AVERAGE(OFFSET($CC$3,0,0,'Données projet'!$E$12+1,1))-AVERAGE(OFFSET($H$3,0,0,'Données projet'!$E$12+1,1))</f>
        <v>#N/A</v>
      </c>
      <c r="CE137" s="59" t="e">
        <f t="shared" si="148"/>
        <v>#N/A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 t="e">
        <f>EXP(-LN(2)/35)*CK136+(1-EXP(-LN(2)/35))/(LN(2)/35)*CG137*CH137*VLOOKUP('Données projet'!$B$12,Paramètres!$A$1:$I$89,3,0)*0.475*44/12</f>
        <v>#N/A</v>
      </c>
      <c r="CL137" s="21" t="e">
        <f>EXP(-LN(2)/25)*CL136+(1-EXP(-LN(2)/25))/(LN(2)/25)*Calculateur!CG137*Calculateur!CI137*VLOOKUP('Données projet'!$B$12,Paramètres!$A$1:$I$89,3,0)*0.475*44/12</f>
        <v>#N/A</v>
      </c>
      <c r="CM137" s="21" t="e">
        <f>EXP(-LN(2)/2)*CM136+(1-EXP(-LN(2)/2))/(LN(2)/2)*CG137*CJ137*VLOOKUP('Données projet'!$B$12,Paramètres!$A$1:$I$89,3,0)*0.475*44/12</f>
        <v>#N/A</v>
      </c>
      <c r="CN137" s="22" t="e">
        <f t="shared" si="120"/>
        <v>#N/A</v>
      </c>
      <c r="CO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35">
      <c r="A138" s="10">
        <f t="shared" si="139"/>
        <v>135</v>
      </c>
      <c r="B138" s="72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1">
        <f t="shared" si="140"/>
        <v>0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66">
        <f t="shared" si="110"/>
        <v>256.66666666666669</v>
      </c>
      <c r="I138" s="6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10.163999999999998</v>
      </c>
      <c r="N138" s="13">
        <f>IF('Données projet'!$A$36&gt;35,N137+M138-V137,IF(A138&lt;'Données projet'!$A$36,$K$205^A138,IF(A138='Données projet'!$A$36,'Données projet'!$B$36,N137+M138-V137)))</f>
        <v>588.22999999999979</v>
      </c>
      <c r="O138" s="13">
        <f>N138*VLOOKUP('Données projet'!$B$9,Paramètres!$A$1:$I$89,3,0)*VLOOKUP('Données projet'!$B$9,Paramètres!$A$1:$I$89,5,0)</f>
        <v>532.23050399999977</v>
      </c>
      <c r="P138" s="13">
        <f t="shared" si="141"/>
        <v>118.12282215733531</v>
      </c>
      <c r="Q138" s="20">
        <f t="shared" si="108"/>
        <v>1132.6987097240253</v>
      </c>
      <c r="R138" s="59">
        <f t="shared" si="109"/>
        <v>1426.0320430573586</v>
      </c>
      <c r="S138" s="59">
        <f ca="1">AVERAGE(OFFSET($R$3,0,0,'Données projet'!$E$9+1,1))-AVERAGE(OFFSET($H$3,0,0,'Données projet'!$E$9+1,1))</f>
        <v>700.22008319944644</v>
      </c>
      <c r="T138" s="59">
        <f t="shared" si="142"/>
        <v>253.69632671986739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135.25495389725316</v>
      </c>
      <c r="AA138" s="21">
        <f>EXP(-LN(2)/25)*AA137+(1-EXP(-LN(2)/25))/(LN(2)/25)*Calculateur!V138*Calculateur!X138*VLOOKUP('Données projet'!$B$9,Paramètres!$A$1:$I$89,3,0)*0.475*44/12</f>
        <v>0</v>
      </c>
      <c r="AB138" s="21">
        <f>EXP(-LN(2)/2)*AB137+(1-EXP(-LN(2)/2))/(LN(2)/2)*V138*Y138*VLOOKUP('Données projet'!$B$9,Paramètres!$A$1:$I$89,3,0)*0.475*44/12</f>
        <v>0</v>
      </c>
      <c r="AC138" s="22">
        <f t="shared" si="111"/>
        <v>135.25495389725316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10.163999999999998</v>
      </c>
      <c r="AI138" s="13">
        <f>IF('Données projet'!$A$62&gt;35,AI137+AH138-AQ137,IF(A138&lt;'Données projet'!$A$62,$AF$205^A138,IF(A138='Données projet'!$A$62,'Données projet'!$B$62,AI137+AH138-AQ137)))</f>
        <v>588.22999999999979</v>
      </c>
      <c r="AJ138" s="13">
        <f>AI138*VLOOKUP('Données projet'!$B$10,Paramètres!$A$1:$I$89,3,0)*VLOOKUP('Données projet'!$B$10,Paramètres!$A$1:$I$89,5,0)</f>
        <v>559.75966799999981</v>
      </c>
      <c r="AK138" s="13">
        <f t="shared" si="143"/>
        <v>123.50549526430649</v>
      </c>
      <c r="AL138" s="20">
        <f t="shared" si="112"/>
        <v>1190.0201593519998</v>
      </c>
      <c r="AM138" s="59">
        <f t="shared" si="113"/>
        <v>1483.3534926853331</v>
      </c>
      <c r="AN138" s="59">
        <f ca="1">AVERAGE(OFFSET($AM$3,0,0,'Données projet'!$E$10+1,1))-AVERAGE(OFFSET($H$3,0,0,'Données projet'!$E$10+1,1))</f>
        <v>733.95677909577444</v>
      </c>
      <c r="AO138" s="59">
        <f t="shared" si="144"/>
        <v>264.63778993239799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142.25089978849039</v>
      </c>
      <c r="AV138" s="21">
        <f>EXP(-LN(2)/25)*AV137+(1-EXP(-LN(2)/25))/(LN(2)/25)*Calculateur!AQ138*Calculateur!AS138*VLOOKUP('Données projet'!$B$10,Paramètres!$A$1:$I$89,3,0)*0.475*44/12</f>
        <v>0</v>
      </c>
      <c r="AW138" s="21">
        <f>EXP(-LN(2)/2)*AW137+(1-EXP(-LN(2)/2))/(LN(2)/2)*AQ138*AT138*VLOOKUP('Données projet'!$B$10,Paramètres!$A$1:$I$89,3,0)*0.475*44/12</f>
        <v>0</v>
      </c>
      <c r="AX138" s="21">
        <f t="shared" si="114"/>
        <v>142.25089978849039</v>
      </c>
      <c r="AY138" s="7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0</v>
      </c>
      <c r="BE138" s="13">
        <f>BD138*VLOOKUP('Données projet'!$B$11,Paramètres!$A$1:$I$89,3,0)*VLOOKUP('Données projet'!$B$11,Paramètres!$A$1:$I$89,5,0)</f>
        <v>0</v>
      </c>
      <c r="BF138" s="13" t="e">
        <f t="shared" si="145"/>
        <v>#NUM!</v>
      </c>
      <c r="BG138" s="20" t="e">
        <f t="shared" si="115"/>
        <v>#NUM!</v>
      </c>
      <c r="BH138" s="59" t="e">
        <f t="shared" si="116"/>
        <v>#NUM!</v>
      </c>
      <c r="BI138" s="59">
        <f ca="1">AVERAGE(OFFSET($BH$3,0,0,'Données projet'!$E$11+1,1))-AVERAGE(OFFSET($H$3,0,0,'Données projet'!$E$11+1,1))</f>
        <v>187.80389738728508</v>
      </c>
      <c r="BJ138" s="59">
        <f t="shared" si="146"/>
        <v>439.28159165815265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15.438732841180444</v>
      </c>
      <c r="BQ138" s="21">
        <f>EXP(-LN(2)/25)*BQ137+(1-EXP(-LN(2)/25))/(LN(2)/25)*Calculateur!BL138*Calculateur!BN138*VLOOKUP('Données projet'!$B$11,Paramètres!$A$1:$I$89,3,0)*0.475*44/12</f>
        <v>0.78226093557578336</v>
      </c>
      <c r="BR138" s="21">
        <f>EXP(-LN(2)/2)*BR137+(1-EXP(-LN(2)/2))/(LN(2)/2)*BL138*BO138*VLOOKUP('Données projet'!$B$11,Paramètres!$A$1:$I$89,3,0)*0.475*44/12</f>
        <v>7.0594506551906064E-18</v>
      </c>
      <c r="BS138" s="22">
        <f t="shared" si="117"/>
        <v>16.220993776756227</v>
      </c>
      <c r="BT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0</v>
      </c>
      <c r="BZ138" s="13" t="e">
        <f>BY138*VLOOKUP('Données projet'!$B$12,Paramètres!$A$1:$I$89,3,0)*VLOOKUP('Données projet'!$B$12,Paramètres!$A$1:$I$89,5,0)</f>
        <v>#N/A</v>
      </c>
      <c r="CA138" s="13" t="e">
        <f t="shared" si="147"/>
        <v>#N/A</v>
      </c>
      <c r="CB138" s="20" t="e">
        <f t="shared" si="118"/>
        <v>#N/A</v>
      </c>
      <c r="CC138" s="59" t="e">
        <f t="shared" si="119"/>
        <v>#N/A</v>
      </c>
      <c r="CD138" s="59" t="e">
        <f ca="1">AVERAGE(OFFSET($CC$3,0,0,'Données projet'!$E$12+1,1))-AVERAGE(OFFSET($H$3,0,0,'Données projet'!$E$12+1,1))</f>
        <v>#N/A</v>
      </c>
      <c r="CE138" s="59" t="e">
        <f t="shared" si="148"/>
        <v>#N/A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 t="e">
        <f>EXP(-LN(2)/35)*CK137+(1-EXP(-LN(2)/35))/(LN(2)/35)*CG138*CH138*VLOOKUP('Données projet'!$B$12,Paramètres!$A$1:$I$89,3,0)*0.475*44/12</f>
        <v>#N/A</v>
      </c>
      <c r="CL138" s="21" t="e">
        <f>EXP(-LN(2)/25)*CL137+(1-EXP(-LN(2)/25))/(LN(2)/25)*Calculateur!CG138*Calculateur!CI138*VLOOKUP('Données projet'!$B$12,Paramètres!$A$1:$I$89,3,0)*0.475*44/12</f>
        <v>#N/A</v>
      </c>
      <c r="CM138" s="21" t="e">
        <f>EXP(-LN(2)/2)*CM137+(1-EXP(-LN(2)/2))/(LN(2)/2)*CG138*CJ138*VLOOKUP('Données projet'!$B$12,Paramètres!$A$1:$I$89,3,0)*0.475*44/12</f>
        <v>#N/A</v>
      </c>
      <c r="CN138" s="22" t="e">
        <f t="shared" si="120"/>
        <v>#N/A</v>
      </c>
      <c r="CO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35">
      <c r="A139" s="10">
        <f t="shared" si="139"/>
        <v>136</v>
      </c>
      <c r="B139" s="72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1">
        <f t="shared" si="140"/>
        <v>0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66">
        <f t="shared" si="110"/>
        <v>256.66666666666669</v>
      </c>
      <c r="I139" s="6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10.163999999999998</v>
      </c>
      <c r="N139" s="13">
        <f>IF('Données projet'!$A$36&gt;35,N138+M139-V138,IF(A139&lt;'Données projet'!$A$36,$K$205^A139,IF(A139='Données projet'!$A$36,'Données projet'!$B$36,N138+M139-V138)))</f>
        <v>598.39399999999978</v>
      </c>
      <c r="O139" s="13">
        <f>N139*VLOOKUP('Données projet'!$B$9,Paramètres!$A$1:$I$89,3,0)*VLOOKUP('Données projet'!$B$9,Paramètres!$A$1:$I$89,5,0)</f>
        <v>541.42689119999977</v>
      </c>
      <c r="P139" s="13">
        <f t="shared" si="141"/>
        <v>119.92448213920237</v>
      </c>
      <c r="Q139" s="20">
        <f t="shared" si="108"/>
        <v>1151.8536418991105</v>
      </c>
      <c r="R139" s="59">
        <f t="shared" si="109"/>
        <v>1445.1869752324437</v>
      </c>
      <c r="S139" s="59">
        <f ca="1">AVERAGE(OFFSET($R$3,0,0,'Données projet'!$E$9+1,1))-AVERAGE(OFFSET($H$3,0,0,'Données projet'!$E$9+1,1))</f>
        <v>700.22008319944644</v>
      </c>
      <c r="T139" s="59">
        <f t="shared" si="142"/>
        <v>253.69632671986739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132.60268674870397</v>
      </c>
      <c r="AA139" s="21">
        <f>EXP(-LN(2)/25)*AA138+(1-EXP(-LN(2)/25))/(LN(2)/25)*Calculateur!V139*Calculateur!X139*VLOOKUP('Données projet'!$B$9,Paramètres!$A$1:$I$89,3,0)*0.475*44/12</f>
        <v>0</v>
      </c>
      <c r="AB139" s="21">
        <f>EXP(-LN(2)/2)*AB138+(1-EXP(-LN(2)/2))/(LN(2)/2)*V139*Y139*VLOOKUP('Données projet'!$B$9,Paramètres!$A$1:$I$89,3,0)*0.475*44/12</f>
        <v>0</v>
      </c>
      <c r="AC139" s="22">
        <f t="shared" si="111"/>
        <v>132.60268674870397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10.163999999999998</v>
      </c>
      <c r="AI139" s="13">
        <f>IF('Données projet'!$A$62&gt;35,AI138+AH139-AQ138,IF(A139&lt;'Données projet'!$A$62,$AF$205^A139,IF(A139='Données projet'!$A$62,'Données projet'!$B$62,AI138+AH139-AQ138)))</f>
        <v>598.39399999999978</v>
      </c>
      <c r="AJ139" s="13">
        <f>AI139*VLOOKUP('Données projet'!$B$10,Paramètres!$A$1:$I$89,3,0)*VLOOKUP('Données projet'!$B$10,Paramètres!$A$1:$I$89,5,0)</f>
        <v>569.43173039999976</v>
      </c>
      <c r="AK139" s="13">
        <f t="shared" si="143"/>
        <v>125.38925408664474</v>
      </c>
      <c r="AL139" s="20">
        <f t="shared" si="112"/>
        <v>1210.1465479809058</v>
      </c>
      <c r="AM139" s="59">
        <f t="shared" si="113"/>
        <v>1503.479881314239</v>
      </c>
      <c r="AN139" s="59">
        <f ca="1">AVERAGE(OFFSET($AM$3,0,0,'Données projet'!$E$10+1,1))-AVERAGE(OFFSET($H$3,0,0,'Données projet'!$E$10+1,1))</f>
        <v>733.95677909577444</v>
      </c>
      <c r="AO139" s="59">
        <f t="shared" si="144"/>
        <v>264.63778993239799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139.46144640811968</v>
      </c>
      <c r="AV139" s="21">
        <f>EXP(-LN(2)/25)*AV138+(1-EXP(-LN(2)/25))/(LN(2)/25)*Calculateur!AQ139*Calculateur!AS139*VLOOKUP('Données projet'!$B$10,Paramètres!$A$1:$I$89,3,0)*0.475*44/12</f>
        <v>0</v>
      </c>
      <c r="AW139" s="21">
        <f>EXP(-LN(2)/2)*AW138+(1-EXP(-LN(2)/2))/(LN(2)/2)*AQ139*AT139*VLOOKUP('Données projet'!$B$10,Paramètres!$A$1:$I$89,3,0)*0.475*44/12</f>
        <v>0</v>
      </c>
      <c r="AX139" s="21">
        <f t="shared" si="114"/>
        <v>139.46144640811968</v>
      </c>
      <c r="AY139" s="7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0</v>
      </c>
      <c r="BE139" s="13">
        <f>BD139*VLOOKUP('Données projet'!$B$11,Paramètres!$A$1:$I$89,3,0)*VLOOKUP('Données projet'!$B$11,Paramètres!$A$1:$I$89,5,0)</f>
        <v>0</v>
      </c>
      <c r="BF139" s="13" t="e">
        <f t="shared" si="145"/>
        <v>#NUM!</v>
      </c>
      <c r="BG139" s="20" t="e">
        <f t="shared" si="115"/>
        <v>#NUM!</v>
      </c>
      <c r="BH139" s="59" t="e">
        <f t="shared" si="116"/>
        <v>#NUM!</v>
      </c>
      <c r="BI139" s="59">
        <f ca="1">AVERAGE(OFFSET($BH$3,0,0,'Données projet'!$E$11+1,1))-AVERAGE(OFFSET($H$3,0,0,'Données projet'!$E$11+1,1))</f>
        <v>187.80389738728508</v>
      </c>
      <c r="BJ139" s="59">
        <f t="shared" si="146"/>
        <v>439.28159165815265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15.135988706862108</v>
      </c>
      <c r="BQ139" s="21">
        <f>EXP(-LN(2)/25)*BQ138+(1-EXP(-LN(2)/25))/(LN(2)/25)*Calculateur!BL139*Calculateur!BN139*VLOOKUP('Données projet'!$B$11,Paramètres!$A$1:$I$89,3,0)*0.475*44/12</f>
        <v>0.76086996915514882</v>
      </c>
      <c r="BR139" s="21">
        <f>EXP(-LN(2)/2)*BR138+(1-EXP(-LN(2)/2))/(LN(2)/2)*BL139*BO139*VLOOKUP('Données projet'!$B$11,Paramètres!$A$1:$I$89,3,0)*0.475*44/12</f>
        <v>4.9917854297370937E-18</v>
      </c>
      <c r="BS139" s="22">
        <f t="shared" si="117"/>
        <v>15.896858676017256</v>
      </c>
      <c r="BT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0</v>
      </c>
      <c r="BZ139" s="13" t="e">
        <f>BY139*VLOOKUP('Données projet'!$B$12,Paramètres!$A$1:$I$89,3,0)*VLOOKUP('Données projet'!$B$12,Paramètres!$A$1:$I$89,5,0)</f>
        <v>#N/A</v>
      </c>
      <c r="CA139" s="13" t="e">
        <f t="shared" si="147"/>
        <v>#N/A</v>
      </c>
      <c r="CB139" s="20" t="e">
        <f t="shared" si="118"/>
        <v>#N/A</v>
      </c>
      <c r="CC139" s="59" t="e">
        <f t="shared" si="119"/>
        <v>#N/A</v>
      </c>
      <c r="CD139" s="59" t="e">
        <f ca="1">AVERAGE(OFFSET($CC$3,0,0,'Données projet'!$E$12+1,1))-AVERAGE(OFFSET($H$3,0,0,'Données projet'!$E$12+1,1))</f>
        <v>#N/A</v>
      </c>
      <c r="CE139" s="59" t="e">
        <f t="shared" si="148"/>
        <v>#N/A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 t="e">
        <f>EXP(-LN(2)/35)*CK138+(1-EXP(-LN(2)/35))/(LN(2)/35)*CG139*CH139*VLOOKUP('Données projet'!$B$12,Paramètres!$A$1:$I$89,3,0)*0.475*44/12</f>
        <v>#N/A</v>
      </c>
      <c r="CL139" s="21" t="e">
        <f>EXP(-LN(2)/25)*CL138+(1-EXP(-LN(2)/25))/(LN(2)/25)*Calculateur!CG139*Calculateur!CI139*VLOOKUP('Données projet'!$B$12,Paramètres!$A$1:$I$89,3,0)*0.475*44/12</f>
        <v>#N/A</v>
      </c>
      <c r="CM139" s="21" t="e">
        <f>EXP(-LN(2)/2)*CM138+(1-EXP(-LN(2)/2))/(LN(2)/2)*CG139*CJ139*VLOOKUP('Données projet'!$B$12,Paramètres!$A$1:$I$89,3,0)*0.475*44/12</f>
        <v>#N/A</v>
      </c>
      <c r="CN139" s="22" t="e">
        <f t="shared" si="120"/>
        <v>#N/A</v>
      </c>
      <c r="CO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35">
      <c r="A140" s="10">
        <f t="shared" si="139"/>
        <v>137</v>
      </c>
      <c r="B140" s="72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1">
        <f t="shared" si="140"/>
        <v>0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66">
        <f t="shared" si="110"/>
        <v>256.66666666666669</v>
      </c>
      <c r="I140" s="6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10.163999999999998</v>
      </c>
      <c r="N140" s="13">
        <f>IF('Données projet'!$A$36&gt;35,N139+M140-V139,IF(A140&lt;'Données projet'!$A$36,$K$205^A140,IF(A140='Données projet'!$A$36,'Données projet'!$B$36,N139+M140-V139)))</f>
        <v>608.55799999999977</v>
      </c>
      <c r="O140" s="13">
        <f>N140*VLOOKUP('Données projet'!$B$9,Paramètres!$A$1:$I$89,3,0)*VLOOKUP('Données projet'!$B$9,Paramètres!$A$1:$I$89,5,0)</f>
        <v>550.62327839999978</v>
      </c>
      <c r="P140" s="13">
        <f t="shared" si="141"/>
        <v>121.72258338267243</v>
      </c>
      <c r="Q140" s="20">
        <f t="shared" si="108"/>
        <v>1171.0023759381538</v>
      </c>
      <c r="R140" s="59">
        <f t="shared" si="109"/>
        <v>1464.3357092714871</v>
      </c>
      <c r="S140" s="59">
        <f ca="1">AVERAGE(OFFSET($R$3,0,0,'Données projet'!$E$9+1,1))-AVERAGE(OFFSET($H$3,0,0,'Données projet'!$E$9+1,1))</f>
        <v>700.22008319944644</v>
      </c>
      <c r="T140" s="59">
        <f t="shared" si="142"/>
        <v>253.69632671986739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130.00242894121459</v>
      </c>
      <c r="AA140" s="21">
        <f>EXP(-LN(2)/25)*AA139+(1-EXP(-LN(2)/25))/(LN(2)/25)*Calculateur!V140*Calculateur!X140*VLOOKUP('Données projet'!$B$9,Paramètres!$A$1:$I$89,3,0)*0.475*44/12</f>
        <v>0</v>
      </c>
      <c r="AB140" s="21">
        <f>EXP(-LN(2)/2)*AB139+(1-EXP(-LN(2)/2))/(LN(2)/2)*V140*Y140*VLOOKUP('Données projet'!$B$9,Paramètres!$A$1:$I$89,3,0)*0.475*44/12</f>
        <v>0</v>
      </c>
      <c r="AC140" s="22">
        <f t="shared" si="111"/>
        <v>130.00242894121459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10.163999999999998</v>
      </c>
      <c r="AI140" s="13">
        <f>IF('Données projet'!$A$62&gt;35,AI139+AH140-AQ139,IF(A140&lt;'Données projet'!$A$62,$AF$205^A140,IF(A140='Données projet'!$A$62,'Données projet'!$B$62,AI139+AH140-AQ139)))</f>
        <v>608.55799999999977</v>
      </c>
      <c r="AJ140" s="13">
        <f>AI140*VLOOKUP('Données projet'!$B$10,Paramètres!$A$1:$I$89,3,0)*VLOOKUP('Données projet'!$B$10,Paramètres!$A$1:$I$89,5,0)</f>
        <v>579.10379279999984</v>
      </c>
      <c r="AK140" s="13">
        <f t="shared" si="143"/>
        <v>127.26929200441765</v>
      </c>
      <c r="AL140" s="20">
        <f t="shared" si="112"/>
        <v>1230.2664560343603</v>
      </c>
      <c r="AM140" s="59">
        <f t="shared" si="113"/>
        <v>1523.5997893676936</v>
      </c>
      <c r="AN140" s="59">
        <f ca="1">AVERAGE(OFFSET($AM$3,0,0,'Données projet'!$E$10+1,1))-AVERAGE(OFFSET($H$3,0,0,'Données projet'!$E$10+1,1))</f>
        <v>733.95677909577444</v>
      </c>
      <c r="AO140" s="59">
        <f t="shared" si="144"/>
        <v>264.63778993239799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136.72669250713949</v>
      </c>
      <c r="AV140" s="21">
        <f>EXP(-LN(2)/25)*AV139+(1-EXP(-LN(2)/25))/(LN(2)/25)*Calculateur!AQ140*Calculateur!AS140*VLOOKUP('Données projet'!$B$10,Paramètres!$A$1:$I$89,3,0)*0.475*44/12</f>
        <v>0</v>
      </c>
      <c r="AW140" s="21">
        <f>EXP(-LN(2)/2)*AW139+(1-EXP(-LN(2)/2))/(LN(2)/2)*AQ140*AT140*VLOOKUP('Données projet'!$B$10,Paramètres!$A$1:$I$89,3,0)*0.475*44/12</f>
        <v>0</v>
      </c>
      <c r="AX140" s="21">
        <f t="shared" si="114"/>
        <v>136.72669250713949</v>
      </c>
      <c r="AY140" s="7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0</v>
      </c>
      <c r="BE140" s="13">
        <f>BD140*VLOOKUP('Données projet'!$B$11,Paramètres!$A$1:$I$89,3,0)*VLOOKUP('Données projet'!$B$11,Paramètres!$A$1:$I$89,5,0)</f>
        <v>0</v>
      </c>
      <c r="BF140" s="13" t="e">
        <f t="shared" si="145"/>
        <v>#NUM!</v>
      </c>
      <c r="BG140" s="20" t="e">
        <f t="shared" si="115"/>
        <v>#NUM!</v>
      </c>
      <c r="BH140" s="59" t="e">
        <f t="shared" si="116"/>
        <v>#NUM!</v>
      </c>
      <c r="BI140" s="59">
        <f ca="1">AVERAGE(OFFSET($BH$3,0,0,'Données projet'!$E$11+1,1))-AVERAGE(OFFSET($H$3,0,0,'Données projet'!$E$11+1,1))</f>
        <v>187.80389738728508</v>
      </c>
      <c r="BJ140" s="59">
        <f t="shared" si="146"/>
        <v>439.28159165815265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14.839181200362065</v>
      </c>
      <c r="BQ140" s="21">
        <f>EXP(-LN(2)/25)*BQ139+(1-EXP(-LN(2)/25))/(LN(2)/25)*Calculateur!BL140*Calculateur!BN140*VLOOKUP('Données projet'!$B$11,Paramètres!$A$1:$I$89,3,0)*0.475*44/12</f>
        <v>0.74006393983618857</v>
      </c>
      <c r="BR140" s="21">
        <f>EXP(-LN(2)/2)*BR139+(1-EXP(-LN(2)/2))/(LN(2)/2)*BL140*BO140*VLOOKUP('Données projet'!$B$11,Paramètres!$A$1:$I$89,3,0)*0.475*44/12</f>
        <v>3.5297253275953032E-18</v>
      </c>
      <c r="BS140" s="22">
        <f t="shared" si="117"/>
        <v>15.579245140198253</v>
      </c>
      <c r="BT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0</v>
      </c>
      <c r="BZ140" s="13" t="e">
        <f>BY140*VLOOKUP('Données projet'!$B$12,Paramètres!$A$1:$I$89,3,0)*VLOOKUP('Données projet'!$B$12,Paramètres!$A$1:$I$89,5,0)</f>
        <v>#N/A</v>
      </c>
      <c r="CA140" s="13" t="e">
        <f t="shared" si="147"/>
        <v>#N/A</v>
      </c>
      <c r="CB140" s="20" t="e">
        <f t="shared" si="118"/>
        <v>#N/A</v>
      </c>
      <c r="CC140" s="59" t="e">
        <f t="shared" si="119"/>
        <v>#N/A</v>
      </c>
      <c r="CD140" s="59" t="e">
        <f ca="1">AVERAGE(OFFSET($CC$3,0,0,'Données projet'!$E$12+1,1))-AVERAGE(OFFSET($H$3,0,0,'Données projet'!$E$12+1,1))</f>
        <v>#N/A</v>
      </c>
      <c r="CE140" s="59" t="e">
        <f t="shared" si="148"/>
        <v>#N/A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 t="e">
        <f>EXP(-LN(2)/35)*CK139+(1-EXP(-LN(2)/35))/(LN(2)/35)*CG140*CH140*VLOOKUP('Données projet'!$B$12,Paramètres!$A$1:$I$89,3,0)*0.475*44/12</f>
        <v>#N/A</v>
      </c>
      <c r="CL140" s="21" t="e">
        <f>EXP(-LN(2)/25)*CL139+(1-EXP(-LN(2)/25))/(LN(2)/25)*Calculateur!CG140*Calculateur!CI140*VLOOKUP('Données projet'!$B$12,Paramètres!$A$1:$I$89,3,0)*0.475*44/12</f>
        <v>#N/A</v>
      </c>
      <c r="CM140" s="21" t="e">
        <f>EXP(-LN(2)/2)*CM139+(1-EXP(-LN(2)/2))/(LN(2)/2)*CG140*CJ140*VLOOKUP('Données projet'!$B$12,Paramètres!$A$1:$I$89,3,0)*0.475*44/12</f>
        <v>#N/A</v>
      </c>
      <c r="CN140" s="22" t="e">
        <f t="shared" si="120"/>
        <v>#N/A</v>
      </c>
      <c r="CO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35">
      <c r="A141" s="10">
        <f t="shared" si="139"/>
        <v>138</v>
      </c>
      <c r="B141" s="72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1">
        <f t="shared" si="140"/>
        <v>0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66">
        <f t="shared" si="110"/>
        <v>256.66666666666669</v>
      </c>
      <c r="I141" s="6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10.163999999999998</v>
      </c>
      <c r="N141" s="13">
        <f>IF('Données projet'!$A$36&gt;35,N140+M141-V140,IF(A141&lt;'Données projet'!$A$36,$K$205^A141,IF(A141='Données projet'!$A$36,'Données projet'!$B$36,N140+M141-V140)))</f>
        <v>618.72199999999975</v>
      </c>
      <c r="O141" s="13">
        <f>N141*VLOOKUP('Données projet'!$B$9,Paramètres!$A$1:$I$89,3,0)*VLOOKUP('Données projet'!$B$9,Paramètres!$A$1:$I$89,5,0)</f>
        <v>559.81966559999978</v>
      </c>
      <c r="P141" s="13">
        <f t="shared" si="141"/>
        <v>123.5171921852493</v>
      </c>
      <c r="Q141" s="20">
        <f t="shared" si="108"/>
        <v>1190.1450273093087</v>
      </c>
      <c r="R141" s="59">
        <f t="shared" si="109"/>
        <v>1483.478360642642</v>
      </c>
      <c r="S141" s="59">
        <f ca="1">AVERAGE(OFFSET($R$3,0,0,'Données projet'!$E$9+1,1))-AVERAGE(OFFSET($H$3,0,0,'Données projet'!$E$9+1,1))</f>
        <v>700.22008319944644</v>
      </c>
      <c r="T141" s="59">
        <f t="shared" si="142"/>
        <v>253.69632671986739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127.45316060332942</v>
      </c>
      <c r="AA141" s="21">
        <f>EXP(-LN(2)/25)*AA140+(1-EXP(-LN(2)/25))/(LN(2)/25)*Calculateur!V141*Calculateur!X141*VLOOKUP('Données projet'!$B$9,Paramètres!$A$1:$I$89,3,0)*0.475*44/12</f>
        <v>0</v>
      </c>
      <c r="AB141" s="21">
        <f>EXP(-LN(2)/2)*AB140+(1-EXP(-LN(2)/2))/(LN(2)/2)*V141*Y141*VLOOKUP('Données projet'!$B$9,Paramètres!$A$1:$I$89,3,0)*0.475*44/12</f>
        <v>0</v>
      </c>
      <c r="AC141" s="22">
        <f t="shared" si="111"/>
        <v>127.45316060332942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10.163999999999998</v>
      </c>
      <c r="AI141" s="13">
        <f>IF('Données projet'!$A$62&gt;35,AI140+AH141-AQ140,IF(A141&lt;'Données projet'!$A$62,$AF$205^A141,IF(A141='Données projet'!$A$62,'Données projet'!$B$62,AI140+AH141-AQ140)))</f>
        <v>618.72199999999975</v>
      </c>
      <c r="AJ141" s="13">
        <f>AI141*VLOOKUP('Données projet'!$B$10,Paramètres!$A$1:$I$89,3,0)*VLOOKUP('Données projet'!$B$10,Paramètres!$A$1:$I$89,5,0)</f>
        <v>588.7758551999998</v>
      </c>
      <c r="AK141" s="13">
        <f t="shared" si="143"/>
        <v>129.14567833620316</v>
      </c>
      <c r="AL141" s="20">
        <f t="shared" si="112"/>
        <v>1250.3800042422201</v>
      </c>
      <c r="AM141" s="59">
        <f t="shared" si="113"/>
        <v>1543.7133375755534</v>
      </c>
      <c r="AN141" s="59">
        <f ca="1">AVERAGE(OFFSET($AM$3,0,0,'Données projet'!$E$10+1,1))-AVERAGE(OFFSET($H$3,0,0,'Données projet'!$E$10+1,1))</f>
        <v>733.95677909577444</v>
      </c>
      <c r="AO141" s="59">
        <f t="shared" si="144"/>
        <v>264.63778993239799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134.04556546212234</v>
      </c>
      <c r="AV141" s="21">
        <f>EXP(-LN(2)/25)*AV140+(1-EXP(-LN(2)/25))/(LN(2)/25)*Calculateur!AQ141*Calculateur!AS141*VLOOKUP('Données projet'!$B$10,Paramètres!$A$1:$I$89,3,0)*0.475*44/12</f>
        <v>0</v>
      </c>
      <c r="AW141" s="21">
        <f>EXP(-LN(2)/2)*AW140+(1-EXP(-LN(2)/2))/(LN(2)/2)*AQ141*AT141*VLOOKUP('Données projet'!$B$10,Paramètres!$A$1:$I$89,3,0)*0.475*44/12</f>
        <v>0</v>
      </c>
      <c r="AX141" s="21">
        <f t="shared" si="114"/>
        <v>134.04556546212234</v>
      </c>
      <c r="AY141" s="7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0</v>
      </c>
      <c r="BE141" s="13">
        <f>BD141*VLOOKUP('Données projet'!$B$11,Paramètres!$A$1:$I$89,3,0)*VLOOKUP('Données projet'!$B$11,Paramètres!$A$1:$I$89,5,0)</f>
        <v>0</v>
      </c>
      <c r="BF141" s="13" t="e">
        <f t="shared" si="145"/>
        <v>#NUM!</v>
      </c>
      <c r="BG141" s="20" t="e">
        <f t="shared" si="115"/>
        <v>#NUM!</v>
      </c>
      <c r="BH141" s="59" t="e">
        <f t="shared" si="116"/>
        <v>#NUM!</v>
      </c>
      <c r="BI141" s="59">
        <f ca="1">AVERAGE(OFFSET($BH$3,0,0,'Données projet'!$E$11+1,1))-AVERAGE(OFFSET($H$3,0,0,'Données projet'!$E$11+1,1))</f>
        <v>187.80389738728508</v>
      </c>
      <c r="BJ141" s="59">
        <f t="shared" si="146"/>
        <v>439.28159165815265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14.548193908029784</v>
      </c>
      <c r="BQ141" s="21">
        <f>EXP(-LN(2)/25)*BQ140+(1-EXP(-LN(2)/25))/(LN(2)/25)*Calculateur!BL141*Calculateur!BN141*VLOOKUP('Données projet'!$B$11,Paramètres!$A$1:$I$89,3,0)*0.475*44/12</f>
        <v>0.71982685248309686</v>
      </c>
      <c r="BR141" s="21">
        <f>EXP(-LN(2)/2)*BR140+(1-EXP(-LN(2)/2))/(LN(2)/2)*BL141*BO141*VLOOKUP('Données projet'!$B$11,Paramètres!$A$1:$I$89,3,0)*0.475*44/12</f>
        <v>2.4958927148685468E-18</v>
      </c>
      <c r="BS141" s="22">
        <f t="shared" si="117"/>
        <v>15.268020760512881</v>
      </c>
      <c r="BT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0</v>
      </c>
      <c r="BZ141" s="13" t="e">
        <f>BY141*VLOOKUP('Données projet'!$B$12,Paramètres!$A$1:$I$89,3,0)*VLOOKUP('Données projet'!$B$12,Paramètres!$A$1:$I$89,5,0)</f>
        <v>#N/A</v>
      </c>
      <c r="CA141" s="13" t="e">
        <f t="shared" si="147"/>
        <v>#N/A</v>
      </c>
      <c r="CB141" s="20" t="e">
        <f t="shared" si="118"/>
        <v>#N/A</v>
      </c>
      <c r="CC141" s="59" t="e">
        <f t="shared" si="119"/>
        <v>#N/A</v>
      </c>
      <c r="CD141" s="59" t="e">
        <f ca="1">AVERAGE(OFFSET($CC$3,0,0,'Données projet'!$E$12+1,1))-AVERAGE(OFFSET($H$3,0,0,'Données projet'!$E$12+1,1))</f>
        <v>#N/A</v>
      </c>
      <c r="CE141" s="59" t="e">
        <f t="shared" si="148"/>
        <v>#N/A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 t="e">
        <f>EXP(-LN(2)/35)*CK140+(1-EXP(-LN(2)/35))/(LN(2)/35)*CG141*CH141*VLOOKUP('Données projet'!$B$12,Paramètres!$A$1:$I$89,3,0)*0.475*44/12</f>
        <v>#N/A</v>
      </c>
      <c r="CL141" s="21" t="e">
        <f>EXP(-LN(2)/25)*CL140+(1-EXP(-LN(2)/25))/(LN(2)/25)*Calculateur!CG141*Calculateur!CI141*VLOOKUP('Données projet'!$B$12,Paramètres!$A$1:$I$89,3,0)*0.475*44/12</f>
        <v>#N/A</v>
      </c>
      <c r="CM141" s="21" t="e">
        <f>EXP(-LN(2)/2)*CM140+(1-EXP(-LN(2)/2))/(LN(2)/2)*CG141*CJ141*VLOOKUP('Données projet'!$B$12,Paramètres!$A$1:$I$89,3,0)*0.475*44/12</f>
        <v>#N/A</v>
      </c>
      <c r="CN141" s="22" t="e">
        <f t="shared" si="120"/>
        <v>#N/A</v>
      </c>
      <c r="CO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35">
      <c r="A142" s="10">
        <f t="shared" si="139"/>
        <v>139</v>
      </c>
      <c r="B142" s="72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1">
        <f t="shared" si="140"/>
        <v>0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66">
        <f t="shared" si="110"/>
        <v>256.66666666666669</v>
      </c>
      <c r="I142" s="6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10.163999999999998</v>
      </c>
      <c r="N142" s="13">
        <f>IF('Données projet'!$A$36&gt;35,N141+M142-V141,IF(A142&lt;'Données projet'!$A$36,$K$205^A142,IF(A142='Données projet'!$A$36,'Données projet'!$B$36,N141+M142-V141)))</f>
        <v>628.88599999999974</v>
      </c>
      <c r="O142" s="13">
        <f>N142*VLOOKUP('Données projet'!$B$9,Paramètres!$A$1:$I$89,3,0)*VLOOKUP('Données projet'!$B$9,Paramètres!$A$1:$I$89,5,0)</f>
        <v>569.01605279999967</v>
      </c>
      <c r="P142" s="13">
        <f t="shared" si="141"/>
        <v>125.30837254136628</v>
      </c>
      <c r="Q142" s="20">
        <f t="shared" si="108"/>
        <v>1209.2817074695456</v>
      </c>
      <c r="R142" s="59">
        <f t="shared" si="109"/>
        <v>1502.6150408028789</v>
      </c>
      <c r="S142" s="59">
        <f ca="1">AVERAGE(OFFSET($R$3,0,0,'Données projet'!$E$9+1,1))-AVERAGE(OFFSET($H$3,0,0,'Données projet'!$E$9+1,1))</f>
        <v>700.22008319944644</v>
      </c>
      <c r="T142" s="59">
        <f t="shared" si="142"/>
        <v>253.69632671986739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124.95388186265004</v>
      </c>
      <c r="AA142" s="21">
        <f>EXP(-LN(2)/25)*AA141+(1-EXP(-LN(2)/25))/(LN(2)/25)*Calculateur!V142*Calculateur!X142*VLOOKUP('Données projet'!$B$9,Paramètres!$A$1:$I$89,3,0)*0.475*44/12</f>
        <v>0</v>
      </c>
      <c r="AB142" s="21">
        <f>EXP(-LN(2)/2)*AB141+(1-EXP(-LN(2)/2))/(LN(2)/2)*V142*Y142*VLOOKUP('Données projet'!$B$9,Paramètres!$A$1:$I$89,3,0)*0.475*44/12</f>
        <v>0</v>
      </c>
      <c r="AC142" s="22">
        <f t="shared" si="111"/>
        <v>124.95388186265004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10.163999999999998</v>
      </c>
      <c r="AI142" s="13">
        <f>IF('Données projet'!$A$62&gt;35,AI141+AH142-AQ141,IF(A142&lt;'Données projet'!$A$62,$AF$205^A142,IF(A142='Données projet'!$A$62,'Données projet'!$B$62,AI141+AH142-AQ141)))</f>
        <v>628.88599999999974</v>
      </c>
      <c r="AJ142" s="13">
        <f>AI142*VLOOKUP('Données projet'!$B$10,Paramètres!$A$1:$I$89,3,0)*VLOOKUP('Données projet'!$B$10,Paramètres!$A$1:$I$89,5,0)</f>
        <v>598.44791759999976</v>
      </c>
      <c r="AK142" s="13">
        <f t="shared" si="143"/>
        <v>131.01847999256091</v>
      </c>
      <c r="AL142" s="20">
        <f t="shared" si="112"/>
        <v>1270.4873091403765</v>
      </c>
      <c r="AM142" s="59">
        <f t="shared" si="113"/>
        <v>1563.8206424737098</v>
      </c>
      <c r="AN142" s="59">
        <f ca="1">AVERAGE(OFFSET($AM$3,0,0,'Données projet'!$E$10+1,1))-AVERAGE(OFFSET($H$3,0,0,'Données projet'!$E$10+1,1))</f>
        <v>733.95677909577444</v>
      </c>
      <c r="AO142" s="59">
        <f t="shared" si="144"/>
        <v>264.63778993239799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131.41701368313196</v>
      </c>
      <c r="AV142" s="21">
        <f>EXP(-LN(2)/25)*AV141+(1-EXP(-LN(2)/25))/(LN(2)/25)*Calculateur!AQ142*Calculateur!AS142*VLOOKUP('Données projet'!$B$10,Paramètres!$A$1:$I$89,3,0)*0.475*44/12</f>
        <v>0</v>
      </c>
      <c r="AW142" s="21">
        <f>EXP(-LN(2)/2)*AW141+(1-EXP(-LN(2)/2))/(LN(2)/2)*AQ142*AT142*VLOOKUP('Données projet'!$B$10,Paramètres!$A$1:$I$89,3,0)*0.475*44/12</f>
        <v>0</v>
      </c>
      <c r="AX142" s="21">
        <f t="shared" si="114"/>
        <v>131.41701368313196</v>
      </c>
      <c r="AY142" s="7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0</v>
      </c>
      <c r="BE142" s="13">
        <f>BD142*VLOOKUP('Données projet'!$B$11,Paramètres!$A$1:$I$89,3,0)*VLOOKUP('Données projet'!$B$11,Paramètres!$A$1:$I$89,5,0)</f>
        <v>0</v>
      </c>
      <c r="BF142" s="13" t="e">
        <f t="shared" si="145"/>
        <v>#NUM!</v>
      </c>
      <c r="BG142" s="20" t="e">
        <f t="shared" si="115"/>
        <v>#NUM!</v>
      </c>
      <c r="BH142" s="59" t="e">
        <f t="shared" si="116"/>
        <v>#NUM!</v>
      </c>
      <c r="BI142" s="59">
        <f ca="1">AVERAGE(OFFSET($BH$3,0,0,'Données projet'!$E$11+1,1))-AVERAGE(OFFSET($H$3,0,0,'Données projet'!$E$11+1,1))</f>
        <v>187.80389738728508</v>
      </c>
      <c r="BJ142" s="59">
        <f t="shared" si="146"/>
        <v>439.28159165815265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14.262912699015416</v>
      </c>
      <c r="BQ142" s="21">
        <f>EXP(-LN(2)/25)*BQ141+(1-EXP(-LN(2)/25))/(LN(2)/25)*Calculateur!BL142*Calculateur!BN142*VLOOKUP('Données projet'!$B$11,Paramètres!$A$1:$I$89,3,0)*0.475*44/12</f>
        <v>0.70014314934789756</v>
      </c>
      <c r="BR142" s="21">
        <f>EXP(-LN(2)/2)*BR141+(1-EXP(-LN(2)/2))/(LN(2)/2)*BL142*BO142*VLOOKUP('Données projet'!$B$11,Paramètres!$A$1:$I$89,3,0)*0.475*44/12</f>
        <v>1.7648626637976516E-18</v>
      </c>
      <c r="BS142" s="22">
        <f t="shared" si="117"/>
        <v>14.963055848363314</v>
      </c>
      <c r="BT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0</v>
      </c>
      <c r="BZ142" s="13" t="e">
        <f>BY142*VLOOKUP('Données projet'!$B$12,Paramètres!$A$1:$I$89,3,0)*VLOOKUP('Données projet'!$B$12,Paramètres!$A$1:$I$89,5,0)</f>
        <v>#N/A</v>
      </c>
      <c r="CA142" s="13" t="e">
        <f t="shared" si="147"/>
        <v>#N/A</v>
      </c>
      <c r="CB142" s="20" t="e">
        <f t="shared" si="118"/>
        <v>#N/A</v>
      </c>
      <c r="CC142" s="59" t="e">
        <f t="shared" si="119"/>
        <v>#N/A</v>
      </c>
      <c r="CD142" s="59" t="e">
        <f ca="1">AVERAGE(OFFSET($CC$3,0,0,'Données projet'!$E$12+1,1))-AVERAGE(OFFSET($H$3,0,0,'Données projet'!$E$12+1,1))</f>
        <v>#N/A</v>
      </c>
      <c r="CE142" s="59" t="e">
        <f t="shared" si="148"/>
        <v>#N/A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 t="e">
        <f>EXP(-LN(2)/35)*CK141+(1-EXP(-LN(2)/35))/(LN(2)/35)*CG142*CH142*VLOOKUP('Données projet'!$B$12,Paramètres!$A$1:$I$89,3,0)*0.475*44/12</f>
        <v>#N/A</v>
      </c>
      <c r="CL142" s="21" t="e">
        <f>EXP(-LN(2)/25)*CL141+(1-EXP(-LN(2)/25))/(LN(2)/25)*Calculateur!CG142*Calculateur!CI142*VLOOKUP('Données projet'!$B$12,Paramètres!$A$1:$I$89,3,0)*0.475*44/12</f>
        <v>#N/A</v>
      </c>
      <c r="CM142" s="21" t="e">
        <f>EXP(-LN(2)/2)*CM141+(1-EXP(-LN(2)/2))/(LN(2)/2)*CG142*CJ142*VLOOKUP('Données projet'!$B$12,Paramètres!$A$1:$I$89,3,0)*0.475*44/12</f>
        <v>#N/A</v>
      </c>
      <c r="CN142" s="22" t="e">
        <f t="shared" si="120"/>
        <v>#N/A</v>
      </c>
      <c r="CO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35">
      <c r="A143" s="10">
        <f t="shared" si="139"/>
        <v>140</v>
      </c>
      <c r="B143" s="72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1">
        <f t="shared" si="140"/>
        <v>0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66">
        <f t="shared" si="110"/>
        <v>256.66666666666669</v>
      </c>
      <c r="I143" s="6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>
        <f>VLOOKUP(A143,'Données projet'!$A$35:$I$55,2,0)</f>
        <v>639.04999999999995</v>
      </c>
      <c r="L143" s="12">
        <f>VLOOKUP(A143,'Données projet'!$A$35:$I$55,9,0)</f>
        <v>10.163999999999998</v>
      </c>
      <c r="M143" s="12">
        <f t="array" ref="M143">INDEX(L:L,MIN(IF(ISNUMBER(L143:L339),ROW(L143:L339),"")))</f>
        <v>10.163999999999998</v>
      </c>
      <c r="N143" s="13">
        <f>IF('Données projet'!$A$36&gt;35,N142+M143-V142,IF(A143&lt;'Données projet'!$A$36,$K$205^A143,IF(A143='Données projet'!$A$36,'Données projet'!$B$36,N142+M143-V142)))</f>
        <v>639.04999999999973</v>
      </c>
      <c r="O143" s="13">
        <f>N143*VLOOKUP('Données projet'!$B$9,Paramètres!$A$1:$I$89,3,0)*VLOOKUP('Données projet'!$B$9,Paramètres!$A$1:$I$89,5,0)</f>
        <v>578.21243999999979</v>
      </c>
      <c r="P143" s="13">
        <f t="shared" si="141"/>
        <v>127.09618625829569</v>
      </c>
      <c r="Q143" s="20">
        <f t="shared" si="108"/>
        <v>1228.4125240665314</v>
      </c>
      <c r="R143" s="59">
        <f t="shared" si="109"/>
        <v>1521.7458573998647</v>
      </c>
      <c r="S143" s="59">
        <f ca="1">AVERAGE(OFFSET($R$3,0,0,'Données projet'!$E$9+1,1))-AVERAGE(OFFSET($H$3,0,0,'Données projet'!$E$9+1,1))</f>
        <v>700.22008319944644</v>
      </c>
      <c r="T143" s="59">
        <f t="shared" si="142"/>
        <v>253.69632671986739</v>
      </c>
      <c r="U143" s="15">
        <f>IF(ISNA(VLOOKUP(A143,'Données projet'!$A$35:$I$55,3,0)),0,VLOOKUP(A143,'Données projet'!$A$35:$I$55,3,0))</f>
        <v>13</v>
      </c>
      <c r="V143" s="15">
        <f>IF(ISNA(VLOOKUP(A143,'Données projet'!$A$35:$I$55,4,0)),0,VLOOKUP(A143,'Données projet'!$A$35:$I$55,4,0))</f>
        <v>67.930000000000007</v>
      </c>
      <c r="W143" s="16">
        <f>IF(ISNA(VLOOKUP(A143,'Données projet'!$A$35:$I$55,5,0)),0%,VLOOKUP(A143,'Données projet'!$A$35:$I$55,5,0)*VLOOKUP('Données projet'!$B$9,Paramètres!$A$1:$I$89,7,0))</f>
        <v>0.43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151.7202190292212</v>
      </c>
      <c r="AA143" s="21">
        <f>EXP(-LN(2)/25)*AA142+(1-EXP(-LN(2)/25))/(LN(2)/25)*Calculateur!V143*Calculateur!X143*VLOOKUP('Données projet'!$B$9,Paramètres!$A$1:$I$89,3,0)*0.475*44/12</f>
        <v>0</v>
      </c>
      <c r="AB143" s="21">
        <f>EXP(-LN(2)/2)*AB142+(1-EXP(-LN(2)/2))/(LN(2)/2)*V143*Y143*VLOOKUP('Données projet'!$B$9,Paramètres!$A$1:$I$89,3,0)*0.475*44/12</f>
        <v>0</v>
      </c>
      <c r="AC143" s="22">
        <f t="shared" si="111"/>
        <v>151.7202190292212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>
        <f>VLOOKUP(A143,'Données projet'!$A$61:$I$81,2,0)</f>
        <v>639.04999999999995</v>
      </c>
      <c r="AG143" s="12">
        <f>VLOOKUP(A143,'Données projet'!$A$61:$I$81,9,0)</f>
        <v>10.163999999999998</v>
      </c>
      <c r="AH143" s="12">
        <f t="array" ref="AH143">INDEX(AG:AG,MIN(IF(ISNUMBER(AG143:AG339),ROW(AG143:AG339),"")))</f>
        <v>10.163999999999998</v>
      </c>
      <c r="AI143" s="13">
        <f>IF('Données projet'!$A$62&gt;35,AI142+AH143-AQ142,IF(A143&lt;'Données projet'!$A$62,$AF$205^A143,IF(A143='Données projet'!$A$62,'Données projet'!$B$62,AI142+AH143-AQ142)))</f>
        <v>639.04999999999973</v>
      </c>
      <c r="AJ143" s="13">
        <f>AI143*VLOOKUP('Données projet'!$B$10,Paramètres!$A$1:$I$89,3,0)*VLOOKUP('Données projet'!$B$10,Paramètres!$A$1:$I$89,5,0)</f>
        <v>608.11997999999971</v>
      </c>
      <c r="AK143" s="13">
        <f t="shared" si="143"/>
        <v>132.88776159722488</v>
      </c>
      <c r="AL143" s="20">
        <f t="shared" si="112"/>
        <v>1290.5884832818329</v>
      </c>
      <c r="AM143" s="59">
        <f t="shared" si="113"/>
        <v>1583.9218166151661</v>
      </c>
      <c r="AN143" s="59">
        <f ca="1">AVERAGE(OFFSET($AM$3,0,0,'Données projet'!$E$10+1,1))-AVERAGE(OFFSET($H$3,0,0,'Données projet'!$E$10+1,1))</f>
        <v>733.95677909577444</v>
      </c>
      <c r="AO143" s="59">
        <f t="shared" si="144"/>
        <v>264.63778993239799</v>
      </c>
      <c r="AP143" s="15">
        <f>IF(ISNA(VLOOKUP(A143,'Données projet'!$A$61:$I$81,3,0)),0,VLOOKUP(A143,'Données projet'!$A$61:$I$81,3,0))</f>
        <v>13</v>
      </c>
      <c r="AQ143" s="15">
        <f>IF(ISNA(VLOOKUP(A143,'Données projet'!$A$61:$I$81,4,0)),0,VLOOKUP(A143,'Données projet'!$A$61:$I$81,4,0))</f>
        <v>67.930000000000007</v>
      </c>
      <c r="AR143" s="16">
        <f>IF(ISNA(VLOOKUP(A143,'Données projet'!$A$61:$I$81,5,0)),0%,VLOOKUP(A143,'Données projet'!$A$61:$I$81,5,0)*VLOOKUP('Données projet'!$B$10,Paramètres!$A$1:$I$89,7,0))</f>
        <v>0.43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159.56781656521542</v>
      </c>
      <c r="AV143" s="21">
        <f>EXP(-LN(2)/25)*AV142+(1-EXP(-LN(2)/25))/(LN(2)/25)*Calculateur!AQ143*Calculateur!AS143*VLOOKUP('Données projet'!$B$10,Paramètres!$A$1:$I$89,3,0)*0.475*44/12</f>
        <v>0</v>
      </c>
      <c r="AW143" s="21">
        <f>EXP(-LN(2)/2)*AW142+(1-EXP(-LN(2)/2))/(LN(2)/2)*AQ143*AT143*VLOOKUP('Données projet'!$B$10,Paramètres!$A$1:$I$89,3,0)*0.475*44/12</f>
        <v>0</v>
      </c>
      <c r="AX143" s="21">
        <f t="shared" si="114"/>
        <v>159.56781656521542</v>
      </c>
      <c r="AY143" s="7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0</v>
      </c>
      <c r="BE143" s="13">
        <f>BD143*VLOOKUP('Données projet'!$B$11,Paramètres!$A$1:$I$89,3,0)*VLOOKUP('Données projet'!$B$11,Paramètres!$A$1:$I$89,5,0)</f>
        <v>0</v>
      </c>
      <c r="BF143" s="13" t="e">
        <f t="shared" si="145"/>
        <v>#NUM!</v>
      </c>
      <c r="BG143" s="20" t="e">
        <f t="shared" si="115"/>
        <v>#NUM!</v>
      </c>
      <c r="BH143" s="59" t="e">
        <f t="shared" si="116"/>
        <v>#NUM!</v>
      </c>
      <c r="BI143" s="59">
        <f ca="1">AVERAGE(OFFSET($BH$3,0,0,'Données projet'!$E$11+1,1))-AVERAGE(OFFSET($H$3,0,0,'Données projet'!$E$11+1,1))</f>
        <v>187.80389738728508</v>
      </c>
      <c r="BJ143" s="59">
        <f t="shared" si="146"/>
        <v>439.28159165815265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13.983225680505464</v>
      </c>
      <c r="BQ143" s="21">
        <f>EXP(-LN(2)/25)*BQ142+(1-EXP(-LN(2)/25))/(LN(2)/25)*Calculateur!BL143*Calculateur!BN143*VLOOKUP('Données projet'!$B$11,Paramètres!$A$1:$I$89,3,0)*0.475*44/12</f>
        <v>0.68099769811005129</v>
      </c>
      <c r="BR143" s="21">
        <f>EXP(-LN(2)/2)*BR142+(1-EXP(-LN(2)/2))/(LN(2)/2)*BL143*BO143*VLOOKUP('Données projet'!$B$11,Paramètres!$A$1:$I$89,3,0)*0.475*44/12</f>
        <v>1.2479463574342734E-18</v>
      </c>
      <c r="BS143" s="22">
        <f t="shared" si="117"/>
        <v>14.664223378615516</v>
      </c>
      <c r="BT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0</v>
      </c>
      <c r="BZ143" s="13" t="e">
        <f>BY143*VLOOKUP('Données projet'!$B$12,Paramètres!$A$1:$I$89,3,0)*VLOOKUP('Données projet'!$B$12,Paramètres!$A$1:$I$89,5,0)</f>
        <v>#N/A</v>
      </c>
      <c r="CA143" s="13" t="e">
        <f t="shared" si="147"/>
        <v>#N/A</v>
      </c>
      <c r="CB143" s="20" t="e">
        <f t="shared" si="118"/>
        <v>#N/A</v>
      </c>
      <c r="CC143" s="59" t="e">
        <f t="shared" si="119"/>
        <v>#N/A</v>
      </c>
      <c r="CD143" s="59" t="e">
        <f ca="1">AVERAGE(OFFSET($CC$3,0,0,'Données projet'!$E$12+1,1))-AVERAGE(OFFSET($H$3,0,0,'Données projet'!$E$12+1,1))</f>
        <v>#N/A</v>
      </c>
      <c r="CE143" s="59" t="e">
        <f t="shared" si="148"/>
        <v>#N/A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 t="e">
        <f>EXP(-LN(2)/35)*CK142+(1-EXP(-LN(2)/35))/(LN(2)/35)*CG143*CH143*VLOOKUP('Données projet'!$B$12,Paramètres!$A$1:$I$89,3,0)*0.475*44/12</f>
        <v>#N/A</v>
      </c>
      <c r="CL143" s="21" t="e">
        <f>EXP(-LN(2)/25)*CL142+(1-EXP(-LN(2)/25))/(LN(2)/25)*Calculateur!CG143*Calculateur!CI143*VLOOKUP('Données projet'!$B$12,Paramètres!$A$1:$I$89,3,0)*0.475*44/12</f>
        <v>#N/A</v>
      </c>
      <c r="CM143" s="21" t="e">
        <f>EXP(-LN(2)/2)*CM142+(1-EXP(-LN(2)/2))/(LN(2)/2)*CG143*CJ143*VLOOKUP('Données projet'!$B$12,Paramètres!$A$1:$I$89,3,0)*0.475*44/12</f>
        <v>#N/A</v>
      </c>
      <c r="CN143" s="22" t="e">
        <f t="shared" si="120"/>
        <v>#N/A</v>
      </c>
      <c r="CO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35">
      <c r="A144" s="10">
        <f t="shared" si="139"/>
        <v>141</v>
      </c>
      <c r="B144" s="72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1">
        <f t="shared" si="140"/>
        <v>0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66">
        <f t="shared" si="110"/>
        <v>256.66666666666669</v>
      </c>
      <c r="I144" s="6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10.201000000000011</v>
      </c>
      <c r="N144" s="13">
        <f>IF('Données projet'!$A$36&gt;35,N143+M144-V143,IF(A144&lt;'Données projet'!$A$36,$K$205^A144,IF(A144='Données projet'!$A$36,'Données projet'!$B$36,N143+M144-V143)))</f>
        <v>581.32099999999969</v>
      </c>
      <c r="O144" s="13">
        <f>N144*VLOOKUP('Données projet'!$B$9,Paramètres!$A$1:$I$89,3,0)*VLOOKUP('Données projet'!$B$9,Paramètres!$A$1:$I$89,5,0)</f>
        <v>525.97924079999962</v>
      </c>
      <c r="P144" s="13">
        <f t="shared" si="141"/>
        <v>116.89607340782435</v>
      </c>
      <c r="Q144" s="20">
        <f t="shared" si="108"/>
        <v>1119.6745055786266</v>
      </c>
      <c r="R144" s="59">
        <f t="shared" si="109"/>
        <v>1413.0078389119599</v>
      </c>
      <c r="S144" s="59">
        <f ca="1">AVERAGE(OFFSET($R$3,0,0,'Données projet'!$E$9+1,1))-AVERAGE(OFFSET($H$3,0,0,'Données projet'!$E$9+1,1))</f>
        <v>700.22008319944644</v>
      </c>
      <c r="T144" s="59">
        <f t="shared" si="142"/>
        <v>253.69632671986739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148.7450780742542</v>
      </c>
      <c r="AA144" s="21">
        <f>EXP(-LN(2)/25)*AA143+(1-EXP(-LN(2)/25))/(LN(2)/25)*Calculateur!V144*Calculateur!X144*VLOOKUP('Données projet'!$B$9,Paramètres!$A$1:$I$89,3,0)*0.475*44/12</f>
        <v>0</v>
      </c>
      <c r="AB144" s="21">
        <f>EXP(-LN(2)/2)*AB143+(1-EXP(-LN(2)/2))/(LN(2)/2)*V144*Y144*VLOOKUP('Données projet'!$B$9,Paramètres!$A$1:$I$89,3,0)*0.475*44/12</f>
        <v>0</v>
      </c>
      <c r="AC144" s="22">
        <f t="shared" si="111"/>
        <v>148.7450780742542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10.201000000000011</v>
      </c>
      <c r="AI144" s="13">
        <f>IF('Données projet'!$A$62&gt;35,AI143+AH144-AQ143,IF(A144&lt;'Données projet'!$A$62,$AF$205^A144,IF(A144='Données projet'!$A$62,'Données projet'!$B$62,AI143+AH144-AQ143)))</f>
        <v>581.32099999999969</v>
      </c>
      <c r="AJ144" s="13">
        <f>AI144*VLOOKUP('Données projet'!$B$10,Paramètres!$A$1:$I$89,3,0)*VLOOKUP('Données projet'!$B$10,Paramètres!$A$1:$I$89,5,0)</f>
        <v>553.18506359999969</v>
      </c>
      <c r="AK144" s="13">
        <f t="shared" si="143"/>
        <v>122.22284548413593</v>
      </c>
      <c r="AL144" s="20">
        <f t="shared" si="112"/>
        <v>1176.3354416548698</v>
      </c>
      <c r="AM144" s="59">
        <f t="shared" si="113"/>
        <v>1469.668774988203</v>
      </c>
      <c r="AN144" s="59">
        <f ca="1">AVERAGE(OFFSET($AM$3,0,0,'Données projet'!$E$10+1,1))-AVERAGE(OFFSET($H$3,0,0,'Données projet'!$E$10+1,1))</f>
        <v>733.95677909577444</v>
      </c>
      <c r="AO144" s="59">
        <f t="shared" si="144"/>
        <v>264.63778993239799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156.43878900912944</v>
      </c>
      <c r="AV144" s="21">
        <f>EXP(-LN(2)/25)*AV143+(1-EXP(-LN(2)/25))/(LN(2)/25)*Calculateur!AQ144*Calculateur!AS144*VLOOKUP('Données projet'!$B$10,Paramètres!$A$1:$I$89,3,0)*0.475*44/12</f>
        <v>0</v>
      </c>
      <c r="AW144" s="21">
        <f>EXP(-LN(2)/2)*AW143+(1-EXP(-LN(2)/2))/(LN(2)/2)*AQ144*AT144*VLOOKUP('Données projet'!$B$10,Paramètres!$A$1:$I$89,3,0)*0.475*44/12</f>
        <v>0</v>
      </c>
      <c r="AX144" s="21">
        <f t="shared" si="114"/>
        <v>156.43878900912944</v>
      </c>
      <c r="AY144" s="7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0</v>
      </c>
      <c r="BE144" s="13">
        <f>BD144*VLOOKUP('Données projet'!$B$11,Paramètres!$A$1:$I$89,3,0)*VLOOKUP('Données projet'!$B$11,Paramètres!$A$1:$I$89,5,0)</f>
        <v>0</v>
      </c>
      <c r="BF144" s="13" t="e">
        <f t="shared" si="145"/>
        <v>#NUM!</v>
      </c>
      <c r="BG144" s="20" t="e">
        <f t="shared" si="115"/>
        <v>#NUM!</v>
      </c>
      <c r="BH144" s="59" t="e">
        <f t="shared" si="116"/>
        <v>#NUM!</v>
      </c>
      <c r="BI144" s="59">
        <f ca="1">AVERAGE(OFFSET($BH$3,0,0,'Données projet'!$E$11+1,1))-AVERAGE(OFFSET($H$3,0,0,'Données projet'!$E$11+1,1))</f>
        <v>187.80389738728508</v>
      </c>
      <c r="BJ144" s="59">
        <f t="shared" si="146"/>
        <v>439.28159165815265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13.709023153836256</v>
      </c>
      <c r="BQ144" s="21">
        <f>EXP(-LN(2)/25)*BQ143+(1-EXP(-LN(2)/25))/(LN(2)/25)*Calculateur!BL144*Calculateur!BN144*VLOOKUP('Données projet'!$B$11,Paramètres!$A$1:$I$89,3,0)*0.475*44/12</f>
        <v>0.66237578024311938</v>
      </c>
      <c r="BR144" s="21">
        <f>EXP(-LN(2)/2)*BR143+(1-EXP(-LN(2)/2))/(LN(2)/2)*BL144*BO144*VLOOKUP('Données projet'!$B$11,Paramètres!$A$1:$I$89,3,0)*0.475*44/12</f>
        <v>8.8243133189882579E-19</v>
      </c>
      <c r="BS144" s="22">
        <f t="shared" si="117"/>
        <v>14.371398934079375</v>
      </c>
      <c r="BT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0</v>
      </c>
      <c r="BZ144" s="13" t="e">
        <f>BY144*VLOOKUP('Données projet'!$B$12,Paramètres!$A$1:$I$89,3,0)*VLOOKUP('Données projet'!$B$12,Paramètres!$A$1:$I$89,5,0)</f>
        <v>#N/A</v>
      </c>
      <c r="CA144" s="13" t="e">
        <f t="shared" si="147"/>
        <v>#N/A</v>
      </c>
      <c r="CB144" s="20" t="e">
        <f t="shared" si="118"/>
        <v>#N/A</v>
      </c>
      <c r="CC144" s="59" t="e">
        <f t="shared" si="119"/>
        <v>#N/A</v>
      </c>
      <c r="CD144" s="59" t="e">
        <f ca="1">AVERAGE(OFFSET($CC$3,0,0,'Données projet'!$E$12+1,1))-AVERAGE(OFFSET($H$3,0,0,'Données projet'!$E$12+1,1))</f>
        <v>#N/A</v>
      </c>
      <c r="CE144" s="59" t="e">
        <f t="shared" si="148"/>
        <v>#N/A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 t="e">
        <f>EXP(-LN(2)/35)*CK143+(1-EXP(-LN(2)/35))/(LN(2)/35)*CG144*CH144*VLOOKUP('Données projet'!$B$12,Paramètres!$A$1:$I$89,3,0)*0.475*44/12</f>
        <v>#N/A</v>
      </c>
      <c r="CL144" s="21" t="e">
        <f>EXP(-LN(2)/25)*CL143+(1-EXP(-LN(2)/25))/(LN(2)/25)*Calculateur!CG144*Calculateur!CI144*VLOOKUP('Données projet'!$B$12,Paramètres!$A$1:$I$89,3,0)*0.475*44/12</f>
        <v>#N/A</v>
      </c>
      <c r="CM144" s="21" t="e">
        <f>EXP(-LN(2)/2)*CM143+(1-EXP(-LN(2)/2))/(LN(2)/2)*CG144*CJ144*VLOOKUP('Données projet'!$B$12,Paramètres!$A$1:$I$89,3,0)*0.475*44/12</f>
        <v>#N/A</v>
      </c>
      <c r="CN144" s="22" t="e">
        <f t="shared" si="120"/>
        <v>#N/A</v>
      </c>
      <c r="CO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35">
      <c r="A145" s="10">
        <f t="shared" si="139"/>
        <v>142</v>
      </c>
      <c r="B145" s="72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1">
        <f t="shared" si="140"/>
        <v>0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66">
        <f t="shared" si="110"/>
        <v>256.66666666666669</v>
      </c>
      <c r="I145" s="6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10.201000000000011</v>
      </c>
      <c r="N145" s="13">
        <f>IF('Données projet'!$A$36&gt;35,N144+M145-V144,IF(A145&lt;'Données projet'!$A$36,$K$205^A145,IF(A145='Données projet'!$A$36,'Données projet'!$B$36,N144+M145-V144)))</f>
        <v>591.52199999999971</v>
      </c>
      <c r="O145" s="13">
        <f>N145*VLOOKUP('Données projet'!$B$9,Paramètres!$A$1:$I$89,3,0)*VLOOKUP('Données projet'!$B$9,Paramètres!$A$1:$I$89,5,0)</f>
        <v>535.2091055999997</v>
      </c>
      <c r="P145" s="13">
        <f t="shared" si="141"/>
        <v>118.70675243343008</v>
      </c>
      <c r="Q145" s="20">
        <f t="shared" si="108"/>
        <v>1138.9034527415567</v>
      </c>
      <c r="R145" s="59">
        <f t="shared" si="109"/>
        <v>1432.23678607489</v>
      </c>
      <c r="S145" s="59">
        <f ca="1">AVERAGE(OFFSET($R$3,0,0,'Données projet'!$E$9+1,1))-AVERAGE(OFFSET($H$3,0,0,'Données projet'!$E$9+1,1))</f>
        <v>700.22008319944644</v>
      </c>
      <c r="T145" s="59">
        <f t="shared" si="142"/>
        <v>253.69632671986739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145.8282778187573</v>
      </c>
      <c r="AA145" s="21">
        <f>EXP(-LN(2)/25)*AA144+(1-EXP(-LN(2)/25))/(LN(2)/25)*Calculateur!V145*Calculateur!X145*VLOOKUP('Données projet'!$B$9,Paramètres!$A$1:$I$89,3,0)*0.475*44/12</f>
        <v>0</v>
      </c>
      <c r="AB145" s="21">
        <f>EXP(-LN(2)/2)*AB144+(1-EXP(-LN(2)/2))/(LN(2)/2)*V145*Y145*VLOOKUP('Données projet'!$B$9,Paramètres!$A$1:$I$89,3,0)*0.475*44/12</f>
        <v>0</v>
      </c>
      <c r="AC145" s="22">
        <f t="shared" si="111"/>
        <v>145.8282778187573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10.201000000000011</v>
      </c>
      <c r="AI145" s="13">
        <f>IF('Données projet'!$A$62&gt;35,AI144+AH145-AQ144,IF(A145&lt;'Données projet'!$A$62,$AF$205^A145,IF(A145='Données projet'!$A$62,'Données projet'!$B$62,AI144+AH145-AQ144)))</f>
        <v>591.52199999999971</v>
      </c>
      <c r="AJ145" s="13">
        <f>AI145*VLOOKUP('Données projet'!$B$10,Paramètres!$A$1:$I$89,3,0)*VLOOKUP('Données projet'!$B$10,Paramètres!$A$1:$I$89,5,0)</f>
        <v>562.89233519999971</v>
      </c>
      <c r="AK145" s="13">
        <f t="shared" si="143"/>
        <v>124.11603433399489</v>
      </c>
      <c r="AL145" s="20">
        <f t="shared" si="112"/>
        <v>1196.5395769383738</v>
      </c>
      <c r="AM145" s="59">
        <f t="shared" si="113"/>
        <v>1489.872910271707</v>
      </c>
      <c r="AN145" s="59">
        <f ca="1">AVERAGE(OFFSET($AM$3,0,0,'Données projet'!$E$10+1,1))-AVERAGE(OFFSET($H$3,0,0,'Données projet'!$E$10+1,1))</f>
        <v>733.95677909577444</v>
      </c>
      <c r="AO145" s="59">
        <f t="shared" si="144"/>
        <v>264.63778993239799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153.37111977489994</v>
      </c>
      <c r="AV145" s="21">
        <f>EXP(-LN(2)/25)*AV144+(1-EXP(-LN(2)/25))/(LN(2)/25)*Calculateur!AQ145*Calculateur!AS145*VLOOKUP('Données projet'!$B$10,Paramètres!$A$1:$I$89,3,0)*0.475*44/12</f>
        <v>0</v>
      </c>
      <c r="AW145" s="21">
        <f>EXP(-LN(2)/2)*AW144+(1-EXP(-LN(2)/2))/(LN(2)/2)*AQ145*AT145*VLOOKUP('Données projet'!$B$10,Paramètres!$A$1:$I$89,3,0)*0.475*44/12</f>
        <v>0</v>
      </c>
      <c r="AX145" s="21">
        <f t="shared" si="114"/>
        <v>153.37111977489994</v>
      </c>
      <c r="AY145" s="7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0</v>
      </c>
      <c r="BE145" s="13">
        <f>BD145*VLOOKUP('Données projet'!$B$11,Paramètres!$A$1:$I$89,3,0)*VLOOKUP('Données projet'!$B$11,Paramètres!$A$1:$I$89,5,0)</f>
        <v>0</v>
      </c>
      <c r="BF145" s="13" t="e">
        <f t="shared" si="145"/>
        <v>#NUM!</v>
      </c>
      <c r="BG145" s="20" t="e">
        <f t="shared" si="115"/>
        <v>#NUM!</v>
      </c>
      <c r="BH145" s="59" t="e">
        <f t="shared" si="116"/>
        <v>#NUM!</v>
      </c>
      <c r="BI145" s="59">
        <f ca="1">AVERAGE(OFFSET($BH$3,0,0,'Données projet'!$E$11+1,1))-AVERAGE(OFFSET($H$3,0,0,'Données projet'!$E$11+1,1))</f>
        <v>187.80389738728508</v>
      </c>
      <c r="BJ145" s="59">
        <f t="shared" si="146"/>
        <v>439.28159165815265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13.440197571468003</v>
      </c>
      <c r="BQ145" s="21">
        <f>EXP(-LN(2)/25)*BQ144+(1-EXP(-LN(2)/25))/(LN(2)/25)*Calculateur!BL145*Calculateur!BN145*VLOOKUP('Données projet'!$B$11,Paramètres!$A$1:$I$89,3,0)*0.475*44/12</f>
        <v>0.64426307969954288</v>
      </c>
      <c r="BR145" s="21">
        <f>EXP(-LN(2)/2)*BR144+(1-EXP(-LN(2)/2))/(LN(2)/2)*BL145*BO145*VLOOKUP('Données projet'!$B$11,Paramètres!$A$1:$I$89,3,0)*0.475*44/12</f>
        <v>6.2397317871713671E-19</v>
      </c>
      <c r="BS145" s="22">
        <f t="shared" si="117"/>
        <v>14.084460651167547</v>
      </c>
      <c r="BT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0</v>
      </c>
      <c r="BZ145" s="13" t="e">
        <f>BY145*VLOOKUP('Données projet'!$B$12,Paramètres!$A$1:$I$89,3,0)*VLOOKUP('Données projet'!$B$12,Paramètres!$A$1:$I$89,5,0)</f>
        <v>#N/A</v>
      </c>
      <c r="CA145" s="13" t="e">
        <f t="shared" si="147"/>
        <v>#N/A</v>
      </c>
      <c r="CB145" s="20" t="e">
        <f t="shared" si="118"/>
        <v>#N/A</v>
      </c>
      <c r="CC145" s="59" t="e">
        <f t="shared" si="119"/>
        <v>#N/A</v>
      </c>
      <c r="CD145" s="59" t="e">
        <f ca="1">AVERAGE(OFFSET($CC$3,0,0,'Données projet'!$E$12+1,1))-AVERAGE(OFFSET($H$3,0,0,'Données projet'!$E$12+1,1))</f>
        <v>#N/A</v>
      </c>
      <c r="CE145" s="59" t="e">
        <f t="shared" si="148"/>
        <v>#N/A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 t="e">
        <f>EXP(-LN(2)/35)*CK144+(1-EXP(-LN(2)/35))/(LN(2)/35)*CG145*CH145*VLOOKUP('Données projet'!$B$12,Paramètres!$A$1:$I$89,3,0)*0.475*44/12</f>
        <v>#N/A</v>
      </c>
      <c r="CL145" s="21" t="e">
        <f>EXP(-LN(2)/25)*CL144+(1-EXP(-LN(2)/25))/(LN(2)/25)*Calculateur!CG145*Calculateur!CI145*VLOOKUP('Données projet'!$B$12,Paramètres!$A$1:$I$89,3,0)*0.475*44/12</f>
        <v>#N/A</v>
      </c>
      <c r="CM145" s="21" t="e">
        <f>EXP(-LN(2)/2)*CM144+(1-EXP(-LN(2)/2))/(LN(2)/2)*CG145*CJ145*VLOOKUP('Données projet'!$B$12,Paramètres!$A$1:$I$89,3,0)*0.475*44/12</f>
        <v>#N/A</v>
      </c>
      <c r="CN145" s="22" t="e">
        <f t="shared" si="120"/>
        <v>#N/A</v>
      </c>
      <c r="CO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35">
      <c r="A146" s="10">
        <f t="shared" si="139"/>
        <v>143</v>
      </c>
      <c r="B146" s="72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1">
        <f t="shared" si="140"/>
        <v>0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66">
        <f t="shared" si="110"/>
        <v>256.66666666666669</v>
      </c>
      <c r="I146" s="6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10.201000000000011</v>
      </c>
      <c r="N146" s="13">
        <f>IF('Données projet'!$A$36&gt;35,N145+M146-V145,IF(A146&lt;'Données projet'!$A$36,$K$205^A146,IF(A146='Données projet'!$A$36,'Données projet'!$B$36,N145+M146-V145)))</f>
        <v>601.72299999999973</v>
      </c>
      <c r="O146" s="13">
        <f>N146*VLOOKUP('Données projet'!$B$9,Paramètres!$A$1:$I$89,3,0)*VLOOKUP('Données projet'!$B$9,Paramètres!$A$1:$I$89,5,0)</f>
        <v>544.43897039999968</v>
      </c>
      <c r="P146" s="13">
        <f t="shared" si="141"/>
        <v>120.51380023339244</v>
      </c>
      <c r="Q146" s="20">
        <f t="shared" si="108"/>
        <v>1158.1260755198246</v>
      </c>
      <c r="R146" s="59">
        <f t="shared" si="109"/>
        <v>1451.4594088531578</v>
      </c>
      <c r="S146" s="59">
        <f ca="1">AVERAGE(OFFSET($R$3,0,0,'Données projet'!$E$9+1,1))-AVERAGE(OFFSET($H$3,0,0,'Données projet'!$E$9+1,1))</f>
        <v>700.22008319944644</v>
      </c>
      <c r="T146" s="59">
        <f t="shared" si="142"/>
        <v>253.69632671986739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142.9686742371982</v>
      </c>
      <c r="AA146" s="21">
        <f>EXP(-LN(2)/25)*AA145+(1-EXP(-LN(2)/25))/(LN(2)/25)*Calculateur!V146*Calculateur!X146*VLOOKUP('Données projet'!$B$9,Paramètres!$A$1:$I$89,3,0)*0.475*44/12</f>
        <v>0</v>
      </c>
      <c r="AB146" s="21">
        <f>EXP(-LN(2)/2)*AB145+(1-EXP(-LN(2)/2))/(LN(2)/2)*V146*Y146*VLOOKUP('Données projet'!$B$9,Paramètres!$A$1:$I$89,3,0)*0.475*44/12</f>
        <v>0</v>
      </c>
      <c r="AC146" s="22">
        <f t="shared" si="111"/>
        <v>142.9686742371982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10.201000000000011</v>
      </c>
      <c r="AI146" s="13">
        <f>IF('Données projet'!$A$62&gt;35,AI145+AH146-AQ145,IF(A146&lt;'Données projet'!$A$62,$AF$205^A146,IF(A146='Données projet'!$A$62,'Données projet'!$B$62,AI145+AH146-AQ145)))</f>
        <v>601.72299999999973</v>
      </c>
      <c r="AJ146" s="13">
        <f>AI146*VLOOKUP('Données projet'!$B$10,Paramètres!$A$1:$I$89,3,0)*VLOOKUP('Données projet'!$B$10,Paramètres!$A$1:$I$89,5,0)</f>
        <v>572.59960679999972</v>
      </c>
      <c r="AK146" s="13">
        <f t="shared" si="143"/>
        <v>126.00542648891106</v>
      </c>
      <c r="AL146" s="20">
        <f t="shared" si="112"/>
        <v>1216.7370996448528</v>
      </c>
      <c r="AM146" s="59">
        <f t="shared" si="113"/>
        <v>1510.0704329781861</v>
      </c>
      <c r="AN146" s="59">
        <f ca="1">AVERAGE(OFFSET($AM$3,0,0,'Données projet'!$E$10+1,1))-AVERAGE(OFFSET($H$3,0,0,'Données projet'!$E$10+1,1))</f>
        <v>733.95677909577444</v>
      </c>
      <c r="AO146" s="59">
        <f t="shared" si="144"/>
        <v>264.63778993239799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150.36360566326019</v>
      </c>
      <c r="AV146" s="21">
        <f>EXP(-LN(2)/25)*AV145+(1-EXP(-LN(2)/25))/(LN(2)/25)*Calculateur!AQ146*Calculateur!AS146*VLOOKUP('Données projet'!$B$10,Paramètres!$A$1:$I$89,3,0)*0.475*44/12</f>
        <v>0</v>
      </c>
      <c r="AW146" s="21">
        <f>EXP(-LN(2)/2)*AW145+(1-EXP(-LN(2)/2))/(LN(2)/2)*AQ146*AT146*VLOOKUP('Données projet'!$B$10,Paramètres!$A$1:$I$89,3,0)*0.475*44/12</f>
        <v>0</v>
      </c>
      <c r="AX146" s="21">
        <f t="shared" si="114"/>
        <v>150.36360566326019</v>
      </c>
      <c r="AY146" s="7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0</v>
      </c>
      <c r="BE146" s="13">
        <f>BD146*VLOOKUP('Données projet'!$B$11,Paramètres!$A$1:$I$89,3,0)*VLOOKUP('Données projet'!$B$11,Paramètres!$A$1:$I$89,5,0)</f>
        <v>0</v>
      </c>
      <c r="BF146" s="13" t="e">
        <f t="shared" si="145"/>
        <v>#NUM!</v>
      </c>
      <c r="BG146" s="20" t="e">
        <f t="shared" si="115"/>
        <v>#NUM!</v>
      </c>
      <c r="BH146" s="59" t="e">
        <f t="shared" si="116"/>
        <v>#NUM!</v>
      </c>
      <c r="BI146" s="59">
        <f ca="1">AVERAGE(OFFSET($BH$3,0,0,'Données projet'!$E$11+1,1))-AVERAGE(OFFSET($H$3,0,0,'Données projet'!$E$11+1,1))</f>
        <v>187.80389738728508</v>
      </c>
      <c r="BJ146" s="59">
        <f t="shared" si="146"/>
        <v>439.28159165815265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13.176643494802578</v>
      </c>
      <c r="BQ146" s="21">
        <f>EXP(-LN(2)/25)*BQ145+(1-EXP(-LN(2)/25))/(LN(2)/25)*Calculateur!BL146*Calculateur!BN146*VLOOKUP('Données projet'!$B$11,Paramètres!$A$1:$I$89,3,0)*0.475*44/12</f>
        <v>0.626645671904836</v>
      </c>
      <c r="BR146" s="21">
        <f>EXP(-LN(2)/2)*BR145+(1-EXP(-LN(2)/2))/(LN(2)/2)*BL146*BO146*VLOOKUP('Données projet'!$B$11,Paramètres!$A$1:$I$89,3,0)*0.475*44/12</f>
        <v>4.412156659494129E-19</v>
      </c>
      <c r="BS146" s="22">
        <f t="shared" si="117"/>
        <v>13.803289166707414</v>
      </c>
      <c r="BT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0</v>
      </c>
      <c r="BZ146" s="13" t="e">
        <f>BY146*VLOOKUP('Données projet'!$B$12,Paramètres!$A$1:$I$89,3,0)*VLOOKUP('Données projet'!$B$12,Paramètres!$A$1:$I$89,5,0)</f>
        <v>#N/A</v>
      </c>
      <c r="CA146" s="13" t="e">
        <f t="shared" si="147"/>
        <v>#N/A</v>
      </c>
      <c r="CB146" s="20" t="e">
        <f t="shared" si="118"/>
        <v>#N/A</v>
      </c>
      <c r="CC146" s="59" t="e">
        <f t="shared" si="119"/>
        <v>#N/A</v>
      </c>
      <c r="CD146" s="59" t="e">
        <f ca="1">AVERAGE(OFFSET($CC$3,0,0,'Données projet'!$E$12+1,1))-AVERAGE(OFFSET($H$3,0,0,'Données projet'!$E$12+1,1))</f>
        <v>#N/A</v>
      </c>
      <c r="CE146" s="59" t="e">
        <f t="shared" si="148"/>
        <v>#N/A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 t="e">
        <f>EXP(-LN(2)/35)*CK145+(1-EXP(-LN(2)/35))/(LN(2)/35)*CG146*CH146*VLOOKUP('Données projet'!$B$12,Paramètres!$A$1:$I$89,3,0)*0.475*44/12</f>
        <v>#N/A</v>
      </c>
      <c r="CL146" s="21" t="e">
        <f>EXP(-LN(2)/25)*CL145+(1-EXP(-LN(2)/25))/(LN(2)/25)*Calculateur!CG146*Calculateur!CI146*VLOOKUP('Données projet'!$B$12,Paramètres!$A$1:$I$89,3,0)*0.475*44/12</f>
        <v>#N/A</v>
      </c>
      <c r="CM146" s="21" t="e">
        <f>EXP(-LN(2)/2)*CM145+(1-EXP(-LN(2)/2))/(LN(2)/2)*CG146*CJ146*VLOOKUP('Données projet'!$B$12,Paramètres!$A$1:$I$89,3,0)*0.475*44/12</f>
        <v>#N/A</v>
      </c>
      <c r="CN146" s="22" t="e">
        <f t="shared" si="120"/>
        <v>#N/A</v>
      </c>
      <c r="CO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35">
      <c r="A147" s="10">
        <f t="shared" si="139"/>
        <v>144</v>
      </c>
      <c r="B147" s="72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1">
        <f t="shared" si="140"/>
        <v>0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66">
        <f t="shared" si="110"/>
        <v>256.66666666666669</v>
      </c>
      <c r="I147" s="6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10.201000000000011</v>
      </c>
      <c r="N147" s="13">
        <f>IF('Données projet'!$A$36&gt;35,N146+M147-V146,IF(A147&lt;'Données projet'!$A$36,$K$205^A147,IF(A147='Données projet'!$A$36,'Données projet'!$B$36,N146+M147-V146)))</f>
        <v>611.92399999999975</v>
      </c>
      <c r="O147" s="13">
        <f>N147*VLOOKUP('Données projet'!$B$9,Paramètres!$A$1:$I$89,3,0)*VLOOKUP('Données projet'!$B$9,Paramètres!$A$1:$I$89,5,0)</f>
        <v>553.66883519999976</v>
      </c>
      <c r="P147" s="13">
        <f t="shared" si="141"/>
        <v>122.31728547227995</v>
      </c>
      <c r="Q147" s="20">
        <f t="shared" si="108"/>
        <v>1177.3424935042206</v>
      </c>
      <c r="R147" s="59">
        <f t="shared" si="109"/>
        <v>1470.6758268375538</v>
      </c>
      <c r="S147" s="59">
        <f ca="1">AVERAGE(OFFSET($R$3,0,0,'Données projet'!$E$9+1,1))-AVERAGE(OFFSET($H$3,0,0,'Données projet'!$E$9+1,1))</f>
        <v>700.22008319944644</v>
      </c>
      <c r="T147" s="59">
        <f t="shared" si="142"/>
        <v>253.69632671986739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140.16514573768751</v>
      </c>
      <c r="AA147" s="21">
        <f>EXP(-LN(2)/25)*AA146+(1-EXP(-LN(2)/25))/(LN(2)/25)*Calculateur!V147*Calculateur!X147*VLOOKUP('Données projet'!$B$9,Paramètres!$A$1:$I$89,3,0)*0.475*44/12</f>
        <v>0</v>
      </c>
      <c r="AB147" s="21">
        <f>EXP(-LN(2)/2)*AB146+(1-EXP(-LN(2)/2))/(LN(2)/2)*V147*Y147*VLOOKUP('Données projet'!$B$9,Paramètres!$A$1:$I$89,3,0)*0.475*44/12</f>
        <v>0</v>
      </c>
      <c r="AC147" s="22">
        <f t="shared" si="111"/>
        <v>140.16514573768751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10.201000000000011</v>
      </c>
      <c r="AI147" s="13">
        <f>IF('Données projet'!$A$62&gt;35,AI146+AH147-AQ146,IF(A147&lt;'Données projet'!$A$62,$AF$205^A147,IF(A147='Données projet'!$A$62,'Données projet'!$B$62,AI146+AH147-AQ146)))</f>
        <v>611.92399999999975</v>
      </c>
      <c r="AJ147" s="13">
        <f>AI147*VLOOKUP('Données projet'!$B$10,Paramètres!$A$1:$I$89,3,0)*VLOOKUP('Données projet'!$B$10,Paramètres!$A$1:$I$89,5,0)</f>
        <v>582.30687839999973</v>
      </c>
      <c r="AK147" s="13">
        <f t="shared" si="143"/>
        <v>127.89109374239065</v>
      </c>
      <c r="AL147" s="20">
        <f t="shared" si="112"/>
        <v>1236.9281348146633</v>
      </c>
      <c r="AM147" s="59">
        <f t="shared" si="113"/>
        <v>1530.2614681479965</v>
      </c>
      <c r="AN147" s="59">
        <f ca="1">AVERAGE(OFFSET($AM$3,0,0,'Données projet'!$E$10+1,1))-AVERAGE(OFFSET($H$3,0,0,'Données projet'!$E$10+1,1))</f>
        <v>733.95677909577444</v>
      </c>
      <c r="AO147" s="59">
        <f t="shared" si="144"/>
        <v>264.63778993239799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147.41506706894722</v>
      </c>
      <c r="AV147" s="21">
        <f>EXP(-LN(2)/25)*AV146+(1-EXP(-LN(2)/25))/(LN(2)/25)*Calculateur!AQ147*Calculateur!AS147*VLOOKUP('Données projet'!$B$10,Paramètres!$A$1:$I$89,3,0)*0.475*44/12</f>
        <v>0</v>
      </c>
      <c r="AW147" s="21">
        <f>EXP(-LN(2)/2)*AW146+(1-EXP(-LN(2)/2))/(LN(2)/2)*AQ147*AT147*VLOOKUP('Données projet'!$B$10,Paramètres!$A$1:$I$89,3,0)*0.475*44/12</f>
        <v>0</v>
      </c>
      <c r="AX147" s="21">
        <f t="shared" si="114"/>
        <v>147.41506706894722</v>
      </c>
      <c r="AY147" s="7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0</v>
      </c>
      <c r="BE147" s="13">
        <f>BD147*VLOOKUP('Données projet'!$B$11,Paramètres!$A$1:$I$89,3,0)*VLOOKUP('Données projet'!$B$11,Paramètres!$A$1:$I$89,5,0)</f>
        <v>0</v>
      </c>
      <c r="BF147" s="13" t="e">
        <f t="shared" si="145"/>
        <v>#NUM!</v>
      </c>
      <c r="BG147" s="20" t="e">
        <f t="shared" si="115"/>
        <v>#NUM!</v>
      </c>
      <c r="BH147" s="59" t="e">
        <f t="shared" si="116"/>
        <v>#NUM!</v>
      </c>
      <c r="BI147" s="59">
        <f ca="1">AVERAGE(OFFSET($BH$3,0,0,'Données projet'!$E$11+1,1))-AVERAGE(OFFSET($H$3,0,0,'Données projet'!$E$11+1,1))</f>
        <v>187.80389738728508</v>
      </c>
      <c r="BJ147" s="59">
        <f t="shared" si="146"/>
        <v>439.28159165815265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12.918257552828447</v>
      </c>
      <c r="BQ147" s="21">
        <f>EXP(-LN(2)/25)*BQ146+(1-EXP(-LN(2)/25))/(LN(2)/25)*Calculateur!BL147*Calculateur!BN147*VLOOKUP('Données projet'!$B$11,Paramètres!$A$1:$I$89,3,0)*0.475*44/12</f>
        <v>0.60951001305273456</v>
      </c>
      <c r="BR147" s="21">
        <f>EXP(-LN(2)/2)*BR146+(1-EXP(-LN(2)/2))/(LN(2)/2)*BL147*BO147*VLOOKUP('Données projet'!$B$11,Paramètres!$A$1:$I$89,3,0)*0.475*44/12</f>
        <v>3.1198658935856835E-19</v>
      </c>
      <c r="BS147" s="22">
        <f t="shared" si="117"/>
        <v>13.527767565881181</v>
      </c>
      <c r="BT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0</v>
      </c>
      <c r="BZ147" s="13" t="e">
        <f>BY147*VLOOKUP('Données projet'!$B$12,Paramètres!$A$1:$I$89,3,0)*VLOOKUP('Données projet'!$B$12,Paramètres!$A$1:$I$89,5,0)</f>
        <v>#N/A</v>
      </c>
      <c r="CA147" s="13" t="e">
        <f t="shared" si="147"/>
        <v>#N/A</v>
      </c>
      <c r="CB147" s="20" t="e">
        <f t="shared" si="118"/>
        <v>#N/A</v>
      </c>
      <c r="CC147" s="59" t="e">
        <f t="shared" si="119"/>
        <v>#N/A</v>
      </c>
      <c r="CD147" s="59" t="e">
        <f ca="1">AVERAGE(OFFSET($CC$3,0,0,'Données projet'!$E$12+1,1))-AVERAGE(OFFSET($H$3,0,0,'Données projet'!$E$12+1,1))</f>
        <v>#N/A</v>
      </c>
      <c r="CE147" s="59" t="e">
        <f t="shared" si="148"/>
        <v>#N/A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 t="e">
        <f>EXP(-LN(2)/35)*CK146+(1-EXP(-LN(2)/35))/(LN(2)/35)*CG147*CH147*VLOOKUP('Données projet'!$B$12,Paramètres!$A$1:$I$89,3,0)*0.475*44/12</f>
        <v>#N/A</v>
      </c>
      <c r="CL147" s="21" t="e">
        <f>EXP(-LN(2)/25)*CL146+(1-EXP(-LN(2)/25))/(LN(2)/25)*Calculateur!CG147*Calculateur!CI147*VLOOKUP('Données projet'!$B$12,Paramètres!$A$1:$I$89,3,0)*0.475*44/12</f>
        <v>#N/A</v>
      </c>
      <c r="CM147" s="21" t="e">
        <f>EXP(-LN(2)/2)*CM146+(1-EXP(-LN(2)/2))/(LN(2)/2)*CG147*CJ147*VLOOKUP('Données projet'!$B$12,Paramètres!$A$1:$I$89,3,0)*0.475*44/12</f>
        <v>#N/A</v>
      </c>
      <c r="CN147" s="22" t="e">
        <f t="shared" si="120"/>
        <v>#N/A</v>
      </c>
      <c r="CO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35">
      <c r="A148" s="10">
        <f t="shared" si="139"/>
        <v>145</v>
      </c>
      <c r="B148" s="72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1">
        <f t="shared" si="140"/>
        <v>0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66">
        <f t="shared" si="110"/>
        <v>256.66666666666669</v>
      </c>
      <c r="I148" s="6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10.201000000000011</v>
      </c>
      <c r="N148" s="13">
        <f>IF('Données projet'!$A$36&gt;35,N147+M148-V147,IF(A148&lt;'Données projet'!$A$36,$K$205^A148,IF(A148='Données projet'!$A$36,'Données projet'!$B$36,N147+M148-V147)))</f>
        <v>622.12499999999977</v>
      </c>
      <c r="O148" s="13">
        <f>N148*VLOOKUP('Données projet'!$B$9,Paramètres!$A$1:$I$89,3,0)*VLOOKUP('Données projet'!$B$9,Paramètres!$A$1:$I$89,5,0)</f>
        <v>562.89869999999985</v>
      </c>
      <c r="P148" s="13">
        <f t="shared" si="141"/>
        <v>124.11727439410858</v>
      </c>
      <c r="Q148" s="20">
        <f t="shared" si="108"/>
        <v>1196.5528220697386</v>
      </c>
      <c r="R148" s="59">
        <f t="shared" si="109"/>
        <v>1489.8861554030718</v>
      </c>
      <c r="S148" s="59">
        <f ca="1">AVERAGE(OFFSET($R$3,0,0,'Données projet'!$E$9+1,1))-AVERAGE(OFFSET($H$3,0,0,'Données projet'!$E$9+1,1))</f>
        <v>700.22008319944644</v>
      </c>
      <c r="T148" s="59">
        <f t="shared" si="142"/>
        <v>253.69632671986739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137.41659272206869</v>
      </c>
      <c r="AA148" s="21">
        <f>EXP(-LN(2)/25)*AA147+(1-EXP(-LN(2)/25))/(LN(2)/25)*Calculateur!V148*Calculateur!X148*VLOOKUP('Données projet'!$B$9,Paramètres!$A$1:$I$89,3,0)*0.475*44/12</f>
        <v>0</v>
      </c>
      <c r="AB148" s="21">
        <f>EXP(-LN(2)/2)*AB147+(1-EXP(-LN(2)/2))/(LN(2)/2)*V148*Y148*VLOOKUP('Données projet'!$B$9,Paramètres!$A$1:$I$89,3,0)*0.475*44/12</f>
        <v>0</v>
      </c>
      <c r="AC148" s="22">
        <f t="shared" si="111"/>
        <v>137.41659272206869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10.201000000000011</v>
      </c>
      <c r="AI148" s="13">
        <f>IF('Données projet'!$A$62&gt;35,AI147+AH148-AQ147,IF(A148&lt;'Données projet'!$A$62,$AF$205^A148,IF(A148='Données projet'!$A$62,'Données projet'!$B$62,AI147+AH148-AQ147)))</f>
        <v>622.12499999999977</v>
      </c>
      <c r="AJ148" s="13">
        <f>AI148*VLOOKUP('Données projet'!$B$10,Paramètres!$A$1:$I$89,3,0)*VLOOKUP('Données projet'!$B$10,Paramètres!$A$1:$I$89,5,0)</f>
        <v>592.01414999999986</v>
      </c>
      <c r="AK148" s="13">
        <f t="shared" si="143"/>
        <v>129.773105357086</v>
      </c>
      <c r="AL148" s="20">
        <f t="shared" si="112"/>
        <v>1257.1128030802577</v>
      </c>
      <c r="AM148" s="59">
        <f t="shared" si="113"/>
        <v>1550.4461364135909</v>
      </c>
      <c r="AN148" s="59">
        <f ca="1">AVERAGE(OFFSET($AM$3,0,0,'Données projet'!$E$10+1,1))-AVERAGE(OFFSET($H$3,0,0,'Données projet'!$E$10+1,1))</f>
        <v>733.95677909577444</v>
      </c>
      <c r="AO148" s="59">
        <f t="shared" si="144"/>
        <v>264.63778993239799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144.52434751803779</v>
      </c>
      <c r="AV148" s="21">
        <f>EXP(-LN(2)/25)*AV147+(1-EXP(-LN(2)/25))/(LN(2)/25)*Calculateur!AQ148*Calculateur!AS148*VLOOKUP('Données projet'!$B$10,Paramètres!$A$1:$I$89,3,0)*0.475*44/12</f>
        <v>0</v>
      </c>
      <c r="AW148" s="21">
        <f>EXP(-LN(2)/2)*AW147+(1-EXP(-LN(2)/2))/(LN(2)/2)*AQ148*AT148*VLOOKUP('Données projet'!$B$10,Paramètres!$A$1:$I$89,3,0)*0.475*44/12</f>
        <v>0</v>
      </c>
      <c r="AX148" s="21">
        <f t="shared" si="114"/>
        <v>144.52434751803779</v>
      </c>
      <c r="AY148" s="7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0</v>
      </c>
      <c r="BE148" s="13">
        <f>BD148*VLOOKUP('Données projet'!$B$11,Paramètres!$A$1:$I$89,3,0)*VLOOKUP('Données projet'!$B$11,Paramètres!$A$1:$I$89,5,0)</f>
        <v>0</v>
      </c>
      <c r="BF148" s="13" t="e">
        <f t="shared" si="145"/>
        <v>#NUM!</v>
      </c>
      <c r="BG148" s="20" t="e">
        <f t="shared" si="115"/>
        <v>#NUM!</v>
      </c>
      <c r="BH148" s="59" t="e">
        <f t="shared" si="116"/>
        <v>#NUM!</v>
      </c>
      <c r="BI148" s="59">
        <f ca="1">AVERAGE(OFFSET($BH$3,0,0,'Données projet'!$E$11+1,1))-AVERAGE(OFFSET($H$3,0,0,'Données projet'!$E$11+1,1))</f>
        <v>187.80389738728508</v>
      </c>
      <c r="BJ148" s="59">
        <f t="shared" si="146"/>
        <v>439.28159165815265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12.664938401576565</v>
      </c>
      <c r="BQ148" s="21">
        <f>EXP(-LN(2)/25)*BQ147+(1-EXP(-LN(2)/25))/(LN(2)/25)*Calculateur!BL148*Calculateur!BN148*VLOOKUP('Données projet'!$B$11,Paramètres!$A$1:$I$89,3,0)*0.475*44/12</f>
        <v>0.59284292969306895</v>
      </c>
      <c r="BR148" s="21">
        <f>EXP(-LN(2)/2)*BR147+(1-EXP(-LN(2)/2))/(LN(2)/2)*BL148*BO148*VLOOKUP('Données projet'!$B$11,Paramètres!$A$1:$I$89,3,0)*0.475*44/12</f>
        <v>2.2060783297470645E-19</v>
      </c>
      <c r="BS148" s="22">
        <f t="shared" si="117"/>
        <v>13.257781331269634</v>
      </c>
      <c r="BT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0</v>
      </c>
      <c r="BZ148" s="13" t="e">
        <f>BY148*VLOOKUP('Données projet'!$B$12,Paramètres!$A$1:$I$89,3,0)*VLOOKUP('Données projet'!$B$12,Paramètres!$A$1:$I$89,5,0)</f>
        <v>#N/A</v>
      </c>
      <c r="CA148" s="13" t="e">
        <f t="shared" si="147"/>
        <v>#N/A</v>
      </c>
      <c r="CB148" s="20" t="e">
        <f t="shared" si="118"/>
        <v>#N/A</v>
      </c>
      <c r="CC148" s="59" t="e">
        <f t="shared" si="119"/>
        <v>#N/A</v>
      </c>
      <c r="CD148" s="59" t="e">
        <f ca="1">AVERAGE(OFFSET($CC$3,0,0,'Données projet'!$E$12+1,1))-AVERAGE(OFFSET($H$3,0,0,'Données projet'!$E$12+1,1))</f>
        <v>#N/A</v>
      </c>
      <c r="CE148" s="59" t="e">
        <f t="shared" si="148"/>
        <v>#N/A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 t="e">
        <f>EXP(-LN(2)/35)*CK147+(1-EXP(-LN(2)/35))/(LN(2)/35)*CG148*CH148*VLOOKUP('Données projet'!$B$12,Paramètres!$A$1:$I$89,3,0)*0.475*44/12</f>
        <v>#N/A</v>
      </c>
      <c r="CL148" s="21" t="e">
        <f>EXP(-LN(2)/25)*CL147+(1-EXP(-LN(2)/25))/(LN(2)/25)*Calculateur!CG148*Calculateur!CI148*VLOOKUP('Données projet'!$B$12,Paramètres!$A$1:$I$89,3,0)*0.475*44/12</f>
        <v>#N/A</v>
      </c>
      <c r="CM148" s="21" t="e">
        <f>EXP(-LN(2)/2)*CM147+(1-EXP(-LN(2)/2))/(LN(2)/2)*CG148*CJ148*VLOOKUP('Données projet'!$B$12,Paramètres!$A$1:$I$89,3,0)*0.475*44/12</f>
        <v>#N/A</v>
      </c>
      <c r="CN148" s="22" t="e">
        <f t="shared" si="120"/>
        <v>#N/A</v>
      </c>
      <c r="CO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35">
      <c r="A149" s="10">
        <f t="shared" si="139"/>
        <v>146</v>
      </c>
      <c r="B149" s="72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1">
        <f t="shared" si="140"/>
        <v>0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66">
        <f t="shared" si="110"/>
        <v>256.66666666666669</v>
      </c>
      <c r="I149" s="6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10.201000000000011</v>
      </c>
      <c r="N149" s="13">
        <f>IF('Données projet'!$A$36&gt;35,N148+M149-V148,IF(A149&lt;'Données projet'!$A$36,$K$205^A149,IF(A149='Données projet'!$A$36,'Données projet'!$B$36,N148+M149-V148)))</f>
        <v>632.32599999999979</v>
      </c>
      <c r="O149" s="13">
        <f>N149*VLOOKUP('Données projet'!$B$9,Paramètres!$A$1:$I$89,3,0)*VLOOKUP('Données projet'!$B$9,Paramètres!$A$1:$I$89,5,0)</f>
        <v>572.12856479999982</v>
      </c>
      <c r="P149" s="13">
        <f t="shared" si="141"/>
        <v>125.91383094593489</v>
      </c>
      <c r="Q149" s="20">
        <f t="shared" si="108"/>
        <v>1215.7571725908363</v>
      </c>
      <c r="R149" s="59">
        <f t="shared" si="109"/>
        <v>1509.0905059241695</v>
      </c>
      <c r="S149" s="59">
        <f ca="1">AVERAGE(OFFSET($R$3,0,0,'Données projet'!$E$9+1,1))-AVERAGE(OFFSET($H$3,0,0,'Données projet'!$E$9+1,1))</f>
        <v>700.22008319944644</v>
      </c>
      <c r="T149" s="59">
        <f t="shared" si="142"/>
        <v>253.69632671986739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134.72193715463436</v>
      </c>
      <c r="AA149" s="21">
        <f>EXP(-LN(2)/25)*AA148+(1-EXP(-LN(2)/25))/(LN(2)/25)*Calculateur!V149*Calculateur!X149*VLOOKUP('Données projet'!$B$9,Paramètres!$A$1:$I$89,3,0)*0.475*44/12</f>
        <v>0</v>
      </c>
      <c r="AB149" s="21">
        <f>EXP(-LN(2)/2)*AB148+(1-EXP(-LN(2)/2))/(LN(2)/2)*V149*Y149*VLOOKUP('Données projet'!$B$9,Paramètres!$A$1:$I$89,3,0)*0.475*44/12</f>
        <v>0</v>
      </c>
      <c r="AC149" s="22">
        <f t="shared" si="111"/>
        <v>134.72193715463436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10.201000000000011</v>
      </c>
      <c r="AI149" s="13">
        <f>IF('Données projet'!$A$62&gt;35,AI148+AH149-AQ148,IF(A149&lt;'Données projet'!$A$62,$AF$205^A149,IF(A149='Données projet'!$A$62,'Données projet'!$B$62,AI148+AH149-AQ148)))</f>
        <v>632.32599999999979</v>
      </c>
      <c r="AJ149" s="13">
        <f>AI149*VLOOKUP('Données projet'!$B$10,Paramètres!$A$1:$I$89,3,0)*VLOOKUP('Données projet'!$B$10,Paramètres!$A$1:$I$89,5,0)</f>
        <v>601.72142159999987</v>
      </c>
      <c r="AK149" s="13">
        <f t="shared" si="143"/>
        <v>131.65152819402167</v>
      </c>
      <c r="AL149" s="20">
        <f t="shared" si="112"/>
        <v>1277.2912208912542</v>
      </c>
      <c r="AM149" s="59">
        <f t="shared" si="113"/>
        <v>1570.6245542245874</v>
      </c>
      <c r="AN149" s="59">
        <f ca="1">AVERAGE(OFFSET($AM$3,0,0,'Données projet'!$E$10+1,1))-AVERAGE(OFFSET($H$3,0,0,'Données projet'!$E$10+1,1))</f>
        <v>733.95677909577444</v>
      </c>
      <c r="AO149" s="59">
        <f t="shared" si="144"/>
        <v>264.63778993239799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141.69031321435685</v>
      </c>
      <c r="AV149" s="21">
        <f>EXP(-LN(2)/25)*AV148+(1-EXP(-LN(2)/25))/(LN(2)/25)*Calculateur!AQ149*Calculateur!AS149*VLOOKUP('Données projet'!$B$10,Paramètres!$A$1:$I$89,3,0)*0.475*44/12</f>
        <v>0</v>
      </c>
      <c r="AW149" s="21">
        <f>EXP(-LN(2)/2)*AW148+(1-EXP(-LN(2)/2))/(LN(2)/2)*AQ149*AT149*VLOOKUP('Données projet'!$B$10,Paramètres!$A$1:$I$89,3,0)*0.475*44/12</f>
        <v>0</v>
      </c>
      <c r="AX149" s="21">
        <f t="shared" si="114"/>
        <v>141.69031321435685</v>
      </c>
      <c r="AY149" s="7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0</v>
      </c>
      <c r="BE149" s="13">
        <f>BD149*VLOOKUP('Données projet'!$B$11,Paramètres!$A$1:$I$89,3,0)*VLOOKUP('Données projet'!$B$11,Paramètres!$A$1:$I$89,5,0)</f>
        <v>0</v>
      </c>
      <c r="BF149" s="13" t="e">
        <f t="shared" si="145"/>
        <v>#NUM!</v>
      </c>
      <c r="BG149" s="20" t="e">
        <f t="shared" si="115"/>
        <v>#NUM!</v>
      </c>
      <c r="BH149" s="59" t="e">
        <f t="shared" si="116"/>
        <v>#NUM!</v>
      </c>
      <c r="BI149" s="59">
        <f ca="1">AVERAGE(OFFSET($BH$3,0,0,'Données projet'!$E$11+1,1))-AVERAGE(OFFSET($H$3,0,0,'Données projet'!$E$11+1,1))</f>
        <v>187.80389738728508</v>
      </c>
      <c r="BJ149" s="59">
        <f t="shared" si="146"/>
        <v>439.28159165815265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12.416586684371309</v>
      </c>
      <c r="BQ149" s="21">
        <f>EXP(-LN(2)/25)*BQ148+(1-EXP(-LN(2)/25))/(LN(2)/25)*Calculateur!BL149*Calculateur!BN149*VLOOKUP('Données projet'!$B$11,Paramètres!$A$1:$I$89,3,0)*0.475*44/12</f>
        <v>0.57663160860435725</v>
      </c>
      <c r="BR149" s="21">
        <f>EXP(-LN(2)/2)*BR148+(1-EXP(-LN(2)/2))/(LN(2)/2)*BL149*BO149*VLOOKUP('Données projet'!$B$11,Paramètres!$A$1:$I$89,3,0)*0.475*44/12</f>
        <v>1.5599329467928418E-19</v>
      </c>
      <c r="BS149" s="22">
        <f t="shared" si="117"/>
        <v>12.993218292975666</v>
      </c>
      <c r="BT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0</v>
      </c>
      <c r="BZ149" s="13" t="e">
        <f>BY149*VLOOKUP('Données projet'!$B$12,Paramètres!$A$1:$I$89,3,0)*VLOOKUP('Données projet'!$B$12,Paramètres!$A$1:$I$89,5,0)</f>
        <v>#N/A</v>
      </c>
      <c r="CA149" s="13" t="e">
        <f t="shared" si="147"/>
        <v>#N/A</v>
      </c>
      <c r="CB149" s="20" t="e">
        <f t="shared" si="118"/>
        <v>#N/A</v>
      </c>
      <c r="CC149" s="59" t="e">
        <f t="shared" si="119"/>
        <v>#N/A</v>
      </c>
      <c r="CD149" s="59" t="e">
        <f ca="1">AVERAGE(OFFSET($CC$3,0,0,'Données projet'!$E$12+1,1))-AVERAGE(OFFSET($H$3,0,0,'Données projet'!$E$12+1,1))</f>
        <v>#N/A</v>
      </c>
      <c r="CE149" s="59" t="e">
        <f t="shared" si="148"/>
        <v>#N/A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 t="e">
        <f>EXP(-LN(2)/35)*CK148+(1-EXP(-LN(2)/35))/(LN(2)/35)*CG149*CH149*VLOOKUP('Données projet'!$B$12,Paramètres!$A$1:$I$89,3,0)*0.475*44/12</f>
        <v>#N/A</v>
      </c>
      <c r="CL149" s="21" t="e">
        <f>EXP(-LN(2)/25)*CL148+(1-EXP(-LN(2)/25))/(LN(2)/25)*Calculateur!CG149*Calculateur!CI149*VLOOKUP('Données projet'!$B$12,Paramètres!$A$1:$I$89,3,0)*0.475*44/12</f>
        <v>#N/A</v>
      </c>
      <c r="CM149" s="21" t="e">
        <f>EXP(-LN(2)/2)*CM148+(1-EXP(-LN(2)/2))/(LN(2)/2)*CG149*CJ149*VLOOKUP('Données projet'!$B$12,Paramètres!$A$1:$I$89,3,0)*0.475*44/12</f>
        <v>#N/A</v>
      </c>
      <c r="CN149" s="22" t="e">
        <f t="shared" si="120"/>
        <v>#N/A</v>
      </c>
      <c r="CO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35">
      <c r="A150" s="10">
        <f t="shared" si="139"/>
        <v>147</v>
      </c>
      <c r="B150" s="72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1">
        <f t="shared" si="140"/>
        <v>0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66">
        <f t="shared" si="110"/>
        <v>256.66666666666669</v>
      </c>
      <c r="I150" s="6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10.201000000000011</v>
      </c>
      <c r="N150" s="13">
        <f>IF('Données projet'!$A$36&gt;35,N149+M150-V149,IF(A150&lt;'Données projet'!$A$36,$K$205^A150,IF(A150='Données projet'!$A$36,'Données projet'!$B$36,N149+M150-V149)))</f>
        <v>642.52699999999982</v>
      </c>
      <c r="O150" s="13">
        <f>N150*VLOOKUP('Données projet'!$B$9,Paramètres!$A$1:$I$89,3,0)*VLOOKUP('Données projet'!$B$9,Paramètres!$A$1:$I$89,5,0)</f>
        <v>581.35842959999979</v>
      </c>
      <c r="P150" s="13">
        <f t="shared" si="141"/>
        <v>127.70701689324794</v>
      </c>
      <c r="Q150" s="20">
        <f t="shared" si="108"/>
        <v>1234.9556526424064</v>
      </c>
      <c r="R150" s="59">
        <f t="shared" si="109"/>
        <v>1528.2889859757397</v>
      </c>
      <c r="S150" s="59">
        <f ca="1">AVERAGE(OFFSET($R$3,0,0,'Données projet'!$E$9+1,1))-AVERAGE(OFFSET($H$3,0,0,'Données projet'!$E$9+1,1))</f>
        <v>700.22008319944644</v>
      </c>
      <c r="T150" s="59">
        <f t="shared" si="142"/>
        <v>253.69632671986739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132.08012213929982</v>
      </c>
      <c r="AA150" s="21">
        <f>EXP(-LN(2)/25)*AA149+(1-EXP(-LN(2)/25))/(LN(2)/25)*Calculateur!V150*Calculateur!X150*VLOOKUP('Données projet'!$B$9,Paramètres!$A$1:$I$89,3,0)*0.475*44/12</f>
        <v>0</v>
      </c>
      <c r="AB150" s="21">
        <f>EXP(-LN(2)/2)*AB149+(1-EXP(-LN(2)/2))/(LN(2)/2)*V150*Y150*VLOOKUP('Données projet'!$B$9,Paramètres!$A$1:$I$89,3,0)*0.475*44/12</f>
        <v>0</v>
      </c>
      <c r="AC150" s="22">
        <f t="shared" si="111"/>
        <v>132.08012213929982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10.201000000000011</v>
      </c>
      <c r="AI150" s="13">
        <f>IF('Données projet'!$A$62&gt;35,AI149+AH150-AQ149,IF(A150&lt;'Données projet'!$A$62,$AF$205^A150,IF(A150='Données projet'!$A$62,'Données projet'!$B$62,AI149+AH150-AQ149)))</f>
        <v>642.52699999999982</v>
      </c>
      <c r="AJ150" s="13">
        <f>AI150*VLOOKUP('Données projet'!$B$10,Paramètres!$A$1:$I$89,3,0)*VLOOKUP('Données projet'!$B$10,Paramètres!$A$1:$I$89,5,0)</f>
        <v>611.42869319999977</v>
      </c>
      <c r="AK150" s="13">
        <f t="shared" si="143"/>
        <v>133.52642683324413</v>
      </c>
      <c r="AL150" s="20">
        <f t="shared" si="112"/>
        <v>1297.4635007245665</v>
      </c>
      <c r="AM150" s="59">
        <f t="shared" si="113"/>
        <v>1590.7968340578998</v>
      </c>
      <c r="AN150" s="59">
        <f ca="1">AVERAGE(OFFSET($AM$3,0,0,'Données projet'!$E$10+1,1))-AVERAGE(OFFSET($H$3,0,0,'Données projet'!$E$10+1,1))</f>
        <v>733.95677909577444</v>
      </c>
      <c r="AO150" s="59">
        <f t="shared" si="144"/>
        <v>264.63778993239799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138.91185259478084</v>
      </c>
      <c r="AV150" s="21">
        <f>EXP(-LN(2)/25)*AV149+(1-EXP(-LN(2)/25))/(LN(2)/25)*Calculateur!AQ150*Calculateur!AS150*VLOOKUP('Données projet'!$B$10,Paramètres!$A$1:$I$89,3,0)*0.475*44/12</f>
        <v>0</v>
      </c>
      <c r="AW150" s="21">
        <f>EXP(-LN(2)/2)*AW149+(1-EXP(-LN(2)/2))/(LN(2)/2)*AQ150*AT150*VLOOKUP('Données projet'!$B$10,Paramètres!$A$1:$I$89,3,0)*0.475*44/12</f>
        <v>0</v>
      </c>
      <c r="AX150" s="21">
        <f t="shared" si="114"/>
        <v>138.91185259478084</v>
      </c>
      <c r="AY150" s="7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0</v>
      </c>
      <c r="BE150" s="13">
        <f>BD150*VLOOKUP('Données projet'!$B$11,Paramètres!$A$1:$I$89,3,0)*VLOOKUP('Données projet'!$B$11,Paramètres!$A$1:$I$89,5,0)</f>
        <v>0</v>
      </c>
      <c r="BF150" s="13" t="e">
        <f t="shared" si="145"/>
        <v>#NUM!</v>
      </c>
      <c r="BG150" s="20" t="e">
        <f t="shared" si="115"/>
        <v>#NUM!</v>
      </c>
      <c r="BH150" s="59" t="e">
        <f t="shared" si="116"/>
        <v>#NUM!</v>
      </c>
      <c r="BI150" s="59">
        <f ca="1">AVERAGE(OFFSET($BH$3,0,0,'Données projet'!$E$11+1,1))-AVERAGE(OFFSET($H$3,0,0,'Données projet'!$E$11+1,1))</f>
        <v>187.80389738728508</v>
      </c>
      <c r="BJ150" s="59">
        <f t="shared" si="146"/>
        <v>439.28159165815265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12.173104992860857</v>
      </c>
      <c r="BQ150" s="21">
        <f>EXP(-LN(2)/25)*BQ149+(1-EXP(-LN(2)/25))/(LN(2)/25)*Calculateur!BL150*Calculateur!BN150*VLOOKUP('Données projet'!$B$11,Paramètres!$A$1:$I$89,3,0)*0.475*44/12</f>
        <v>0.56086358694333271</v>
      </c>
      <c r="BR150" s="21">
        <f>EXP(-LN(2)/2)*BR149+(1-EXP(-LN(2)/2))/(LN(2)/2)*BL150*BO150*VLOOKUP('Données projet'!$B$11,Paramètres!$A$1:$I$89,3,0)*0.475*44/12</f>
        <v>1.1030391648735322E-19</v>
      </c>
      <c r="BS150" s="22">
        <f t="shared" si="117"/>
        <v>12.73396857980419</v>
      </c>
      <c r="BT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0</v>
      </c>
      <c r="BZ150" s="13" t="e">
        <f>BY150*VLOOKUP('Données projet'!$B$12,Paramètres!$A$1:$I$89,3,0)*VLOOKUP('Données projet'!$B$12,Paramètres!$A$1:$I$89,5,0)</f>
        <v>#N/A</v>
      </c>
      <c r="CA150" s="13" t="e">
        <f t="shared" si="147"/>
        <v>#N/A</v>
      </c>
      <c r="CB150" s="20" t="e">
        <f t="shared" si="118"/>
        <v>#N/A</v>
      </c>
      <c r="CC150" s="59" t="e">
        <f t="shared" si="119"/>
        <v>#N/A</v>
      </c>
      <c r="CD150" s="59" t="e">
        <f ca="1">AVERAGE(OFFSET($CC$3,0,0,'Données projet'!$E$12+1,1))-AVERAGE(OFFSET($H$3,0,0,'Données projet'!$E$12+1,1))</f>
        <v>#N/A</v>
      </c>
      <c r="CE150" s="59" t="e">
        <f t="shared" si="148"/>
        <v>#N/A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 t="e">
        <f>EXP(-LN(2)/35)*CK149+(1-EXP(-LN(2)/35))/(LN(2)/35)*CG150*CH150*VLOOKUP('Données projet'!$B$12,Paramètres!$A$1:$I$89,3,0)*0.475*44/12</f>
        <v>#N/A</v>
      </c>
      <c r="CL150" s="21" t="e">
        <f>EXP(-LN(2)/25)*CL149+(1-EXP(-LN(2)/25))/(LN(2)/25)*Calculateur!CG150*Calculateur!CI150*VLOOKUP('Données projet'!$B$12,Paramètres!$A$1:$I$89,3,0)*0.475*44/12</f>
        <v>#N/A</v>
      </c>
      <c r="CM150" s="21" t="e">
        <f>EXP(-LN(2)/2)*CM149+(1-EXP(-LN(2)/2))/(LN(2)/2)*CG150*CJ150*VLOOKUP('Données projet'!$B$12,Paramètres!$A$1:$I$89,3,0)*0.475*44/12</f>
        <v>#N/A</v>
      </c>
      <c r="CN150" s="22" t="e">
        <f t="shared" si="120"/>
        <v>#N/A</v>
      </c>
      <c r="CO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35">
      <c r="A151" s="10">
        <f t="shared" si="139"/>
        <v>148</v>
      </c>
      <c r="B151" s="72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1">
        <f t="shared" si="140"/>
        <v>0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66">
        <f t="shared" si="110"/>
        <v>256.66666666666669</v>
      </c>
      <c r="I151" s="6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10.201000000000011</v>
      </c>
      <c r="N151" s="13">
        <f>IF('Données projet'!$A$36&gt;35,N150+M151-V150,IF(A151&lt;'Données projet'!$A$36,$K$205^A151,IF(A151='Données projet'!$A$36,'Données projet'!$B$36,N150+M151-V150)))</f>
        <v>652.72799999999984</v>
      </c>
      <c r="O151" s="13">
        <f>N151*VLOOKUP('Données projet'!$B$9,Paramètres!$A$1:$I$89,3,0)*VLOOKUP('Données projet'!$B$9,Paramètres!$A$1:$I$89,5,0)</f>
        <v>590.58829439999988</v>
      </c>
      <c r="P151" s="13">
        <f t="shared" si="141"/>
        <v>129.49689192782623</v>
      </c>
      <c r="Q151" s="20">
        <f t="shared" si="108"/>
        <v>1254.1483661876305</v>
      </c>
      <c r="R151" s="59">
        <f t="shared" si="109"/>
        <v>1547.4816995209637</v>
      </c>
      <c r="S151" s="59">
        <f ca="1">AVERAGE(OFFSET($R$3,0,0,'Données projet'!$E$9+1,1))-AVERAGE(OFFSET($H$3,0,0,'Données projet'!$E$9+1,1))</f>
        <v>700.22008319944644</v>
      </c>
      <c r="T151" s="59">
        <f t="shared" si="142"/>
        <v>253.69632671986739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129.49011150506792</v>
      </c>
      <c r="AA151" s="21">
        <f>EXP(-LN(2)/25)*AA150+(1-EXP(-LN(2)/25))/(LN(2)/25)*Calculateur!V151*Calculateur!X151*VLOOKUP('Données projet'!$B$9,Paramètres!$A$1:$I$89,3,0)*0.475*44/12</f>
        <v>0</v>
      </c>
      <c r="AB151" s="21">
        <f>EXP(-LN(2)/2)*AB150+(1-EXP(-LN(2)/2))/(LN(2)/2)*V151*Y151*VLOOKUP('Données projet'!$B$9,Paramètres!$A$1:$I$89,3,0)*0.475*44/12</f>
        <v>0</v>
      </c>
      <c r="AC151" s="22">
        <f t="shared" si="111"/>
        <v>129.49011150506792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10.201000000000011</v>
      </c>
      <c r="AI151" s="13">
        <f>IF('Données projet'!$A$62&gt;35,AI150+AH151-AQ150,IF(A151&lt;'Données projet'!$A$62,$AF$205^A151,IF(A151='Données projet'!$A$62,'Données projet'!$B$62,AI150+AH151-AQ150)))</f>
        <v>652.72799999999984</v>
      </c>
      <c r="AJ151" s="13">
        <f>AI151*VLOOKUP('Données projet'!$B$10,Paramètres!$A$1:$I$89,3,0)*VLOOKUP('Données projet'!$B$10,Paramètres!$A$1:$I$89,5,0)</f>
        <v>621.1359647999999</v>
      </c>
      <c r="AK151" s="13">
        <f t="shared" si="143"/>
        <v>135.39786368659296</v>
      </c>
      <c r="AL151" s="20">
        <f t="shared" si="112"/>
        <v>1317.6297512808158</v>
      </c>
      <c r="AM151" s="59">
        <f t="shared" si="113"/>
        <v>1610.963084614149</v>
      </c>
      <c r="AN151" s="59">
        <f ca="1">AVERAGE(OFFSET($AM$3,0,0,'Données projet'!$E$10+1,1))-AVERAGE(OFFSET($H$3,0,0,'Données projet'!$E$10+1,1))</f>
        <v>733.95677909577444</v>
      </c>
      <c r="AO151" s="59">
        <f t="shared" si="144"/>
        <v>264.63778993239799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136.18787589326109</v>
      </c>
      <c r="AV151" s="21">
        <f>EXP(-LN(2)/25)*AV150+(1-EXP(-LN(2)/25))/(LN(2)/25)*Calculateur!AQ151*Calculateur!AS151*VLOOKUP('Données projet'!$B$10,Paramètres!$A$1:$I$89,3,0)*0.475*44/12</f>
        <v>0</v>
      </c>
      <c r="AW151" s="21">
        <f>EXP(-LN(2)/2)*AW150+(1-EXP(-LN(2)/2))/(LN(2)/2)*AQ151*AT151*VLOOKUP('Données projet'!$B$10,Paramètres!$A$1:$I$89,3,0)*0.475*44/12</f>
        <v>0</v>
      </c>
      <c r="AX151" s="21">
        <f t="shared" si="114"/>
        <v>136.18787589326109</v>
      </c>
      <c r="AY151" s="7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0</v>
      </c>
      <c r="BE151" s="13">
        <f>BD151*VLOOKUP('Données projet'!$B$11,Paramètres!$A$1:$I$89,3,0)*VLOOKUP('Données projet'!$B$11,Paramètres!$A$1:$I$89,5,0)</f>
        <v>0</v>
      </c>
      <c r="BF151" s="13" t="e">
        <f t="shared" si="145"/>
        <v>#NUM!</v>
      </c>
      <c r="BG151" s="20" t="e">
        <f t="shared" si="115"/>
        <v>#NUM!</v>
      </c>
      <c r="BH151" s="59" t="e">
        <f t="shared" si="116"/>
        <v>#NUM!</v>
      </c>
      <c r="BI151" s="59">
        <f ca="1">AVERAGE(OFFSET($BH$3,0,0,'Données projet'!$E$11+1,1))-AVERAGE(OFFSET($H$3,0,0,'Données projet'!$E$11+1,1))</f>
        <v>187.80389738728508</v>
      </c>
      <c r="BJ151" s="59">
        <f t="shared" si="146"/>
        <v>439.28159165815265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11.934397828811758</v>
      </c>
      <c r="BQ151" s="21">
        <f>EXP(-LN(2)/25)*BQ150+(1-EXP(-LN(2)/25))/(LN(2)/25)*Calculateur!BL151*Calculateur!BN151*VLOOKUP('Données projet'!$B$11,Paramètres!$A$1:$I$89,3,0)*0.475*44/12</f>
        <v>0.54552674266383316</v>
      </c>
      <c r="BR151" s="21">
        <f>EXP(-LN(2)/2)*BR150+(1-EXP(-LN(2)/2))/(LN(2)/2)*BL151*BO151*VLOOKUP('Données projet'!$B$11,Paramètres!$A$1:$I$89,3,0)*0.475*44/12</f>
        <v>7.7996647339642089E-20</v>
      </c>
      <c r="BS151" s="22">
        <f t="shared" si="117"/>
        <v>12.479924571475591</v>
      </c>
      <c r="BT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0</v>
      </c>
      <c r="BZ151" s="13" t="e">
        <f>BY151*VLOOKUP('Données projet'!$B$12,Paramètres!$A$1:$I$89,3,0)*VLOOKUP('Données projet'!$B$12,Paramètres!$A$1:$I$89,5,0)</f>
        <v>#N/A</v>
      </c>
      <c r="CA151" s="13" t="e">
        <f t="shared" si="147"/>
        <v>#N/A</v>
      </c>
      <c r="CB151" s="20" t="e">
        <f t="shared" si="118"/>
        <v>#N/A</v>
      </c>
      <c r="CC151" s="59" t="e">
        <f t="shared" si="119"/>
        <v>#N/A</v>
      </c>
      <c r="CD151" s="59" t="e">
        <f ca="1">AVERAGE(OFFSET($CC$3,0,0,'Données projet'!$E$12+1,1))-AVERAGE(OFFSET($H$3,0,0,'Données projet'!$E$12+1,1))</f>
        <v>#N/A</v>
      </c>
      <c r="CE151" s="59" t="e">
        <f t="shared" si="148"/>
        <v>#N/A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 t="e">
        <f>EXP(-LN(2)/35)*CK150+(1-EXP(-LN(2)/35))/(LN(2)/35)*CG151*CH151*VLOOKUP('Données projet'!$B$12,Paramètres!$A$1:$I$89,3,0)*0.475*44/12</f>
        <v>#N/A</v>
      </c>
      <c r="CL151" s="21" t="e">
        <f>EXP(-LN(2)/25)*CL150+(1-EXP(-LN(2)/25))/(LN(2)/25)*Calculateur!CG151*Calculateur!CI151*VLOOKUP('Données projet'!$B$12,Paramètres!$A$1:$I$89,3,0)*0.475*44/12</f>
        <v>#N/A</v>
      </c>
      <c r="CM151" s="21" t="e">
        <f>EXP(-LN(2)/2)*CM150+(1-EXP(-LN(2)/2))/(LN(2)/2)*CG151*CJ151*VLOOKUP('Données projet'!$B$12,Paramètres!$A$1:$I$89,3,0)*0.475*44/12</f>
        <v>#N/A</v>
      </c>
      <c r="CN151" s="22" t="e">
        <f t="shared" si="120"/>
        <v>#N/A</v>
      </c>
      <c r="CO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35">
      <c r="A152" s="10">
        <f t="shared" si="139"/>
        <v>149</v>
      </c>
      <c r="B152" s="72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1">
        <f t="shared" si="140"/>
        <v>0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66">
        <f t="shared" si="110"/>
        <v>256.66666666666669</v>
      </c>
      <c r="I152" s="6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10.201000000000011</v>
      </c>
      <c r="N152" s="13">
        <f>IF('Données projet'!$A$36&gt;35,N151+M152-V151,IF(A152&lt;'Données projet'!$A$36,$K$205^A152,IF(A152='Données projet'!$A$36,'Données projet'!$B$36,N151+M152-V151)))</f>
        <v>662.92899999999986</v>
      </c>
      <c r="O152" s="13">
        <f>N152*VLOOKUP('Données projet'!$B$9,Paramètres!$A$1:$I$89,3,0)*VLOOKUP('Données projet'!$B$9,Paramètres!$A$1:$I$89,5,0)</f>
        <v>599.81815919999985</v>
      </c>
      <c r="P152" s="13">
        <f t="shared" si="141"/>
        <v>131.28351376865865</v>
      </c>
      <c r="Q152" s="20">
        <f t="shared" si="108"/>
        <v>1273.3354137537467</v>
      </c>
      <c r="R152" s="59">
        <f t="shared" si="109"/>
        <v>1566.66874708708</v>
      </c>
      <c r="S152" s="59">
        <f ca="1">AVERAGE(OFFSET($R$3,0,0,'Données projet'!$E$9+1,1))-AVERAGE(OFFSET($H$3,0,0,'Données projet'!$E$9+1,1))</f>
        <v>700.22008319944644</v>
      </c>
      <c r="T152" s="59">
        <f t="shared" si="142"/>
        <v>253.69632671986739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126.95088939962281</v>
      </c>
      <c r="AA152" s="21">
        <f>EXP(-LN(2)/25)*AA151+(1-EXP(-LN(2)/25))/(LN(2)/25)*Calculateur!V152*Calculateur!X152*VLOOKUP('Données projet'!$B$9,Paramètres!$A$1:$I$89,3,0)*0.475*44/12</f>
        <v>0</v>
      </c>
      <c r="AB152" s="21">
        <f>EXP(-LN(2)/2)*AB151+(1-EXP(-LN(2)/2))/(LN(2)/2)*V152*Y152*VLOOKUP('Données projet'!$B$9,Paramètres!$A$1:$I$89,3,0)*0.475*44/12</f>
        <v>0</v>
      </c>
      <c r="AC152" s="22">
        <f t="shared" si="111"/>
        <v>126.95088939962281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10.201000000000011</v>
      </c>
      <c r="AI152" s="13">
        <f>IF('Données projet'!$A$62&gt;35,AI151+AH152-AQ151,IF(A152&lt;'Données projet'!$A$62,$AF$205^A152,IF(A152='Données projet'!$A$62,'Données projet'!$B$62,AI151+AH152-AQ151)))</f>
        <v>662.92899999999986</v>
      </c>
      <c r="AJ152" s="13">
        <f>AI152*VLOOKUP('Données projet'!$B$10,Paramètres!$A$1:$I$89,3,0)*VLOOKUP('Données projet'!$B$10,Paramètres!$A$1:$I$89,5,0)</f>
        <v>630.84323639999991</v>
      </c>
      <c r="AK152" s="13">
        <f t="shared" si="143"/>
        <v>137.26589910322167</v>
      </c>
      <c r="AL152" s="20">
        <f t="shared" si="112"/>
        <v>1337.7900776681106</v>
      </c>
      <c r="AM152" s="59">
        <f t="shared" si="113"/>
        <v>1631.1234110014439</v>
      </c>
      <c r="AN152" s="59">
        <f ca="1">AVERAGE(OFFSET($AM$3,0,0,'Données projet'!$E$10+1,1))-AVERAGE(OFFSET($H$3,0,0,'Données projet'!$E$10+1,1))</f>
        <v>733.95677909577444</v>
      </c>
      <c r="AO152" s="59">
        <f t="shared" si="144"/>
        <v>264.63778993239799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133.51731471339642</v>
      </c>
      <c r="AV152" s="21">
        <f>EXP(-LN(2)/25)*AV151+(1-EXP(-LN(2)/25))/(LN(2)/25)*Calculateur!AQ152*Calculateur!AS152*VLOOKUP('Données projet'!$B$10,Paramètres!$A$1:$I$89,3,0)*0.475*44/12</f>
        <v>0</v>
      </c>
      <c r="AW152" s="21">
        <f>EXP(-LN(2)/2)*AW151+(1-EXP(-LN(2)/2))/(LN(2)/2)*AQ152*AT152*VLOOKUP('Données projet'!$B$10,Paramètres!$A$1:$I$89,3,0)*0.475*44/12</f>
        <v>0</v>
      </c>
      <c r="AX152" s="21">
        <f t="shared" si="114"/>
        <v>133.51731471339642</v>
      </c>
      <c r="AY152" s="7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0</v>
      </c>
      <c r="BE152" s="13">
        <f>BD152*VLOOKUP('Données projet'!$B$11,Paramètres!$A$1:$I$89,3,0)*VLOOKUP('Données projet'!$B$11,Paramètres!$A$1:$I$89,5,0)</f>
        <v>0</v>
      </c>
      <c r="BF152" s="13" t="e">
        <f t="shared" si="145"/>
        <v>#NUM!</v>
      </c>
      <c r="BG152" s="20" t="e">
        <f t="shared" si="115"/>
        <v>#NUM!</v>
      </c>
      <c r="BH152" s="59" t="e">
        <f t="shared" si="116"/>
        <v>#NUM!</v>
      </c>
      <c r="BI152" s="59">
        <f ca="1">AVERAGE(OFFSET($BH$3,0,0,'Données projet'!$E$11+1,1))-AVERAGE(OFFSET($H$3,0,0,'Données projet'!$E$11+1,1))</f>
        <v>187.80389738728508</v>
      </c>
      <c r="BJ152" s="59">
        <f t="shared" si="146"/>
        <v>439.28159165815265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11.700371566652667</v>
      </c>
      <c r="BQ152" s="21">
        <f>EXP(-LN(2)/25)*BQ151+(1-EXP(-LN(2)/25))/(LN(2)/25)*Calculateur!BL152*Calculateur!BN152*VLOOKUP('Données projet'!$B$11,Paramètres!$A$1:$I$89,3,0)*0.475*44/12</f>
        <v>0.53060928519768602</v>
      </c>
      <c r="BR152" s="21">
        <f>EXP(-LN(2)/2)*BR151+(1-EXP(-LN(2)/2))/(LN(2)/2)*BL152*BO152*VLOOKUP('Données projet'!$B$11,Paramètres!$A$1:$I$89,3,0)*0.475*44/12</f>
        <v>5.5151958243676612E-20</v>
      </c>
      <c r="BS152" s="22">
        <f t="shared" si="117"/>
        <v>12.230980851850353</v>
      </c>
      <c r="BT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0</v>
      </c>
      <c r="BZ152" s="13" t="e">
        <f>BY152*VLOOKUP('Données projet'!$B$12,Paramètres!$A$1:$I$89,3,0)*VLOOKUP('Données projet'!$B$12,Paramètres!$A$1:$I$89,5,0)</f>
        <v>#N/A</v>
      </c>
      <c r="CA152" s="13" t="e">
        <f t="shared" si="147"/>
        <v>#N/A</v>
      </c>
      <c r="CB152" s="20" t="e">
        <f t="shared" si="118"/>
        <v>#N/A</v>
      </c>
      <c r="CC152" s="59" t="e">
        <f t="shared" si="119"/>
        <v>#N/A</v>
      </c>
      <c r="CD152" s="59" t="e">
        <f ca="1">AVERAGE(OFFSET($CC$3,0,0,'Données projet'!$E$12+1,1))-AVERAGE(OFFSET($H$3,0,0,'Données projet'!$E$12+1,1))</f>
        <v>#N/A</v>
      </c>
      <c r="CE152" s="59" t="e">
        <f t="shared" si="148"/>
        <v>#N/A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 t="e">
        <f>EXP(-LN(2)/35)*CK151+(1-EXP(-LN(2)/35))/(LN(2)/35)*CG152*CH152*VLOOKUP('Données projet'!$B$12,Paramètres!$A$1:$I$89,3,0)*0.475*44/12</f>
        <v>#N/A</v>
      </c>
      <c r="CL152" s="21" t="e">
        <f>EXP(-LN(2)/25)*CL151+(1-EXP(-LN(2)/25))/(LN(2)/25)*Calculateur!CG152*Calculateur!CI152*VLOOKUP('Données projet'!$B$12,Paramètres!$A$1:$I$89,3,0)*0.475*44/12</f>
        <v>#N/A</v>
      </c>
      <c r="CM152" s="21" t="e">
        <f>EXP(-LN(2)/2)*CM151+(1-EXP(-LN(2)/2))/(LN(2)/2)*CG152*CJ152*VLOOKUP('Données projet'!$B$12,Paramètres!$A$1:$I$89,3,0)*0.475*44/12</f>
        <v>#N/A</v>
      </c>
      <c r="CN152" s="22" t="e">
        <f t="shared" si="120"/>
        <v>#N/A</v>
      </c>
      <c r="CO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35">
      <c r="A153" s="10">
        <f>A152+1</f>
        <v>150</v>
      </c>
      <c r="B153" s="72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1">
        <f t="shared" si="140"/>
        <v>0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66">
        <f t="shared" si="110"/>
        <v>256.66666666666669</v>
      </c>
      <c r="I153" s="6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>
        <f>VLOOKUP(A153,'Données projet'!$A$35:$I$55,2,0)</f>
        <v>673.13</v>
      </c>
      <c r="L153" s="12">
        <f>VLOOKUP(A153,'Données projet'!$A$35:$I$55,9,0)</f>
        <v>10.201000000000011</v>
      </c>
      <c r="M153" s="12">
        <f t="array" ref="M153">INDEX(L:L,MIN(IF(ISNUMBER(L153:L349),ROW(L153:L349),"")))</f>
        <v>10.201000000000011</v>
      </c>
      <c r="N153" s="13">
        <f>IF('Données projet'!$A$36&gt;35,N152+M153-V152,IF(A153&lt;'Données projet'!$A$36,$K$205^A153,IF(A153='Données projet'!$A$36,'Données projet'!$B$36,N152+M153-V152)))</f>
        <v>673.12999999999988</v>
      </c>
      <c r="O153" s="13">
        <f>N153*VLOOKUP('Données projet'!$B$9,Paramètres!$A$1:$I$89,3,0)*VLOOKUP('Données projet'!$B$9,Paramètres!$A$1:$I$89,5,0)</f>
        <v>609.04802399999994</v>
      </c>
      <c r="P153" s="13">
        <f t="shared" si="141"/>
        <v>133.06693825647992</v>
      </c>
      <c r="Q153" s="20">
        <f t="shared" si="108"/>
        <v>1292.5168925967025</v>
      </c>
      <c r="R153" s="59">
        <f t="shared" si="109"/>
        <v>1585.8502259300358</v>
      </c>
      <c r="S153" s="59">
        <f ca="1">AVERAGE(OFFSET($R$3,0,0,'Données projet'!$E$9+1,1))-AVERAGE(OFFSET($H$3,0,0,'Données projet'!$E$9+1,1))</f>
        <v>700.22008319944644</v>
      </c>
      <c r="T153" s="59">
        <f t="shared" si="142"/>
        <v>253.69632671986739</v>
      </c>
      <c r="U153" s="15">
        <f>IF(ISNA(VLOOKUP(A153,'Données projet'!$A$35:$I$55,3,0)),0,VLOOKUP(A153,'Données projet'!$A$35:$I$55,3,0))</f>
        <v>14</v>
      </c>
      <c r="V153" s="15">
        <f>IF(ISNA(VLOOKUP(A153,'Données projet'!$A$35:$I$55,4,0)),0,VLOOKUP(A153,'Données projet'!$A$35:$I$55,4,0))</f>
        <v>234.51</v>
      </c>
      <c r="W153" s="16">
        <f>IF(ISNA(VLOOKUP(A153,'Données projet'!$A$35:$I$55,5,0)),0%,VLOOKUP(A153,'Données projet'!$A$35:$I$55,5,0)*VLOOKUP('Données projet'!$B$9,Paramètres!$A$1:$I$89,7,0))</f>
        <v>0.43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225.32391253381184</v>
      </c>
      <c r="AA153" s="21">
        <f>EXP(-LN(2)/25)*AA152+(1-EXP(-LN(2)/25))/(LN(2)/25)*Calculateur!V153*Calculateur!X153*VLOOKUP('Données projet'!$B$9,Paramètres!$A$1:$I$89,3,0)*0.475*44/12</f>
        <v>0</v>
      </c>
      <c r="AB153" s="21">
        <f>EXP(-LN(2)/2)*AB152+(1-EXP(-LN(2)/2))/(LN(2)/2)*V153*Y153*VLOOKUP('Données projet'!$B$9,Paramètres!$A$1:$I$89,3,0)*0.475*44/12</f>
        <v>0</v>
      </c>
      <c r="AC153" s="22">
        <f t="shared" si="111"/>
        <v>225.32391253381184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>
        <f>VLOOKUP(A153,'Données projet'!$A$61:$I$81,2,0)</f>
        <v>673.13</v>
      </c>
      <c r="AG153" s="12">
        <f>VLOOKUP(A153,'Données projet'!$A$61:$I$81,9,0)</f>
        <v>10.201000000000011</v>
      </c>
      <c r="AH153" s="12">
        <f t="array" ref="AH153">INDEX(AG:AG,MIN(IF(ISNUMBER(AG153:AG349),ROW(AG153:AG349),"")))</f>
        <v>10.201000000000011</v>
      </c>
      <c r="AI153" s="13">
        <f>IF('Données projet'!$A$62&gt;35,AI152+AH153-AQ152,IF(A153&lt;'Données projet'!$A$62,$AF$205^A153,IF(A153='Données projet'!$A$62,'Données projet'!$B$62,AI152+AH153-AQ152)))</f>
        <v>673.12999999999988</v>
      </c>
      <c r="AJ153" s="13">
        <f>AI153*VLOOKUP('Données projet'!$B$10,Paramètres!$A$1:$I$89,3,0)*VLOOKUP('Données projet'!$B$10,Paramètres!$A$1:$I$89,5,0)</f>
        <v>640.55050799999992</v>
      </c>
      <c r="AK153" s="13">
        <f t="shared" si="143"/>
        <v>139.13059146844043</v>
      </c>
      <c r="AL153" s="20">
        <f t="shared" si="112"/>
        <v>1357.9445815742004</v>
      </c>
      <c r="AM153" s="59">
        <f t="shared" si="113"/>
        <v>1651.2779149075336</v>
      </c>
      <c r="AN153" s="59">
        <f ca="1">AVERAGE(OFFSET($AM$3,0,0,'Données projet'!$E$10+1,1))-AVERAGE(OFFSET($H$3,0,0,'Données projet'!$E$10+1,1))</f>
        <v>733.95677909577444</v>
      </c>
      <c r="AO153" s="59">
        <f t="shared" si="144"/>
        <v>264.63778993239799</v>
      </c>
      <c r="AP153" s="15">
        <f>IF(ISNA(VLOOKUP(A153,'Données projet'!$A$61:$I$81,3,0)),0,VLOOKUP(A153,'Données projet'!$A$61:$I$81,3,0))</f>
        <v>14</v>
      </c>
      <c r="AQ153" s="15">
        <f>IF(ISNA(VLOOKUP(A153,'Données projet'!$A$61:$I$81,4,0)),0,VLOOKUP(A153,'Données projet'!$A$61:$I$81,4,0))</f>
        <v>234.51</v>
      </c>
      <c r="AR153" s="16">
        <f>IF(ISNA(VLOOKUP(A153,'Données projet'!$A$61:$I$81,5,0)),0%,VLOOKUP(A153,'Données projet'!$A$61:$I$81,5,0)*VLOOKUP('Données projet'!$B$10,Paramètres!$A$1:$I$89,7,0))</f>
        <v>0.43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236.97859766487113</v>
      </c>
      <c r="AV153" s="21">
        <f>EXP(-LN(2)/25)*AV152+(1-EXP(-LN(2)/25))/(LN(2)/25)*Calculateur!AQ153*Calculateur!AS153*VLOOKUP('Données projet'!$B$10,Paramètres!$A$1:$I$89,3,0)*0.475*44/12</f>
        <v>0</v>
      </c>
      <c r="AW153" s="21">
        <f>EXP(-LN(2)/2)*AW152+(1-EXP(-LN(2)/2))/(LN(2)/2)*AQ153*AT153*VLOOKUP('Données projet'!$B$10,Paramètres!$A$1:$I$89,3,0)*0.475*44/12</f>
        <v>0</v>
      </c>
      <c r="AX153" s="21">
        <f t="shared" si="114"/>
        <v>236.97859766487113</v>
      </c>
      <c r="AY153" s="7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0</v>
      </c>
      <c r="BE153" s="13">
        <f>BD153*VLOOKUP('Données projet'!$B$11,Paramètres!$A$1:$I$89,3,0)*VLOOKUP('Données projet'!$B$11,Paramètres!$A$1:$I$89,5,0)</f>
        <v>0</v>
      </c>
      <c r="BF153" s="13" t="e">
        <f t="shared" si="145"/>
        <v>#NUM!</v>
      </c>
      <c r="BG153" s="20" t="e">
        <f t="shared" si="115"/>
        <v>#NUM!</v>
      </c>
      <c r="BH153" s="59" t="e">
        <f t="shared" si="116"/>
        <v>#NUM!</v>
      </c>
      <c r="BI153" s="59">
        <f ca="1">AVERAGE(OFFSET($BH$3,0,0,'Données projet'!$E$11+1,1))-AVERAGE(OFFSET($H$3,0,0,'Données projet'!$E$11+1,1))</f>
        <v>187.80389738728508</v>
      </c>
      <c r="BJ153" s="59">
        <f t="shared" si="146"/>
        <v>439.28159165815265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11.470934416752591</v>
      </c>
      <c r="BQ153" s="21">
        <f>EXP(-LN(2)/25)*BQ152+(1-EXP(-LN(2)/25))/(LN(2)/25)*Calculateur!BL153*Calculateur!BN153*VLOOKUP('Données projet'!$B$11,Paramètres!$A$1:$I$89,3,0)*0.475*44/12</f>
        <v>0.51609974639042566</v>
      </c>
      <c r="BR153" s="21">
        <f>EXP(-LN(2)/2)*BR152+(1-EXP(-LN(2)/2))/(LN(2)/2)*BL153*BO153*VLOOKUP('Données projet'!$B$11,Paramètres!$A$1:$I$89,3,0)*0.475*44/12</f>
        <v>3.8998323669821044E-20</v>
      </c>
      <c r="BS153" s="22">
        <f t="shared" si="117"/>
        <v>11.987034163143017</v>
      </c>
      <c r="BT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0</v>
      </c>
      <c r="BZ153" s="13" t="e">
        <f>BY153*VLOOKUP('Données projet'!$B$12,Paramètres!$A$1:$I$89,3,0)*VLOOKUP('Données projet'!$B$12,Paramètres!$A$1:$I$89,5,0)</f>
        <v>#N/A</v>
      </c>
      <c r="CA153" s="13" t="e">
        <f t="shared" si="147"/>
        <v>#N/A</v>
      </c>
      <c r="CB153" s="20" t="e">
        <f t="shared" si="118"/>
        <v>#N/A</v>
      </c>
      <c r="CC153" s="59" t="e">
        <f t="shared" si="119"/>
        <v>#N/A</v>
      </c>
      <c r="CD153" s="59" t="e">
        <f ca="1">AVERAGE(OFFSET($CC$3,0,0,'Données projet'!$E$12+1,1))-AVERAGE(OFFSET($H$3,0,0,'Données projet'!$E$12+1,1))</f>
        <v>#N/A</v>
      </c>
      <c r="CE153" s="59" t="e">
        <f t="shared" si="148"/>
        <v>#N/A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 t="e">
        <f>EXP(-LN(2)/35)*CK152+(1-EXP(-LN(2)/35))/(LN(2)/35)*CG153*CH153*VLOOKUP('Données projet'!$B$12,Paramètres!$A$1:$I$89,3,0)*0.475*44/12</f>
        <v>#N/A</v>
      </c>
      <c r="CL153" s="21" t="e">
        <f>EXP(-LN(2)/25)*CL152+(1-EXP(-LN(2)/25))/(LN(2)/25)*Calculateur!CG153*Calculateur!CI153*VLOOKUP('Données projet'!$B$12,Paramètres!$A$1:$I$89,3,0)*0.475*44/12</f>
        <v>#N/A</v>
      </c>
      <c r="CM153" s="21" t="e">
        <f>EXP(-LN(2)/2)*CM152+(1-EXP(-LN(2)/2))/(LN(2)/2)*CG153*CJ153*VLOOKUP('Données projet'!$B$12,Paramètres!$A$1:$I$89,3,0)*0.475*44/12</f>
        <v>#N/A</v>
      </c>
      <c r="CN153" s="22" t="e">
        <f t="shared" si="120"/>
        <v>#N/A</v>
      </c>
      <c r="CO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35">
      <c r="A154" s="10">
        <f t="shared" ref="A154:A202" si="161">A153+1</f>
        <v>151</v>
      </c>
      <c r="B154" s="72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1">
        <f t="shared" si="140"/>
        <v>0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66">
        <f t="shared" si="110"/>
        <v>256.66666666666669</v>
      </c>
      <c r="I154" s="6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-1.216666666666659</v>
      </c>
      <c r="N154" s="13">
        <f>IF('Données projet'!$A$36&gt;35,N153+M154-V153,IF(A154&lt;'Données projet'!$A$36,$K$205^A154,IF(A154='Données projet'!$A$36,'Données projet'!$B$36,N153+M154-V153)))</f>
        <v>437.40333333333319</v>
      </c>
      <c r="O154" s="13">
        <f>N154*VLOOKUP('Données projet'!$B$9,Paramètres!$A$1:$I$89,3,0)*VLOOKUP('Données projet'!$B$9,Paramètres!$A$1:$I$89,5,0)</f>
        <v>395.76253599999984</v>
      </c>
      <c r="P154" s="13">
        <f t="shared" si="141"/>
        <v>90.917052658600085</v>
      </c>
      <c r="Q154" s="20">
        <f t="shared" ref="Q154:Q203" si="162">(O154+P154)*0.475*44/12</f>
        <v>847.63361691372813</v>
      </c>
      <c r="R154" s="59">
        <f t="shared" si="109"/>
        <v>1140.9669502470615</v>
      </c>
      <c r="S154" s="59">
        <f ca="1">AVERAGE(OFFSET($R$3,0,0,'Données projet'!$E$9+1,1))-AVERAGE(OFFSET($H$3,0,0,'Données projet'!$E$9+1,1))</f>
        <v>700.22008319944644</v>
      </c>
      <c r="T154" s="59">
        <f t="shared" si="142"/>
        <v>253.69632671986739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220.90544804303994</v>
      </c>
      <c r="AA154" s="21">
        <f>EXP(-LN(2)/25)*AA153+(1-EXP(-LN(2)/25))/(LN(2)/25)*Calculateur!V154*Calculateur!X154*VLOOKUP('Données projet'!$B$9,Paramètres!$A$1:$I$89,3,0)*0.475*44/12</f>
        <v>0</v>
      </c>
      <c r="AB154" s="21">
        <f>EXP(-LN(2)/2)*AB153+(1-EXP(-LN(2)/2))/(LN(2)/2)*V154*Y154*VLOOKUP('Données projet'!$B$9,Paramètres!$A$1:$I$89,3,0)*0.475*44/12</f>
        <v>0</v>
      </c>
      <c r="AC154" s="22">
        <f t="shared" ref="AC154:AC203" si="163">SUM(Z154:AB154)</f>
        <v>220.90544804303994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-1.216666666666659</v>
      </c>
      <c r="AI154" s="13">
        <f>IF('Données projet'!$A$62&gt;35,AI153+AH154-AQ153,IF(A154&lt;'Données projet'!$A$62,$AF$205^A154,IF(A154='Données projet'!$A$62,'Données projet'!$B$62,AI153+AH154-AQ153)))</f>
        <v>437.40333333333319</v>
      </c>
      <c r="AJ154" s="13">
        <f>AI154*VLOOKUP('Données projet'!$B$10,Paramètres!$A$1:$I$89,3,0)*VLOOKUP('Données projet'!$B$10,Paramètres!$A$1:$I$89,5,0)</f>
        <v>416.23301199999986</v>
      </c>
      <c r="AK154" s="13">
        <f t="shared" ref="AK154:AK203" si="164">EXP(-1.0587+0.8836*LN(AJ154)+0.284)</f>
        <v>95.06000120463716</v>
      </c>
      <c r="AL154" s="20">
        <f t="shared" ref="AL154:AL203" si="165">(AJ154+AK154)*0.475*44/12</f>
        <v>890.50199799807615</v>
      </c>
      <c r="AM154" s="59">
        <f t="shared" si="113"/>
        <v>1183.8353313314094</v>
      </c>
      <c r="AN154" s="59">
        <f ca="1">AVERAGE(OFFSET($AM$3,0,0,'Données projet'!$E$10+1,1))-AVERAGE(OFFSET($H$3,0,0,'Données projet'!$E$10+1,1))</f>
        <v>733.95677909577444</v>
      </c>
      <c r="AO154" s="59">
        <f t="shared" si="144"/>
        <v>264.63778993239799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232.33159190733517</v>
      </c>
      <c r="AV154" s="21">
        <f>EXP(-LN(2)/25)*AV153+(1-EXP(-LN(2)/25))/(LN(2)/25)*Calculateur!AQ154*Calculateur!AS154*VLOOKUP('Données projet'!$B$10,Paramètres!$A$1:$I$89,3,0)*0.475*44/12</f>
        <v>0</v>
      </c>
      <c r="AW154" s="21">
        <f>EXP(-LN(2)/2)*AW153+(1-EXP(-LN(2)/2))/(LN(2)/2)*AQ154*AT154*VLOOKUP('Données projet'!$B$10,Paramètres!$A$1:$I$89,3,0)*0.475*44/12</f>
        <v>0</v>
      </c>
      <c r="AX154" s="21">
        <f t="shared" ref="AX154:AX203" si="166">SUM(AU154:AW154)</f>
        <v>232.33159190733517</v>
      </c>
      <c r="AY154" s="7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0</v>
      </c>
      <c r="BE154" s="13">
        <f>BD154*VLOOKUP('Données projet'!$B$11,Paramètres!$A$1:$I$89,3,0)*VLOOKUP('Données projet'!$B$11,Paramètres!$A$1:$I$89,5,0)</f>
        <v>0</v>
      </c>
      <c r="BF154" s="13" t="e">
        <f t="shared" ref="BF154:BF203" si="167">EXP(-1.0587+0.8836*LN(BE154)+0.284)</f>
        <v>#NUM!</v>
      </c>
      <c r="BG154" s="20" t="e">
        <f t="shared" ref="BG154:BG203" si="168">(BE154+BF154)*0.475*44/12</f>
        <v>#NUM!</v>
      </c>
      <c r="BH154" s="59" t="e">
        <f t="shared" si="116"/>
        <v>#NUM!</v>
      </c>
      <c r="BI154" s="59">
        <f ca="1">AVERAGE(OFFSET($BH$3,0,0,'Données projet'!$E$11+1,1))-AVERAGE(OFFSET($H$3,0,0,'Données projet'!$E$11+1,1))</f>
        <v>187.80389738728508</v>
      </c>
      <c r="BJ154" s="59">
        <f t="shared" si="146"/>
        <v>439.28159165815265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11.245996389419213</v>
      </c>
      <c r="BQ154" s="21">
        <f>EXP(-LN(2)/25)*BQ153+(1-EXP(-LN(2)/25))/(LN(2)/25)*Calculateur!BL154*Calculateur!BN154*VLOOKUP('Données projet'!$B$11,Paramètres!$A$1:$I$89,3,0)*0.475*44/12</f>
        <v>0.50198697168487338</v>
      </c>
      <c r="BR154" s="21">
        <f>EXP(-LN(2)/2)*BR153+(1-EXP(-LN(2)/2))/(LN(2)/2)*BL154*BO154*VLOOKUP('Données projet'!$B$11,Paramètres!$A$1:$I$89,3,0)*0.475*44/12</f>
        <v>2.7575979121838306E-20</v>
      </c>
      <c r="BS154" s="22">
        <f t="shared" ref="BS154:BS203" si="169">SUM(BP154:BR154)</f>
        <v>11.747983361104087</v>
      </c>
      <c r="BT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0</v>
      </c>
      <c r="BZ154" s="13" t="e">
        <f>BY154*VLOOKUP('Données projet'!$B$12,Paramètres!$A$1:$I$89,3,0)*VLOOKUP('Données projet'!$B$12,Paramètres!$A$1:$I$89,5,0)</f>
        <v>#N/A</v>
      </c>
      <c r="CA154" s="13" t="e">
        <f t="shared" ref="CA154:CA203" si="170">EXP(-1.0587+0.8836*LN(BZ154)+0.284)</f>
        <v>#N/A</v>
      </c>
      <c r="CB154" s="20" t="e">
        <f t="shared" ref="CB154:CB203" si="171">(BZ154+CA154)*0.475*44/12</f>
        <v>#N/A</v>
      </c>
      <c r="CC154" s="59" t="e">
        <f t="shared" si="119"/>
        <v>#N/A</v>
      </c>
      <c r="CD154" s="59" t="e">
        <f ca="1">AVERAGE(OFFSET($CC$3,0,0,'Données projet'!$E$12+1,1))-AVERAGE(OFFSET($H$3,0,0,'Données projet'!$E$12+1,1))</f>
        <v>#N/A</v>
      </c>
      <c r="CE154" s="59" t="e">
        <f t="shared" si="148"/>
        <v>#N/A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 t="e">
        <f>EXP(-LN(2)/35)*CK153+(1-EXP(-LN(2)/35))/(LN(2)/35)*CG154*CH154*VLOOKUP('Données projet'!$B$12,Paramètres!$A$1:$I$89,3,0)*0.475*44/12</f>
        <v>#N/A</v>
      </c>
      <c r="CL154" s="21" t="e">
        <f>EXP(-LN(2)/25)*CL153+(1-EXP(-LN(2)/25))/(LN(2)/25)*Calculateur!CG154*Calculateur!CI154*VLOOKUP('Données projet'!$B$12,Paramètres!$A$1:$I$89,3,0)*0.475*44/12</f>
        <v>#N/A</v>
      </c>
      <c r="CM154" s="21" t="e">
        <f>EXP(-LN(2)/2)*CM153+(1-EXP(-LN(2)/2))/(LN(2)/2)*CG154*CJ154*VLOOKUP('Données projet'!$B$12,Paramètres!$A$1:$I$89,3,0)*0.475*44/12</f>
        <v>#N/A</v>
      </c>
      <c r="CN154" s="22" t="e">
        <f t="shared" ref="CN154:CN203" si="172">SUM(CK154:CM154)</f>
        <v>#N/A</v>
      </c>
      <c r="CO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35">
      <c r="A155" s="10">
        <f t="shared" si="161"/>
        <v>152</v>
      </c>
      <c r="B155" s="72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1">
        <f t="shared" si="140"/>
        <v>0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66">
        <f t="shared" si="110"/>
        <v>256.66666666666669</v>
      </c>
      <c r="I155" s="6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-1.216666666666659</v>
      </c>
      <c r="N155" s="13">
        <f>IF('Données projet'!$A$36&gt;35,N154+M155-V154,IF(A155&lt;'Données projet'!$A$36,$K$205^A155,IF(A155='Données projet'!$A$36,'Données projet'!$B$36,N154+M155-V154)))</f>
        <v>436.18666666666655</v>
      </c>
      <c r="O155" s="13">
        <f>N155*VLOOKUP('Données projet'!$B$9,Paramètres!$A$1:$I$89,3,0)*VLOOKUP('Données projet'!$B$9,Paramètres!$A$1:$I$89,5,0)</f>
        <v>394.66169599999989</v>
      </c>
      <c r="P155" s="13">
        <f t="shared" si="141"/>
        <v>90.693561189231957</v>
      </c>
      <c r="Q155" s="20">
        <f t="shared" si="162"/>
        <v>845.32707293791202</v>
      </c>
      <c r="R155" s="59">
        <f t="shared" si="109"/>
        <v>1138.6604062712454</v>
      </c>
      <c r="S155" s="59">
        <f ca="1">AVERAGE(OFFSET($R$3,0,0,'Données projet'!$E$9+1,1))-AVERAGE(OFFSET($H$3,0,0,'Données projet'!$E$9+1,1))</f>
        <v>700.22008319944644</v>
      </c>
      <c r="T155" s="59">
        <f t="shared" si="142"/>
        <v>253.69632671986739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216.57362694593485</v>
      </c>
      <c r="AA155" s="21">
        <f>EXP(-LN(2)/25)*AA154+(1-EXP(-LN(2)/25))/(LN(2)/25)*Calculateur!V155*Calculateur!X155*VLOOKUP('Données projet'!$B$9,Paramètres!$A$1:$I$89,3,0)*0.475*44/12</f>
        <v>0</v>
      </c>
      <c r="AB155" s="21">
        <f>EXP(-LN(2)/2)*AB154+(1-EXP(-LN(2)/2))/(LN(2)/2)*V155*Y155*VLOOKUP('Données projet'!$B$9,Paramètres!$A$1:$I$89,3,0)*0.475*44/12</f>
        <v>0</v>
      </c>
      <c r="AC155" s="22">
        <f t="shared" si="163"/>
        <v>216.57362694593485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-1.216666666666659</v>
      </c>
      <c r="AI155" s="13">
        <f>IF('Données projet'!$A$62&gt;35,AI154+AH155-AQ154,IF(A155&lt;'Données projet'!$A$62,$AF$205^A155,IF(A155='Données projet'!$A$62,'Données projet'!$B$62,AI154+AH155-AQ154)))</f>
        <v>436.18666666666655</v>
      </c>
      <c r="AJ155" s="13">
        <f>AI155*VLOOKUP('Données projet'!$B$10,Paramètres!$A$1:$I$89,3,0)*VLOOKUP('Données projet'!$B$10,Paramètres!$A$1:$I$89,5,0)</f>
        <v>415.07523199999991</v>
      </c>
      <c r="AK155" s="13">
        <f t="shared" si="164"/>
        <v>94.826325576951163</v>
      </c>
      <c r="AL155" s="20">
        <f t="shared" si="165"/>
        <v>888.07854611318987</v>
      </c>
      <c r="AM155" s="59">
        <f t="shared" si="113"/>
        <v>1181.4118794465232</v>
      </c>
      <c r="AN155" s="59">
        <f ca="1">AVERAGE(OFFSET($AM$3,0,0,'Données projet'!$E$10+1,1))-AVERAGE(OFFSET($H$3,0,0,'Données projet'!$E$10+1,1))</f>
        <v>733.95677909577444</v>
      </c>
      <c r="AO155" s="59">
        <f t="shared" si="144"/>
        <v>264.63778993239799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227.77571109831086</v>
      </c>
      <c r="AV155" s="21">
        <f>EXP(-LN(2)/25)*AV154+(1-EXP(-LN(2)/25))/(LN(2)/25)*Calculateur!AQ155*Calculateur!AS155*VLOOKUP('Données projet'!$B$10,Paramètres!$A$1:$I$89,3,0)*0.475*44/12</f>
        <v>0</v>
      </c>
      <c r="AW155" s="21">
        <f>EXP(-LN(2)/2)*AW154+(1-EXP(-LN(2)/2))/(LN(2)/2)*AQ155*AT155*VLOOKUP('Données projet'!$B$10,Paramètres!$A$1:$I$89,3,0)*0.475*44/12</f>
        <v>0</v>
      </c>
      <c r="AX155" s="21">
        <f t="shared" si="166"/>
        <v>227.77571109831086</v>
      </c>
      <c r="AY155" s="7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0</v>
      </c>
      <c r="BE155" s="13">
        <f>BD155*VLOOKUP('Données projet'!$B$11,Paramètres!$A$1:$I$89,3,0)*VLOOKUP('Données projet'!$B$11,Paramètres!$A$1:$I$89,5,0)</f>
        <v>0</v>
      </c>
      <c r="BF155" s="13" t="e">
        <f t="shared" si="167"/>
        <v>#NUM!</v>
      </c>
      <c r="BG155" s="20" t="e">
        <f t="shared" si="168"/>
        <v>#NUM!</v>
      </c>
      <c r="BH155" s="59" t="e">
        <f t="shared" si="116"/>
        <v>#NUM!</v>
      </c>
      <c r="BI155" s="59">
        <f ca="1">AVERAGE(OFFSET($BH$3,0,0,'Données projet'!$E$11+1,1))-AVERAGE(OFFSET($H$3,0,0,'Données projet'!$E$11+1,1))</f>
        <v>187.80389738728508</v>
      </c>
      <c r="BJ155" s="59">
        <f t="shared" si="146"/>
        <v>439.28159165815265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11.025469259603192</v>
      </c>
      <c r="BQ155" s="21">
        <f>EXP(-LN(2)/25)*BQ154+(1-EXP(-LN(2)/25))/(LN(2)/25)*Calculateur!BL155*Calculateur!BN155*VLOOKUP('Données projet'!$B$11,Paramètres!$A$1:$I$89,3,0)*0.475*44/12</f>
        <v>0.48826011154580301</v>
      </c>
      <c r="BR155" s="21">
        <f>EXP(-LN(2)/2)*BR154+(1-EXP(-LN(2)/2))/(LN(2)/2)*BL155*BO155*VLOOKUP('Données projet'!$B$11,Paramètres!$A$1:$I$89,3,0)*0.475*44/12</f>
        <v>1.9499161834910522E-20</v>
      </c>
      <c r="BS155" s="22">
        <f t="shared" si="169"/>
        <v>11.513729371148994</v>
      </c>
      <c r="BT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0</v>
      </c>
      <c r="BZ155" s="13" t="e">
        <f>BY155*VLOOKUP('Données projet'!$B$12,Paramètres!$A$1:$I$89,3,0)*VLOOKUP('Données projet'!$B$12,Paramètres!$A$1:$I$89,5,0)</f>
        <v>#N/A</v>
      </c>
      <c r="CA155" s="13" t="e">
        <f t="shared" si="170"/>
        <v>#N/A</v>
      </c>
      <c r="CB155" s="20" t="e">
        <f t="shared" si="171"/>
        <v>#N/A</v>
      </c>
      <c r="CC155" s="59" t="e">
        <f t="shared" si="119"/>
        <v>#N/A</v>
      </c>
      <c r="CD155" s="59" t="e">
        <f ca="1">AVERAGE(OFFSET($CC$3,0,0,'Données projet'!$E$12+1,1))-AVERAGE(OFFSET($H$3,0,0,'Données projet'!$E$12+1,1))</f>
        <v>#N/A</v>
      </c>
      <c r="CE155" s="59" t="e">
        <f t="shared" si="148"/>
        <v>#N/A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 t="e">
        <f>EXP(-LN(2)/35)*CK154+(1-EXP(-LN(2)/35))/(LN(2)/35)*CG155*CH155*VLOOKUP('Données projet'!$B$12,Paramètres!$A$1:$I$89,3,0)*0.475*44/12</f>
        <v>#N/A</v>
      </c>
      <c r="CL155" s="21" t="e">
        <f>EXP(-LN(2)/25)*CL154+(1-EXP(-LN(2)/25))/(LN(2)/25)*Calculateur!CG155*Calculateur!CI155*VLOOKUP('Données projet'!$B$12,Paramètres!$A$1:$I$89,3,0)*0.475*44/12</f>
        <v>#N/A</v>
      </c>
      <c r="CM155" s="21" t="e">
        <f>EXP(-LN(2)/2)*CM154+(1-EXP(-LN(2)/2))/(LN(2)/2)*CG155*CJ155*VLOOKUP('Données projet'!$B$12,Paramètres!$A$1:$I$89,3,0)*0.475*44/12</f>
        <v>#N/A</v>
      </c>
      <c r="CN155" s="22" t="e">
        <f t="shared" si="172"/>
        <v>#N/A</v>
      </c>
      <c r="CO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35">
      <c r="A156" s="10">
        <f t="shared" si="161"/>
        <v>153</v>
      </c>
      <c r="B156" s="72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1">
        <f t="shared" si="140"/>
        <v>0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66">
        <f t="shared" si="110"/>
        <v>256.66666666666669</v>
      </c>
      <c r="I156" s="6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>
        <f>VLOOKUP(A156,'Données projet'!$A$35:$I$55,2,0)</f>
        <v>434.97</v>
      </c>
      <c r="L156" s="12">
        <f>VLOOKUP(A156,'Données projet'!$A$35:$I$55,9,0)</f>
        <v>-1.216666666666659</v>
      </c>
      <c r="M156" s="12">
        <f t="array" ref="M156">INDEX(L:L,MIN(IF(ISNUMBER(L156:L352),ROW(L156:L352),"")))</f>
        <v>-1.216666666666659</v>
      </c>
      <c r="N156" s="13">
        <f>IF('Données projet'!$A$36&gt;35,N155+M156-V155,IF(A156&lt;'Données projet'!$A$36,$K$205^A156,IF(A156='Données projet'!$A$36,'Données projet'!$B$36,N155+M156-V155)))</f>
        <v>434.96999999999991</v>
      </c>
      <c r="O156" s="13">
        <f>N156*VLOOKUP('Données projet'!$B$9,Paramètres!$A$1:$I$89,3,0)*VLOOKUP('Données projet'!$B$9,Paramètres!$A$1:$I$89,5,0)</f>
        <v>393.56085599999994</v>
      </c>
      <c r="P156" s="13">
        <f t="shared" si="141"/>
        <v>90.469997145329941</v>
      </c>
      <c r="Q156" s="20">
        <f t="shared" si="162"/>
        <v>843.02040256144949</v>
      </c>
      <c r="R156" s="59">
        <f t="shared" si="109"/>
        <v>1136.3537358947829</v>
      </c>
      <c r="S156" s="59">
        <f ca="1">AVERAGE(OFFSET($R$3,0,0,'Données projet'!$E$9+1,1))-AVERAGE(OFFSET($H$3,0,0,'Données projet'!$E$9+1,1))</f>
        <v>700.22008319944644</v>
      </c>
      <c r="T156" s="59">
        <f t="shared" si="142"/>
        <v>253.69632671986739</v>
      </c>
      <c r="U156" s="15">
        <f>IF(ISNA(VLOOKUP(A156,'Données projet'!$A$35:$I$55,3,0)),0,VLOOKUP(A156,'Données projet'!$A$35:$I$55,3,0))</f>
        <v>15</v>
      </c>
      <c r="V156" s="15">
        <f>IF(ISNA(VLOOKUP(A156,'Données projet'!$A$35:$I$55,4,0)),0,VLOOKUP(A156,'Données projet'!$A$35:$I$55,4,0))</f>
        <v>141.22</v>
      </c>
      <c r="W156" s="16">
        <f>IF(ISNA(VLOOKUP(A156,'Données projet'!$A$35:$I$55,5,0)),0%,VLOOKUP(A156,'Données projet'!$A$35:$I$55,5,0)*VLOOKUP('Données projet'!$B$9,Paramètres!$A$1:$I$89,7,0))</f>
        <v>0.43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273.06529255020507</v>
      </c>
      <c r="AA156" s="21">
        <f>EXP(-LN(2)/25)*AA155+(1-EXP(-LN(2)/25))/(LN(2)/25)*Calculateur!V156*Calculateur!X156*VLOOKUP('Données projet'!$B$9,Paramètres!$A$1:$I$89,3,0)*0.475*44/12</f>
        <v>0</v>
      </c>
      <c r="AB156" s="21">
        <f>EXP(-LN(2)/2)*AB155+(1-EXP(-LN(2)/2))/(LN(2)/2)*V156*Y156*VLOOKUP('Données projet'!$B$9,Paramètres!$A$1:$I$89,3,0)*0.475*44/12</f>
        <v>0</v>
      </c>
      <c r="AC156" s="22">
        <f t="shared" si="163"/>
        <v>273.06529255020507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>
        <f>VLOOKUP(A156,'Données projet'!$A$61:$I$81,2,0)</f>
        <v>434.97</v>
      </c>
      <c r="AG156" s="12">
        <f>VLOOKUP(A156,'Données projet'!$A$61:$I$81,9,0)</f>
        <v>-1.216666666666659</v>
      </c>
      <c r="AH156" s="12">
        <f t="array" ref="AH156">INDEX(AG:AG,MIN(IF(ISNUMBER(AG156:AG352),ROW(AG156:AG352),"")))</f>
        <v>-1.216666666666659</v>
      </c>
      <c r="AI156" s="13">
        <f>IF('Données projet'!$A$62&gt;35,AI155+AH156-AQ155,IF(A156&lt;'Données projet'!$A$62,$AF$205^A156,IF(A156='Données projet'!$A$62,'Données projet'!$B$62,AI155+AH156-AQ155)))</f>
        <v>434.96999999999991</v>
      </c>
      <c r="AJ156" s="13">
        <f>AI156*VLOOKUP('Données projet'!$B$10,Paramètres!$A$1:$I$89,3,0)*VLOOKUP('Données projet'!$B$10,Paramètres!$A$1:$I$89,5,0)</f>
        <v>413.91745199999997</v>
      </c>
      <c r="AK156" s="13">
        <f t="shared" si="164"/>
        <v>94.592574067622735</v>
      </c>
      <c r="AL156" s="20">
        <f t="shared" si="165"/>
        <v>885.65496206777607</v>
      </c>
      <c r="AM156" s="59">
        <f t="shared" si="113"/>
        <v>1178.9882954011093</v>
      </c>
      <c r="AN156" s="59">
        <f ca="1">AVERAGE(OFFSET($AM$3,0,0,'Données projet'!$E$10+1,1))-AVERAGE(OFFSET($H$3,0,0,'Données projet'!$E$10+1,1))</f>
        <v>733.95677909577444</v>
      </c>
      <c r="AO156" s="59">
        <f t="shared" si="144"/>
        <v>264.63778993239799</v>
      </c>
      <c r="AP156" s="15">
        <f>IF(ISNA(VLOOKUP(A156,'Données projet'!$A$61:$I$81,3,0)),0,VLOOKUP(A156,'Données projet'!$A$61:$I$81,3,0))</f>
        <v>15</v>
      </c>
      <c r="AQ156" s="15">
        <f>IF(ISNA(VLOOKUP(A156,'Données projet'!$A$61:$I$81,4,0)),0,VLOOKUP(A156,'Données projet'!$A$61:$I$81,4,0))</f>
        <v>141.22</v>
      </c>
      <c r="AR156" s="16">
        <f>IF(ISNA(VLOOKUP(A156,'Données projet'!$A$61:$I$81,5,0)),0%,VLOOKUP(A156,'Données projet'!$A$61:$I$81,5,0)*VLOOKUP('Données projet'!$B$10,Paramètres!$A$1:$I$89,7,0))</f>
        <v>0.43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287.18935940625022</v>
      </c>
      <c r="AV156" s="21">
        <f>EXP(-LN(2)/25)*AV155+(1-EXP(-LN(2)/25))/(LN(2)/25)*Calculateur!AQ156*Calculateur!AS156*VLOOKUP('Données projet'!$B$10,Paramètres!$A$1:$I$89,3,0)*0.475*44/12</f>
        <v>0</v>
      </c>
      <c r="AW156" s="21">
        <f>EXP(-LN(2)/2)*AW155+(1-EXP(-LN(2)/2))/(LN(2)/2)*AQ156*AT156*VLOOKUP('Données projet'!$B$10,Paramètres!$A$1:$I$89,3,0)*0.475*44/12</f>
        <v>0</v>
      </c>
      <c r="AX156" s="21">
        <f t="shared" si="166"/>
        <v>287.18935940625022</v>
      </c>
      <c r="AY156" s="7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0</v>
      </c>
      <c r="BE156" s="13">
        <f>BD156*VLOOKUP('Données projet'!$B$11,Paramètres!$A$1:$I$89,3,0)*VLOOKUP('Données projet'!$B$11,Paramètres!$A$1:$I$89,5,0)</f>
        <v>0</v>
      </c>
      <c r="BF156" s="13" t="e">
        <f t="shared" si="167"/>
        <v>#NUM!</v>
      </c>
      <c r="BG156" s="20" t="e">
        <f t="shared" si="168"/>
        <v>#NUM!</v>
      </c>
      <c r="BH156" s="59" t="e">
        <f t="shared" si="116"/>
        <v>#NUM!</v>
      </c>
      <c r="BI156" s="59">
        <f ca="1">AVERAGE(OFFSET($BH$3,0,0,'Données projet'!$E$11+1,1))-AVERAGE(OFFSET($H$3,0,0,'Données projet'!$E$11+1,1))</f>
        <v>187.80389738728508</v>
      </c>
      <c r="BJ156" s="59">
        <f t="shared" si="146"/>
        <v>439.28159165815265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10.809266532294595</v>
      </c>
      <c r="BQ156" s="21">
        <f>EXP(-LN(2)/25)*BQ155+(1-EXP(-LN(2)/25))/(LN(2)/25)*Calculateur!BL156*Calculateur!BN156*VLOOKUP('Données projet'!$B$11,Paramètres!$A$1:$I$89,3,0)*0.475*44/12</f>
        <v>0.47490861311909971</v>
      </c>
      <c r="BR156" s="21">
        <f>EXP(-LN(2)/2)*BR155+(1-EXP(-LN(2)/2))/(LN(2)/2)*BL156*BO156*VLOOKUP('Données projet'!$B$11,Paramètres!$A$1:$I$89,3,0)*0.475*44/12</f>
        <v>1.3787989560919153E-20</v>
      </c>
      <c r="BS156" s="22">
        <f t="shared" si="169"/>
        <v>11.284175145413695</v>
      </c>
      <c r="BT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0</v>
      </c>
      <c r="BZ156" s="13" t="e">
        <f>BY156*VLOOKUP('Données projet'!$B$12,Paramètres!$A$1:$I$89,3,0)*VLOOKUP('Données projet'!$B$12,Paramètres!$A$1:$I$89,5,0)</f>
        <v>#N/A</v>
      </c>
      <c r="CA156" s="13" t="e">
        <f t="shared" si="170"/>
        <v>#N/A</v>
      </c>
      <c r="CB156" s="20" t="e">
        <f t="shared" si="171"/>
        <v>#N/A</v>
      </c>
      <c r="CC156" s="59" t="e">
        <f t="shared" si="119"/>
        <v>#N/A</v>
      </c>
      <c r="CD156" s="59" t="e">
        <f ca="1">AVERAGE(OFFSET($CC$3,0,0,'Données projet'!$E$12+1,1))-AVERAGE(OFFSET($H$3,0,0,'Données projet'!$E$12+1,1))</f>
        <v>#N/A</v>
      </c>
      <c r="CE156" s="59" t="e">
        <f t="shared" si="148"/>
        <v>#N/A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 t="e">
        <f>EXP(-LN(2)/35)*CK155+(1-EXP(-LN(2)/35))/(LN(2)/35)*CG156*CH156*VLOOKUP('Données projet'!$B$12,Paramètres!$A$1:$I$89,3,0)*0.475*44/12</f>
        <v>#N/A</v>
      </c>
      <c r="CL156" s="21" t="e">
        <f>EXP(-LN(2)/25)*CL155+(1-EXP(-LN(2)/25))/(LN(2)/25)*Calculateur!CG156*Calculateur!CI156*VLOOKUP('Données projet'!$B$12,Paramètres!$A$1:$I$89,3,0)*0.475*44/12</f>
        <v>#N/A</v>
      </c>
      <c r="CM156" s="21" t="e">
        <f>EXP(-LN(2)/2)*CM155+(1-EXP(-LN(2)/2))/(LN(2)/2)*CG156*CJ156*VLOOKUP('Données projet'!$B$12,Paramètres!$A$1:$I$89,3,0)*0.475*44/12</f>
        <v>#N/A</v>
      </c>
      <c r="CN156" s="22" t="e">
        <f t="shared" si="172"/>
        <v>#N/A</v>
      </c>
      <c r="CO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35">
      <c r="A157" s="10">
        <f t="shared" si="161"/>
        <v>154</v>
      </c>
      <c r="B157" s="72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1">
        <f t="shared" si="140"/>
        <v>0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66">
        <f t="shared" si="110"/>
        <v>256.66666666666669</v>
      </c>
      <c r="I157" s="6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-0.93999999999999773</v>
      </c>
      <c r="N157" s="13">
        <f>IF('Données projet'!$A$36&gt;35,N156+M157-V156,IF(A157&lt;'Données projet'!$A$36,$K$205^A157,IF(A157='Données projet'!$A$36,'Données projet'!$B$36,N156+M157-V156)))</f>
        <v>292.80999999999995</v>
      </c>
      <c r="O157" s="13">
        <f>N157*VLOOKUP('Données projet'!$B$9,Paramètres!$A$1:$I$89,3,0)*VLOOKUP('Données projet'!$B$9,Paramètres!$A$1:$I$89,5,0)</f>
        <v>264.93448799999993</v>
      </c>
      <c r="P157" s="13">
        <f t="shared" si="141"/>
        <v>63.7730576950527</v>
      </c>
      <c r="Q157" s="20">
        <f t="shared" si="162"/>
        <v>572.49897541888333</v>
      </c>
      <c r="R157" s="59">
        <f t="shared" si="109"/>
        <v>865.8323087522167</v>
      </c>
      <c r="S157" s="59">
        <f ca="1">AVERAGE(OFFSET($R$3,0,0,'Données projet'!$E$9+1,1))-AVERAGE(OFFSET($H$3,0,0,'Données projet'!$E$9+1,1))</f>
        <v>700.22008319944644</v>
      </c>
      <c r="T157" s="59">
        <f t="shared" si="142"/>
        <v>253.69632671986739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267.71064871667824</v>
      </c>
      <c r="AA157" s="21">
        <f>EXP(-LN(2)/25)*AA156+(1-EXP(-LN(2)/25))/(LN(2)/25)*Calculateur!V157*Calculateur!X157*VLOOKUP('Données projet'!$B$9,Paramètres!$A$1:$I$89,3,0)*0.475*44/12</f>
        <v>0</v>
      </c>
      <c r="AB157" s="21">
        <f>EXP(-LN(2)/2)*AB156+(1-EXP(-LN(2)/2))/(LN(2)/2)*V157*Y157*VLOOKUP('Données projet'!$B$9,Paramètres!$A$1:$I$89,3,0)*0.475*44/12</f>
        <v>0</v>
      </c>
      <c r="AC157" s="22">
        <f t="shared" si="163"/>
        <v>267.71064871667824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-0.93999999999999773</v>
      </c>
      <c r="AI157" s="13">
        <f>IF('Données projet'!$A$62&gt;35,AI156+AH157-AQ156,IF(A157&lt;'Données projet'!$A$62,$AF$205^A157,IF(A157='Données projet'!$A$62,'Données projet'!$B$62,AI156+AH157-AQ156)))</f>
        <v>292.80999999999995</v>
      </c>
      <c r="AJ157" s="13">
        <f>AI157*VLOOKUP('Données projet'!$B$10,Paramètres!$A$1:$I$89,3,0)*VLOOKUP('Données projet'!$B$10,Paramètres!$A$1:$I$89,5,0)</f>
        <v>278.63799599999993</v>
      </c>
      <c r="AK157" s="13">
        <f t="shared" si="164"/>
        <v>66.679096649550914</v>
      </c>
      <c r="AL157" s="20">
        <f t="shared" si="165"/>
        <v>601.42726969796774</v>
      </c>
      <c r="AM157" s="59">
        <f t="shared" si="113"/>
        <v>894.76060303130112</v>
      </c>
      <c r="AN157" s="59">
        <f ca="1">AVERAGE(OFFSET($AM$3,0,0,'Données projet'!$E$10+1,1))-AVERAGE(OFFSET($H$3,0,0,'Données projet'!$E$10+1,1))</f>
        <v>733.95677909577444</v>
      </c>
      <c r="AO157" s="59">
        <f t="shared" si="144"/>
        <v>264.63778993239799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281.55775123650648</v>
      </c>
      <c r="AV157" s="21">
        <f>EXP(-LN(2)/25)*AV156+(1-EXP(-LN(2)/25))/(LN(2)/25)*Calculateur!AQ157*Calculateur!AS157*VLOOKUP('Données projet'!$B$10,Paramètres!$A$1:$I$89,3,0)*0.475*44/12</f>
        <v>0</v>
      </c>
      <c r="AW157" s="21">
        <f>EXP(-LN(2)/2)*AW156+(1-EXP(-LN(2)/2))/(LN(2)/2)*AQ157*AT157*VLOOKUP('Données projet'!$B$10,Paramètres!$A$1:$I$89,3,0)*0.475*44/12</f>
        <v>0</v>
      </c>
      <c r="AX157" s="21">
        <f t="shared" si="166"/>
        <v>281.55775123650648</v>
      </c>
      <c r="AY157" s="7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0</v>
      </c>
      <c r="BE157" s="13">
        <f>BD157*VLOOKUP('Données projet'!$B$11,Paramètres!$A$1:$I$89,3,0)*VLOOKUP('Données projet'!$B$11,Paramètres!$A$1:$I$89,5,0)</f>
        <v>0</v>
      </c>
      <c r="BF157" s="13" t="e">
        <f t="shared" si="167"/>
        <v>#NUM!</v>
      </c>
      <c r="BG157" s="20" t="e">
        <f t="shared" si="168"/>
        <v>#NUM!</v>
      </c>
      <c r="BH157" s="59" t="e">
        <f t="shared" si="116"/>
        <v>#NUM!</v>
      </c>
      <c r="BI157" s="59">
        <f ca="1">AVERAGE(OFFSET($BH$3,0,0,'Données projet'!$E$11+1,1))-AVERAGE(OFFSET($H$3,0,0,'Données projet'!$E$11+1,1))</f>
        <v>187.80389738728508</v>
      </c>
      <c r="BJ157" s="59">
        <f t="shared" si="146"/>
        <v>439.28159165815265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10.597303408597877</v>
      </c>
      <c r="BQ157" s="21">
        <f>EXP(-LN(2)/25)*BQ156+(1-EXP(-LN(2)/25))/(LN(2)/25)*Calculateur!BL157*Calculateur!BN157*VLOOKUP('Données projet'!$B$11,Paramètres!$A$1:$I$89,3,0)*0.475*44/12</f>
        <v>0.46192221211899936</v>
      </c>
      <c r="BR157" s="21">
        <f>EXP(-LN(2)/2)*BR156+(1-EXP(-LN(2)/2))/(LN(2)/2)*BL157*BO157*VLOOKUP('Données projet'!$B$11,Paramètres!$A$1:$I$89,3,0)*0.475*44/12</f>
        <v>9.7495809174552611E-21</v>
      </c>
      <c r="BS157" s="22">
        <f t="shared" si="169"/>
        <v>11.059225620716877</v>
      </c>
      <c r="BT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0</v>
      </c>
      <c r="BZ157" s="13" t="e">
        <f>BY157*VLOOKUP('Données projet'!$B$12,Paramètres!$A$1:$I$89,3,0)*VLOOKUP('Données projet'!$B$12,Paramètres!$A$1:$I$89,5,0)</f>
        <v>#N/A</v>
      </c>
      <c r="CA157" s="13" t="e">
        <f t="shared" si="170"/>
        <v>#N/A</v>
      </c>
      <c r="CB157" s="20" t="e">
        <f t="shared" si="171"/>
        <v>#N/A</v>
      </c>
      <c r="CC157" s="59" t="e">
        <f t="shared" si="119"/>
        <v>#N/A</v>
      </c>
      <c r="CD157" s="59" t="e">
        <f ca="1">AVERAGE(OFFSET($CC$3,0,0,'Données projet'!$E$12+1,1))-AVERAGE(OFFSET($H$3,0,0,'Données projet'!$E$12+1,1))</f>
        <v>#N/A</v>
      </c>
      <c r="CE157" s="59" t="e">
        <f t="shared" si="148"/>
        <v>#N/A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 t="e">
        <f>EXP(-LN(2)/35)*CK156+(1-EXP(-LN(2)/35))/(LN(2)/35)*CG157*CH157*VLOOKUP('Données projet'!$B$12,Paramètres!$A$1:$I$89,3,0)*0.475*44/12</f>
        <v>#N/A</v>
      </c>
      <c r="CL157" s="21" t="e">
        <f>EXP(-LN(2)/25)*CL156+(1-EXP(-LN(2)/25))/(LN(2)/25)*Calculateur!CG157*Calculateur!CI157*VLOOKUP('Données projet'!$B$12,Paramètres!$A$1:$I$89,3,0)*0.475*44/12</f>
        <v>#N/A</v>
      </c>
      <c r="CM157" s="21" t="e">
        <f>EXP(-LN(2)/2)*CM156+(1-EXP(-LN(2)/2))/(LN(2)/2)*CG157*CJ157*VLOOKUP('Données projet'!$B$12,Paramètres!$A$1:$I$89,3,0)*0.475*44/12</f>
        <v>#N/A</v>
      </c>
      <c r="CN157" s="22" t="e">
        <f t="shared" si="172"/>
        <v>#N/A</v>
      </c>
      <c r="CO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35">
      <c r="A158" s="10">
        <f t="shared" si="161"/>
        <v>155</v>
      </c>
      <c r="B158" s="72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1">
        <f t="shared" si="140"/>
        <v>0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66">
        <f t="shared" si="110"/>
        <v>256.66666666666669</v>
      </c>
      <c r="I158" s="6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-0.93999999999999773</v>
      </c>
      <c r="N158" s="13">
        <f>IF('Données projet'!$A$36&gt;35,N157+M158-V157,IF(A158&lt;'Données projet'!$A$36,$K$205^A158,IF(A158='Données projet'!$A$36,'Données projet'!$B$36,N157+M158-V157)))</f>
        <v>291.86999999999995</v>
      </c>
      <c r="O158" s="13">
        <f>N158*VLOOKUP('Données projet'!$B$9,Paramètres!$A$1:$I$89,3,0)*VLOOKUP('Données projet'!$B$9,Paramètres!$A$1:$I$89,5,0)</f>
        <v>264.08397599999995</v>
      </c>
      <c r="P158" s="13">
        <f t="shared" si="141"/>
        <v>63.592125384717555</v>
      </c>
      <c r="Q158" s="20">
        <f t="shared" si="162"/>
        <v>570.7025432450497</v>
      </c>
      <c r="R158" s="59">
        <f t="shared" si="109"/>
        <v>864.03587657838307</v>
      </c>
      <c r="S158" s="59">
        <f ca="1">AVERAGE(OFFSET($R$3,0,0,'Données projet'!$E$9+1,1))-AVERAGE(OFFSET($H$3,0,0,'Données projet'!$E$9+1,1))</f>
        <v>700.22008319944644</v>
      </c>
      <c r="T158" s="59">
        <f t="shared" si="142"/>
        <v>253.69632671986739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262.46100618271663</v>
      </c>
      <c r="AA158" s="21">
        <f>EXP(-LN(2)/25)*AA157+(1-EXP(-LN(2)/25))/(LN(2)/25)*Calculateur!V158*Calculateur!X158*VLOOKUP('Données projet'!$B$9,Paramètres!$A$1:$I$89,3,0)*0.475*44/12</f>
        <v>0</v>
      </c>
      <c r="AB158" s="21">
        <f>EXP(-LN(2)/2)*AB157+(1-EXP(-LN(2)/2))/(LN(2)/2)*V158*Y158*VLOOKUP('Données projet'!$B$9,Paramètres!$A$1:$I$89,3,0)*0.475*44/12</f>
        <v>0</v>
      </c>
      <c r="AC158" s="22">
        <f t="shared" si="163"/>
        <v>262.46100618271663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-0.93999999999999773</v>
      </c>
      <c r="AI158" s="13">
        <f>IF('Données projet'!$A$62&gt;35,AI157+AH158-AQ157,IF(A158&lt;'Données projet'!$A$62,$AF$205^A158,IF(A158='Données projet'!$A$62,'Données projet'!$B$62,AI157+AH158-AQ157)))</f>
        <v>291.86999999999995</v>
      </c>
      <c r="AJ158" s="13">
        <f>AI158*VLOOKUP('Données projet'!$B$10,Paramètres!$A$1:$I$89,3,0)*VLOOKUP('Données projet'!$B$10,Paramètres!$A$1:$I$89,5,0)</f>
        <v>277.74349199999995</v>
      </c>
      <c r="AK158" s="13">
        <f t="shared" si="164"/>
        <v>66.489919535517075</v>
      </c>
      <c r="AL158" s="20">
        <f t="shared" si="165"/>
        <v>599.53985842435873</v>
      </c>
      <c r="AM158" s="59">
        <f t="shared" si="113"/>
        <v>892.87319175769198</v>
      </c>
      <c r="AN158" s="59">
        <f ca="1">AVERAGE(OFFSET($AM$3,0,0,'Données projet'!$E$10+1,1))-AVERAGE(OFFSET($H$3,0,0,'Données projet'!$E$10+1,1))</f>
        <v>733.95677909577444</v>
      </c>
      <c r="AO158" s="59">
        <f t="shared" si="144"/>
        <v>264.63778993239799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276.03657546802958</v>
      </c>
      <c r="AV158" s="21">
        <f>EXP(-LN(2)/25)*AV157+(1-EXP(-LN(2)/25))/(LN(2)/25)*Calculateur!AQ158*Calculateur!AS158*VLOOKUP('Données projet'!$B$10,Paramètres!$A$1:$I$89,3,0)*0.475*44/12</f>
        <v>0</v>
      </c>
      <c r="AW158" s="21">
        <f>EXP(-LN(2)/2)*AW157+(1-EXP(-LN(2)/2))/(LN(2)/2)*AQ158*AT158*VLOOKUP('Données projet'!$B$10,Paramètres!$A$1:$I$89,3,0)*0.475*44/12</f>
        <v>0</v>
      </c>
      <c r="AX158" s="21">
        <f t="shared" si="166"/>
        <v>276.03657546802958</v>
      </c>
      <c r="AY158" s="7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0</v>
      </c>
      <c r="BE158" s="13">
        <f>BD158*VLOOKUP('Données projet'!$B$11,Paramètres!$A$1:$I$89,3,0)*VLOOKUP('Données projet'!$B$11,Paramètres!$A$1:$I$89,5,0)</f>
        <v>0</v>
      </c>
      <c r="BF158" s="13" t="e">
        <f t="shared" si="167"/>
        <v>#NUM!</v>
      </c>
      <c r="BG158" s="20" t="e">
        <f t="shared" si="168"/>
        <v>#NUM!</v>
      </c>
      <c r="BH158" s="59" t="e">
        <f t="shared" si="116"/>
        <v>#NUM!</v>
      </c>
      <c r="BI158" s="59">
        <f ca="1">AVERAGE(OFFSET($BH$3,0,0,'Données projet'!$E$11+1,1))-AVERAGE(OFFSET($H$3,0,0,'Données projet'!$E$11+1,1))</f>
        <v>187.80389738728508</v>
      </c>
      <c r="BJ158" s="59">
        <f t="shared" si="146"/>
        <v>439.28159165815265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10.389496752472112</v>
      </c>
      <c r="BQ158" s="21">
        <f>EXP(-LN(2)/25)*BQ157+(1-EXP(-LN(2)/25))/(LN(2)/25)*Calculateur!BL158*Calculateur!BN158*VLOOKUP('Données projet'!$B$11,Paramètres!$A$1:$I$89,3,0)*0.475*44/12</f>
        <v>0.44929092493717193</v>
      </c>
      <c r="BR158" s="21">
        <f>EXP(-LN(2)/2)*BR157+(1-EXP(-LN(2)/2))/(LN(2)/2)*BL158*BO158*VLOOKUP('Données projet'!$B$11,Paramètres!$A$1:$I$89,3,0)*0.475*44/12</f>
        <v>6.8939947804595765E-21</v>
      </c>
      <c r="BS158" s="22">
        <f t="shared" si="169"/>
        <v>10.838787677409284</v>
      </c>
      <c r="BT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0</v>
      </c>
      <c r="BZ158" s="13" t="e">
        <f>BY158*VLOOKUP('Données projet'!$B$12,Paramètres!$A$1:$I$89,3,0)*VLOOKUP('Données projet'!$B$12,Paramètres!$A$1:$I$89,5,0)</f>
        <v>#N/A</v>
      </c>
      <c r="CA158" s="13" t="e">
        <f t="shared" si="170"/>
        <v>#N/A</v>
      </c>
      <c r="CB158" s="20" t="e">
        <f t="shared" si="171"/>
        <v>#N/A</v>
      </c>
      <c r="CC158" s="59" t="e">
        <f t="shared" si="119"/>
        <v>#N/A</v>
      </c>
      <c r="CD158" s="59" t="e">
        <f ca="1">AVERAGE(OFFSET($CC$3,0,0,'Données projet'!$E$12+1,1))-AVERAGE(OFFSET($H$3,0,0,'Données projet'!$E$12+1,1))</f>
        <v>#N/A</v>
      </c>
      <c r="CE158" s="59" t="e">
        <f t="shared" si="148"/>
        <v>#N/A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 t="e">
        <f>EXP(-LN(2)/35)*CK157+(1-EXP(-LN(2)/35))/(LN(2)/35)*CG158*CH158*VLOOKUP('Données projet'!$B$12,Paramètres!$A$1:$I$89,3,0)*0.475*44/12</f>
        <v>#N/A</v>
      </c>
      <c r="CL158" s="21" t="e">
        <f>EXP(-LN(2)/25)*CL157+(1-EXP(-LN(2)/25))/(LN(2)/25)*Calculateur!CG158*Calculateur!CI158*VLOOKUP('Données projet'!$B$12,Paramètres!$A$1:$I$89,3,0)*0.475*44/12</f>
        <v>#N/A</v>
      </c>
      <c r="CM158" s="21" t="e">
        <f>EXP(-LN(2)/2)*CM157+(1-EXP(-LN(2)/2))/(LN(2)/2)*CG158*CJ158*VLOOKUP('Données projet'!$B$12,Paramètres!$A$1:$I$89,3,0)*0.475*44/12</f>
        <v>#N/A</v>
      </c>
      <c r="CN158" s="22" t="e">
        <f t="shared" si="172"/>
        <v>#N/A</v>
      </c>
      <c r="CO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35">
      <c r="A159" s="10">
        <f t="shared" si="161"/>
        <v>156</v>
      </c>
      <c r="B159" s="72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1">
        <f t="shared" si="140"/>
        <v>0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66">
        <f t="shared" si="110"/>
        <v>256.66666666666669</v>
      </c>
      <c r="I159" s="6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>
        <f>VLOOKUP(A159,'Données projet'!$A$35:$I$55,2,0)</f>
        <v>290.93</v>
      </c>
      <c r="L159" s="12">
        <f>VLOOKUP(A159,'Données projet'!$A$35:$I$55,9,0)</f>
        <v>-0.93999999999999773</v>
      </c>
      <c r="M159" s="12">
        <f t="array" ref="M159">INDEX(L:L,MIN(IF(ISNUMBER(L159:L355),ROW(L159:L355),"")))</f>
        <v>-0.93999999999999773</v>
      </c>
      <c r="N159" s="13">
        <f>IF('Données projet'!$A$36&gt;35,N158+M159-V158,IF(A159&lt;'Données projet'!$A$36,$K$205^A159,IF(A159='Données projet'!$A$36,'Données projet'!$B$36,N158+M159-V158)))</f>
        <v>290.92999999999995</v>
      </c>
      <c r="O159" s="13">
        <f>N159*VLOOKUP('Données projet'!$B$9,Paramètres!$A$1:$I$89,3,0)*VLOOKUP('Données projet'!$B$9,Paramètres!$A$1:$I$89,5,0)</f>
        <v>263.23346399999997</v>
      </c>
      <c r="P159" s="13">
        <f t="shared" si="141"/>
        <v>63.411125233778442</v>
      </c>
      <c r="Q159" s="20">
        <f t="shared" si="162"/>
        <v>568.90599291549734</v>
      </c>
      <c r="R159" s="59">
        <f t="shared" si="109"/>
        <v>862.23932624883059</v>
      </c>
      <c r="S159" s="59">
        <f ca="1">AVERAGE(OFFSET($R$3,0,0,'Données projet'!$E$9+1,1))-AVERAGE(OFFSET($H$3,0,0,'Données projet'!$E$9+1,1))</f>
        <v>700.22008319944644</v>
      </c>
      <c r="T159" s="59">
        <f t="shared" si="142"/>
        <v>253.69632671986739</v>
      </c>
      <c r="U159" s="15">
        <f>IF(ISNA(VLOOKUP(A159,'Données projet'!$A$35:$I$55,3,0)),0,VLOOKUP(A159,'Données projet'!$A$35:$I$55,3,0))</f>
        <v>16</v>
      </c>
      <c r="V159" s="15">
        <f>IF(ISNA(VLOOKUP(A159,'Données projet'!$A$35:$I$55,4,0)),0,VLOOKUP(A159,'Données projet'!$A$35:$I$55,4,0))</f>
        <v>87.28</v>
      </c>
      <c r="W159" s="16">
        <f>IF(ISNA(VLOOKUP(A159,'Données projet'!$A$35:$I$55,5,0)),0%,VLOOKUP(A159,'Données projet'!$A$35:$I$55,5,0)*VLOOKUP('Données projet'!$B$9,Paramètres!$A$1:$I$89,7,0))</f>
        <v>0.43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294.85332289425503</v>
      </c>
      <c r="AA159" s="21">
        <f>EXP(-LN(2)/25)*AA158+(1-EXP(-LN(2)/25))/(LN(2)/25)*Calculateur!V159*Calculateur!X159*VLOOKUP('Données projet'!$B$9,Paramètres!$A$1:$I$89,3,0)*0.475*44/12</f>
        <v>0</v>
      </c>
      <c r="AB159" s="21">
        <f>EXP(-LN(2)/2)*AB158+(1-EXP(-LN(2)/2))/(LN(2)/2)*V159*Y159*VLOOKUP('Données projet'!$B$9,Paramètres!$A$1:$I$89,3,0)*0.475*44/12</f>
        <v>0</v>
      </c>
      <c r="AC159" s="22">
        <f t="shared" si="163"/>
        <v>294.85332289425503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>
        <f>VLOOKUP(A159,'Données projet'!$A$61:$I$81,2,0)</f>
        <v>290.93</v>
      </c>
      <c r="AG159" s="12">
        <f>VLOOKUP(A159,'Données projet'!$A$61:$I$81,9,0)</f>
        <v>-0.93999999999999773</v>
      </c>
      <c r="AH159" s="12">
        <f t="array" ref="AH159">INDEX(AG:AG,MIN(IF(ISNUMBER(AG159:AG355),ROW(AG159:AG355),"")))</f>
        <v>-0.93999999999999773</v>
      </c>
      <c r="AI159" s="13">
        <f>IF('Données projet'!$A$62&gt;35,AI158+AH159-AQ158,IF(A159&lt;'Données projet'!$A$62,$AF$205^A159,IF(A159='Données projet'!$A$62,'Données projet'!$B$62,AI158+AH159-AQ158)))</f>
        <v>290.92999999999995</v>
      </c>
      <c r="AJ159" s="13">
        <f>AI159*VLOOKUP('Données projet'!$B$10,Paramètres!$A$1:$I$89,3,0)*VLOOKUP('Données projet'!$B$10,Paramètres!$A$1:$I$89,5,0)</f>
        <v>276.84898799999996</v>
      </c>
      <c r="AK159" s="13">
        <f t="shared" si="164"/>
        <v>66.300671489488565</v>
      </c>
      <c r="AL159" s="20">
        <f t="shared" si="165"/>
        <v>597.65232361085918</v>
      </c>
      <c r="AM159" s="59">
        <f t="shared" si="113"/>
        <v>890.98565694419244</v>
      </c>
      <c r="AN159" s="59">
        <f ca="1">AVERAGE(OFFSET($AM$3,0,0,'Données projet'!$E$10+1,1))-AVERAGE(OFFSET($H$3,0,0,'Données projet'!$E$10+1,1))</f>
        <v>733.95677909577444</v>
      </c>
      <c r="AO159" s="59">
        <f t="shared" si="144"/>
        <v>264.63778993239799</v>
      </c>
      <c r="AP159" s="15">
        <f>IF(ISNA(VLOOKUP(A159,'Données projet'!$A$61:$I$81,3,0)),0,VLOOKUP(A159,'Données projet'!$A$61:$I$81,3,0))</f>
        <v>16</v>
      </c>
      <c r="AQ159" s="15">
        <f>IF(ISNA(VLOOKUP(A159,'Données projet'!$A$61:$I$81,4,0)),0,VLOOKUP(A159,'Données projet'!$A$61:$I$81,4,0))</f>
        <v>87.28</v>
      </c>
      <c r="AR159" s="16">
        <f>IF(ISNA(VLOOKUP(A159,'Données projet'!$A$61:$I$81,5,0)),0%,VLOOKUP(A159,'Données projet'!$A$61:$I$81,5,0)*VLOOKUP('Données projet'!$B$10,Paramètres!$A$1:$I$89,7,0))</f>
        <v>0.43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310.10435683706135</v>
      </c>
      <c r="AV159" s="21">
        <f>EXP(-LN(2)/25)*AV158+(1-EXP(-LN(2)/25))/(LN(2)/25)*Calculateur!AQ159*Calculateur!AS159*VLOOKUP('Données projet'!$B$10,Paramètres!$A$1:$I$89,3,0)*0.475*44/12</f>
        <v>0</v>
      </c>
      <c r="AW159" s="21">
        <f>EXP(-LN(2)/2)*AW158+(1-EXP(-LN(2)/2))/(LN(2)/2)*AQ159*AT159*VLOOKUP('Données projet'!$B$10,Paramètres!$A$1:$I$89,3,0)*0.475*44/12</f>
        <v>0</v>
      </c>
      <c r="AX159" s="21">
        <f t="shared" si="166"/>
        <v>310.10435683706135</v>
      </c>
      <c r="AY159" s="7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0</v>
      </c>
      <c r="BE159" s="13">
        <f>BD159*VLOOKUP('Données projet'!$B$11,Paramètres!$A$1:$I$89,3,0)*VLOOKUP('Données projet'!$B$11,Paramètres!$A$1:$I$89,5,0)</f>
        <v>0</v>
      </c>
      <c r="BF159" s="13" t="e">
        <f t="shared" si="167"/>
        <v>#NUM!</v>
      </c>
      <c r="BG159" s="20" t="e">
        <f t="shared" si="168"/>
        <v>#NUM!</v>
      </c>
      <c r="BH159" s="59" t="e">
        <f t="shared" si="116"/>
        <v>#NUM!</v>
      </c>
      <c r="BI159" s="59">
        <f ca="1">AVERAGE(OFFSET($BH$3,0,0,'Données projet'!$E$11+1,1))-AVERAGE(OFFSET($H$3,0,0,'Données projet'!$E$11+1,1))</f>
        <v>187.80389738728508</v>
      </c>
      <c r="BJ159" s="59">
        <f t="shared" si="146"/>
        <v>439.28159165815265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10.18576505812343</v>
      </c>
      <c r="BQ159" s="21">
        <f>EXP(-LN(2)/25)*BQ158+(1-EXP(-LN(2)/25))/(LN(2)/25)*Calculateur!BL159*Calculateur!BN159*VLOOKUP('Données projet'!$B$11,Paramètres!$A$1:$I$89,3,0)*0.475*44/12</f>
        <v>0.43700504096758208</v>
      </c>
      <c r="BR159" s="21">
        <f>EXP(-LN(2)/2)*BR158+(1-EXP(-LN(2)/2))/(LN(2)/2)*BL159*BO159*VLOOKUP('Données projet'!$B$11,Paramètres!$A$1:$I$89,3,0)*0.475*44/12</f>
        <v>4.8747904587276305E-21</v>
      </c>
      <c r="BS159" s="22">
        <f t="shared" si="169"/>
        <v>10.622770099091012</v>
      </c>
      <c r="BT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0</v>
      </c>
      <c r="BZ159" s="13" t="e">
        <f>BY159*VLOOKUP('Données projet'!$B$12,Paramètres!$A$1:$I$89,3,0)*VLOOKUP('Données projet'!$B$12,Paramètres!$A$1:$I$89,5,0)</f>
        <v>#N/A</v>
      </c>
      <c r="CA159" s="13" t="e">
        <f t="shared" si="170"/>
        <v>#N/A</v>
      </c>
      <c r="CB159" s="20" t="e">
        <f t="shared" si="171"/>
        <v>#N/A</v>
      </c>
      <c r="CC159" s="59" t="e">
        <f t="shared" si="119"/>
        <v>#N/A</v>
      </c>
      <c r="CD159" s="59" t="e">
        <f ca="1">AVERAGE(OFFSET($CC$3,0,0,'Données projet'!$E$12+1,1))-AVERAGE(OFFSET($H$3,0,0,'Données projet'!$E$12+1,1))</f>
        <v>#N/A</v>
      </c>
      <c r="CE159" s="59" t="e">
        <f t="shared" si="148"/>
        <v>#N/A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 t="e">
        <f>EXP(-LN(2)/35)*CK158+(1-EXP(-LN(2)/35))/(LN(2)/35)*CG159*CH159*VLOOKUP('Données projet'!$B$12,Paramètres!$A$1:$I$89,3,0)*0.475*44/12</f>
        <v>#N/A</v>
      </c>
      <c r="CL159" s="21" t="e">
        <f>EXP(-LN(2)/25)*CL158+(1-EXP(-LN(2)/25))/(LN(2)/25)*Calculateur!CG159*Calculateur!CI159*VLOOKUP('Données projet'!$B$12,Paramètres!$A$1:$I$89,3,0)*0.475*44/12</f>
        <v>#N/A</v>
      </c>
      <c r="CM159" s="21" t="e">
        <f>EXP(-LN(2)/2)*CM158+(1-EXP(-LN(2)/2))/(LN(2)/2)*CG159*CJ159*VLOOKUP('Données projet'!$B$12,Paramètres!$A$1:$I$89,3,0)*0.475*44/12</f>
        <v>#N/A</v>
      </c>
      <c r="CN159" s="22" t="e">
        <f t="shared" si="172"/>
        <v>#N/A</v>
      </c>
      <c r="CO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35">
      <c r="A160" s="10">
        <f t="shared" si="161"/>
        <v>157</v>
      </c>
      <c r="B160" s="72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1">
        <f t="shared" si="140"/>
        <v>0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66">
        <f t="shared" si="110"/>
        <v>256.66666666666669</v>
      </c>
      <c r="I160" s="6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-0.7233333333333386</v>
      </c>
      <c r="N160" s="13">
        <f>IF('Données projet'!$A$36&gt;35,N159+M160-V159,IF(A160&lt;'Données projet'!$A$36,$K$205^A160,IF(A160='Données projet'!$A$36,'Données projet'!$B$36,N159+M160-V159)))</f>
        <v>202.92666666666659</v>
      </c>
      <c r="O160" s="13">
        <f>N160*VLOOKUP('Données projet'!$B$9,Paramètres!$A$1:$I$89,3,0)*VLOOKUP('Données projet'!$B$9,Paramètres!$A$1:$I$89,5,0)</f>
        <v>183.60804799999991</v>
      </c>
      <c r="P160" s="13">
        <f t="shared" si="141"/>
        <v>46.123980824578709</v>
      </c>
      <c r="Q160" s="20">
        <f t="shared" si="162"/>
        <v>400.1166168694744</v>
      </c>
      <c r="R160" s="59">
        <f t="shared" si="109"/>
        <v>693.44995020280771</v>
      </c>
      <c r="S160" s="59">
        <f ca="1">AVERAGE(OFFSET($R$3,0,0,'Données projet'!$E$9+1,1))-AVERAGE(OFFSET($H$3,0,0,'Données projet'!$E$9+1,1))</f>
        <v>700.22008319944644</v>
      </c>
      <c r="T160" s="59">
        <f t="shared" si="142"/>
        <v>253.69632671986739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289.07142907506767</v>
      </c>
      <c r="AA160" s="21">
        <f>EXP(-LN(2)/25)*AA159+(1-EXP(-LN(2)/25))/(LN(2)/25)*Calculateur!V160*Calculateur!X160*VLOOKUP('Données projet'!$B$9,Paramètres!$A$1:$I$89,3,0)*0.475*44/12</f>
        <v>0</v>
      </c>
      <c r="AB160" s="21">
        <f>EXP(-LN(2)/2)*AB159+(1-EXP(-LN(2)/2))/(LN(2)/2)*V160*Y160*VLOOKUP('Données projet'!$B$9,Paramètres!$A$1:$I$89,3,0)*0.475*44/12</f>
        <v>0</v>
      </c>
      <c r="AC160" s="22">
        <f t="shared" si="163"/>
        <v>289.07142907506767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-0.7233333333333386</v>
      </c>
      <c r="AI160" s="13">
        <f>IF('Données projet'!$A$62&gt;35,AI159+AH160-AQ159,IF(A160&lt;'Données projet'!$A$62,$AF$205^A160,IF(A160='Données projet'!$A$62,'Données projet'!$B$62,AI159+AH160-AQ159)))</f>
        <v>202.92666666666659</v>
      </c>
      <c r="AJ160" s="13">
        <f>AI160*VLOOKUP('Données projet'!$B$10,Paramètres!$A$1:$I$89,3,0)*VLOOKUP('Données projet'!$B$10,Paramètres!$A$1:$I$89,5,0)</f>
        <v>193.10501599999992</v>
      </c>
      <c r="AK160" s="13">
        <f t="shared" si="164"/>
        <v>48.225778822938693</v>
      </c>
      <c r="AL160" s="20">
        <f t="shared" si="165"/>
        <v>420.31780098328477</v>
      </c>
      <c r="AM160" s="59">
        <f t="shared" si="113"/>
        <v>713.65113431661803</v>
      </c>
      <c r="AN160" s="59">
        <f ca="1">AVERAGE(OFFSET($AM$3,0,0,'Données projet'!$E$10+1,1))-AVERAGE(OFFSET($H$3,0,0,'Données projet'!$E$10+1,1))</f>
        <v>733.95677909577444</v>
      </c>
      <c r="AO160" s="59">
        <f t="shared" si="144"/>
        <v>264.63778993239799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304.02339954446774</v>
      </c>
      <c r="AV160" s="21">
        <f>EXP(-LN(2)/25)*AV159+(1-EXP(-LN(2)/25))/(LN(2)/25)*Calculateur!AQ160*Calculateur!AS160*VLOOKUP('Données projet'!$B$10,Paramètres!$A$1:$I$89,3,0)*0.475*44/12</f>
        <v>0</v>
      </c>
      <c r="AW160" s="21">
        <f>EXP(-LN(2)/2)*AW159+(1-EXP(-LN(2)/2))/(LN(2)/2)*AQ160*AT160*VLOOKUP('Données projet'!$B$10,Paramètres!$A$1:$I$89,3,0)*0.475*44/12</f>
        <v>0</v>
      </c>
      <c r="AX160" s="21">
        <f t="shared" si="166"/>
        <v>304.02339954446774</v>
      </c>
      <c r="AY160" s="7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0</v>
      </c>
      <c r="BE160" s="13">
        <f>BD160*VLOOKUP('Données projet'!$B$11,Paramètres!$A$1:$I$89,3,0)*VLOOKUP('Données projet'!$B$11,Paramètres!$A$1:$I$89,5,0)</f>
        <v>0</v>
      </c>
      <c r="BF160" s="13" t="e">
        <f t="shared" si="167"/>
        <v>#NUM!</v>
      </c>
      <c r="BG160" s="20" t="e">
        <f t="shared" si="168"/>
        <v>#NUM!</v>
      </c>
      <c r="BH160" s="59" t="e">
        <f t="shared" si="116"/>
        <v>#NUM!</v>
      </c>
      <c r="BI160" s="59">
        <f ca="1">AVERAGE(OFFSET($BH$3,0,0,'Données projet'!$E$11+1,1))-AVERAGE(OFFSET($H$3,0,0,'Données projet'!$E$11+1,1))</f>
        <v>187.80389738728508</v>
      </c>
      <c r="BJ160" s="59">
        <f t="shared" si="146"/>
        <v>439.28159165815265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9.9860284180368613</v>
      </c>
      <c r="BQ160" s="21">
        <f>EXP(-LN(2)/25)*BQ159+(1-EXP(-LN(2)/25))/(LN(2)/25)*Calculateur!BL160*Calculateur!BN160*VLOOKUP('Données projet'!$B$11,Paramètres!$A$1:$I$89,3,0)*0.475*44/12</f>
        <v>0.42505511514122724</v>
      </c>
      <c r="BR160" s="21">
        <f>EXP(-LN(2)/2)*BR159+(1-EXP(-LN(2)/2))/(LN(2)/2)*BL160*BO160*VLOOKUP('Données projet'!$B$11,Paramètres!$A$1:$I$89,3,0)*0.475*44/12</f>
        <v>3.4469973902297883E-21</v>
      </c>
      <c r="BS160" s="22">
        <f t="shared" si="169"/>
        <v>10.411083533178088</v>
      </c>
      <c r="BT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0</v>
      </c>
      <c r="BZ160" s="13" t="e">
        <f>BY160*VLOOKUP('Données projet'!$B$12,Paramètres!$A$1:$I$89,3,0)*VLOOKUP('Données projet'!$B$12,Paramètres!$A$1:$I$89,5,0)</f>
        <v>#N/A</v>
      </c>
      <c r="CA160" s="13" t="e">
        <f t="shared" si="170"/>
        <v>#N/A</v>
      </c>
      <c r="CB160" s="20" t="e">
        <f t="shared" si="171"/>
        <v>#N/A</v>
      </c>
      <c r="CC160" s="59" t="e">
        <f t="shared" si="119"/>
        <v>#N/A</v>
      </c>
      <c r="CD160" s="59" t="e">
        <f ca="1">AVERAGE(OFFSET($CC$3,0,0,'Données projet'!$E$12+1,1))-AVERAGE(OFFSET($H$3,0,0,'Données projet'!$E$12+1,1))</f>
        <v>#N/A</v>
      </c>
      <c r="CE160" s="59" t="e">
        <f t="shared" si="148"/>
        <v>#N/A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 t="e">
        <f>EXP(-LN(2)/35)*CK159+(1-EXP(-LN(2)/35))/(LN(2)/35)*CG160*CH160*VLOOKUP('Données projet'!$B$12,Paramètres!$A$1:$I$89,3,0)*0.475*44/12</f>
        <v>#N/A</v>
      </c>
      <c r="CL160" s="21" t="e">
        <f>EXP(-LN(2)/25)*CL159+(1-EXP(-LN(2)/25))/(LN(2)/25)*Calculateur!CG160*Calculateur!CI160*VLOOKUP('Données projet'!$B$12,Paramètres!$A$1:$I$89,3,0)*0.475*44/12</f>
        <v>#N/A</v>
      </c>
      <c r="CM160" s="21" t="e">
        <f>EXP(-LN(2)/2)*CM159+(1-EXP(-LN(2)/2))/(LN(2)/2)*CG160*CJ160*VLOOKUP('Données projet'!$B$12,Paramètres!$A$1:$I$89,3,0)*0.475*44/12</f>
        <v>#N/A</v>
      </c>
      <c r="CN160" s="22" t="e">
        <f t="shared" si="172"/>
        <v>#N/A</v>
      </c>
      <c r="CO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35">
      <c r="A161" s="10">
        <f t="shared" si="161"/>
        <v>158</v>
      </c>
      <c r="B161" s="72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1">
        <f t="shared" si="140"/>
        <v>0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66">
        <f t="shared" si="110"/>
        <v>256.66666666666669</v>
      </c>
      <c r="I161" s="6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-0.7233333333333386</v>
      </c>
      <c r="N161" s="13">
        <f>IF('Données projet'!$A$36&gt;35,N160+M161-V160,IF(A161&lt;'Données projet'!$A$36,$K$205^A161,IF(A161='Données projet'!$A$36,'Données projet'!$B$36,N160+M161-V160)))</f>
        <v>202.20333333333326</v>
      </c>
      <c r="O161" s="13">
        <f>N161*VLOOKUP('Données projet'!$B$9,Paramètres!$A$1:$I$89,3,0)*VLOOKUP('Données projet'!$B$9,Paramètres!$A$1:$I$89,5,0)</f>
        <v>182.95357599999991</v>
      </c>
      <c r="P161" s="13">
        <f t="shared" si="141"/>
        <v>45.978678669970051</v>
      </c>
      <c r="Q161" s="20">
        <f t="shared" si="162"/>
        <v>398.72367688353097</v>
      </c>
      <c r="R161" s="59">
        <f t="shared" si="109"/>
        <v>692.05701021686423</v>
      </c>
      <c r="S161" s="59">
        <f ca="1">AVERAGE(OFFSET($R$3,0,0,'Données projet'!$E$9+1,1))-AVERAGE(OFFSET($H$3,0,0,'Données projet'!$E$9+1,1))</f>
        <v>700.22008319944644</v>
      </c>
      <c r="T161" s="59">
        <f t="shared" si="142"/>
        <v>253.69632671986739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283.40291466706753</v>
      </c>
      <c r="AA161" s="21">
        <f>EXP(-LN(2)/25)*AA160+(1-EXP(-LN(2)/25))/(LN(2)/25)*Calculateur!V161*Calculateur!X161*VLOOKUP('Données projet'!$B$9,Paramètres!$A$1:$I$89,3,0)*0.475*44/12</f>
        <v>0</v>
      </c>
      <c r="AB161" s="21">
        <f>EXP(-LN(2)/2)*AB160+(1-EXP(-LN(2)/2))/(LN(2)/2)*V161*Y161*VLOOKUP('Données projet'!$B$9,Paramètres!$A$1:$I$89,3,0)*0.475*44/12</f>
        <v>0</v>
      </c>
      <c r="AC161" s="22">
        <f t="shared" si="163"/>
        <v>283.40291466706753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-0.7233333333333386</v>
      </c>
      <c r="AI161" s="13">
        <f>IF('Données projet'!$A$62&gt;35,AI160+AH161-AQ160,IF(A161&lt;'Données projet'!$A$62,$AF$205^A161,IF(A161='Données projet'!$A$62,'Données projet'!$B$62,AI160+AH161-AQ160)))</f>
        <v>202.20333333333326</v>
      </c>
      <c r="AJ161" s="13">
        <f>AI161*VLOOKUP('Données projet'!$B$10,Paramètres!$A$1:$I$89,3,0)*VLOOKUP('Données projet'!$B$10,Paramètres!$A$1:$I$89,5,0)</f>
        <v>192.41669199999993</v>
      </c>
      <c r="AK161" s="13">
        <f t="shared" si="164"/>
        <v>48.07385547535722</v>
      </c>
      <c r="AL161" s="20">
        <f t="shared" si="165"/>
        <v>418.85437018624697</v>
      </c>
      <c r="AM161" s="59">
        <f t="shared" si="113"/>
        <v>712.18770351958028</v>
      </c>
      <c r="AN161" s="59">
        <f ca="1">AVERAGE(OFFSET($AM$3,0,0,'Données projet'!$E$10+1,1))-AVERAGE(OFFSET($H$3,0,0,'Données projet'!$E$10+1,1))</f>
        <v>733.95677909577444</v>
      </c>
      <c r="AO161" s="59">
        <f t="shared" si="144"/>
        <v>264.63778993239799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298.06168611536418</v>
      </c>
      <c r="AV161" s="21">
        <f>EXP(-LN(2)/25)*AV160+(1-EXP(-LN(2)/25))/(LN(2)/25)*Calculateur!AQ161*Calculateur!AS161*VLOOKUP('Données projet'!$B$10,Paramètres!$A$1:$I$89,3,0)*0.475*44/12</f>
        <v>0</v>
      </c>
      <c r="AW161" s="21">
        <f>EXP(-LN(2)/2)*AW160+(1-EXP(-LN(2)/2))/(LN(2)/2)*AQ161*AT161*VLOOKUP('Données projet'!$B$10,Paramètres!$A$1:$I$89,3,0)*0.475*44/12</f>
        <v>0</v>
      </c>
      <c r="AX161" s="21">
        <f t="shared" si="166"/>
        <v>298.06168611536418</v>
      </c>
      <c r="AY161" s="7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0</v>
      </c>
      <c r="BE161" s="13">
        <f>BD161*VLOOKUP('Données projet'!$B$11,Paramètres!$A$1:$I$89,3,0)*VLOOKUP('Données projet'!$B$11,Paramètres!$A$1:$I$89,5,0)</f>
        <v>0</v>
      </c>
      <c r="BF161" s="13" t="e">
        <f t="shared" si="167"/>
        <v>#NUM!</v>
      </c>
      <c r="BG161" s="20" t="e">
        <f t="shared" si="168"/>
        <v>#NUM!</v>
      </c>
      <c r="BH161" s="59" t="e">
        <f t="shared" si="116"/>
        <v>#NUM!</v>
      </c>
      <c r="BI161" s="59">
        <f ca="1">AVERAGE(OFFSET($BH$3,0,0,'Données projet'!$E$11+1,1))-AVERAGE(OFFSET($H$3,0,0,'Données projet'!$E$11+1,1))</f>
        <v>187.80389738728508</v>
      </c>
      <c r="BJ161" s="59">
        <f t="shared" si="146"/>
        <v>439.28159165815265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9.7902084916350702</v>
      </c>
      <c r="BQ161" s="21">
        <f>EXP(-LN(2)/25)*BQ160+(1-EXP(-LN(2)/25))/(LN(2)/25)*Calculateur!BL161*Calculateur!BN161*VLOOKUP('Données projet'!$B$11,Paramètres!$A$1:$I$89,3,0)*0.475*44/12</f>
        <v>0.41343196066501336</v>
      </c>
      <c r="BR161" s="21">
        <f>EXP(-LN(2)/2)*BR160+(1-EXP(-LN(2)/2))/(LN(2)/2)*BL161*BO161*VLOOKUP('Données projet'!$B$11,Paramètres!$A$1:$I$89,3,0)*0.475*44/12</f>
        <v>2.4373952293638153E-21</v>
      </c>
      <c r="BS161" s="22">
        <f t="shared" si="169"/>
        <v>10.203640452300084</v>
      </c>
      <c r="BT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0</v>
      </c>
      <c r="BZ161" s="13" t="e">
        <f>BY161*VLOOKUP('Données projet'!$B$12,Paramètres!$A$1:$I$89,3,0)*VLOOKUP('Données projet'!$B$12,Paramètres!$A$1:$I$89,5,0)</f>
        <v>#N/A</v>
      </c>
      <c r="CA161" s="13" t="e">
        <f t="shared" si="170"/>
        <v>#N/A</v>
      </c>
      <c r="CB161" s="20" t="e">
        <f t="shared" si="171"/>
        <v>#N/A</v>
      </c>
      <c r="CC161" s="59" t="e">
        <f t="shared" si="119"/>
        <v>#N/A</v>
      </c>
      <c r="CD161" s="59" t="e">
        <f ca="1">AVERAGE(OFFSET($CC$3,0,0,'Données projet'!$E$12+1,1))-AVERAGE(OFFSET($H$3,0,0,'Données projet'!$E$12+1,1))</f>
        <v>#N/A</v>
      </c>
      <c r="CE161" s="59" t="e">
        <f t="shared" si="148"/>
        <v>#N/A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 t="e">
        <f>EXP(-LN(2)/35)*CK160+(1-EXP(-LN(2)/35))/(LN(2)/35)*CG161*CH161*VLOOKUP('Données projet'!$B$12,Paramètres!$A$1:$I$89,3,0)*0.475*44/12</f>
        <v>#N/A</v>
      </c>
      <c r="CL161" s="21" t="e">
        <f>EXP(-LN(2)/25)*CL160+(1-EXP(-LN(2)/25))/(LN(2)/25)*Calculateur!CG161*Calculateur!CI161*VLOOKUP('Données projet'!$B$12,Paramètres!$A$1:$I$89,3,0)*0.475*44/12</f>
        <v>#N/A</v>
      </c>
      <c r="CM161" s="21" t="e">
        <f>EXP(-LN(2)/2)*CM160+(1-EXP(-LN(2)/2))/(LN(2)/2)*CG161*CJ161*VLOOKUP('Données projet'!$B$12,Paramètres!$A$1:$I$89,3,0)*0.475*44/12</f>
        <v>#N/A</v>
      </c>
      <c r="CN161" s="22" t="e">
        <f t="shared" si="172"/>
        <v>#N/A</v>
      </c>
      <c r="CO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35">
      <c r="A162" s="10">
        <f t="shared" si="161"/>
        <v>159</v>
      </c>
      <c r="B162" s="72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1">
        <f t="shared" si="140"/>
        <v>0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66">
        <f t="shared" si="110"/>
        <v>256.66666666666669</v>
      </c>
      <c r="I162" s="6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>
        <f>VLOOKUP(A162,'Données projet'!$A$35:$I$55,2,0)</f>
        <v>201.48</v>
      </c>
      <c r="L162" s="12">
        <f>VLOOKUP(A162,'Données projet'!$A$35:$I$55,9,0)</f>
        <v>-0.7233333333333386</v>
      </c>
      <c r="M162" s="12">
        <f t="array" ref="M162">INDEX(L:L,MIN(IF(ISNUMBER(L162:L358),ROW(L162:L358),"")))</f>
        <v>-0.7233333333333386</v>
      </c>
      <c r="N162" s="13">
        <f>IF('Données projet'!$A$36&gt;35,N161+M162-V161,IF(A162&lt;'Données projet'!$A$36,$K$205^A162,IF(A162='Données projet'!$A$36,'Données projet'!$B$36,N161+M162-V161)))</f>
        <v>201.47999999999993</v>
      </c>
      <c r="O162" s="13">
        <f>N162*VLOOKUP('Données projet'!$B$9,Paramètres!$A$1:$I$89,3,0)*VLOOKUP('Données projet'!$B$9,Paramètres!$A$1:$I$89,5,0)</f>
        <v>182.29910399999991</v>
      </c>
      <c r="P162" s="13">
        <f t="shared" si="141"/>
        <v>45.833315999864332</v>
      </c>
      <c r="Q162" s="20">
        <f t="shared" si="162"/>
        <v>397.33063149976351</v>
      </c>
      <c r="R162" s="59">
        <f t="shared" si="109"/>
        <v>690.66396483309677</v>
      </c>
      <c r="S162" s="59">
        <f ca="1">AVERAGE(OFFSET($R$3,0,0,'Données projet'!$E$9+1,1))-AVERAGE(OFFSET($H$3,0,0,'Données projet'!$E$9+1,1))</f>
        <v>700.22008319944644</v>
      </c>
      <c r="T162" s="59">
        <f t="shared" si="142"/>
        <v>253.69632671986739</v>
      </c>
      <c r="U162" s="15">
        <f>IF(ISNA(VLOOKUP(A162,'Données projet'!$A$35:$I$55,3,0)),0,VLOOKUP(A162,'Données projet'!$A$35:$I$55,3,0))</f>
        <v>17</v>
      </c>
      <c r="V162" s="15">
        <f>IF(ISNA(VLOOKUP(A162,'Données projet'!$A$35:$I$55,4,0)),0,VLOOKUP(A162,'Données projet'!$A$35:$I$55,4,0))</f>
        <v>180.6</v>
      </c>
      <c r="W162" s="16">
        <f>IF(ISNA(VLOOKUP(A162,'Données projet'!$A$35:$I$55,5,0)),0%,VLOOKUP(A162,'Données projet'!$A$35:$I$55,5,0)*VLOOKUP('Données projet'!$B$9,Paramètres!$A$1:$I$89,7,0))</f>
        <v>0.43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355.52138659947087</v>
      </c>
      <c r="AA162" s="21">
        <f>EXP(-LN(2)/25)*AA161+(1-EXP(-LN(2)/25))/(LN(2)/25)*Calculateur!V162*Calculateur!X162*VLOOKUP('Données projet'!$B$9,Paramètres!$A$1:$I$89,3,0)*0.475*44/12</f>
        <v>0</v>
      </c>
      <c r="AB162" s="21">
        <f>EXP(-LN(2)/2)*AB161+(1-EXP(-LN(2)/2))/(LN(2)/2)*V162*Y162*VLOOKUP('Données projet'!$B$9,Paramètres!$A$1:$I$89,3,0)*0.475*44/12</f>
        <v>0</v>
      </c>
      <c r="AC162" s="22">
        <f t="shared" si="163"/>
        <v>355.52138659947087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>
        <f>VLOOKUP(A162,'Données projet'!$A$61:$I$81,2,0)</f>
        <v>201.48</v>
      </c>
      <c r="AG162" s="12">
        <f>VLOOKUP(A162,'Données projet'!$A$61:$I$81,9,0)</f>
        <v>-0.7233333333333386</v>
      </c>
      <c r="AH162" s="12">
        <f t="array" ref="AH162">INDEX(AG:AG,MIN(IF(ISNUMBER(AG162:AG358),ROW(AG162:AG358),"")))</f>
        <v>-0.7233333333333386</v>
      </c>
      <c r="AI162" s="13">
        <f>IF('Données projet'!$A$62&gt;35,AI161+AH162-AQ161,IF(A162&lt;'Données projet'!$A$62,$AF$205^A162,IF(A162='Données projet'!$A$62,'Données projet'!$B$62,AI161+AH162-AQ161)))</f>
        <v>201.47999999999993</v>
      </c>
      <c r="AJ162" s="13">
        <f>AI162*VLOOKUP('Données projet'!$B$10,Paramètres!$A$1:$I$89,3,0)*VLOOKUP('Données projet'!$B$10,Paramètres!$A$1:$I$89,5,0)</f>
        <v>191.72836799999993</v>
      </c>
      <c r="AK162" s="13">
        <f t="shared" si="164"/>
        <v>47.921868854681655</v>
      </c>
      <c r="AL162" s="20">
        <f t="shared" si="165"/>
        <v>417.39082918857042</v>
      </c>
      <c r="AM162" s="59">
        <f t="shared" si="113"/>
        <v>710.72416252190374</v>
      </c>
      <c r="AN162" s="59">
        <f ca="1">AVERAGE(OFFSET($AM$3,0,0,'Données projet'!$E$10+1,1))-AVERAGE(OFFSET($H$3,0,0,'Données projet'!$E$10+1,1))</f>
        <v>733.95677909577444</v>
      </c>
      <c r="AO162" s="59">
        <f t="shared" si="144"/>
        <v>264.63778993239799</v>
      </c>
      <c r="AP162" s="15">
        <f>IF(ISNA(VLOOKUP(A162,'Données projet'!$A$61:$I$81,3,0)),0,VLOOKUP(A162,'Données projet'!$A$61:$I$81,3,0))</f>
        <v>17</v>
      </c>
      <c r="AQ162" s="15">
        <f>IF(ISNA(VLOOKUP(A162,'Données projet'!$A$61:$I$81,4,0)),0,VLOOKUP(A162,'Données projet'!$A$61:$I$81,4,0))</f>
        <v>180.6</v>
      </c>
      <c r="AR162" s="16">
        <f>IF(ISNA(VLOOKUP(A162,'Données projet'!$A$61:$I$81,5,0)),0%,VLOOKUP(A162,'Données projet'!$A$61:$I$81,5,0)*VLOOKUP('Données projet'!$B$10,Paramètres!$A$1:$I$89,7,0))</f>
        <v>0.43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373.91042383737459</v>
      </c>
      <c r="AV162" s="21">
        <f>EXP(-LN(2)/25)*AV161+(1-EXP(-LN(2)/25))/(LN(2)/25)*Calculateur!AQ162*Calculateur!AS162*VLOOKUP('Données projet'!$B$10,Paramètres!$A$1:$I$89,3,0)*0.475*44/12</f>
        <v>0</v>
      </c>
      <c r="AW162" s="21">
        <f>EXP(-LN(2)/2)*AW161+(1-EXP(-LN(2)/2))/(LN(2)/2)*AQ162*AT162*VLOOKUP('Données projet'!$B$10,Paramètres!$A$1:$I$89,3,0)*0.475*44/12</f>
        <v>0</v>
      </c>
      <c r="AX162" s="21">
        <f t="shared" si="166"/>
        <v>373.91042383737459</v>
      </c>
      <c r="AY162" s="7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0</v>
      </c>
      <c r="BE162" s="13">
        <f>BD162*VLOOKUP('Données projet'!$B$11,Paramètres!$A$1:$I$89,3,0)*VLOOKUP('Données projet'!$B$11,Paramètres!$A$1:$I$89,5,0)</f>
        <v>0</v>
      </c>
      <c r="BF162" s="13" t="e">
        <f t="shared" si="167"/>
        <v>#NUM!</v>
      </c>
      <c r="BG162" s="20" t="e">
        <f t="shared" si="168"/>
        <v>#NUM!</v>
      </c>
      <c r="BH162" s="59" t="e">
        <f t="shared" si="116"/>
        <v>#NUM!</v>
      </c>
      <c r="BI162" s="59">
        <f ca="1">AVERAGE(OFFSET($BH$3,0,0,'Données projet'!$E$11+1,1))-AVERAGE(OFFSET($H$3,0,0,'Données projet'!$E$11+1,1))</f>
        <v>187.80389738728508</v>
      </c>
      <c r="BJ162" s="59">
        <f t="shared" si="146"/>
        <v>439.28159165815265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9.5982284745516555</v>
      </c>
      <c r="BQ162" s="21">
        <f>EXP(-LN(2)/25)*BQ161+(1-EXP(-LN(2)/25))/(LN(2)/25)*Calculateur!BL162*Calculateur!BN162*VLOOKUP('Données projet'!$B$11,Paramètres!$A$1:$I$89,3,0)*0.475*44/12</f>
        <v>0.40212664195918668</v>
      </c>
      <c r="BR162" s="21">
        <f>EXP(-LN(2)/2)*BR161+(1-EXP(-LN(2)/2))/(LN(2)/2)*BL162*BO162*VLOOKUP('Données projet'!$B$11,Paramètres!$A$1:$I$89,3,0)*0.475*44/12</f>
        <v>1.7234986951148941E-21</v>
      </c>
      <c r="BS162" s="22">
        <f t="shared" si="169"/>
        <v>10.000355116510843</v>
      </c>
      <c r="BT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0</v>
      </c>
      <c r="BZ162" s="13" t="e">
        <f>BY162*VLOOKUP('Données projet'!$B$12,Paramètres!$A$1:$I$89,3,0)*VLOOKUP('Données projet'!$B$12,Paramètres!$A$1:$I$89,5,0)</f>
        <v>#N/A</v>
      </c>
      <c r="CA162" s="13" t="e">
        <f t="shared" si="170"/>
        <v>#N/A</v>
      </c>
      <c r="CB162" s="20" t="e">
        <f t="shared" si="171"/>
        <v>#N/A</v>
      </c>
      <c r="CC162" s="59" t="e">
        <f t="shared" si="119"/>
        <v>#N/A</v>
      </c>
      <c r="CD162" s="59" t="e">
        <f ca="1">AVERAGE(OFFSET($CC$3,0,0,'Données projet'!$E$12+1,1))-AVERAGE(OFFSET($H$3,0,0,'Données projet'!$E$12+1,1))</f>
        <v>#N/A</v>
      </c>
      <c r="CE162" s="59" t="e">
        <f t="shared" si="148"/>
        <v>#N/A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 t="e">
        <f>EXP(-LN(2)/35)*CK161+(1-EXP(-LN(2)/35))/(LN(2)/35)*CG162*CH162*VLOOKUP('Données projet'!$B$12,Paramètres!$A$1:$I$89,3,0)*0.475*44/12</f>
        <v>#N/A</v>
      </c>
      <c r="CL162" s="21" t="e">
        <f>EXP(-LN(2)/25)*CL161+(1-EXP(-LN(2)/25))/(LN(2)/25)*Calculateur!CG162*Calculateur!CI162*VLOOKUP('Données projet'!$B$12,Paramètres!$A$1:$I$89,3,0)*0.475*44/12</f>
        <v>#N/A</v>
      </c>
      <c r="CM162" s="21" t="e">
        <f>EXP(-LN(2)/2)*CM161+(1-EXP(-LN(2)/2))/(LN(2)/2)*CG162*CJ162*VLOOKUP('Données projet'!$B$12,Paramètres!$A$1:$I$89,3,0)*0.475*44/12</f>
        <v>#N/A</v>
      </c>
      <c r="CN162" s="22" t="e">
        <f t="shared" si="172"/>
        <v>#N/A</v>
      </c>
      <c r="CO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35">
      <c r="A163" s="10">
        <f t="shared" si="161"/>
        <v>160</v>
      </c>
      <c r="B163" s="72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1">
        <f t="shared" si="140"/>
        <v>0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66">
        <f t="shared" si="110"/>
        <v>256.66666666666669</v>
      </c>
      <c r="I163" s="6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20.879999999999939</v>
      </c>
      <c r="O163" s="13">
        <f>N163*VLOOKUP('Données projet'!$B$9,Paramètres!$A$1:$I$89,3,0)*VLOOKUP('Données projet'!$B$9,Paramètres!$A$1:$I$89,5,0)</f>
        <v>18.892223999999942</v>
      </c>
      <c r="P163" s="13">
        <f t="shared" si="141"/>
        <v>6.184089977612083</v>
      </c>
      <c r="Q163" s="20">
        <f t="shared" si="162"/>
        <v>43.674580177674272</v>
      </c>
      <c r="R163" s="59">
        <f t="shared" si="109"/>
        <v>337.00791351100759</v>
      </c>
      <c r="S163" s="59">
        <f ca="1">AVERAGE(OFFSET($R$3,0,0,'Données projet'!$E$9+1,1))-AVERAGE(OFFSET($H$3,0,0,'Données projet'!$E$9+1,1))</f>
        <v>700.22008319944644</v>
      </c>
      <c r="T163" s="59">
        <f t="shared" si="142"/>
        <v>253.69632671986739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348.54982905488924</v>
      </c>
      <c r="AA163" s="21">
        <f>EXP(-LN(2)/25)*AA162+(1-EXP(-LN(2)/25))/(LN(2)/25)*Calculateur!V163*Calculateur!X163*VLOOKUP('Données projet'!$B$9,Paramètres!$A$1:$I$89,3,0)*0.475*44/12</f>
        <v>0</v>
      </c>
      <c r="AB163" s="21">
        <f>EXP(-LN(2)/2)*AB162+(1-EXP(-LN(2)/2))/(LN(2)/2)*V163*Y163*VLOOKUP('Données projet'!$B$9,Paramètres!$A$1:$I$89,3,0)*0.475*44/12</f>
        <v>0</v>
      </c>
      <c r="AC163" s="22">
        <f t="shared" si="163"/>
        <v>348.54982905488924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20.879999999999939</v>
      </c>
      <c r="AJ163" s="13">
        <f>AI163*VLOOKUP('Données projet'!$B$10,Paramètres!$A$1:$I$89,3,0)*VLOOKUP('Données projet'!$B$10,Paramètres!$A$1:$I$89,5,0)</f>
        <v>19.86940799999994</v>
      </c>
      <c r="AK163" s="13">
        <f t="shared" si="164"/>
        <v>6.4658893302320672</v>
      </c>
      <c r="AL163" s="20">
        <f t="shared" si="165"/>
        <v>45.86730951682074</v>
      </c>
      <c r="AM163" s="59">
        <f t="shared" si="113"/>
        <v>339.20064285015405</v>
      </c>
      <c r="AN163" s="59">
        <f ca="1">AVERAGE(OFFSET($AM$3,0,0,'Données projet'!$E$10+1,1))-AVERAGE(OFFSET($H$3,0,0,'Données projet'!$E$10+1,1))</f>
        <v>733.95677909577444</v>
      </c>
      <c r="AO163" s="59">
        <f t="shared" si="144"/>
        <v>264.63778993239799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366.57826848876289</v>
      </c>
      <c r="AV163" s="21">
        <f>EXP(-LN(2)/25)*AV162+(1-EXP(-LN(2)/25))/(LN(2)/25)*Calculateur!AQ163*Calculateur!AS163*VLOOKUP('Données projet'!$B$10,Paramètres!$A$1:$I$89,3,0)*0.475*44/12</f>
        <v>0</v>
      </c>
      <c r="AW163" s="21">
        <f>EXP(-LN(2)/2)*AW162+(1-EXP(-LN(2)/2))/(LN(2)/2)*AQ163*AT163*VLOOKUP('Données projet'!$B$10,Paramètres!$A$1:$I$89,3,0)*0.475*44/12</f>
        <v>0</v>
      </c>
      <c r="AX163" s="21">
        <f t="shared" si="166"/>
        <v>366.57826848876289</v>
      </c>
      <c r="AY163" s="7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0</v>
      </c>
      <c r="BE163" s="13">
        <f>BD163*VLOOKUP('Données projet'!$B$11,Paramètres!$A$1:$I$89,3,0)*VLOOKUP('Données projet'!$B$11,Paramètres!$A$1:$I$89,5,0)</f>
        <v>0</v>
      </c>
      <c r="BF163" s="13" t="e">
        <f t="shared" si="167"/>
        <v>#NUM!</v>
      </c>
      <c r="BG163" s="20" t="e">
        <f t="shared" si="168"/>
        <v>#NUM!</v>
      </c>
      <c r="BH163" s="59" t="e">
        <f t="shared" si="116"/>
        <v>#NUM!</v>
      </c>
      <c r="BI163" s="59">
        <f ca="1">AVERAGE(OFFSET($BH$3,0,0,'Données projet'!$E$11+1,1))-AVERAGE(OFFSET($H$3,0,0,'Données projet'!$E$11+1,1))</f>
        <v>187.80389738728508</v>
      </c>
      <c r="BJ163" s="59">
        <f t="shared" si="146"/>
        <v>439.28159165815265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9.4100130685069985</v>
      </c>
      <c r="BQ163" s="21">
        <f>EXP(-LN(2)/25)*BQ162+(1-EXP(-LN(2)/25))/(LN(2)/25)*Calculateur!BL163*Calculateur!BN163*VLOOKUP('Données projet'!$B$11,Paramètres!$A$1:$I$89,3,0)*0.475*44/12</f>
        <v>0.39113046778789168</v>
      </c>
      <c r="BR163" s="21">
        <f>EXP(-LN(2)/2)*BR162+(1-EXP(-LN(2)/2))/(LN(2)/2)*BL163*BO163*VLOOKUP('Données projet'!$B$11,Paramètres!$A$1:$I$89,3,0)*0.475*44/12</f>
        <v>1.2186976146819076E-21</v>
      </c>
      <c r="BS163" s="22">
        <f t="shared" si="169"/>
        <v>9.8011435362948909</v>
      </c>
      <c r="BT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0</v>
      </c>
      <c r="BZ163" s="13" t="e">
        <f>BY163*VLOOKUP('Données projet'!$B$12,Paramètres!$A$1:$I$89,3,0)*VLOOKUP('Données projet'!$B$12,Paramètres!$A$1:$I$89,5,0)</f>
        <v>#N/A</v>
      </c>
      <c r="CA163" s="13" t="e">
        <f t="shared" si="170"/>
        <v>#N/A</v>
      </c>
      <c r="CB163" s="20" t="e">
        <f t="shared" si="171"/>
        <v>#N/A</v>
      </c>
      <c r="CC163" s="59" t="e">
        <f t="shared" si="119"/>
        <v>#N/A</v>
      </c>
      <c r="CD163" s="59" t="e">
        <f ca="1">AVERAGE(OFFSET($CC$3,0,0,'Données projet'!$E$12+1,1))-AVERAGE(OFFSET($H$3,0,0,'Données projet'!$E$12+1,1))</f>
        <v>#N/A</v>
      </c>
      <c r="CE163" s="59" t="e">
        <f t="shared" si="148"/>
        <v>#N/A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 t="e">
        <f>EXP(-LN(2)/35)*CK162+(1-EXP(-LN(2)/35))/(LN(2)/35)*CG163*CH163*VLOOKUP('Données projet'!$B$12,Paramètres!$A$1:$I$89,3,0)*0.475*44/12</f>
        <v>#N/A</v>
      </c>
      <c r="CL163" s="21" t="e">
        <f>EXP(-LN(2)/25)*CL162+(1-EXP(-LN(2)/25))/(LN(2)/25)*Calculateur!CG163*Calculateur!CI163*VLOOKUP('Données projet'!$B$12,Paramètres!$A$1:$I$89,3,0)*0.475*44/12</f>
        <v>#N/A</v>
      </c>
      <c r="CM163" s="21" t="e">
        <f>EXP(-LN(2)/2)*CM162+(1-EXP(-LN(2)/2))/(LN(2)/2)*CG163*CJ163*VLOOKUP('Données projet'!$B$12,Paramètres!$A$1:$I$89,3,0)*0.475*44/12</f>
        <v>#N/A</v>
      </c>
      <c r="CN163" s="22" t="e">
        <f t="shared" si="172"/>
        <v>#N/A</v>
      </c>
      <c r="CO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35">
      <c r="A164" s="10">
        <f t="shared" si="161"/>
        <v>161</v>
      </c>
      <c r="B164" s="72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1">
        <f t="shared" si="140"/>
        <v>0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66">
        <f t="shared" si="110"/>
        <v>256.66666666666669</v>
      </c>
      <c r="I164" s="6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20.879999999999939</v>
      </c>
      <c r="O164" s="13">
        <f>N164*VLOOKUP('Données projet'!$B$9,Paramètres!$A$1:$I$89,3,0)*VLOOKUP('Données projet'!$B$9,Paramètres!$A$1:$I$89,5,0)</f>
        <v>18.892223999999942</v>
      </c>
      <c r="P164" s="13">
        <f t="shared" si="141"/>
        <v>6.184089977612083</v>
      </c>
      <c r="Q164" s="20">
        <f t="shared" si="162"/>
        <v>43.674580177674272</v>
      </c>
      <c r="R164" s="59">
        <f t="shared" si="109"/>
        <v>337.00791351100759</v>
      </c>
      <c r="S164" s="59">
        <f ca="1">AVERAGE(OFFSET($R$3,0,0,'Données projet'!$E$9+1,1))-AVERAGE(OFFSET($H$3,0,0,'Données projet'!$E$9+1,1))</f>
        <v>700.22008319944644</v>
      </c>
      <c r="T164" s="59">
        <f t="shared" si="142"/>
        <v>253.69632671986739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341.71497950152661</v>
      </c>
      <c r="AA164" s="21">
        <f>EXP(-LN(2)/25)*AA163+(1-EXP(-LN(2)/25))/(LN(2)/25)*Calculateur!V164*Calculateur!X164*VLOOKUP('Données projet'!$B$9,Paramètres!$A$1:$I$89,3,0)*0.475*44/12</f>
        <v>0</v>
      </c>
      <c r="AB164" s="21">
        <f>EXP(-LN(2)/2)*AB163+(1-EXP(-LN(2)/2))/(LN(2)/2)*V164*Y164*VLOOKUP('Données projet'!$B$9,Paramètres!$A$1:$I$89,3,0)*0.475*44/12</f>
        <v>0</v>
      </c>
      <c r="AC164" s="22">
        <f t="shared" si="163"/>
        <v>341.71497950152661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20.879999999999939</v>
      </c>
      <c r="AJ164" s="13">
        <f>AI164*VLOOKUP('Données projet'!$B$10,Paramètres!$A$1:$I$89,3,0)*VLOOKUP('Données projet'!$B$10,Paramètres!$A$1:$I$89,5,0)</f>
        <v>19.86940799999994</v>
      </c>
      <c r="AK164" s="13">
        <f t="shared" si="164"/>
        <v>6.4658893302320672</v>
      </c>
      <c r="AL164" s="20">
        <f t="shared" si="165"/>
        <v>45.86730951682074</v>
      </c>
      <c r="AM164" s="59">
        <f t="shared" si="113"/>
        <v>339.20064285015405</v>
      </c>
      <c r="AN164" s="59">
        <f ca="1">AVERAGE(OFFSET($AM$3,0,0,'Données projet'!$E$10+1,1))-AVERAGE(OFFSET($H$3,0,0,'Données projet'!$E$10+1,1))</f>
        <v>733.95677909577444</v>
      </c>
      <c r="AO164" s="59">
        <f t="shared" si="144"/>
        <v>264.63778993239799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359.38989223436425</v>
      </c>
      <c r="AV164" s="21">
        <f>EXP(-LN(2)/25)*AV163+(1-EXP(-LN(2)/25))/(LN(2)/25)*Calculateur!AQ164*Calculateur!AS164*VLOOKUP('Données projet'!$B$10,Paramètres!$A$1:$I$89,3,0)*0.475*44/12</f>
        <v>0</v>
      </c>
      <c r="AW164" s="21">
        <f>EXP(-LN(2)/2)*AW163+(1-EXP(-LN(2)/2))/(LN(2)/2)*AQ164*AT164*VLOOKUP('Données projet'!$B$10,Paramètres!$A$1:$I$89,3,0)*0.475*44/12</f>
        <v>0</v>
      </c>
      <c r="AX164" s="21">
        <f t="shared" si="166"/>
        <v>359.38989223436425</v>
      </c>
      <c r="AY164" s="7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0</v>
      </c>
      <c r="BE164" s="13">
        <f>BD164*VLOOKUP('Données projet'!$B$11,Paramètres!$A$1:$I$89,3,0)*VLOOKUP('Données projet'!$B$11,Paramètres!$A$1:$I$89,5,0)</f>
        <v>0</v>
      </c>
      <c r="BF164" s="13" t="e">
        <f t="shared" si="167"/>
        <v>#NUM!</v>
      </c>
      <c r="BG164" s="20" t="e">
        <f t="shared" si="168"/>
        <v>#NUM!</v>
      </c>
      <c r="BH164" s="59" t="e">
        <f t="shared" si="116"/>
        <v>#NUM!</v>
      </c>
      <c r="BI164" s="59">
        <f ca="1">AVERAGE(OFFSET($BH$3,0,0,'Données projet'!$E$11+1,1))-AVERAGE(OFFSET($H$3,0,0,'Données projet'!$E$11+1,1))</f>
        <v>187.80389738728508</v>
      </c>
      <c r="BJ164" s="59">
        <f t="shared" si="146"/>
        <v>439.28159165815265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9.2254884517748152</v>
      </c>
      <c r="BQ164" s="21">
        <f>EXP(-LN(2)/25)*BQ163+(1-EXP(-LN(2)/25))/(LN(2)/25)*Calculateur!BL164*Calculateur!BN164*VLOOKUP('Données projet'!$B$11,Paramètres!$A$1:$I$89,3,0)*0.475*44/12</f>
        <v>0.38043498457757441</v>
      </c>
      <c r="BR164" s="21">
        <f>EXP(-LN(2)/2)*BR163+(1-EXP(-LN(2)/2))/(LN(2)/2)*BL164*BO164*VLOOKUP('Données projet'!$B$11,Paramètres!$A$1:$I$89,3,0)*0.475*44/12</f>
        <v>8.6174934755744706E-22</v>
      </c>
      <c r="BS164" s="22">
        <f t="shared" si="169"/>
        <v>9.6059234363523895</v>
      </c>
      <c r="BT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0</v>
      </c>
      <c r="BZ164" s="13" t="e">
        <f>BY164*VLOOKUP('Données projet'!$B$12,Paramètres!$A$1:$I$89,3,0)*VLOOKUP('Données projet'!$B$12,Paramètres!$A$1:$I$89,5,0)</f>
        <v>#N/A</v>
      </c>
      <c r="CA164" s="13" t="e">
        <f t="shared" si="170"/>
        <v>#N/A</v>
      </c>
      <c r="CB164" s="20" t="e">
        <f t="shared" si="171"/>
        <v>#N/A</v>
      </c>
      <c r="CC164" s="59" t="e">
        <f t="shared" si="119"/>
        <v>#N/A</v>
      </c>
      <c r="CD164" s="59" t="e">
        <f ca="1">AVERAGE(OFFSET($CC$3,0,0,'Données projet'!$E$12+1,1))-AVERAGE(OFFSET($H$3,0,0,'Données projet'!$E$12+1,1))</f>
        <v>#N/A</v>
      </c>
      <c r="CE164" s="59" t="e">
        <f t="shared" si="148"/>
        <v>#N/A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 t="e">
        <f>EXP(-LN(2)/35)*CK163+(1-EXP(-LN(2)/35))/(LN(2)/35)*CG164*CH164*VLOOKUP('Données projet'!$B$12,Paramètres!$A$1:$I$89,3,0)*0.475*44/12</f>
        <v>#N/A</v>
      </c>
      <c r="CL164" s="21" t="e">
        <f>EXP(-LN(2)/25)*CL163+(1-EXP(-LN(2)/25))/(LN(2)/25)*Calculateur!CG164*Calculateur!CI164*VLOOKUP('Données projet'!$B$12,Paramètres!$A$1:$I$89,3,0)*0.475*44/12</f>
        <v>#N/A</v>
      </c>
      <c r="CM164" s="21" t="e">
        <f>EXP(-LN(2)/2)*CM163+(1-EXP(-LN(2)/2))/(LN(2)/2)*CG164*CJ164*VLOOKUP('Données projet'!$B$12,Paramètres!$A$1:$I$89,3,0)*0.475*44/12</f>
        <v>#N/A</v>
      </c>
      <c r="CN164" s="22" t="e">
        <f t="shared" si="172"/>
        <v>#N/A</v>
      </c>
      <c r="CO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35">
      <c r="A165" s="10">
        <f t="shared" si="161"/>
        <v>162</v>
      </c>
      <c r="B165" s="72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1">
        <f t="shared" si="140"/>
        <v>0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66">
        <f t="shared" si="110"/>
        <v>256.66666666666669</v>
      </c>
      <c r="I165" s="6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20.879999999999939</v>
      </c>
      <c r="O165" s="13">
        <f>N165*VLOOKUP('Données projet'!$B$9,Paramètres!$A$1:$I$89,3,0)*VLOOKUP('Données projet'!$B$9,Paramètres!$A$1:$I$89,5,0)</f>
        <v>18.892223999999942</v>
      </c>
      <c r="P165" s="13">
        <f t="shared" si="141"/>
        <v>6.184089977612083</v>
      </c>
      <c r="Q165" s="20">
        <f t="shared" si="162"/>
        <v>43.674580177674272</v>
      </c>
      <c r="R165" s="59">
        <f t="shared" si="109"/>
        <v>337.00791351100759</v>
      </c>
      <c r="S165" s="59">
        <f ca="1">AVERAGE(OFFSET($R$3,0,0,'Données projet'!$E$9+1,1))-AVERAGE(OFFSET($H$3,0,0,'Données projet'!$E$9+1,1))</f>
        <v>700.22008319944644</v>
      </c>
      <c r="T165" s="59">
        <f t="shared" si="142"/>
        <v>253.69632671986739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335.01415717905888</v>
      </c>
      <c r="AA165" s="21">
        <f>EXP(-LN(2)/25)*AA164+(1-EXP(-LN(2)/25))/(LN(2)/25)*Calculateur!V165*Calculateur!X165*VLOOKUP('Données projet'!$B$9,Paramètres!$A$1:$I$89,3,0)*0.475*44/12</f>
        <v>0</v>
      </c>
      <c r="AB165" s="21">
        <f>EXP(-LN(2)/2)*AB164+(1-EXP(-LN(2)/2))/(LN(2)/2)*V165*Y165*VLOOKUP('Données projet'!$B$9,Paramètres!$A$1:$I$89,3,0)*0.475*44/12</f>
        <v>0</v>
      </c>
      <c r="AC165" s="22">
        <f t="shared" si="163"/>
        <v>335.01415717905888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20.879999999999939</v>
      </c>
      <c r="AJ165" s="13">
        <f>AI165*VLOOKUP('Données projet'!$B$10,Paramètres!$A$1:$I$89,3,0)*VLOOKUP('Données projet'!$B$10,Paramètres!$A$1:$I$89,5,0)</f>
        <v>19.86940799999994</v>
      </c>
      <c r="AK165" s="13">
        <f t="shared" si="164"/>
        <v>6.4658893302320672</v>
      </c>
      <c r="AL165" s="20">
        <f t="shared" si="165"/>
        <v>45.86730951682074</v>
      </c>
      <c r="AM165" s="59">
        <f t="shared" si="113"/>
        <v>339.20064285015405</v>
      </c>
      <c r="AN165" s="59">
        <f ca="1">AVERAGE(OFFSET($AM$3,0,0,'Données projet'!$E$10+1,1))-AVERAGE(OFFSET($H$3,0,0,'Données projet'!$E$10+1,1))</f>
        <v>733.95677909577444</v>
      </c>
      <c r="AO165" s="59">
        <f t="shared" si="144"/>
        <v>264.63778993239799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352.34247565383782</v>
      </c>
      <c r="AV165" s="21">
        <f>EXP(-LN(2)/25)*AV164+(1-EXP(-LN(2)/25))/(LN(2)/25)*Calculateur!AQ165*Calculateur!AS165*VLOOKUP('Données projet'!$B$10,Paramètres!$A$1:$I$89,3,0)*0.475*44/12</f>
        <v>0</v>
      </c>
      <c r="AW165" s="21">
        <f>EXP(-LN(2)/2)*AW164+(1-EXP(-LN(2)/2))/(LN(2)/2)*AQ165*AT165*VLOOKUP('Données projet'!$B$10,Paramètres!$A$1:$I$89,3,0)*0.475*44/12</f>
        <v>0</v>
      </c>
      <c r="AX165" s="21">
        <f t="shared" si="166"/>
        <v>352.34247565383782</v>
      </c>
      <c r="AY165" s="7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0</v>
      </c>
      <c r="BE165" s="13">
        <f>BD165*VLOOKUP('Données projet'!$B$11,Paramètres!$A$1:$I$89,3,0)*VLOOKUP('Données projet'!$B$11,Paramètres!$A$1:$I$89,5,0)</f>
        <v>0</v>
      </c>
      <c r="BF165" s="13" t="e">
        <f t="shared" si="167"/>
        <v>#NUM!</v>
      </c>
      <c r="BG165" s="20" t="e">
        <f t="shared" si="168"/>
        <v>#NUM!</v>
      </c>
      <c r="BH165" s="59" t="e">
        <f t="shared" si="116"/>
        <v>#NUM!</v>
      </c>
      <c r="BI165" s="59">
        <f ca="1">AVERAGE(OFFSET($BH$3,0,0,'Données projet'!$E$11+1,1))-AVERAGE(OFFSET($H$3,0,0,'Données projet'!$E$11+1,1))</f>
        <v>187.80389738728508</v>
      </c>
      <c r="BJ165" s="59">
        <f t="shared" si="146"/>
        <v>439.28159165815265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9.0445822502278475</v>
      </c>
      <c r="BQ165" s="21">
        <f>EXP(-LN(2)/25)*BQ164+(1-EXP(-LN(2)/25))/(LN(2)/25)*Calculateur!BL165*Calculateur!BN165*VLOOKUP('Données projet'!$B$11,Paramètres!$A$1:$I$89,3,0)*0.475*44/12</f>
        <v>0.37003196991809428</v>
      </c>
      <c r="BR165" s="21">
        <f>EXP(-LN(2)/2)*BR164+(1-EXP(-LN(2)/2))/(LN(2)/2)*BL165*BO165*VLOOKUP('Données projet'!$B$11,Paramètres!$A$1:$I$89,3,0)*0.475*44/12</f>
        <v>6.0934880734095382E-22</v>
      </c>
      <c r="BS165" s="22">
        <f t="shared" si="169"/>
        <v>9.4146142201459426</v>
      </c>
      <c r="BT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0</v>
      </c>
      <c r="BZ165" s="13" t="e">
        <f>BY165*VLOOKUP('Données projet'!$B$12,Paramètres!$A$1:$I$89,3,0)*VLOOKUP('Données projet'!$B$12,Paramètres!$A$1:$I$89,5,0)</f>
        <v>#N/A</v>
      </c>
      <c r="CA165" s="13" t="e">
        <f t="shared" si="170"/>
        <v>#N/A</v>
      </c>
      <c r="CB165" s="20" t="e">
        <f t="shared" si="171"/>
        <v>#N/A</v>
      </c>
      <c r="CC165" s="59" t="e">
        <f t="shared" si="119"/>
        <v>#N/A</v>
      </c>
      <c r="CD165" s="59" t="e">
        <f ca="1">AVERAGE(OFFSET($CC$3,0,0,'Données projet'!$E$12+1,1))-AVERAGE(OFFSET($H$3,0,0,'Données projet'!$E$12+1,1))</f>
        <v>#N/A</v>
      </c>
      <c r="CE165" s="59" t="e">
        <f t="shared" si="148"/>
        <v>#N/A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 t="e">
        <f>EXP(-LN(2)/35)*CK164+(1-EXP(-LN(2)/35))/(LN(2)/35)*CG165*CH165*VLOOKUP('Données projet'!$B$12,Paramètres!$A$1:$I$89,3,0)*0.475*44/12</f>
        <v>#N/A</v>
      </c>
      <c r="CL165" s="21" t="e">
        <f>EXP(-LN(2)/25)*CL164+(1-EXP(-LN(2)/25))/(LN(2)/25)*Calculateur!CG165*Calculateur!CI165*VLOOKUP('Données projet'!$B$12,Paramètres!$A$1:$I$89,3,0)*0.475*44/12</f>
        <v>#N/A</v>
      </c>
      <c r="CM165" s="21" t="e">
        <f>EXP(-LN(2)/2)*CM164+(1-EXP(-LN(2)/2))/(LN(2)/2)*CG165*CJ165*VLOOKUP('Données projet'!$B$12,Paramètres!$A$1:$I$89,3,0)*0.475*44/12</f>
        <v>#N/A</v>
      </c>
      <c r="CN165" s="22" t="e">
        <f t="shared" si="172"/>
        <v>#N/A</v>
      </c>
      <c r="CO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35">
      <c r="A166" s="10">
        <f t="shared" si="161"/>
        <v>163</v>
      </c>
      <c r="B166" s="72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1">
        <f t="shared" si="140"/>
        <v>0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66">
        <f t="shared" si="110"/>
        <v>256.66666666666669</v>
      </c>
      <c r="I166" s="6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20.879999999999939</v>
      </c>
      <c r="O166" s="13">
        <f>N166*VLOOKUP('Données projet'!$B$9,Paramètres!$A$1:$I$89,3,0)*VLOOKUP('Données projet'!$B$9,Paramètres!$A$1:$I$89,5,0)</f>
        <v>18.892223999999942</v>
      </c>
      <c r="P166" s="13">
        <f t="shared" si="141"/>
        <v>6.184089977612083</v>
      </c>
      <c r="Q166" s="20">
        <f t="shared" si="162"/>
        <v>43.674580177674272</v>
      </c>
      <c r="R166" s="59">
        <f t="shared" si="109"/>
        <v>337.00791351100759</v>
      </c>
      <c r="S166" s="59">
        <f ca="1">AVERAGE(OFFSET($R$3,0,0,'Données projet'!$E$9+1,1))-AVERAGE(OFFSET($H$3,0,0,'Données projet'!$E$9+1,1))</f>
        <v>700.22008319944644</v>
      </c>
      <c r="T166" s="59">
        <f t="shared" si="142"/>
        <v>253.69632671986739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328.44473389523665</v>
      </c>
      <c r="AA166" s="21">
        <f>EXP(-LN(2)/25)*AA165+(1-EXP(-LN(2)/25))/(LN(2)/25)*Calculateur!V166*Calculateur!X166*VLOOKUP('Données projet'!$B$9,Paramètres!$A$1:$I$89,3,0)*0.475*44/12</f>
        <v>0</v>
      </c>
      <c r="AB166" s="21">
        <f>EXP(-LN(2)/2)*AB165+(1-EXP(-LN(2)/2))/(LN(2)/2)*V166*Y166*VLOOKUP('Données projet'!$B$9,Paramètres!$A$1:$I$89,3,0)*0.475*44/12</f>
        <v>0</v>
      </c>
      <c r="AC166" s="22">
        <f t="shared" si="163"/>
        <v>328.44473389523665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20.879999999999939</v>
      </c>
      <c r="AJ166" s="13">
        <f>AI166*VLOOKUP('Données projet'!$B$10,Paramètres!$A$1:$I$89,3,0)*VLOOKUP('Données projet'!$B$10,Paramètres!$A$1:$I$89,5,0)</f>
        <v>19.86940799999994</v>
      </c>
      <c r="AK166" s="13">
        <f t="shared" si="164"/>
        <v>6.4658893302320672</v>
      </c>
      <c r="AL166" s="20">
        <f t="shared" si="165"/>
        <v>45.86730951682074</v>
      </c>
      <c r="AM166" s="59">
        <f t="shared" si="113"/>
        <v>339.20064285015405</v>
      </c>
      <c r="AN166" s="59">
        <f ca="1">AVERAGE(OFFSET($AM$3,0,0,'Données projet'!$E$10+1,1))-AVERAGE(OFFSET($H$3,0,0,'Données projet'!$E$10+1,1))</f>
        <v>733.95677909577444</v>
      </c>
      <c r="AO166" s="59">
        <f t="shared" si="144"/>
        <v>264.63778993239799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345.43325461395585</v>
      </c>
      <c r="AV166" s="21">
        <f>EXP(-LN(2)/25)*AV165+(1-EXP(-LN(2)/25))/(LN(2)/25)*Calculateur!AQ166*Calculateur!AS166*VLOOKUP('Données projet'!$B$10,Paramètres!$A$1:$I$89,3,0)*0.475*44/12</f>
        <v>0</v>
      </c>
      <c r="AW166" s="21">
        <f>EXP(-LN(2)/2)*AW165+(1-EXP(-LN(2)/2))/(LN(2)/2)*AQ166*AT166*VLOOKUP('Données projet'!$B$10,Paramètres!$A$1:$I$89,3,0)*0.475*44/12</f>
        <v>0</v>
      </c>
      <c r="AX166" s="21">
        <f t="shared" si="166"/>
        <v>345.43325461395585</v>
      </c>
      <c r="AY166" s="7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0</v>
      </c>
      <c r="BE166" s="13">
        <f>BD166*VLOOKUP('Données projet'!$B$11,Paramètres!$A$1:$I$89,3,0)*VLOOKUP('Données projet'!$B$11,Paramètres!$A$1:$I$89,5,0)</f>
        <v>0</v>
      </c>
      <c r="BF166" s="13" t="e">
        <f t="shared" si="167"/>
        <v>#NUM!</v>
      </c>
      <c r="BG166" s="20" t="e">
        <f t="shared" si="168"/>
        <v>#NUM!</v>
      </c>
      <c r="BH166" s="59" t="e">
        <f t="shared" si="116"/>
        <v>#NUM!</v>
      </c>
      <c r="BI166" s="59">
        <f ca="1">AVERAGE(OFFSET($BH$3,0,0,'Données projet'!$E$11+1,1))-AVERAGE(OFFSET($H$3,0,0,'Données projet'!$E$11+1,1))</f>
        <v>187.80389738728508</v>
      </c>
      <c r="BJ166" s="59">
        <f t="shared" si="146"/>
        <v>439.28159165815265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8.8672235089513283</v>
      </c>
      <c r="BQ166" s="21">
        <f>EXP(-LN(2)/25)*BQ165+(1-EXP(-LN(2)/25))/(LN(2)/25)*Calculateur!BL166*Calculateur!BN166*VLOOKUP('Données projet'!$B$11,Paramètres!$A$1:$I$89,3,0)*0.475*44/12</f>
        <v>0.35991342624154843</v>
      </c>
      <c r="BR166" s="21">
        <f>EXP(-LN(2)/2)*BR165+(1-EXP(-LN(2)/2))/(LN(2)/2)*BL166*BO166*VLOOKUP('Données projet'!$B$11,Paramètres!$A$1:$I$89,3,0)*0.475*44/12</f>
        <v>4.3087467377872353E-22</v>
      </c>
      <c r="BS166" s="22">
        <f t="shared" si="169"/>
        <v>9.2271369351928776</v>
      </c>
      <c r="BT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0</v>
      </c>
      <c r="BZ166" s="13" t="e">
        <f>BY166*VLOOKUP('Données projet'!$B$12,Paramètres!$A$1:$I$89,3,0)*VLOOKUP('Données projet'!$B$12,Paramètres!$A$1:$I$89,5,0)</f>
        <v>#N/A</v>
      </c>
      <c r="CA166" s="13" t="e">
        <f t="shared" si="170"/>
        <v>#N/A</v>
      </c>
      <c r="CB166" s="20" t="e">
        <f t="shared" si="171"/>
        <v>#N/A</v>
      </c>
      <c r="CC166" s="59" t="e">
        <f t="shared" si="119"/>
        <v>#N/A</v>
      </c>
      <c r="CD166" s="59" t="e">
        <f ca="1">AVERAGE(OFFSET($CC$3,0,0,'Données projet'!$E$12+1,1))-AVERAGE(OFFSET($H$3,0,0,'Données projet'!$E$12+1,1))</f>
        <v>#N/A</v>
      </c>
      <c r="CE166" s="59" t="e">
        <f t="shared" si="148"/>
        <v>#N/A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 t="e">
        <f>EXP(-LN(2)/35)*CK165+(1-EXP(-LN(2)/35))/(LN(2)/35)*CG166*CH166*VLOOKUP('Données projet'!$B$12,Paramètres!$A$1:$I$89,3,0)*0.475*44/12</f>
        <v>#N/A</v>
      </c>
      <c r="CL166" s="21" t="e">
        <f>EXP(-LN(2)/25)*CL165+(1-EXP(-LN(2)/25))/(LN(2)/25)*Calculateur!CG166*Calculateur!CI166*VLOOKUP('Données projet'!$B$12,Paramètres!$A$1:$I$89,3,0)*0.475*44/12</f>
        <v>#N/A</v>
      </c>
      <c r="CM166" s="21" t="e">
        <f>EXP(-LN(2)/2)*CM165+(1-EXP(-LN(2)/2))/(LN(2)/2)*CG166*CJ166*VLOOKUP('Données projet'!$B$12,Paramètres!$A$1:$I$89,3,0)*0.475*44/12</f>
        <v>#N/A</v>
      </c>
      <c r="CN166" s="22" t="e">
        <f t="shared" si="172"/>
        <v>#N/A</v>
      </c>
      <c r="CO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35">
      <c r="A167" s="10">
        <f t="shared" si="161"/>
        <v>164</v>
      </c>
      <c r="B167" s="72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1">
        <f t="shared" si="140"/>
        <v>0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66">
        <f t="shared" si="110"/>
        <v>256.66666666666669</v>
      </c>
      <c r="I167" s="6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20.879999999999939</v>
      </c>
      <c r="O167" s="13">
        <f>N167*VLOOKUP('Données projet'!$B$9,Paramètres!$A$1:$I$89,3,0)*VLOOKUP('Données projet'!$B$9,Paramètres!$A$1:$I$89,5,0)</f>
        <v>18.892223999999942</v>
      </c>
      <c r="P167" s="13">
        <f t="shared" si="141"/>
        <v>6.184089977612083</v>
      </c>
      <c r="Q167" s="20">
        <f t="shared" si="162"/>
        <v>43.674580177674272</v>
      </c>
      <c r="R167" s="59">
        <f t="shared" si="109"/>
        <v>337.00791351100759</v>
      </c>
      <c r="S167" s="59">
        <f ca="1">AVERAGE(OFFSET($R$3,0,0,'Données projet'!$E$9+1,1))-AVERAGE(OFFSET($H$3,0,0,'Données projet'!$E$9+1,1))</f>
        <v>700.22008319944644</v>
      </c>
      <c r="T167" s="59">
        <f t="shared" si="142"/>
        <v>253.69632671986739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322.00413299505766</v>
      </c>
      <c r="AA167" s="21">
        <f>EXP(-LN(2)/25)*AA166+(1-EXP(-LN(2)/25))/(LN(2)/25)*Calculateur!V167*Calculateur!X167*VLOOKUP('Données projet'!$B$9,Paramètres!$A$1:$I$89,3,0)*0.475*44/12</f>
        <v>0</v>
      </c>
      <c r="AB167" s="21">
        <f>EXP(-LN(2)/2)*AB166+(1-EXP(-LN(2)/2))/(LN(2)/2)*V167*Y167*VLOOKUP('Données projet'!$B$9,Paramètres!$A$1:$I$89,3,0)*0.475*44/12</f>
        <v>0</v>
      </c>
      <c r="AC167" s="22">
        <f t="shared" si="163"/>
        <v>322.00413299505766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20.879999999999939</v>
      </c>
      <c r="AJ167" s="13">
        <f>AI167*VLOOKUP('Données projet'!$B$10,Paramètres!$A$1:$I$89,3,0)*VLOOKUP('Données projet'!$B$10,Paramètres!$A$1:$I$89,5,0)</f>
        <v>19.86940799999994</v>
      </c>
      <c r="AK167" s="13">
        <f t="shared" si="164"/>
        <v>6.4658893302320672</v>
      </c>
      <c r="AL167" s="20">
        <f t="shared" si="165"/>
        <v>45.86730951682074</v>
      </c>
      <c r="AM167" s="59">
        <f t="shared" si="113"/>
        <v>339.20064285015405</v>
      </c>
      <c r="AN167" s="59">
        <f ca="1">AVERAGE(OFFSET($AM$3,0,0,'Données projet'!$E$10+1,1))-AVERAGE(OFFSET($H$3,0,0,'Données projet'!$E$10+1,1))</f>
        <v>733.95677909577444</v>
      </c>
      <c r="AO167" s="59">
        <f t="shared" si="144"/>
        <v>264.63778993239799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338.65951918445722</v>
      </c>
      <c r="AV167" s="21">
        <f>EXP(-LN(2)/25)*AV166+(1-EXP(-LN(2)/25))/(LN(2)/25)*Calculateur!AQ167*Calculateur!AS167*VLOOKUP('Données projet'!$B$10,Paramètres!$A$1:$I$89,3,0)*0.475*44/12</f>
        <v>0</v>
      </c>
      <c r="AW167" s="21">
        <f>EXP(-LN(2)/2)*AW166+(1-EXP(-LN(2)/2))/(LN(2)/2)*AQ167*AT167*VLOOKUP('Données projet'!$B$10,Paramètres!$A$1:$I$89,3,0)*0.475*44/12</f>
        <v>0</v>
      </c>
      <c r="AX167" s="21">
        <f t="shared" si="166"/>
        <v>338.65951918445722</v>
      </c>
      <c r="AY167" s="7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0</v>
      </c>
      <c r="BE167" s="13">
        <f>BD167*VLOOKUP('Données projet'!$B$11,Paramètres!$A$1:$I$89,3,0)*VLOOKUP('Données projet'!$B$11,Paramètres!$A$1:$I$89,5,0)</f>
        <v>0</v>
      </c>
      <c r="BF167" s="13" t="e">
        <f t="shared" si="167"/>
        <v>#NUM!</v>
      </c>
      <c r="BG167" s="20" t="e">
        <f t="shared" si="168"/>
        <v>#NUM!</v>
      </c>
      <c r="BH167" s="59" t="e">
        <f t="shared" si="116"/>
        <v>#NUM!</v>
      </c>
      <c r="BI167" s="59">
        <f ca="1">AVERAGE(OFFSET($BH$3,0,0,'Données projet'!$E$11+1,1))-AVERAGE(OFFSET($H$3,0,0,'Données projet'!$E$11+1,1))</f>
        <v>187.80389738728508</v>
      </c>
      <c r="BJ167" s="59">
        <f t="shared" si="146"/>
        <v>439.28159165815265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8.6933426644130911</v>
      </c>
      <c r="BQ167" s="21">
        <f>EXP(-LN(2)/25)*BQ166+(1-EXP(-LN(2)/25))/(LN(2)/25)*Calculateur!BL167*Calculateur!BN167*VLOOKUP('Données projet'!$B$11,Paramètres!$A$1:$I$89,3,0)*0.475*44/12</f>
        <v>0.35007157467394878</v>
      </c>
      <c r="BR167" s="21">
        <f>EXP(-LN(2)/2)*BR166+(1-EXP(-LN(2)/2))/(LN(2)/2)*BL167*BO167*VLOOKUP('Données projet'!$B$11,Paramètres!$A$1:$I$89,3,0)*0.475*44/12</f>
        <v>3.0467440367047691E-22</v>
      </c>
      <c r="BS167" s="22">
        <f t="shared" si="169"/>
        <v>9.0434142390870402</v>
      </c>
      <c r="BT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0</v>
      </c>
      <c r="BZ167" s="13" t="e">
        <f>BY167*VLOOKUP('Données projet'!$B$12,Paramètres!$A$1:$I$89,3,0)*VLOOKUP('Données projet'!$B$12,Paramètres!$A$1:$I$89,5,0)</f>
        <v>#N/A</v>
      </c>
      <c r="CA167" s="13" t="e">
        <f t="shared" si="170"/>
        <v>#N/A</v>
      </c>
      <c r="CB167" s="20" t="e">
        <f t="shared" si="171"/>
        <v>#N/A</v>
      </c>
      <c r="CC167" s="59" t="e">
        <f t="shared" si="119"/>
        <v>#N/A</v>
      </c>
      <c r="CD167" s="59" t="e">
        <f ca="1">AVERAGE(OFFSET($CC$3,0,0,'Données projet'!$E$12+1,1))-AVERAGE(OFFSET($H$3,0,0,'Données projet'!$E$12+1,1))</f>
        <v>#N/A</v>
      </c>
      <c r="CE167" s="59" t="e">
        <f t="shared" si="148"/>
        <v>#N/A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 t="e">
        <f>EXP(-LN(2)/35)*CK166+(1-EXP(-LN(2)/35))/(LN(2)/35)*CG167*CH167*VLOOKUP('Données projet'!$B$12,Paramètres!$A$1:$I$89,3,0)*0.475*44/12</f>
        <v>#N/A</v>
      </c>
      <c r="CL167" s="21" t="e">
        <f>EXP(-LN(2)/25)*CL166+(1-EXP(-LN(2)/25))/(LN(2)/25)*Calculateur!CG167*Calculateur!CI167*VLOOKUP('Données projet'!$B$12,Paramètres!$A$1:$I$89,3,0)*0.475*44/12</f>
        <v>#N/A</v>
      </c>
      <c r="CM167" s="21" t="e">
        <f>EXP(-LN(2)/2)*CM166+(1-EXP(-LN(2)/2))/(LN(2)/2)*CG167*CJ167*VLOOKUP('Données projet'!$B$12,Paramètres!$A$1:$I$89,3,0)*0.475*44/12</f>
        <v>#N/A</v>
      </c>
      <c r="CN167" s="22" t="e">
        <f t="shared" si="172"/>
        <v>#N/A</v>
      </c>
      <c r="CO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35">
      <c r="A168" s="10">
        <f t="shared" si="161"/>
        <v>165</v>
      </c>
      <c r="B168" s="72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1">
        <f t="shared" si="140"/>
        <v>0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66">
        <f t="shared" si="110"/>
        <v>256.66666666666669</v>
      </c>
      <c r="I168" s="6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20.879999999999939</v>
      </c>
      <c r="O168" s="13">
        <f>N168*VLOOKUP('Données projet'!$B$9,Paramètres!$A$1:$I$89,3,0)*VLOOKUP('Données projet'!$B$9,Paramètres!$A$1:$I$89,5,0)</f>
        <v>18.892223999999942</v>
      </c>
      <c r="P168" s="13">
        <f t="shared" si="141"/>
        <v>6.184089977612083</v>
      </c>
      <c r="Q168" s="20">
        <f t="shared" si="162"/>
        <v>43.674580177674272</v>
      </c>
      <c r="R168" s="59">
        <f t="shared" si="109"/>
        <v>337.00791351100759</v>
      </c>
      <c r="S168" s="59">
        <f ca="1">AVERAGE(OFFSET($R$3,0,0,'Données projet'!$E$9+1,1))-AVERAGE(OFFSET($H$3,0,0,'Données projet'!$E$9+1,1))</f>
        <v>700.22008319944644</v>
      </c>
      <c r="T168" s="59">
        <f t="shared" si="142"/>
        <v>253.69632671986739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315.68982835015248</v>
      </c>
      <c r="AA168" s="21">
        <f>EXP(-LN(2)/25)*AA167+(1-EXP(-LN(2)/25))/(LN(2)/25)*Calculateur!V168*Calculateur!X168*VLOOKUP('Données projet'!$B$9,Paramètres!$A$1:$I$89,3,0)*0.475*44/12</f>
        <v>0</v>
      </c>
      <c r="AB168" s="21">
        <f>EXP(-LN(2)/2)*AB167+(1-EXP(-LN(2)/2))/(LN(2)/2)*V168*Y168*VLOOKUP('Données projet'!$B$9,Paramètres!$A$1:$I$89,3,0)*0.475*44/12</f>
        <v>0</v>
      </c>
      <c r="AC168" s="22">
        <f t="shared" si="163"/>
        <v>315.68982835015248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20.879999999999939</v>
      </c>
      <c r="AJ168" s="13">
        <f>AI168*VLOOKUP('Données projet'!$B$10,Paramètres!$A$1:$I$89,3,0)*VLOOKUP('Données projet'!$B$10,Paramètres!$A$1:$I$89,5,0)</f>
        <v>19.86940799999994</v>
      </c>
      <c r="AK168" s="13">
        <f t="shared" si="164"/>
        <v>6.4658893302320672</v>
      </c>
      <c r="AL168" s="20">
        <f t="shared" si="165"/>
        <v>45.86730951682074</v>
      </c>
      <c r="AM168" s="59">
        <f t="shared" si="113"/>
        <v>339.20064285015405</v>
      </c>
      <c r="AN168" s="59">
        <f ca="1">AVERAGE(OFFSET($AM$3,0,0,'Données projet'!$E$10+1,1))-AVERAGE(OFFSET($H$3,0,0,'Données projet'!$E$10+1,1))</f>
        <v>733.95677909577444</v>
      </c>
      <c r="AO168" s="59">
        <f t="shared" si="144"/>
        <v>264.63778993239799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332.01861257516043</v>
      </c>
      <c r="AV168" s="21">
        <f>EXP(-LN(2)/25)*AV167+(1-EXP(-LN(2)/25))/(LN(2)/25)*Calculateur!AQ168*Calculateur!AS168*VLOOKUP('Données projet'!$B$10,Paramètres!$A$1:$I$89,3,0)*0.475*44/12</f>
        <v>0</v>
      </c>
      <c r="AW168" s="21">
        <f>EXP(-LN(2)/2)*AW167+(1-EXP(-LN(2)/2))/(LN(2)/2)*AQ168*AT168*VLOOKUP('Données projet'!$B$10,Paramètres!$A$1:$I$89,3,0)*0.475*44/12</f>
        <v>0</v>
      </c>
      <c r="AX168" s="21">
        <f t="shared" si="166"/>
        <v>332.01861257516043</v>
      </c>
      <c r="AY168" s="7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0</v>
      </c>
      <c r="BE168" s="13">
        <f>BD168*VLOOKUP('Données projet'!$B$11,Paramètres!$A$1:$I$89,3,0)*VLOOKUP('Données projet'!$B$11,Paramètres!$A$1:$I$89,5,0)</f>
        <v>0</v>
      </c>
      <c r="BF168" s="13" t="e">
        <f t="shared" si="167"/>
        <v>#NUM!</v>
      </c>
      <c r="BG168" s="20" t="e">
        <f t="shared" si="168"/>
        <v>#NUM!</v>
      </c>
      <c r="BH168" s="59" t="e">
        <f t="shared" si="116"/>
        <v>#NUM!</v>
      </c>
      <c r="BI168" s="59">
        <f ca="1">AVERAGE(OFFSET($BH$3,0,0,'Données projet'!$E$11+1,1))-AVERAGE(OFFSET($H$3,0,0,'Données projet'!$E$11+1,1))</f>
        <v>187.80389738728508</v>
      </c>
      <c r="BJ168" s="59">
        <f t="shared" si="146"/>
        <v>439.28159165815265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8.5228715171794054</v>
      </c>
      <c r="BQ168" s="21">
        <f>EXP(-LN(2)/25)*BQ167+(1-EXP(-LN(2)/25))/(LN(2)/25)*Calculateur!BL168*Calculateur!BN168*VLOOKUP('Données projet'!$B$11,Paramètres!$A$1:$I$89,3,0)*0.475*44/12</f>
        <v>0.34049884905502564</v>
      </c>
      <c r="BR168" s="21">
        <f>EXP(-LN(2)/2)*BR167+(1-EXP(-LN(2)/2))/(LN(2)/2)*BL168*BO168*VLOOKUP('Données projet'!$B$11,Paramètres!$A$1:$I$89,3,0)*0.475*44/12</f>
        <v>2.1543733688936177E-22</v>
      </c>
      <c r="BS168" s="22">
        <f t="shared" si="169"/>
        <v>8.863370366234431</v>
      </c>
      <c r="BT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0</v>
      </c>
      <c r="BZ168" s="13" t="e">
        <f>BY168*VLOOKUP('Données projet'!$B$12,Paramètres!$A$1:$I$89,3,0)*VLOOKUP('Données projet'!$B$12,Paramètres!$A$1:$I$89,5,0)</f>
        <v>#N/A</v>
      </c>
      <c r="CA168" s="13" t="e">
        <f t="shared" si="170"/>
        <v>#N/A</v>
      </c>
      <c r="CB168" s="20" t="e">
        <f t="shared" si="171"/>
        <v>#N/A</v>
      </c>
      <c r="CC168" s="59" t="e">
        <f t="shared" si="119"/>
        <v>#N/A</v>
      </c>
      <c r="CD168" s="59" t="e">
        <f ca="1">AVERAGE(OFFSET($CC$3,0,0,'Données projet'!$E$12+1,1))-AVERAGE(OFFSET($H$3,0,0,'Données projet'!$E$12+1,1))</f>
        <v>#N/A</v>
      </c>
      <c r="CE168" s="59" t="e">
        <f t="shared" si="148"/>
        <v>#N/A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 t="e">
        <f>EXP(-LN(2)/35)*CK167+(1-EXP(-LN(2)/35))/(LN(2)/35)*CG168*CH168*VLOOKUP('Données projet'!$B$12,Paramètres!$A$1:$I$89,3,0)*0.475*44/12</f>
        <v>#N/A</v>
      </c>
      <c r="CL168" s="21" t="e">
        <f>EXP(-LN(2)/25)*CL167+(1-EXP(-LN(2)/25))/(LN(2)/25)*Calculateur!CG168*Calculateur!CI168*VLOOKUP('Données projet'!$B$12,Paramètres!$A$1:$I$89,3,0)*0.475*44/12</f>
        <v>#N/A</v>
      </c>
      <c r="CM168" s="21" t="e">
        <f>EXP(-LN(2)/2)*CM167+(1-EXP(-LN(2)/2))/(LN(2)/2)*CG168*CJ168*VLOOKUP('Données projet'!$B$12,Paramètres!$A$1:$I$89,3,0)*0.475*44/12</f>
        <v>#N/A</v>
      </c>
      <c r="CN168" s="22" t="e">
        <f t="shared" si="172"/>
        <v>#N/A</v>
      </c>
      <c r="CO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35">
      <c r="A169" s="10">
        <f t="shared" si="161"/>
        <v>166</v>
      </c>
      <c r="B169" s="72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1">
        <f t="shared" si="140"/>
        <v>0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66">
        <f t="shared" si="110"/>
        <v>256.66666666666669</v>
      </c>
      <c r="I169" s="6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20.879999999999939</v>
      </c>
      <c r="O169" s="13">
        <f>N169*VLOOKUP('Données projet'!$B$9,Paramètres!$A$1:$I$89,3,0)*VLOOKUP('Données projet'!$B$9,Paramètres!$A$1:$I$89,5,0)</f>
        <v>18.892223999999942</v>
      </c>
      <c r="P169" s="13">
        <f t="shared" si="141"/>
        <v>6.184089977612083</v>
      </c>
      <c r="Q169" s="20">
        <f t="shared" si="162"/>
        <v>43.674580177674272</v>
      </c>
      <c r="R169" s="59">
        <f t="shared" si="109"/>
        <v>337.00791351100759</v>
      </c>
      <c r="S169" s="59">
        <f ca="1">AVERAGE(OFFSET($R$3,0,0,'Données projet'!$E$9+1,1))-AVERAGE(OFFSET($H$3,0,0,'Données projet'!$E$9+1,1))</f>
        <v>700.22008319944644</v>
      </c>
      <c r="T169" s="59">
        <f t="shared" si="142"/>
        <v>253.69632671986739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309.49934336798839</v>
      </c>
      <c r="AA169" s="21">
        <f>EXP(-LN(2)/25)*AA168+(1-EXP(-LN(2)/25))/(LN(2)/25)*Calculateur!V169*Calculateur!X169*VLOOKUP('Données projet'!$B$9,Paramètres!$A$1:$I$89,3,0)*0.475*44/12</f>
        <v>0</v>
      </c>
      <c r="AB169" s="21">
        <f>EXP(-LN(2)/2)*AB168+(1-EXP(-LN(2)/2))/(LN(2)/2)*V169*Y169*VLOOKUP('Données projet'!$B$9,Paramètres!$A$1:$I$89,3,0)*0.475*44/12</f>
        <v>0</v>
      </c>
      <c r="AC169" s="22">
        <f t="shared" si="163"/>
        <v>309.49934336798839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20.879999999999939</v>
      </c>
      <c r="AJ169" s="13">
        <f>AI169*VLOOKUP('Données projet'!$B$10,Paramètres!$A$1:$I$89,3,0)*VLOOKUP('Données projet'!$B$10,Paramètres!$A$1:$I$89,5,0)</f>
        <v>19.86940799999994</v>
      </c>
      <c r="AK169" s="13">
        <f t="shared" si="164"/>
        <v>6.4658893302320672</v>
      </c>
      <c r="AL169" s="20">
        <f t="shared" si="165"/>
        <v>45.86730951682074</v>
      </c>
      <c r="AM169" s="59">
        <f t="shared" si="113"/>
        <v>339.20064285015405</v>
      </c>
      <c r="AN169" s="59">
        <f ca="1">AVERAGE(OFFSET($AM$3,0,0,'Données projet'!$E$10+1,1))-AVERAGE(OFFSET($H$3,0,0,'Données projet'!$E$10+1,1))</f>
        <v>733.95677909577444</v>
      </c>
      <c r="AO169" s="59">
        <f t="shared" si="144"/>
        <v>264.63778993239799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325.50793009391884</v>
      </c>
      <c r="AV169" s="21">
        <f>EXP(-LN(2)/25)*AV168+(1-EXP(-LN(2)/25))/(LN(2)/25)*Calculateur!AQ169*Calculateur!AS169*VLOOKUP('Données projet'!$B$10,Paramètres!$A$1:$I$89,3,0)*0.475*44/12</f>
        <v>0</v>
      </c>
      <c r="AW169" s="21">
        <f>EXP(-LN(2)/2)*AW168+(1-EXP(-LN(2)/2))/(LN(2)/2)*AQ169*AT169*VLOOKUP('Données projet'!$B$10,Paramètres!$A$1:$I$89,3,0)*0.475*44/12</f>
        <v>0</v>
      </c>
      <c r="AX169" s="21">
        <f t="shared" si="166"/>
        <v>325.50793009391884</v>
      </c>
      <c r="AY169" s="7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0</v>
      </c>
      <c r="BE169" s="13">
        <f>BD169*VLOOKUP('Données projet'!$B$11,Paramètres!$A$1:$I$89,3,0)*VLOOKUP('Données projet'!$B$11,Paramètres!$A$1:$I$89,5,0)</f>
        <v>0</v>
      </c>
      <c r="BF169" s="13" t="e">
        <f t="shared" si="167"/>
        <v>#NUM!</v>
      </c>
      <c r="BG169" s="20" t="e">
        <f t="shared" si="168"/>
        <v>#NUM!</v>
      </c>
      <c r="BH169" s="59" t="e">
        <f t="shared" si="116"/>
        <v>#NUM!</v>
      </c>
      <c r="BI169" s="59">
        <f ca="1">AVERAGE(OFFSET($BH$3,0,0,'Données projet'!$E$11+1,1))-AVERAGE(OFFSET($H$3,0,0,'Données projet'!$E$11+1,1))</f>
        <v>187.80389738728508</v>
      </c>
      <c r="BJ169" s="59">
        <f t="shared" si="146"/>
        <v>439.28159165815265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8.3557432051658402</v>
      </c>
      <c r="BQ169" s="21">
        <f>EXP(-LN(2)/25)*BQ168+(1-EXP(-LN(2)/25))/(LN(2)/25)*Calculateur!BL169*Calculateur!BN169*VLOOKUP('Données projet'!$B$11,Paramètres!$A$1:$I$89,3,0)*0.475*44/12</f>
        <v>0.33118789012155969</v>
      </c>
      <c r="BR169" s="21">
        <f>EXP(-LN(2)/2)*BR168+(1-EXP(-LN(2)/2))/(LN(2)/2)*BL169*BO169*VLOOKUP('Données projet'!$B$11,Paramètres!$A$1:$I$89,3,0)*0.475*44/12</f>
        <v>1.5233720183523845E-22</v>
      </c>
      <c r="BS169" s="22">
        <f t="shared" si="169"/>
        <v>8.6869310952874006</v>
      </c>
      <c r="BT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0</v>
      </c>
      <c r="BZ169" s="13" t="e">
        <f>BY169*VLOOKUP('Données projet'!$B$12,Paramètres!$A$1:$I$89,3,0)*VLOOKUP('Données projet'!$B$12,Paramètres!$A$1:$I$89,5,0)</f>
        <v>#N/A</v>
      </c>
      <c r="CA169" s="13" t="e">
        <f t="shared" si="170"/>
        <v>#N/A</v>
      </c>
      <c r="CB169" s="20" t="e">
        <f t="shared" si="171"/>
        <v>#N/A</v>
      </c>
      <c r="CC169" s="59" t="e">
        <f t="shared" si="119"/>
        <v>#N/A</v>
      </c>
      <c r="CD169" s="59" t="e">
        <f ca="1">AVERAGE(OFFSET($CC$3,0,0,'Données projet'!$E$12+1,1))-AVERAGE(OFFSET($H$3,0,0,'Données projet'!$E$12+1,1))</f>
        <v>#N/A</v>
      </c>
      <c r="CE169" s="59" t="e">
        <f t="shared" si="148"/>
        <v>#N/A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 t="e">
        <f>EXP(-LN(2)/35)*CK168+(1-EXP(-LN(2)/35))/(LN(2)/35)*CG169*CH169*VLOOKUP('Données projet'!$B$12,Paramètres!$A$1:$I$89,3,0)*0.475*44/12</f>
        <v>#N/A</v>
      </c>
      <c r="CL169" s="21" t="e">
        <f>EXP(-LN(2)/25)*CL168+(1-EXP(-LN(2)/25))/(LN(2)/25)*Calculateur!CG169*Calculateur!CI169*VLOOKUP('Données projet'!$B$12,Paramètres!$A$1:$I$89,3,0)*0.475*44/12</f>
        <v>#N/A</v>
      </c>
      <c r="CM169" s="21" t="e">
        <f>EXP(-LN(2)/2)*CM168+(1-EXP(-LN(2)/2))/(LN(2)/2)*CG169*CJ169*VLOOKUP('Données projet'!$B$12,Paramètres!$A$1:$I$89,3,0)*0.475*44/12</f>
        <v>#N/A</v>
      </c>
      <c r="CN169" s="22" t="e">
        <f t="shared" si="172"/>
        <v>#N/A</v>
      </c>
      <c r="CO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35">
      <c r="A170" s="10">
        <f t="shared" si="161"/>
        <v>167</v>
      </c>
      <c r="B170" s="72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1">
        <f t="shared" si="140"/>
        <v>0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66">
        <f t="shared" si="110"/>
        <v>256.66666666666669</v>
      </c>
      <c r="I170" s="6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20.879999999999939</v>
      </c>
      <c r="O170" s="13">
        <f>N170*VLOOKUP('Données projet'!$B$9,Paramètres!$A$1:$I$89,3,0)*VLOOKUP('Données projet'!$B$9,Paramètres!$A$1:$I$89,5,0)</f>
        <v>18.892223999999942</v>
      </c>
      <c r="P170" s="13">
        <f t="shared" si="141"/>
        <v>6.184089977612083</v>
      </c>
      <c r="Q170" s="20">
        <f t="shared" si="162"/>
        <v>43.674580177674272</v>
      </c>
      <c r="R170" s="59">
        <f t="shared" si="109"/>
        <v>337.00791351100759</v>
      </c>
      <c r="S170" s="59">
        <f ca="1">AVERAGE(OFFSET($R$3,0,0,'Données projet'!$E$9+1,1))-AVERAGE(OFFSET($H$3,0,0,'Données projet'!$E$9+1,1))</f>
        <v>700.22008319944644</v>
      </c>
      <c r="T170" s="59">
        <f t="shared" si="142"/>
        <v>253.69632671986739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303.43025002050149</v>
      </c>
      <c r="AA170" s="21">
        <f>EXP(-LN(2)/25)*AA169+(1-EXP(-LN(2)/25))/(LN(2)/25)*Calculateur!V170*Calculateur!X170*VLOOKUP('Données projet'!$B$9,Paramètres!$A$1:$I$89,3,0)*0.475*44/12</f>
        <v>0</v>
      </c>
      <c r="AB170" s="21">
        <f>EXP(-LN(2)/2)*AB169+(1-EXP(-LN(2)/2))/(LN(2)/2)*V170*Y170*VLOOKUP('Données projet'!$B$9,Paramètres!$A$1:$I$89,3,0)*0.475*44/12</f>
        <v>0</v>
      </c>
      <c r="AC170" s="22">
        <f t="shared" si="163"/>
        <v>303.43025002050149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20.879999999999939</v>
      </c>
      <c r="AJ170" s="13">
        <f>AI170*VLOOKUP('Données projet'!$B$10,Paramètres!$A$1:$I$89,3,0)*VLOOKUP('Données projet'!$B$10,Paramètres!$A$1:$I$89,5,0)</f>
        <v>19.86940799999994</v>
      </c>
      <c r="AK170" s="13">
        <f t="shared" si="164"/>
        <v>6.4658893302320672</v>
      </c>
      <c r="AL170" s="20">
        <f t="shared" si="165"/>
        <v>45.86730951682074</v>
      </c>
      <c r="AM170" s="59">
        <f t="shared" si="113"/>
        <v>339.20064285015405</v>
      </c>
      <c r="AN170" s="59">
        <f ca="1">AVERAGE(OFFSET($AM$3,0,0,'Données projet'!$E$10+1,1))-AVERAGE(OFFSET($H$3,0,0,'Données projet'!$E$10+1,1))</f>
        <v>733.95677909577444</v>
      </c>
      <c r="AO170" s="59">
        <f t="shared" si="144"/>
        <v>264.63778993239799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319.12491812501025</v>
      </c>
      <c r="AV170" s="21">
        <f>EXP(-LN(2)/25)*AV169+(1-EXP(-LN(2)/25))/(LN(2)/25)*Calculateur!AQ170*Calculateur!AS170*VLOOKUP('Données projet'!$B$10,Paramètres!$A$1:$I$89,3,0)*0.475*44/12</f>
        <v>0</v>
      </c>
      <c r="AW170" s="21">
        <f>EXP(-LN(2)/2)*AW169+(1-EXP(-LN(2)/2))/(LN(2)/2)*AQ170*AT170*VLOOKUP('Données projet'!$B$10,Paramètres!$A$1:$I$89,3,0)*0.475*44/12</f>
        <v>0</v>
      </c>
      <c r="AX170" s="21">
        <f t="shared" si="166"/>
        <v>319.12491812501025</v>
      </c>
      <c r="AY170" s="7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0</v>
      </c>
      <c r="BE170" s="13">
        <f>BD170*VLOOKUP('Données projet'!$B$11,Paramètres!$A$1:$I$89,3,0)*VLOOKUP('Données projet'!$B$11,Paramètres!$A$1:$I$89,5,0)</f>
        <v>0</v>
      </c>
      <c r="BF170" s="13" t="e">
        <f t="shared" si="167"/>
        <v>#NUM!</v>
      </c>
      <c r="BG170" s="20" t="e">
        <f t="shared" si="168"/>
        <v>#NUM!</v>
      </c>
      <c r="BH170" s="59" t="e">
        <f t="shared" si="116"/>
        <v>#NUM!</v>
      </c>
      <c r="BI170" s="59">
        <f ca="1">AVERAGE(OFFSET($BH$3,0,0,'Données projet'!$E$11+1,1))-AVERAGE(OFFSET($H$3,0,0,'Données projet'!$E$11+1,1))</f>
        <v>187.80389738728508</v>
      </c>
      <c r="BJ170" s="59">
        <f t="shared" si="146"/>
        <v>439.28159165815265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8.1918921774126563</v>
      </c>
      <c r="BQ170" s="21">
        <f>EXP(-LN(2)/25)*BQ169+(1-EXP(-LN(2)/25))/(LN(2)/25)*Calculateur!BL170*Calculateur!BN170*VLOOKUP('Données projet'!$B$11,Paramètres!$A$1:$I$89,3,0)*0.475*44/12</f>
        <v>0.32213153984977144</v>
      </c>
      <c r="BR170" s="21">
        <f>EXP(-LN(2)/2)*BR169+(1-EXP(-LN(2)/2))/(LN(2)/2)*BL170*BO170*VLOOKUP('Données projet'!$B$11,Paramètres!$A$1:$I$89,3,0)*0.475*44/12</f>
        <v>1.0771866844468088E-22</v>
      </c>
      <c r="BS170" s="22">
        <f t="shared" si="169"/>
        <v>8.5140237172624271</v>
      </c>
      <c r="BT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0</v>
      </c>
      <c r="BZ170" s="13" t="e">
        <f>BY170*VLOOKUP('Données projet'!$B$12,Paramètres!$A$1:$I$89,3,0)*VLOOKUP('Données projet'!$B$12,Paramètres!$A$1:$I$89,5,0)</f>
        <v>#N/A</v>
      </c>
      <c r="CA170" s="13" t="e">
        <f t="shared" si="170"/>
        <v>#N/A</v>
      </c>
      <c r="CB170" s="20" t="e">
        <f t="shared" si="171"/>
        <v>#N/A</v>
      </c>
      <c r="CC170" s="59" t="e">
        <f t="shared" si="119"/>
        <v>#N/A</v>
      </c>
      <c r="CD170" s="59" t="e">
        <f ca="1">AVERAGE(OFFSET($CC$3,0,0,'Données projet'!$E$12+1,1))-AVERAGE(OFFSET($H$3,0,0,'Données projet'!$E$12+1,1))</f>
        <v>#N/A</v>
      </c>
      <c r="CE170" s="59" t="e">
        <f t="shared" si="148"/>
        <v>#N/A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 t="e">
        <f>EXP(-LN(2)/35)*CK169+(1-EXP(-LN(2)/35))/(LN(2)/35)*CG170*CH170*VLOOKUP('Données projet'!$B$12,Paramètres!$A$1:$I$89,3,0)*0.475*44/12</f>
        <v>#N/A</v>
      </c>
      <c r="CL170" s="21" t="e">
        <f>EXP(-LN(2)/25)*CL169+(1-EXP(-LN(2)/25))/(LN(2)/25)*Calculateur!CG170*Calculateur!CI170*VLOOKUP('Données projet'!$B$12,Paramètres!$A$1:$I$89,3,0)*0.475*44/12</f>
        <v>#N/A</v>
      </c>
      <c r="CM170" s="21" t="e">
        <f>EXP(-LN(2)/2)*CM169+(1-EXP(-LN(2)/2))/(LN(2)/2)*CG170*CJ170*VLOOKUP('Données projet'!$B$12,Paramètres!$A$1:$I$89,3,0)*0.475*44/12</f>
        <v>#N/A</v>
      </c>
      <c r="CN170" s="22" t="e">
        <f t="shared" si="172"/>
        <v>#N/A</v>
      </c>
      <c r="CO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35">
      <c r="A171" s="10">
        <f t="shared" si="161"/>
        <v>168</v>
      </c>
      <c r="B171" s="72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1">
        <f t="shared" si="140"/>
        <v>0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66">
        <f t="shared" si="110"/>
        <v>256.66666666666669</v>
      </c>
      <c r="I171" s="6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20.879999999999939</v>
      </c>
      <c r="O171" s="13">
        <f>N171*VLOOKUP('Données projet'!$B$9,Paramètres!$A$1:$I$89,3,0)*VLOOKUP('Données projet'!$B$9,Paramètres!$A$1:$I$89,5,0)</f>
        <v>18.892223999999942</v>
      </c>
      <c r="P171" s="13">
        <f t="shared" si="141"/>
        <v>6.184089977612083</v>
      </c>
      <c r="Q171" s="20">
        <f t="shared" si="162"/>
        <v>43.674580177674272</v>
      </c>
      <c r="R171" s="59">
        <f t="shared" si="109"/>
        <v>337.00791351100759</v>
      </c>
      <c r="S171" s="59">
        <f ca="1">AVERAGE(OFFSET($R$3,0,0,'Données projet'!$E$9+1,1))-AVERAGE(OFFSET($H$3,0,0,'Données projet'!$E$9+1,1))</f>
        <v>700.22008319944644</v>
      </c>
      <c r="T171" s="59">
        <f t="shared" si="142"/>
        <v>253.69632671986739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297.4801678917774</v>
      </c>
      <c r="AA171" s="21">
        <f>EXP(-LN(2)/25)*AA170+(1-EXP(-LN(2)/25))/(LN(2)/25)*Calculateur!V171*Calculateur!X171*VLOOKUP('Données projet'!$B$9,Paramètres!$A$1:$I$89,3,0)*0.475*44/12</f>
        <v>0</v>
      </c>
      <c r="AB171" s="21">
        <f>EXP(-LN(2)/2)*AB170+(1-EXP(-LN(2)/2))/(LN(2)/2)*V171*Y171*VLOOKUP('Données projet'!$B$9,Paramètres!$A$1:$I$89,3,0)*0.475*44/12</f>
        <v>0</v>
      </c>
      <c r="AC171" s="22">
        <f t="shared" si="163"/>
        <v>297.4801678917774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20.879999999999939</v>
      </c>
      <c r="AJ171" s="13">
        <f>AI171*VLOOKUP('Données projet'!$B$10,Paramètres!$A$1:$I$89,3,0)*VLOOKUP('Données projet'!$B$10,Paramètres!$A$1:$I$89,5,0)</f>
        <v>19.86940799999994</v>
      </c>
      <c r="AK171" s="13">
        <f t="shared" si="164"/>
        <v>6.4658893302320672</v>
      </c>
      <c r="AL171" s="20">
        <f t="shared" si="165"/>
        <v>45.86730951682074</v>
      </c>
      <c r="AM171" s="59">
        <f t="shared" si="113"/>
        <v>339.20064285015405</v>
      </c>
      <c r="AN171" s="59">
        <f ca="1">AVERAGE(OFFSET($AM$3,0,0,'Données projet'!$E$10+1,1))-AVERAGE(OFFSET($H$3,0,0,'Données projet'!$E$10+1,1))</f>
        <v>733.95677909577444</v>
      </c>
      <c r="AO171" s="59">
        <f t="shared" si="144"/>
        <v>264.63778993239799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312.86707312755908</v>
      </c>
      <c r="AV171" s="21">
        <f>EXP(-LN(2)/25)*AV170+(1-EXP(-LN(2)/25))/(LN(2)/25)*Calculateur!AQ171*Calculateur!AS171*VLOOKUP('Données projet'!$B$10,Paramètres!$A$1:$I$89,3,0)*0.475*44/12</f>
        <v>0</v>
      </c>
      <c r="AW171" s="21">
        <f>EXP(-LN(2)/2)*AW170+(1-EXP(-LN(2)/2))/(LN(2)/2)*AQ171*AT171*VLOOKUP('Données projet'!$B$10,Paramètres!$A$1:$I$89,3,0)*0.475*44/12</f>
        <v>0</v>
      </c>
      <c r="AX171" s="21">
        <f t="shared" si="166"/>
        <v>312.86707312755908</v>
      </c>
      <c r="AY171" s="7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0</v>
      </c>
      <c r="BE171" s="13">
        <f>BD171*VLOOKUP('Données projet'!$B$11,Paramètres!$A$1:$I$89,3,0)*VLOOKUP('Données projet'!$B$11,Paramètres!$A$1:$I$89,5,0)</f>
        <v>0</v>
      </c>
      <c r="BF171" s="13" t="e">
        <f t="shared" si="167"/>
        <v>#NUM!</v>
      </c>
      <c r="BG171" s="20" t="e">
        <f t="shared" si="168"/>
        <v>#NUM!</v>
      </c>
      <c r="BH171" s="59" t="e">
        <f t="shared" si="116"/>
        <v>#NUM!</v>
      </c>
      <c r="BI171" s="59">
        <f ca="1">AVERAGE(OFFSET($BH$3,0,0,'Données projet'!$E$11+1,1))-AVERAGE(OFFSET($H$3,0,0,'Données projet'!$E$11+1,1))</f>
        <v>187.80389738728508</v>
      </c>
      <c r="BJ171" s="59">
        <f t="shared" si="146"/>
        <v>439.28159165815265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8.0312541683744527</v>
      </c>
      <c r="BQ171" s="21">
        <f>EXP(-LN(2)/25)*BQ170+(1-EXP(-LN(2)/25))/(LN(2)/25)*Calculateur!BL171*Calculateur!BN171*VLOOKUP('Données projet'!$B$11,Paramètres!$A$1:$I$89,3,0)*0.475*44/12</f>
        <v>0.313322835952418</v>
      </c>
      <c r="BR171" s="21">
        <f>EXP(-LN(2)/2)*BR170+(1-EXP(-LN(2)/2))/(LN(2)/2)*BL171*BO171*VLOOKUP('Données projet'!$B$11,Paramètres!$A$1:$I$89,3,0)*0.475*44/12</f>
        <v>7.6168600917619227E-23</v>
      </c>
      <c r="BS171" s="22">
        <f t="shared" si="169"/>
        <v>8.3445770043268706</v>
      </c>
      <c r="BT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0</v>
      </c>
      <c r="BZ171" s="13" t="e">
        <f>BY171*VLOOKUP('Données projet'!$B$12,Paramètres!$A$1:$I$89,3,0)*VLOOKUP('Données projet'!$B$12,Paramètres!$A$1:$I$89,5,0)</f>
        <v>#N/A</v>
      </c>
      <c r="CA171" s="13" t="e">
        <f t="shared" si="170"/>
        <v>#N/A</v>
      </c>
      <c r="CB171" s="20" t="e">
        <f t="shared" si="171"/>
        <v>#N/A</v>
      </c>
      <c r="CC171" s="59" t="e">
        <f t="shared" si="119"/>
        <v>#N/A</v>
      </c>
      <c r="CD171" s="59" t="e">
        <f ca="1">AVERAGE(OFFSET($CC$3,0,0,'Données projet'!$E$12+1,1))-AVERAGE(OFFSET($H$3,0,0,'Données projet'!$E$12+1,1))</f>
        <v>#N/A</v>
      </c>
      <c r="CE171" s="59" t="e">
        <f t="shared" si="148"/>
        <v>#N/A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 t="e">
        <f>EXP(-LN(2)/35)*CK170+(1-EXP(-LN(2)/35))/(LN(2)/35)*CG171*CH171*VLOOKUP('Données projet'!$B$12,Paramètres!$A$1:$I$89,3,0)*0.475*44/12</f>
        <v>#N/A</v>
      </c>
      <c r="CL171" s="21" t="e">
        <f>EXP(-LN(2)/25)*CL170+(1-EXP(-LN(2)/25))/(LN(2)/25)*Calculateur!CG171*Calculateur!CI171*VLOOKUP('Données projet'!$B$12,Paramètres!$A$1:$I$89,3,0)*0.475*44/12</f>
        <v>#N/A</v>
      </c>
      <c r="CM171" s="21" t="e">
        <f>EXP(-LN(2)/2)*CM170+(1-EXP(-LN(2)/2))/(LN(2)/2)*CG171*CJ171*VLOOKUP('Données projet'!$B$12,Paramètres!$A$1:$I$89,3,0)*0.475*44/12</f>
        <v>#N/A</v>
      </c>
      <c r="CN171" s="22" t="e">
        <f t="shared" si="172"/>
        <v>#N/A</v>
      </c>
      <c r="CO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35">
      <c r="A172" s="10">
        <f t="shared" si="161"/>
        <v>169</v>
      </c>
      <c r="B172" s="72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1">
        <f t="shared" si="140"/>
        <v>0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66">
        <f t="shared" si="110"/>
        <v>256.66666666666669</v>
      </c>
      <c r="I172" s="6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20.879999999999939</v>
      </c>
      <c r="O172" s="13">
        <f>N172*VLOOKUP('Données projet'!$B$9,Paramètres!$A$1:$I$89,3,0)*VLOOKUP('Données projet'!$B$9,Paramètres!$A$1:$I$89,5,0)</f>
        <v>18.892223999999942</v>
      </c>
      <c r="P172" s="13">
        <f t="shared" si="141"/>
        <v>6.184089977612083</v>
      </c>
      <c r="Q172" s="20">
        <f t="shared" si="162"/>
        <v>43.674580177674272</v>
      </c>
      <c r="R172" s="59">
        <f t="shared" si="109"/>
        <v>337.00791351100759</v>
      </c>
      <c r="S172" s="59">
        <f ca="1">AVERAGE(OFFSET($R$3,0,0,'Données projet'!$E$9+1,1))-AVERAGE(OFFSET($H$3,0,0,'Données projet'!$E$9+1,1))</f>
        <v>700.22008319944644</v>
      </c>
      <c r="T172" s="59">
        <f t="shared" si="142"/>
        <v>253.69632671986739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291.64676324440586</v>
      </c>
      <c r="AA172" s="21">
        <f>EXP(-LN(2)/25)*AA171+(1-EXP(-LN(2)/25))/(LN(2)/25)*Calculateur!V172*Calculateur!X172*VLOOKUP('Données projet'!$B$9,Paramètres!$A$1:$I$89,3,0)*0.475*44/12</f>
        <v>0</v>
      </c>
      <c r="AB172" s="21">
        <f>EXP(-LN(2)/2)*AB171+(1-EXP(-LN(2)/2))/(LN(2)/2)*V172*Y172*VLOOKUP('Données projet'!$B$9,Paramètres!$A$1:$I$89,3,0)*0.475*44/12</f>
        <v>0</v>
      </c>
      <c r="AC172" s="22">
        <f t="shared" si="163"/>
        <v>291.64676324440586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20.879999999999939</v>
      </c>
      <c r="AJ172" s="13">
        <f>AI172*VLOOKUP('Données projet'!$B$10,Paramètres!$A$1:$I$89,3,0)*VLOOKUP('Données projet'!$B$10,Paramètres!$A$1:$I$89,5,0)</f>
        <v>19.86940799999994</v>
      </c>
      <c r="AK172" s="13">
        <f t="shared" si="164"/>
        <v>6.4658893302320672</v>
      </c>
      <c r="AL172" s="20">
        <f t="shared" si="165"/>
        <v>45.86730951682074</v>
      </c>
      <c r="AM172" s="59">
        <f t="shared" si="113"/>
        <v>339.20064285015405</v>
      </c>
      <c r="AN172" s="59">
        <f ca="1">AVERAGE(OFFSET($AM$3,0,0,'Données projet'!$E$10+1,1))-AVERAGE(OFFSET($H$3,0,0,'Données projet'!$E$10+1,1))</f>
        <v>733.95677909577444</v>
      </c>
      <c r="AO172" s="59">
        <f t="shared" si="144"/>
        <v>264.63778993239799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306.73194065359934</v>
      </c>
      <c r="AV172" s="21">
        <f>EXP(-LN(2)/25)*AV171+(1-EXP(-LN(2)/25))/(LN(2)/25)*Calculateur!AQ172*Calculateur!AS172*VLOOKUP('Données projet'!$B$10,Paramètres!$A$1:$I$89,3,0)*0.475*44/12</f>
        <v>0</v>
      </c>
      <c r="AW172" s="21">
        <f>EXP(-LN(2)/2)*AW171+(1-EXP(-LN(2)/2))/(LN(2)/2)*AQ172*AT172*VLOOKUP('Données projet'!$B$10,Paramètres!$A$1:$I$89,3,0)*0.475*44/12</f>
        <v>0</v>
      </c>
      <c r="AX172" s="21">
        <f t="shared" si="166"/>
        <v>306.73194065359934</v>
      </c>
      <c r="AY172" s="7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0</v>
      </c>
      <c r="BE172" s="13">
        <f>BD172*VLOOKUP('Données projet'!$B$11,Paramètres!$A$1:$I$89,3,0)*VLOOKUP('Données projet'!$B$11,Paramètres!$A$1:$I$89,5,0)</f>
        <v>0</v>
      </c>
      <c r="BF172" s="13" t="e">
        <f t="shared" si="167"/>
        <v>#NUM!</v>
      </c>
      <c r="BG172" s="20" t="e">
        <f t="shared" si="168"/>
        <v>#NUM!</v>
      </c>
      <c r="BH172" s="59" t="e">
        <f t="shared" si="116"/>
        <v>#NUM!</v>
      </c>
      <c r="BI172" s="59">
        <f ca="1">AVERAGE(OFFSET($BH$3,0,0,'Données projet'!$E$11+1,1))-AVERAGE(OFFSET($H$3,0,0,'Données projet'!$E$11+1,1))</f>
        <v>187.80389738728508</v>
      </c>
      <c r="BJ172" s="59">
        <f t="shared" si="146"/>
        <v>439.28159165815265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7.8737661727139781</v>
      </c>
      <c r="BQ172" s="21">
        <f>EXP(-LN(2)/25)*BQ171+(1-EXP(-LN(2)/25))/(LN(2)/25)*Calculateur!BL172*Calculateur!BN172*VLOOKUP('Données projet'!$B$11,Paramètres!$A$1:$I$89,3,0)*0.475*44/12</f>
        <v>0.30475500652636728</v>
      </c>
      <c r="BR172" s="21">
        <f>EXP(-LN(2)/2)*BR171+(1-EXP(-LN(2)/2))/(LN(2)/2)*BL172*BO172*VLOOKUP('Données projet'!$B$11,Paramètres!$A$1:$I$89,3,0)*0.475*44/12</f>
        <v>5.3859334222340442E-23</v>
      </c>
      <c r="BS172" s="22">
        <f t="shared" si="169"/>
        <v>8.1785211792403452</v>
      </c>
      <c r="BT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0</v>
      </c>
      <c r="BZ172" s="13" t="e">
        <f>BY172*VLOOKUP('Données projet'!$B$12,Paramètres!$A$1:$I$89,3,0)*VLOOKUP('Données projet'!$B$12,Paramètres!$A$1:$I$89,5,0)</f>
        <v>#N/A</v>
      </c>
      <c r="CA172" s="13" t="e">
        <f t="shared" si="170"/>
        <v>#N/A</v>
      </c>
      <c r="CB172" s="20" t="e">
        <f t="shared" si="171"/>
        <v>#N/A</v>
      </c>
      <c r="CC172" s="59" t="e">
        <f t="shared" si="119"/>
        <v>#N/A</v>
      </c>
      <c r="CD172" s="59" t="e">
        <f ca="1">AVERAGE(OFFSET($CC$3,0,0,'Données projet'!$E$12+1,1))-AVERAGE(OFFSET($H$3,0,0,'Données projet'!$E$12+1,1))</f>
        <v>#N/A</v>
      </c>
      <c r="CE172" s="59" t="e">
        <f t="shared" si="148"/>
        <v>#N/A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 t="e">
        <f>EXP(-LN(2)/35)*CK171+(1-EXP(-LN(2)/35))/(LN(2)/35)*CG172*CH172*VLOOKUP('Données projet'!$B$12,Paramètres!$A$1:$I$89,3,0)*0.475*44/12</f>
        <v>#N/A</v>
      </c>
      <c r="CL172" s="21" t="e">
        <f>EXP(-LN(2)/25)*CL171+(1-EXP(-LN(2)/25))/(LN(2)/25)*Calculateur!CG172*Calculateur!CI172*VLOOKUP('Données projet'!$B$12,Paramètres!$A$1:$I$89,3,0)*0.475*44/12</f>
        <v>#N/A</v>
      </c>
      <c r="CM172" s="21" t="e">
        <f>EXP(-LN(2)/2)*CM171+(1-EXP(-LN(2)/2))/(LN(2)/2)*CG172*CJ172*VLOOKUP('Données projet'!$B$12,Paramètres!$A$1:$I$89,3,0)*0.475*44/12</f>
        <v>#N/A</v>
      </c>
      <c r="CN172" s="22" t="e">
        <f t="shared" si="172"/>
        <v>#N/A</v>
      </c>
      <c r="CO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35">
      <c r="A173" s="10">
        <f t="shared" si="161"/>
        <v>170</v>
      </c>
      <c r="B173" s="72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1">
        <f t="shared" si="140"/>
        <v>0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66">
        <f t="shared" si="110"/>
        <v>256.66666666666669</v>
      </c>
      <c r="I173" s="6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20.879999999999939</v>
      </c>
      <c r="O173" s="13">
        <f>N173*VLOOKUP('Données projet'!$B$9,Paramètres!$A$1:$I$89,3,0)*VLOOKUP('Données projet'!$B$9,Paramètres!$A$1:$I$89,5,0)</f>
        <v>18.892223999999942</v>
      </c>
      <c r="P173" s="13">
        <f t="shared" si="141"/>
        <v>6.184089977612083</v>
      </c>
      <c r="Q173" s="20">
        <f t="shared" si="162"/>
        <v>43.674580177674272</v>
      </c>
      <c r="R173" s="59">
        <f t="shared" si="109"/>
        <v>337.00791351100759</v>
      </c>
      <c r="S173" s="59">
        <f ca="1">AVERAGE(OFFSET($R$3,0,0,'Données projet'!$E$9+1,1))-AVERAGE(OFFSET($H$3,0,0,'Données projet'!$E$9+1,1))</f>
        <v>700.22008319944644</v>
      </c>
      <c r="T173" s="59">
        <f t="shared" si="142"/>
        <v>253.69632671986739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285.92774810414375</v>
      </c>
      <c r="AA173" s="21">
        <f>EXP(-LN(2)/25)*AA172+(1-EXP(-LN(2)/25))/(LN(2)/25)*Calculateur!V173*Calculateur!X173*VLOOKUP('Données projet'!$B$9,Paramètres!$A$1:$I$89,3,0)*0.475*44/12</f>
        <v>0</v>
      </c>
      <c r="AB173" s="21">
        <f>EXP(-LN(2)/2)*AB172+(1-EXP(-LN(2)/2))/(LN(2)/2)*V173*Y173*VLOOKUP('Données projet'!$B$9,Paramètres!$A$1:$I$89,3,0)*0.475*44/12</f>
        <v>0</v>
      </c>
      <c r="AC173" s="22">
        <f t="shared" si="163"/>
        <v>285.92774810414375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20.879999999999939</v>
      </c>
      <c r="AJ173" s="13">
        <f>AI173*VLOOKUP('Données projet'!$B$10,Paramètres!$A$1:$I$89,3,0)*VLOOKUP('Données projet'!$B$10,Paramètres!$A$1:$I$89,5,0)</f>
        <v>19.86940799999994</v>
      </c>
      <c r="AK173" s="13">
        <f t="shared" si="164"/>
        <v>6.4658893302320672</v>
      </c>
      <c r="AL173" s="20">
        <f t="shared" si="165"/>
        <v>45.86730951682074</v>
      </c>
      <c r="AM173" s="59">
        <f t="shared" si="113"/>
        <v>339.20064285015405</v>
      </c>
      <c r="AN173" s="59">
        <f ca="1">AVERAGE(OFFSET($AM$3,0,0,'Données projet'!$E$10+1,1))-AVERAGE(OFFSET($H$3,0,0,'Données projet'!$E$10+1,1))</f>
        <v>733.95677909577444</v>
      </c>
      <c r="AO173" s="59">
        <f t="shared" si="144"/>
        <v>264.63778993239799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300.71711438539262</v>
      </c>
      <c r="AV173" s="21">
        <f>EXP(-LN(2)/25)*AV172+(1-EXP(-LN(2)/25))/(LN(2)/25)*Calculateur!AQ173*Calculateur!AS173*VLOOKUP('Données projet'!$B$10,Paramètres!$A$1:$I$89,3,0)*0.475*44/12</f>
        <v>0</v>
      </c>
      <c r="AW173" s="21">
        <f>EXP(-LN(2)/2)*AW172+(1-EXP(-LN(2)/2))/(LN(2)/2)*AQ173*AT173*VLOOKUP('Données projet'!$B$10,Paramètres!$A$1:$I$89,3,0)*0.475*44/12</f>
        <v>0</v>
      </c>
      <c r="AX173" s="21">
        <f t="shared" si="166"/>
        <v>300.71711438539262</v>
      </c>
      <c r="AY173" s="7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0</v>
      </c>
      <c r="BE173" s="13">
        <f>BD173*VLOOKUP('Données projet'!$B$11,Paramètres!$A$1:$I$89,3,0)*VLOOKUP('Données projet'!$B$11,Paramètres!$A$1:$I$89,5,0)</f>
        <v>0</v>
      </c>
      <c r="BF173" s="13" t="e">
        <f t="shared" si="167"/>
        <v>#NUM!</v>
      </c>
      <c r="BG173" s="20" t="e">
        <f t="shared" si="168"/>
        <v>#NUM!</v>
      </c>
      <c r="BH173" s="59" t="e">
        <f t="shared" si="116"/>
        <v>#NUM!</v>
      </c>
      <c r="BI173" s="59">
        <f ca="1">AVERAGE(OFFSET($BH$3,0,0,'Données projet'!$E$11+1,1))-AVERAGE(OFFSET($H$3,0,0,'Données projet'!$E$11+1,1))</f>
        <v>187.80389738728508</v>
      </c>
      <c r="BJ173" s="59">
        <f t="shared" si="146"/>
        <v>439.28159165815265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7.7193664205902124</v>
      </c>
      <c r="BQ173" s="21">
        <f>EXP(-LN(2)/25)*BQ172+(1-EXP(-LN(2)/25))/(LN(2)/25)*Calculateur!BL173*Calculateur!BN173*VLOOKUP('Données projet'!$B$11,Paramètres!$A$1:$I$89,3,0)*0.475*44/12</f>
        <v>0.29642146484653448</v>
      </c>
      <c r="BR173" s="21">
        <f>EXP(-LN(2)/2)*BR172+(1-EXP(-LN(2)/2))/(LN(2)/2)*BL173*BO173*VLOOKUP('Données projet'!$B$11,Paramètres!$A$1:$I$89,3,0)*0.475*44/12</f>
        <v>3.8084300458809614E-23</v>
      </c>
      <c r="BS173" s="22">
        <f t="shared" si="169"/>
        <v>8.0157878854367475</v>
      </c>
      <c r="BT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0</v>
      </c>
      <c r="BZ173" s="13" t="e">
        <f>BY173*VLOOKUP('Données projet'!$B$12,Paramètres!$A$1:$I$89,3,0)*VLOOKUP('Données projet'!$B$12,Paramètres!$A$1:$I$89,5,0)</f>
        <v>#N/A</v>
      </c>
      <c r="CA173" s="13" t="e">
        <f t="shared" si="170"/>
        <v>#N/A</v>
      </c>
      <c r="CB173" s="20" t="e">
        <f t="shared" si="171"/>
        <v>#N/A</v>
      </c>
      <c r="CC173" s="59" t="e">
        <f t="shared" si="119"/>
        <v>#N/A</v>
      </c>
      <c r="CD173" s="59" t="e">
        <f ca="1">AVERAGE(OFFSET($CC$3,0,0,'Données projet'!$E$12+1,1))-AVERAGE(OFFSET($H$3,0,0,'Données projet'!$E$12+1,1))</f>
        <v>#N/A</v>
      </c>
      <c r="CE173" s="59" t="e">
        <f t="shared" si="148"/>
        <v>#N/A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 t="e">
        <f>EXP(-LN(2)/35)*CK172+(1-EXP(-LN(2)/35))/(LN(2)/35)*CG173*CH173*VLOOKUP('Données projet'!$B$12,Paramètres!$A$1:$I$89,3,0)*0.475*44/12</f>
        <v>#N/A</v>
      </c>
      <c r="CL173" s="21" t="e">
        <f>EXP(-LN(2)/25)*CL172+(1-EXP(-LN(2)/25))/(LN(2)/25)*Calculateur!CG173*Calculateur!CI173*VLOOKUP('Données projet'!$B$12,Paramètres!$A$1:$I$89,3,0)*0.475*44/12</f>
        <v>#N/A</v>
      </c>
      <c r="CM173" s="21" t="e">
        <f>EXP(-LN(2)/2)*CM172+(1-EXP(-LN(2)/2))/(LN(2)/2)*CG173*CJ173*VLOOKUP('Données projet'!$B$12,Paramètres!$A$1:$I$89,3,0)*0.475*44/12</f>
        <v>#N/A</v>
      </c>
      <c r="CN173" s="22" t="e">
        <f t="shared" si="172"/>
        <v>#N/A</v>
      </c>
      <c r="CO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35">
      <c r="A174" s="10">
        <f t="shared" si="161"/>
        <v>171</v>
      </c>
      <c r="B174" s="72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1">
        <f t="shared" si="140"/>
        <v>0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66">
        <f t="shared" si="110"/>
        <v>256.66666666666669</v>
      </c>
      <c r="I174" s="6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20.879999999999939</v>
      </c>
      <c r="O174" s="13">
        <f>N174*VLOOKUP('Données projet'!$B$9,Paramètres!$A$1:$I$89,3,0)*VLOOKUP('Données projet'!$B$9,Paramètres!$A$1:$I$89,5,0)</f>
        <v>18.892223999999942</v>
      </c>
      <c r="P174" s="13">
        <f t="shared" si="141"/>
        <v>6.184089977612083</v>
      </c>
      <c r="Q174" s="20">
        <f t="shared" si="162"/>
        <v>43.674580177674272</v>
      </c>
      <c r="R174" s="59">
        <f t="shared" si="109"/>
        <v>337.00791351100759</v>
      </c>
      <c r="S174" s="59">
        <f ca="1">AVERAGE(OFFSET($R$3,0,0,'Données projet'!$E$9+1,1))-AVERAGE(OFFSET($H$3,0,0,'Données projet'!$E$9+1,1))</f>
        <v>700.22008319944644</v>
      </c>
      <c r="T174" s="59">
        <f t="shared" si="142"/>
        <v>253.69632671986739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280.32087936252736</v>
      </c>
      <c r="AA174" s="21">
        <f>EXP(-LN(2)/25)*AA173+(1-EXP(-LN(2)/25))/(LN(2)/25)*Calculateur!V174*Calculateur!X174*VLOOKUP('Données projet'!$B$9,Paramètres!$A$1:$I$89,3,0)*0.475*44/12</f>
        <v>0</v>
      </c>
      <c r="AB174" s="21">
        <f>EXP(-LN(2)/2)*AB173+(1-EXP(-LN(2)/2))/(LN(2)/2)*V174*Y174*VLOOKUP('Données projet'!$B$9,Paramètres!$A$1:$I$89,3,0)*0.475*44/12</f>
        <v>0</v>
      </c>
      <c r="AC174" s="22">
        <f t="shared" si="163"/>
        <v>280.32087936252736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20.879999999999939</v>
      </c>
      <c r="AJ174" s="13">
        <f>AI174*VLOOKUP('Données projet'!$B$10,Paramètres!$A$1:$I$89,3,0)*VLOOKUP('Données projet'!$B$10,Paramètres!$A$1:$I$89,5,0)</f>
        <v>19.86940799999994</v>
      </c>
      <c r="AK174" s="13">
        <f t="shared" si="164"/>
        <v>6.4658893302320672</v>
      </c>
      <c r="AL174" s="20">
        <f t="shared" si="165"/>
        <v>45.86730951682074</v>
      </c>
      <c r="AM174" s="59">
        <f t="shared" si="113"/>
        <v>339.20064285015405</v>
      </c>
      <c r="AN174" s="59">
        <f ca="1">AVERAGE(OFFSET($AM$3,0,0,'Données projet'!$E$10+1,1))-AVERAGE(OFFSET($H$3,0,0,'Données projet'!$E$10+1,1))</f>
        <v>733.95677909577444</v>
      </c>
      <c r="AO174" s="59">
        <f t="shared" si="144"/>
        <v>264.63778993239799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294.82023519162368</v>
      </c>
      <c r="AV174" s="21">
        <f>EXP(-LN(2)/25)*AV173+(1-EXP(-LN(2)/25))/(LN(2)/25)*Calculateur!AQ174*Calculateur!AS174*VLOOKUP('Données projet'!$B$10,Paramètres!$A$1:$I$89,3,0)*0.475*44/12</f>
        <v>0</v>
      </c>
      <c r="AW174" s="21">
        <f>EXP(-LN(2)/2)*AW173+(1-EXP(-LN(2)/2))/(LN(2)/2)*AQ174*AT174*VLOOKUP('Données projet'!$B$10,Paramètres!$A$1:$I$89,3,0)*0.475*44/12</f>
        <v>0</v>
      </c>
      <c r="AX174" s="21">
        <f t="shared" si="166"/>
        <v>294.82023519162368</v>
      </c>
      <c r="AY174" s="7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0</v>
      </c>
      <c r="BE174" s="13">
        <f>BD174*VLOOKUP('Données projet'!$B$11,Paramètres!$A$1:$I$89,3,0)*VLOOKUP('Données projet'!$B$11,Paramètres!$A$1:$I$89,5,0)</f>
        <v>0</v>
      </c>
      <c r="BF174" s="13" t="e">
        <f t="shared" si="167"/>
        <v>#NUM!</v>
      </c>
      <c r="BG174" s="20" t="e">
        <f t="shared" si="168"/>
        <v>#NUM!</v>
      </c>
      <c r="BH174" s="59" t="e">
        <f t="shared" si="116"/>
        <v>#NUM!</v>
      </c>
      <c r="BI174" s="59">
        <f ca="1">AVERAGE(OFFSET($BH$3,0,0,'Données projet'!$E$11+1,1))-AVERAGE(OFFSET($H$3,0,0,'Données projet'!$E$11+1,1))</f>
        <v>187.80389738728508</v>
      </c>
      <c r="BJ174" s="59">
        <f t="shared" si="146"/>
        <v>439.28159165815265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7.5679943534310441</v>
      </c>
      <c r="BQ174" s="21">
        <f>EXP(-LN(2)/25)*BQ173+(1-EXP(-LN(2)/25))/(LN(2)/25)*Calculateur!BL174*Calculateur!BN174*VLOOKUP('Données projet'!$B$11,Paramètres!$A$1:$I$89,3,0)*0.475*44/12</f>
        <v>0.28831580430217862</v>
      </c>
      <c r="BR174" s="21">
        <f>EXP(-LN(2)/2)*BR173+(1-EXP(-LN(2)/2))/(LN(2)/2)*BL174*BO174*VLOOKUP('Données projet'!$B$11,Paramètres!$A$1:$I$89,3,0)*0.475*44/12</f>
        <v>2.6929667111170221E-23</v>
      </c>
      <c r="BS174" s="22">
        <f t="shared" si="169"/>
        <v>7.8563101577332226</v>
      </c>
      <c r="BT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0</v>
      </c>
      <c r="BZ174" s="13" t="e">
        <f>BY174*VLOOKUP('Données projet'!$B$12,Paramètres!$A$1:$I$89,3,0)*VLOOKUP('Données projet'!$B$12,Paramètres!$A$1:$I$89,5,0)</f>
        <v>#N/A</v>
      </c>
      <c r="CA174" s="13" t="e">
        <f t="shared" si="170"/>
        <v>#N/A</v>
      </c>
      <c r="CB174" s="20" t="e">
        <f t="shared" si="171"/>
        <v>#N/A</v>
      </c>
      <c r="CC174" s="59" t="e">
        <f t="shared" si="119"/>
        <v>#N/A</v>
      </c>
      <c r="CD174" s="59" t="e">
        <f ca="1">AVERAGE(OFFSET($CC$3,0,0,'Données projet'!$E$12+1,1))-AVERAGE(OFFSET($H$3,0,0,'Données projet'!$E$12+1,1))</f>
        <v>#N/A</v>
      </c>
      <c r="CE174" s="59" t="e">
        <f t="shared" si="148"/>
        <v>#N/A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 t="e">
        <f>EXP(-LN(2)/35)*CK173+(1-EXP(-LN(2)/35))/(LN(2)/35)*CG174*CH174*VLOOKUP('Données projet'!$B$12,Paramètres!$A$1:$I$89,3,0)*0.475*44/12</f>
        <v>#N/A</v>
      </c>
      <c r="CL174" s="21" t="e">
        <f>EXP(-LN(2)/25)*CL173+(1-EXP(-LN(2)/25))/(LN(2)/25)*Calculateur!CG174*Calculateur!CI174*VLOOKUP('Données projet'!$B$12,Paramètres!$A$1:$I$89,3,0)*0.475*44/12</f>
        <v>#N/A</v>
      </c>
      <c r="CM174" s="21" t="e">
        <f>EXP(-LN(2)/2)*CM173+(1-EXP(-LN(2)/2))/(LN(2)/2)*CG174*CJ174*VLOOKUP('Données projet'!$B$12,Paramètres!$A$1:$I$89,3,0)*0.475*44/12</f>
        <v>#N/A</v>
      </c>
      <c r="CN174" s="22" t="e">
        <f t="shared" si="172"/>
        <v>#N/A</v>
      </c>
      <c r="CO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35">
      <c r="A175" s="10">
        <f t="shared" si="161"/>
        <v>172</v>
      </c>
      <c r="B175" s="72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1">
        <f t="shared" si="140"/>
        <v>0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66">
        <f t="shared" si="110"/>
        <v>256.66666666666669</v>
      </c>
      <c r="I175" s="6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20.879999999999939</v>
      </c>
      <c r="O175" s="13">
        <f>N175*VLOOKUP('Données projet'!$B$9,Paramètres!$A$1:$I$89,3,0)*VLOOKUP('Données projet'!$B$9,Paramètres!$A$1:$I$89,5,0)</f>
        <v>18.892223999999942</v>
      </c>
      <c r="P175" s="13">
        <f t="shared" si="141"/>
        <v>6.184089977612083</v>
      </c>
      <c r="Q175" s="20">
        <f t="shared" si="162"/>
        <v>43.674580177674272</v>
      </c>
      <c r="R175" s="59">
        <f t="shared" si="109"/>
        <v>337.00791351100759</v>
      </c>
      <c r="S175" s="59">
        <f ca="1">AVERAGE(OFFSET($R$3,0,0,'Données projet'!$E$9+1,1))-AVERAGE(OFFSET($H$3,0,0,'Données projet'!$E$9+1,1))</f>
        <v>700.22008319944644</v>
      </c>
      <c r="T175" s="59">
        <f t="shared" si="142"/>
        <v>253.69632671986739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274.82395789708187</v>
      </c>
      <c r="AA175" s="21">
        <f>EXP(-LN(2)/25)*AA174+(1-EXP(-LN(2)/25))/(LN(2)/25)*Calculateur!V175*Calculateur!X175*VLOOKUP('Données projet'!$B$9,Paramètres!$A$1:$I$89,3,0)*0.475*44/12</f>
        <v>0</v>
      </c>
      <c r="AB175" s="21">
        <f>EXP(-LN(2)/2)*AB174+(1-EXP(-LN(2)/2))/(LN(2)/2)*V175*Y175*VLOOKUP('Données projet'!$B$9,Paramètres!$A$1:$I$89,3,0)*0.475*44/12</f>
        <v>0</v>
      </c>
      <c r="AC175" s="22">
        <f t="shared" si="163"/>
        <v>274.82395789708187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20.879999999999939</v>
      </c>
      <c r="AJ175" s="13">
        <f>AI175*VLOOKUP('Données projet'!$B$10,Paramètres!$A$1:$I$89,3,0)*VLOOKUP('Données projet'!$B$10,Paramètres!$A$1:$I$89,5,0)</f>
        <v>19.86940799999994</v>
      </c>
      <c r="AK175" s="13">
        <f t="shared" si="164"/>
        <v>6.4658893302320672</v>
      </c>
      <c r="AL175" s="20">
        <f t="shared" si="165"/>
        <v>45.86730951682074</v>
      </c>
      <c r="AM175" s="59">
        <f t="shared" si="113"/>
        <v>339.20064285015405</v>
      </c>
      <c r="AN175" s="59">
        <f ca="1">AVERAGE(OFFSET($AM$3,0,0,'Données projet'!$E$10+1,1))-AVERAGE(OFFSET($H$3,0,0,'Données projet'!$E$10+1,1))</f>
        <v>733.95677909577444</v>
      </c>
      <c r="AO175" s="59">
        <f t="shared" si="144"/>
        <v>264.63778993239799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289.03899020210338</v>
      </c>
      <c r="AV175" s="21">
        <f>EXP(-LN(2)/25)*AV174+(1-EXP(-LN(2)/25))/(LN(2)/25)*Calculateur!AQ175*Calculateur!AS175*VLOOKUP('Données projet'!$B$10,Paramètres!$A$1:$I$89,3,0)*0.475*44/12</f>
        <v>0</v>
      </c>
      <c r="AW175" s="21">
        <f>EXP(-LN(2)/2)*AW174+(1-EXP(-LN(2)/2))/(LN(2)/2)*AQ175*AT175*VLOOKUP('Données projet'!$B$10,Paramètres!$A$1:$I$89,3,0)*0.475*44/12</f>
        <v>0</v>
      </c>
      <c r="AX175" s="21">
        <f t="shared" si="166"/>
        <v>289.03899020210338</v>
      </c>
      <c r="AY175" s="7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0</v>
      </c>
      <c r="BE175" s="13">
        <f>BD175*VLOOKUP('Données projet'!$B$11,Paramètres!$A$1:$I$89,3,0)*VLOOKUP('Données projet'!$B$11,Paramètres!$A$1:$I$89,5,0)</f>
        <v>0</v>
      </c>
      <c r="BF175" s="13" t="e">
        <f t="shared" si="167"/>
        <v>#NUM!</v>
      </c>
      <c r="BG175" s="20" t="e">
        <f t="shared" si="168"/>
        <v>#NUM!</v>
      </c>
      <c r="BH175" s="59" t="e">
        <f t="shared" si="116"/>
        <v>#NUM!</v>
      </c>
      <c r="BI175" s="59">
        <f ca="1">AVERAGE(OFFSET($BH$3,0,0,'Données projet'!$E$11+1,1))-AVERAGE(OFFSET($H$3,0,0,'Données projet'!$E$11+1,1))</f>
        <v>187.80389738728508</v>
      </c>
      <c r="BJ175" s="59">
        <f t="shared" si="146"/>
        <v>439.28159165815265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7.4195906001810226</v>
      </c>
      <c r="BQ175" s="21">
        <f>EXP(-LN(2)/25)*BQ174+(1-EXP(-LN(2)/25))/(LN(2)/25)*Calculateur!BL175*Calculateur!BN175*VLOOKUP('Données projet'!$B$11,Paramètres!$A$1:$I$89,3,0)*0.475*44/12</f>
        <v>0.28043179347166636</v>
      </c>
      <c r="BR175" s="21">
        <f>EXP(-LN(2)/2)*BR174+(1-EXP(-LN(2)/2))/(LN(2)/2)*BL175*BO175*VLOOKUP('Données projet'!$B$11,Paramètres!$A$1:$I$89,3,0)*0.475*44/12</f>
        <v>1.9042150229404807E-23</v>
      </c>
      <c r="BS175" s="22">
        <f t="shared" si="169"/>
        <v>7.7000223936526888</v>
      </c>
      <c r="BT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0</v>
      </c>
      <c r="BZ175" s="13" t="e">
        <f>BY175*VLOOKUP('Données projet'!$B$12,Paramètres!$A$1:$I$89,3,0)*VLOOKUP('Données projet'!$B$12,Paramètres!$A$1:$I$89,5,0)</f>
        <v>#N/A</v>
      </c>
      <c r="CA175" s="13" t="e">
        <f t="shared" si="170"/>
        <v>#N/A</v>
      </c>
      <c r="CB175" s="20" t="e">
        <f t="shared" si="171"/>
        <v>#N/A</v>
      </c>
      <c r="CC175" s="59" t="e">
        <f t="shared" si="119"/>
        <v>#N/A</v>
      </c>
      <c r="CD175" s="59" t="e">
        <f ca="1">AVERAGE(OFFSET($CC$3,0,0,'Données projet'!$E$12+1,1))-AVERAGE(OFFSET($H$3,0,0,'Données projet'!$E$12+1,1))</f>
        <v>#N/A</v>
      </c>
      <c r="CE175" s="59" t="e">
        <f t="shared" si="148"/>
        <v>#N/A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 t="e">
        <f>EXP(-LN(2)/35)*CK174+(1-EXP(-LN(2)/35))/(LN(2)/35)*CG175*CH175*VLOOKUP('Données projet'!$B$12,Paramètres!$A$1:$I$89,3,0)*0.475*44/12</f>
        <v>#N/A</v>
      </c>
      <c r="CL175" s="21" t="e">
        <f>EXP(-LN(2)/25)*CL174+(1-EXP(-LN(2)/25))/(LN(2)/25)*Calculateur!CG175*Calculateur!CI175*VLOOKUP('Données projet'!$B$12,Paramètres!$A$1:$I$89,3,0)*0.475*44/12</f>
        <v>#N/A</v>
      </c>
      <c r="CM175" s="21" t="e">
        <f>EXP(-LN(2)/2)*CM174+(1-EXP(-LN(2)/2))/(LN(2)/2)*CG175*CJ175*VLOOKUP('Données projet'!$B$12,Paramètres!$A$1:$I$89,3,0)*0.475*44/12</f>
        <v>#N/A</v>
      </c>
      <c r="CN175" s="22" t="e">
        <f t="shared" si="172"/>
        <v>#N/A</v>
      </c>
      <c r="CO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35">
      <c r="A176" s="10">
        <f t="shared" si="161"/>
        <v>173</v>
      </c>
      <c r="B176" s="72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1">
        <f t="shared" si="140"/>
        <v>0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66">
        <f t="shared" si="110"/>
        <v>256.66666666666669</v>
      </c>
      <c r="I176" s="6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20.879999999999939</v>
      </c>
      <c r="O176" s="13">
        <f>N176*VLOOKUP('Données projet'!$B$9,Paramètres!$A$1:$I$89,3,0)*VLOOKUP('Données projet'!$B$9,Paramètres!$A$1:$I$89,5,0)</f>
        <v>18.892223999999942</v>
      </c>
      <c r="P176" s="13">
        <f t="shared" si="141"/>
        <v>6.184089977612083</v>
      </c>
      <c r="Q176" s="20">
        <f t="shared" si="162"/>
        <v>43.674580177674272</v>
      </c>
      <c r="R176" s="59">
        <f t="shared" si="109"/>
        <v>337.00791351100759</v>
      </c>
      <c r="S176" s="59">
        <f ca="1">AVERAGE(OFFSET($R$3,0,0,'Données projet'!$E$9+1,1))-AVERAGE(OFFSET($H$3,0,0,'Données projet'!$E$9+1,1))</f>
        <v>700.22008319944644</v>
      </c>
      <c r="T176" s="59">
        <f t="shared" si="142"/>
        <v>253.69632671986739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269.43482770878273</v>
      </c>
      <c r="AA176" s="21">
        <f>EXP(-LN(2)/25)*AA175+(1-EXP(-LN(2)/25))/(LN(2)/25)*Calculateur!V176*Calculateur!X176*VLOOKUP('Données projet'!$B$9,Paramètres!$A$1:$I$89,3,0)*0.475*44/12</f>
        <v>0</v>
      </c>
      <c r="AB176" s="21">
        <f>EXP(-LN(2)/2)*AB175+(1-EXP(-LN(2)/2))/(LN(2)/2)*V176*Y176*VLOOKUP('Données projet'!$B$9,Paramètres!$A$1:$I$89,3,0)*0.475*44/12</f>
        <v>0</v>
      </c>
      <c r="AC176" s="22">
        <f t="shared" si="163"/>
        <v>269.43482770878273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20.879999999999939</v>
      </c>
      <c r="AJ176" s="13">
        <f>AI176*VLOOKUP('Données projet'!$B$10,Paramètres!$A$1:$I$89,3,0)*VLOOKUP('Données projet'!$B$10,Paramètres!$A$1:$I$89,5,0)</f>
        <v>19.86940799999994</v>
      </c>
      <c r="AK176" s="13">
        <f t="shared" si="164"/>
        <v>6.4658893302320672</v>
      </c>
      <c r="AL176" s="20">
        <f t="shared" si="165"/>
        <v>45.86730951682074</v>
      </c>
      <c r="AM176" s="59">
        <f t="shared" si="113"/>
        <v>339.20064285015405</v>
      </c>
      <c r="AN176" s="59">
        <f ca="1">AVERAGE(OFFSET($AM$3,0,0,'Données projet'!$E$10+1,1))-AVERAGE(OFFSET($H$3,0,0,'Données projet'!$E$10+1,1))</f>
        <v>733.95677909577444</v>
      </c>
      <c r="AO176" s="59">
        <f t="shared" si="144"/>
        <v>264.63778993239799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283.37111190061631</v>
      </c>
      <c r="AV176" s="21">
        <f>EXP(-LN(2)/25)*AV175+(1-EXP(-LN(2)/25))/(LN(2)/25)*Calculateur!AQ176*Calculateur!AS176*VLOOKUP('Données projet'!$B$10,Paramètres!$A$1:$I$89,3,0)*0.475*44/12</f>
        <v>0</v>
      </c>
      <c r="AW176" s="21">
        <f>EXP(-LN(2)/2)*AW175+(1-EXP(-LN(2)/2))/(LN(2)/2)*AQ176*AT176*VLOOKUP('Données projet'!$B$10,Paramètres!$A$1:$I$89,3,0)*0.475*44/12</f>
        <v>0</v>
      </c>
      <c r="AX176" s="21">
        <f t="shared" si="166"/>
        <v>283.37111190061631</v>
      </c>
      <c r="AY176" s="7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0</v>
      </c>
      <c r="BE176" s="13">
        <f>BD176*VLOOKUP('Données projet'!$B$11,Paramètres!$A$1:$I$89,3,0)*VLOOKUP('Données projet'!$B$11,Paramètres!$A$1:$I$89,5,0)</f>
        <v>0</v>
      </c>
      <c r="BF176" s="13" t="e">
        <f t="shared" si="167"/>
        <v>#NUM!</v>
      </c>
      <c r="BG176" s="20" t="e">
        <f t="shared" si="168"/>
        <v>#NUM!</v>
      </c>
      <c r="BH176" s="59" t="e">
        <f t="shared" si="116"/>
        <v>#NUM!</v>
      </c>
      <c r="BI176" s="59">
        <f ca="1">AVERAGE(OFFSET($BH$3,0,0,'Données projet'!$E$11+1,1))-AVERAGE(OFFSET($H$3,0,0,'Données projet'!$E$11+1,1))</f>
        <v>187.80389738728508</v>
      </c>
      <c r="BJ176" s="59">
        <f t="shared" si="146"/>
        <v>439.28159165815265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7.2740969540148823</v>
      </c>
      <c r="BQ176" s="21">
        <f>EXP(-LN(2)/25)*BQ175+(1-EXP(-LN(2)/25))/(LN(2)/25)*Calculateur!BL176*Calculateur!BN176*VLOOKUP('Données projet'!$B$11,Paramètres!$A$1:$I$89,3,0)*0.475*44/12</f>
        <v>0.27276337133191658</v>
      </c>
      <c r="BR176" s="21">
        <f>EXP(-LN(2)/2)*BR175+(1-EXP(-LN(2)/2))/(LN(2)/2)*BL176*BO176*VLOOKUP('Données projet'!$B$11,Paramètres!$A$1:$I$89,3,0)*0.475*44/12</f>
        <v>1.346483355558511E-23</v>
      </c>
      <c r="BS176" s="22">
        <f t="shared" si="169"/>
        <v>7.546860325346799</v>
      </c>
      <c r="BT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0</v>
      </c>
      <c r="BZ176" s="13" t="e">
        <f>BY176*VLOOKUP('Données projet'!$B$12,Paramètres!$A$1:$I$89,3,0)*VLOOKUP('Données projet'!$B$12,Paramètres!$A$1:$I$89,5,0)</f>
        <v>#N/A</v>
      </c>
      <c r="CA176" s="13" t="e">
        <f t="shared" si="170"/>
        <v>#N/A</v>
      </c>
      <c r="CB176" s="20" t="e">
        <f t="shared" si="171"/>
        <v>#N/A</v>
      </c>
      <c r="CC176" s="59" t="e">
        <f t="shared" si="119"/>
        <v>#N/A</v>
      </c>
      <c r="CD176" s="59" t="e">
        <f ca="1">AVERAGE(OFFSET($CC$3,0,0,'Données projet'!$E$12+1,1))-AVERAGE(OFFSET($H$3,0,0,'Données projet'!$E$12+1,1))</f>
        <v>#N/A</v>
      </c>
      <c r="CE176" s="59" t="e">
        <f t="shared" si="148"/>
        <v>#N/A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 t="e">
        <f>EXP(-LN(2)/35)*CK175+(1-EXP(-LN(2)/35))/(LN(2)/35)*CG176*CH176*VLOOKUP('Données projet'!$B$12,Paramètres!$A$1:$I$89,3,0)*0.475*44/12</f>
        <v>#N/A</v>
      </c>
      <c r="CL176" s="21" t="e">
        <f>EXP(-LN(2)/25)*CL175+(1-EXP(-LN(2)/25))/(LN(2)/25)*Calculateur!CG176*Calculateur!CI176*VLOOKUP('Données projet'!$B$12,Paramètres!$A$1:$I$89,3,0)*0.475*44/12</f>
        <v>#N/A</v>
      </c>
      <c r="CM176" s="21" t="e">
        <f>EXP(-LN(2)/2)*CM175+(1-EXP(-LN(2)/2))/(LN(2)/2)*CG176*CJ176*VLOOKUP('Données projet'!$B$12,Paramètres!$A$1:$I$89,3,0)*0.475*44/12</f>
        <v>#N/A</v>
      </c>
      <c r="CN176" s="22" t="e">
        <f t="shared" si="172"/>
        <v>#N/A</v>
      </c>
      <c r="CO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35">
      <c r="A177" s="10">
        <f t="shared" si="161"/>
        <v>174</v>
      </c>
      <c r="B177" s="72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1">
        <f t="shared" si="140"/>
        <v>0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66">
        <f t="shared" si="110"/>
        <v>256.66666666666669</v>
      </c>
      <c r="I177" s="6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20.879999999999939</v>
      </c>
      <c r="O177" s="13">
        <f>N177*VLOOKUP('Données projet'!$B$9,Paramètres!$A$1:$I$89,3,0)*VLOOKUP('Données projet'!$B$9,Paramètres!$A$1:$I$89,5,0)</f>
        <v>18.892223999999942</v>
      </c>
      <c r="P177" s="13">
        <f t="shared" si="141"/>
        <v>6.184089977612083</v>
      </c>
      <c r="Q177" s="20">
        <f t="shared" si="162"/>
        <v>43.674580177674272</v>
      </c>
      <c r="R177" s="59">
        <f t="shared" si="109"/>
        <v>337.00791351100759</v>
      </c>
      <c r="S177" s="59">
        <f ca="1">AVERAGE(OFFSET($R$3,0,0,'Données projet'!$E$9+1,1))-AVERAGE(OFFSET($H$3,0,0,'Données projet'!$E$9+1,1))</f>
        <v>700.22008319944644</v>
      </c>
      <c r="T177" s="59">
        <f t="shared" si="142"/>
        <v>253.69632671986739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264.15137507643129</v>
      </c>
      <c r="AA177" s="21">
        <f>EXP(-LN(2)/25)*AA176+(1-EXP(-LN(2)/25))/(LN(2)/25)*Calculateur!V177*Calculateur!X177*VLOOKUP('Données projet'!$B$9,Paramètres!$A$1:$I$89,3,0)*0.475*44/12</f>
        <v>0</v>
      </c>
      <c r="AB177" s="21">
        <f>EXP(-LN(2)/2)*AB176+(1-EXP(-LN(2)/2))/(LN(2)/2)*V177*Y177*VLOOKUP('Données projet'!$B$9,Paramètres!$A$1:$I$89,3,0)*0.475*44/12</f>
        <v>0</v>
      </c>
      <c r="AC177" s="22">
        <f t="shared" si="163"/>
        <v>264.15137507643129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20.879999999999939</v>
      </c>
      <c r="AJ177" s="13">
        <f>AI177*VLOOKUP('Données projet'!$B$10,Paramètres!$A$1:$I$89,3,0)*VLOOKUP('Données projet'!$B$10,Paramètres!$A$1:$I$89,5,0)</f>
        <v>19.86940799999994</v>
      </c>
      <c r="AK177" s="13">
        <f t="shared" si="164"/>
        <v>6.4658893302320672</v>
      </c>
      <c r="AL177" s="20">
        <f t="shared" si="165"/>
        <v>45.86730951682074</v>
      </c>
      <c r="AM177" s="59">
        <f t="shared" si="113"/>
        <v>339.20064285015405</v>
      </c>
      <c r="AN177" s="59">
        <f ca="1">AVERAGE(OFFSET($AM$3,0,0,'Données projet'!$E$10+1,1))-AVERAGE(OFFSET($H$3,0,0,'Données projet'!$E$10+1,1))</f>
        <v>733.95677909577444</v>
      </c>
      <c r="AO177" s="59">
        <f t="shared" si="144"/>
        <v>264.63778993239799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277.814377235557</v>
      </c>
      <c r="AV177" s="21">
        <f>EXP(-LN(2)/25)*AV176+(1-EXP(-LN(2)/25))/(LN(2)/25)*Calculateur!AQ177*Calculateur!AS177*VLOOKUP('Données projet'!$B$10,Paramètres!$A$1:$I$89,3,0)*0.475*44/12</f>
        <v>0</v>
      </c>
      <c r="AW177" s="21">
        <f>EXP(-LN(2)/2)*AW176+(1-EXP(-LN(2)/2))/(LN(2)/2)*AQ177*AT177*VLOOKUP('Données projet'!$B$10,Paramètres!$A$1:$I$89,3,0)*0.475*44/12</f>
        <v>0</v>
      </c>
      <c r="AX177" s="21">
        <f t="shared" si="166"/>
        <v>277.814377235557</v>
      </c>
      <c r="AY177" s="7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0</v>
      </c>
      <c r="BE177" s="13">
        <f>BD177*VLOOKUP('Données projet'!$B$11,Paramètres!$A$1:$I$89,3,0)*VLOOKUP('Données projet'!$B$11,Paramètres!$A$1:$I$89,5,0)</f>
        <v>0</v>
      </c>
      <c r="BF177" s="13" t="e">
        <f t="shared" si="167"/>
        <v>#NUM!</v>
      </c>
      <c r="BG177" s="20" t="e">
        <f t="shared" si="168"/>
        <v>#NUM!</v>
      </c>
      <c r="BH177" s="59" t="e">
        <f t="shared" si="116"/>
        <v>#NUM!</v>
      </c>
      <c r="BI177" s="59">
        <f ca="1">AVERAGE(OFFSET($BH$3,0,0,'Données projet'!$E$11+1,1))-AVERAGE(OFFSET($H$3,0,0,'Données projet'!$E$11+1,1))</f>
        <v>187.80389738728508</v>
      </c>
      <c r="BJ177" s="59">
        <f t="shared" si="146"/>
        <v>439.28159165815265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7.1314563495076984</v>
      </c>
      <c r="BQ177" s="21">
        <f>EXP(-LN(2)/25)*BQ176+(1-EXP(-LN(2)/25))/(LN(2)/25)*Calculateur!BL177*Calculateur!BN177*VLOOKUP('Données projet'!$B$11,Paramètres!$A$1:$I$89,3,0)*0.475*44/12</f>
        <v>0.26530464259884301</v>
      </c>
      <c r="BR177" s="21">
        <f>EXP(-LN(2)/2)*BR176+(1-EXP(-LN(2)/2))/(LN(2)/2)*BL177*BO177*VLOOKUP('Données projet'!$B$11,Paramètres!$A$1:$I$89,3,0)*0.475*44/12</f>
        <v>9.5210751147024034E-24</v>
      </c>
      <c r="BS177" s="22">
        <f t="shared" si="169"/>
        <v>7.3967609921065414</v>
      </c>
      <c r="BT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0</v>
      </c>
      <c r="BZ177" s="13" t="e">
        <f>BY177*VLOOKUP('Données projet'!$B$12,Paramètres!$A$1:$I$89,3,0)*VLOOKUP('Données projet'!$B$12,Paramètres!$A$1:$I$89,5,0)</f>
        <v>#N/A</v>
      </c>
      <c r="CA177" s="13" t="e">
        <f t="shared" si="170"/>
        <v>#N/A</v>
      </c>
      <c r="CB177" s="20" t="e">
        <f t="shared" si="171"/>
        <v>#N/A</v>
      </c>
      <c r="CC177" s="59" t="e">
        <f t="shared" si="119"/>
        <v>#N/A</v>
      </c>
      <c r="CD177" s="59" t="e">
        <f ca="1">AVERAGE(OFFSET($CC$3,0,0,'Données projet'!$E$12+1,1))-AVERAGE(OFFSET($H$3,0,0,'Données projet'!$E$12+1,1))</f>
        <v>#N/A</v>
      </c>
      <c r="CE177" s="59" t="e">
        <f t="shared" si="148"/>
        <v>#N/A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 t="e">
        <f>EXP(-LN(2)/35)*CK176+(1-EXP(-LN(2)/35))/(LN(2)/35)*CG177*CH177*VLOOKUP('Données projet'!$B$12,Paramètres!$A$1:$I$89,3,0)*0.475*44/12</f>
        <v>#N/A</v>
      </c>
      <c r="CL177" s="21" t="e">
        <f>EXP(-LN(2)/25)*CL176+(1-EXP(-LN(2)/25))/(LN(2)/25)*Calculateur!CG177*Calculateur!CI177*VLOOKUP('Données projet'!$B$12,Paramètres!$A$1:$I$89,3,0)*0.475*44/12</f>
        <v>#N/A</v>
      </c>
      <c r="CM177" s="21" t="e">
        <f>EXP(-LN(2)/2)*CM176+(1-EXP(-LN(2)/2))/(LN(2)/2)*CG177*CJ177*VLOOKUP('Données projet'!$B$12,Paramètres!$A$1:$I$89,3,0)*0.475*44/12</f>
        <v>#N/A</v>
      </c>
      <c r="CN177" s="22" t="e">
        <f t="shared" si="172"/>
        <v>#N/A</v>
      </c>
      <c r="CO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35">
      <c r="A178" s="10">
        <f t="shared" si="161"/>
        <v>175</v>
      </c>
      <c r="B178" s="72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1">
        <f t="shared" si="140"/>
        <v>0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66">
        <f t="shared" si="110"/>
        <v>256.66666666666669</v>
      </c>
      <c r="I178" s="6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20.879999999999939</v>
      </c>
      <c r="O178" s="13">
        <f>N178*VLOOKUP('Données projet'!$B$9,Paramètres!$A$1:$I$89,3,0)*VLOOKUP('Données projet'!$B$9,Paramètres!$A$1:$I$89,5,0)</f>
        <v>18.892223999999942</v>
      </c>
      <c r="P178" s="13">
        <f t="shared" si="141"/>
        <v>6.184089977612083</v>
      </c>
      <c r="Q178" s="20">
        <f t="shared" si="162"/>
        <v>43.674580177674272</v>
      </c>
      <c r="R178" s="59">
        <f t="shared" si="109"/>
        <v>337.00791351100759</v>
      </c>
      <c r="S178" s="59">
        <f ca="1">AVERAGE(OFFSET($R$3,0,0,'Données projet'!$E$9+1,1))-AVERAGE(OFFSET($H$3,0,0,'Données projet'!$E$9+1,1))</f>
        <v>700.22008319944644</v>
      </c>
      <c r="T178" s="59">
        <f t="shared" si="142"/>
        <v>253.69632671986739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258.97152772761234</v>
      </c>
      <c r="AA178" s="21">
        <f>EXP(-LN(2)/25)*AA177+(1-EXP(-LN(2)/25))/(LN(2)/25)*Calculateur!V178*Calculateur!X178*VLOOKUP('Données projet'!$B$9,Paramètres!$A$1:$I$89,3,0)*0.475*44/12</f>
        <v>0</v>
      </c>
      <c r="AB178" s="21">
        <f>EXP(-LN(2)/2)*AB177+(1-EXP(-LN(2)/2))/(LN(2)/2)*V178*Y178*VLOOKUP('Données projet'!$B$9,Paramètres!$A$1:$I$89,3,0)*0.475*44/12</f>
        <v>0</v>
      </c>
      <c r="AC178" s="22">
        <f t="shared" si="163"/>
        <v>258.97152772761234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20.879999999999939</v>
      </c>
      <c r="AJ178" s="13">
        <f>AI178*VLOOKUP('Données projet'!$B$10,Paramètres!$A$1:$I$89,3,0)*VLOOKUP('Données projet'!$B$10,Paramètres!$A$1:$I$89,5,0)</f>
        <v>19.86940799999994</v>
      </c>
      <c r="AK178" s="13">
        <f t="shared" si="164"/>
        <v>6.4658893302320672</v>
      </c>
      <c r="AL178" s="20">
        <f t="shared" si="165"/>
        <v>45.86730951682074</v>
      </c>
      <c r="AM178" s="59">
        <f t="shared" si="113"/>
        <v>339.20064285015405</v>
      </c>
      <c r="AN178" s="59">
        <f ca="1">AVERAGE(OFFSET($AM$3,0,0,'Données projet'!$E$10+1,1))-AVERAGE(OFFSET($H$3,0,0,'Données projet'!$E$10+1,1))</f>
        <v>733.95677909577444</v>
      </c>
      <c r="AO178" s="59">
        <f t="shared" si="144"/>
        <v>264.63778993239799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272.36660674800606</v>
      </c>
      <c r="AV178" s="21">
        <f>EXP(-LN(2)/25)*AV177+(1-EXP(-LN(2)/25))/(LN(2)/25)*Calculateur!AQ178*Calculateur!AS178*VLOOKUP('Données projet'!$B$10,Paramètres!$A$1:$I$89,3,0)*0.475*44/12</f>
        <v>0</v>
      </c>
      <c r="AW178" s="21">
        <f>EXP(-LN(2)/2)*AW177+(1-EXP(-LN(2)/2))/(LN(2)/2)*AQ178*AT178*VLOOKUP('Données projet'!$B$10,Paramètres!$A$1:$I$89,3,0)*0.475*44/12</f>
        <v>0</v>
      </c>
      <c r="AX178" s="21">
        <f t="shared" si="166"/>
        <v>272.36660674800606</v>
      </c>
      <c r="AY178" s="7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0</v>
      </c>
      <c r="BE178" s="13">
        <f>BD178*VLOOKUP('Données projet'!$B$11,Paramètres!$A$1:$I$89,3,0)*VLOOKUP('Données projet'!$B$11,Paramètres!$A$1:$I$89,5,0)</f>
        <v>0</v>
      </c>
      <c r="BF178" s="13" t="e">
        <f t="shared" si="167"/>
        <v>#NUM!</v>
      </c>
      <c r="BG178" s="20" t="e">
        <f t="shared" si="168"/>
        <v>#NUM!</v>
      </c>
      <c r="BH178" s="59" t="e">
        <f t="shared" si="116"/>
        <v>#NUM!</v>
      </c>
      <c r="BI178" s="59">
        <f ca="1">AVERAGE(OFFSET($BH$3,0,0,'Données projet'!$E$11+1,1))-AVERAGE(OFFSET($H$3,0,0,'Données projet'!$E$11+1,1))</f>
        <v>187.80389738728508</v>
      </c>
      <c r="BJ178" s="59">
        <f t="shared" si="146"/>
        <v>439.28159165815265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6.9916128402527224</v>
      </c>
      <c r="BQ178" s="21">
        <f>EXP(-LN(2)/25)*BQ177+(1-EXP(-LN(2)/25))/(LN(2)/25)*Calculateur!BL178*Calculateur!BN178*VLOOKUP('Données projet'!$B$11,Paramètres!$A$1:$I$89,3,0)*0.475*44/12</f>
        <v>0.25804987319521283</v>
      </c>
      <c r="BR178" s="21">
        <f>EXP(-LN(2)/2)*BR177+(1-EXP(-LN(2)/2))/(LN(2)/2)*BL178*BO178*VLOOKUP('Données projet'!$B$11,Paramètres!$A$1:$I$89,3,0)*0.475*44/12</f>
        <v>6.7324167777925552E-24</v>
      </c>
      <c r="BS178" s="22">
        <f t="shared" si="169"/>
        <v>7.2496627134479352</v>
      </c>
      <c r="BT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0</v>
      </c>
      <c r="BZ178" s="13" t="e">
        <f>BY178*VLOOKUP('Données projet'!$B$12,Paramètres!$A$1:$I$89,3,0)*VLOOKUP('Données projet'!$B$12,Paramètres!$A$1:$I$89,5,0)</f>
        <v>#N/A</v>
      </c>
      <c r="CA178" s="13" t="e">
        <f t="shared" si="170"/>
        <v>#N/A</v>
      </c>
      <c r="CB178" s="20" t="e">
        <f t="shared" si="171"/>
        <v>#N/A</v>
      </c>
      <c r="CC178" s="59" t="e">
        <f t="shared" si="119"/>
        <v>#N/A</v>
      </c>
      <c r="CD178" s="59" t="e">
        <f ca="1">AVERAGE(OFFSET($CC$3,0,0,'Données projet'!$E$12+1,1))-AVERAGE(OFFSET($H$3,0,0,'Données projet'!$E$12+1,1))</f>
        <v>#N/A</v>
      </c>
      <c r="CE178" s="59" t="e">
        <f t="shared" si="148"/>
        <v>#N/A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 t="e">
        <f>EXP(-LN(2)/35)*CK177+(1-EXP(-LN(2)/35))/(LN(2)/35)*CG178*CH178*VLOOKUP('Données projet'!$B$12,Paramètres!$A$1:$I$89,3,0)*0.475*44/12</f>
        <v>#N/A</v>
      </c>
      <c r="CL178" s="21" t="e">
        <f>EXP(-LN(2)/25)*CL177+(1-EXP(-LN(2)/25))/(LN(2)/25)*Calculateur!CG178*Calculateur!CI178*VLOOKUP('Données projet'!$B$12,Paramètres!$A$1:$I$89,3,0)*0.475*44/12</f>
        <v>#N/A</v>
      </c>
      <c r="CM178" s="21" t="e">
        <f>EXP(-LN(2)/2)*CM177+(1-EXP(-LN(2)/2))/(LN(2)/2)*CG178*CJ178*VLOOKUP('Données projet'!$B$12,Paramètres!$A$1:$I$89,3,0)*0.475*44/12</f>
        <v>#N/A</v>
      </c>
      <c r="CN178" s="22" t="e">
        <f t="shared" si="172"/>
        <v>#N/A</v>
      </c>
      <c r="CO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35">
      <c r="A179" s="10">
        <f t="shared" si="161"/>
        <v>176</v>
      </c>
      <c r="B179" s="72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1">
        <f t="shared" si="140"/>
        <v>0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66">
        <f t="shared" si="110"/>
        <v>256.66666666666669</v>
      </c>
      <c r="I179" s="6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20.879999999999939</v>
      </c>
      <c r="O179" s="13">
        <f>N179*VLOOKUP('Données projet'!$B$9,Paramètres!$A$1:$I$89,3,0)*VLOOKUP('Données projet'!$B$9,Paramètres!$A$1:$I$89,5,0)</f>
        <v>18.892223999999942</v>
      </c>
      <c r="P179" s="13">
        <f t="shared" si="141"/>
        <v>6.184089977612083</v>
      </c>
      <c r="Q179" s="20">
        <f t="shared" si="162"/>
        <v>43.674580177674272</v>
      </c>
      <c r="R179" s="59">
        <f t="shared" si="109"/>
        <v>337.00791351100759</v>
      </c>
      <c r="S179" s="59">
        <f ca="1">AVERAGE(OFFSET($R$3,0,0,'Données projet'!$E$9+1,1))-AVERAGE(OFFSET($H$3,0,0,'Données projet'!$E$9+1,1))</f>
        <v>700.22008319944644</v>
      </c>
      <c r="T179" s="59">
        <f t="shared" si="142"/>
        <v>253.69632671986739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253.89325402590882</v>
      </c>
      <c r="AA179" s="21">
        <f>EXP(-LN(2)/25)*AA178+(1-EXP(-LN(2)/25))/(LN(2)/25)*Calculateur!V179*Calculateur!X179*VLOOKUP('Données projet'!$B$9,Paramètres!$A$1:$I$89,3,0)*0.475*44/12</f>
        <v>0</v>
      </c>
      <c r="AB179" s="21">
        <f>EXP(-LN(2)/2)*AB178+(1-EXP(-LN(2)/2))/(LN(2)/2)*V179*Y179*VLOOKUP('Données projet'!$B$9,Paramètres!$A$1:$I$89,3,0)*0.475*44/12</f>
        <v>0</v>
      </c>
      <c r="AC179" s="22">
        <f t="shared" si="163"/>
        <v>253.89325402590882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20.879999999999939</v>
      </c>
      <c r="AJ179" s="13">
        <f>AI179*VLOOKUP('Données projet'!$B$10,Paramètres!$A$1:$I$89,3,0)*VLOOKUP('Données projet'!$B$10,Paramètres!$A$1:$I$89,5,0)</f>
        <v>19.86940799999994</v>
      </c>
      <c r="AK179" s="13">
        <f t="shared" si="164"/>
        <v>6.4658893302320672</v>
      </c>
      <c r="AL179" s="20">
        <f t="shared" si="165"/>
        <v>45.86730951682074</v>
      </c>
      <c r="AM179" s="59">
        <f t="shared" si="113"/>
        <v>339.20064285015405</v>
      </c>
      <c r="AN179" s="59">
        <f ca="1">AVERAGE(OFFSET($AM$3,0,0,'Données projet'!$E$10+1,1))-AVERAGE(OFFSET($H$3,0,0,'Données projet'!$E$10+1,1))</f>
        <v>733.95677909577444</v>
      </c>
      <c r="AO179" s="59">
        <f t="shared" si="144"/>
        <v>264.63778993239799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267.02566371690409</v>
      </c>
      <c r="AV179" s="21">
        <f>EXP(-LN(2)/25)*AV178+(1-EXP(-LN(2)/25))/(LN(2)/25)*Calculateur!AQ179*Calculateur!AS179*VLOOKUP('Données projet'!$B$10,Paramètres!$A$1:$I$89,3,0)*0.475*44/12</f>
        <v>0</v>
      </c>
      <c r="AW179" s="21">
        <f>EXP(-LN(2)/2)*AW178+(1-EXP(-LN(2)/2))/(LN(2)/2)*AQ179*AT179*VLOOKUP('Données projet'!$B$10,Paramètres!$A$1:$I$89,3,0)*0.475*44/12</f>
        <v>0</v>
      </c>
      <c r="AX179" s="21">
        <f t="shared" si="166"/>
        <v>267.02566371690409</v>
      </c>
      <c r="AY179" s="7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0</v>
      </c>
      <c r="BE179" s="13">
        <f>BD179*VLOOKUP('Données projet'!$B$11,Paramètres!$A$1:$I$89,3,0)*VLOOKUP('Données projet'!$B$11,Paramètres!$A$1:$I$89,5,0)</f>
        <v>0</v>
      </c>
      <c r="BF179" s="13" t="e">
        <f t="shared" si="167"/>
        <v>#NUM!</v>
      </c>
      <c r="BG179" s="20" t="e">
        <f t="shared" si="168"/>
        <v>#NUM!</v>
      </c>
      <c r="BH179" s="59" t="e">
        <f t="shared" si="116"/>
        <v>#NUM!</v>
      </c>
      <c r="BI179" s="59">
        <f ca="1">AVERAGE(OFFSET($BH$3,0,0,'Données projet'!$E$11+1,1))-AVERAGE(OFFSET($H$3,0,0,'Données projet'!$E$11+1,1))</f>
        <v>187.80389738728508</v>
      </c>
      <c r="BJ179" s="59">
        <f t="shared" si="146"/>
        <v>439.28159165815265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6.8545115769181182</v>
      </c>
      <c r="BQ179" s="21">
        <f>EXP(-LN(2)/25)*BQ178+(1-EXP(-LN(2)/25))/(LN(2)/25)*Calculateur!BL179*Calculateur!BN179*VLOOKUP('Données projet'!$B$11,Paramètres!$A$1:$I$89,3,0)*0.475*44/12</f>
        <v>0.25099348584243669</v>
      </c>
      <c r="BR179" s="21">
        <f>EXP(-LN(2)/2)*BR178+(1-EXP(-LN(2)/2))/(LN(2)/2)*BL179*BO179*VLOOKUP('Données projet'!$B$11,Paramètres!$A$1:$I$89,3,0)*0.475*44/12</f>
        <v>4.7605375573512017E-24</v>
      </c>
      <c r="BS179" s="22">
        <f t="shared" si="169"/>
        <v>7.1055050627605549</v>
      </c>
      <c r="BT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0</v>
      </c>
      <c r="BZ179" s="13" t="e">
        <f>BY179*VLOOKUP('Données projet'!$B$12,Paramètres!$A$1:$I$89,3,0)*VLOOKUP('Données projet'!$B$12,Paramètres!$A$1:$I$89,5,0)</f>
        <v>#N/A</v>
      </c>
      <c r="CA179" s="13" t="e">
        <f t="shared" si="170"/>
        <v>#N/A</v>
      </c>
      <c r="CB179" s="20" t="e">
        <f t="shared" si="171"/>
        <v>#N/A</v>
      </c>
      <c r="CC179" s="59" t="e">
        <f t="shared" si="119"/>
        <v>#N/A</v>
      </c>
      <c r="CD179" s="59" t="e">
        <f ca="1">AVERAGE(OFFSET($CC$3,0,0,'Données projet'!$E$12+1,1))-AVERAGE(OFFSET($H$3,0,0,'Données projet'!$E$12+1,1))</f>
        <v>#N/A</v>
      </c>
      <c r="CE179" s="59" t="e">
        <f t="shared" si="148"/>
        <v>#N/A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 t="e">
        <f>EXP(-LN(2)/35)*CK178+(1-EXP(-LN(2)/35))/(LN(2)/35)*CG179*CH179*VLOOKUP('Données projet'!$B$12,Paramètres!$A$1:$I$89,3,0)*0.475*44/12</f>
        <v>#N/A</v>
      </c>
      <c r="CL179" s="21" t="e">
        <f>EXP(-LN(2)/25)*CL178+(1-EXP(-LN(2)/25))/(LN(2)/25)*Calculateur!CG179*Calculateur!CI179*VLOOKUP('Données projet'!$B$12,Paramètres!$A$1:$I$89,3,0)*0.475*44/12</f>
        <v>#N/A</v>
      </c>
      <c r="CM179" s="21" t="e">
        <f>EXP(-LN(2)/2)*CM178+(1-EXP(-LN(2)/2))/(LN(2)/2)*CG179*CJ179*VLOOKUP('Données projet'!$B$12,Paramètres!$A$1:$I$89,3,0)*0.475*44/12</f>
        <v>#N/A</v>
      </c>
      <c r="CN179" s="22" t="e">
        <f t="shared" si="172"/>
        <v>#N/A</v>
      </c>
      <c r="CO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35">
      <c r="A180" s="10">
        <f t="shared" si="161"/>
        <v>177</v>
      </c>
      <c r="B180" s="72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1">
        <f t="shared" si="140"/>
        <v>0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66">
        <f t="shared" si="110"/>
        <v>256.66666666666669</v>
      </c>
      <c r="I180" s="6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20.879999999999939</v>
      </c>
      <c r="O180" s="13">
        <f>N180*VLOOKUP('Données projet'!$B$9,Paramètres!$A$1:$I$89,3,0)*VLOOKUP('Données projet'!$B$9,Paramètres!$A$1:$I$89,5,0)</f>
        <v>18.892223999999942</v>
      </c>
      <c r="P180" s="13">
        <f t="shared" si="141"/>
        <v>6.184089977612083</v>
      </c>
      <c r="Q180" s="20">
        <f t="shared" si="162"/>
        <v>43.674580177674272</v>
      </c>
      <c r="R180" s="59">
        <f t="shared" si="109"/>
        <v>337.00791351100759</v>
      </c>
      <c r="S180" s="59">
        <f ca="1">AVERAGE(OFFSET($R$3,0,0,'Données projet'!$E$9+1,1))-AVERAGE(OFFSET($H$3,0,0,'Données projet'!$E$9+1,1))</f>
        <v>700.22008319944644</v>
      </c>
      <c r="T180" s="59">
        <f t="shared" si="142"/>
        <v>253.69632671986739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248.91456217405459</v>
      </c>
      <c r="AA180" s="21">
        <f>EXP(-LN(2)/25)*AA179+(1-EXP(-LN(2)/25))/(LN(2)/25)*Calculateur!V180*Calculateur!X180*VLOOKUP('Données projet'!$B$9,Paramètres!$A$1:$I$89,3,0)*0.475*44/12</f>
        <v>0</v>
      </c>
      <c r="AB180" s="21">
        <f>EXP(-LN(2)/2)*AB179+(1-EXP(-LN(2)/2))/(LN(2)/2)*V180*Y180*VLOOKUP('Données projet'!$B$9,Paramètres!$A$1:$I$89,3,0)*0.475*44/12</f>
        <v>0</v>
      </c>
      <c r="AC180" s="22">
        <f t="shared" si="163"/>
        <v>248.91456217405459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20.879999999999939</v>
      </c>
      <c r="AJ180" s="13">
        <f>AI180*VLOOKUP('Données projet'!$B$10,Paramètres!$A$1:$I$89,3,0)*VLOOKUP('Données projet'!$B$10,Paramètres!$A$1:$I$89,5,0)</f>
        <v>19.86940799999994</v>
      </c>
      <c r="AK180" s="13">
        <f t="shared" si="164"/>
        <v>6.4658893302320672</v>
      </c>
      <c r="AL180" s="20">
        <f t="shared" si="165"/>
        <v>45.86730951682074</v>
      </c>
      <c r="AM180" s="59">
        <f t="shared" si="113"/>
        <v>339.20064285015405</v>
      </c>
      <c r="AN180" s="59">
        <f ca="1">AVERAGE(OFFSET($AM$3,0,0,'Données projet'!$E$10+1,1))-AVERAGE(OFFSET($H$3,0,0,'Données projet'!$E$10+1,1))</f>
        <v>733.95677909577444</v>
      </c>
      <c r="AO180" s="59">
        <f t="shared" si="144"/>
        <v>264.63778993239799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261.78945332098846</v>
      </c>
      <c r="AV180" s="21">
        <f>EXP(-LN(2)/25)*AV179+(1-EXP(-LN(2)/25))/(LN(2)/25)*Calculateur!AQ180*Calculateur!AS180*VLOOKUP('Données projet'!$B$10,Paramètres!$A$1:$I$89,3,0)*0.475*44/12</f>
        <v>0</v>
      </c>
      <c r="AW180" s="21">
        <f>EXP(-LN(2)/2)*AW179+(1-EXP(-LN(2)/2))/(LN(2)/2)*AQ180*AT180*VLOOKUP('Données projet'!$B$10,Paramètres!$A$1:$I$89,3,0)*0.475*44/12</f>
        <v>0</v>
      </c>
      <c r="AX180" s="21">
        <f t="shared" si="166"/>
        <v>261.78945332098846</v>
      </c>
      <c r="AY180" s="7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0</v>
      </c>
      <c r="BE180" s="13">
        <f>BD180*VLOOKUP('Données projet'!$B$11,Paramètres!$A$1:$I$89,3,0)*VLOOKUP('Données projet'!$B$11,Paramètres!$A$1:$I$89,5,0)</f>
        <v>0</v>
      </c>
      <c r="BF180" s="13" t="e">
        <f t="shared" si="167"/>
        <v>#NUM!</v>
      </c>
      <c r="BG180" s="20" t="e">
        <f t="shared" si="168"/>
        <v>#NUM!</v>
      </c>
      <c r="BH180" s="59" t="e">
        <f t="shared" si="116"/>
        <v>#NUM!</v>
      </c>
      <c r="BI180" s="59">
        <f ca="1">AVERAGE(OFFSET($BH$3,0,0,'Données projet'!$E$11+1,1))-AVERAGE(OFFSET($H$3,0,0,'Données projet'!$E$11+1,1))</f>
        <v>187.80389738728508</v>
      </c>
      <c r="BJ180" s="59">
        <f t="shared" si="146"/>
        <v>439.28159165815265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6.7200987857339927</v>
      </c>
      <c r="BQ180" s="21">
        <f>EXP(-LN(2)/25)*BQ179+(1-EXP(-LN(2)/25))/(LN(2)/25)*Calculateur!BL180*Calculateur!BN180*VLOOKUP('Données projet'!$B$11,Paramètres!$A$1:$I$89,3,0)*0.475*44/12</f>
        <v>0.24413005577290151</v>
      </c>
      <c r="BR180" s="21">
        <f>EXP(-LN(2)/2)*BR179+(1-EXP(-LN(2)/2))/(LN(2)/2)*BL180*BO180*VLOOKUP('Données projet'!$B$11,Paramètres!$A$1:$I$89,3,0)*0.475*44/12</f>
        <v>3.3662083888962776E-24</v>
      </c>
      <c r="BS180" s="22">
        <f t="shared" si="169"/>
        <v>6.9642288415068938</v>
      </c>
      <c r="BT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0</v>
      </c>
      <c r="BZ180" s="13" t="e">
        <f>BY180*VLOOKUP('Données projet'!$B$12,Paramètres!$A$1:$I$89,3,0)*VLOOKUP('Données projet'!$B$12,Paramètres!$A$1:$I$89,5,0)</f>
        <v>#N/A</v>
      </c>
      <c r="CA180" s="13" t="e">
        <f t="shared" si="170"/>
        <v>#N/A</v>
      </c>
      <c r="CB180" s="20" t="e">
        <f t="shared" si="171"/>
        <v>#N/A</v>
      </c>
      <c r="CC180" s="59" t="e">
        <f t="shared" si="119"/>
        <v>#N/A</v>
      </c>
      <c r="CD180" s="59" t="e">
        <f ca="1">AVERAGE(OFFSET($CC$3,0,0,'Données projet'!$E$12+1,1))-AVERAGE(OFFSET($H$3,0,0,'Données projet'!$E$12+1,1))</f>
        <v>#N/A</v>
      </c>
      <c r="CE180" s="59" t="e">
        <f t="shared" si="148"/>
        <v>#N/A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 t="e">
        <f>EXP(-LN(2)/35)*CK179+(1-EXP(-LN(2)/35))/(LN(2)/35)*CG180*CH180*VLOOKUP('Données projet'!$B$12,Paramètres!$A$1:$I$89,3,0)*0.475*44/12</f>
        <v>#N/A</v>
      </c>
      <c r="CL180" s="21" t="e">
        <f>EXP(-LN(2)/25)*CL179+(1-EXP(-LN(2)/25))/(LN(2)/25)*Calculateur!CG180*Calculateur!CI180*VLOOKUP('Données projet'!$B$12,Paramètres!$A$1:$I$89,3,0)*0.475*44/12</f>
        <v>#N/A</v>
      </c>
      <c r="CM180" s="21" t="e">
        <f>EXP(-LN(2)/2)*CM179+(1-EXP(-LN(2)/2))/(LN(2)/2)*CG180*CJ180*VLOOKUP('Données projet'!$B$12,Paramètres!$A$1:$I$89,3,0)*0.475*44/12</f>
        <v>#N/A</v>
      </c>
      <c r="CN180" s="22" t="e">
        <f t="shared" si="172"/>
        <v>#N/A</v>
      </c>
      <c r="CO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35">
      <c r="A181" s="10">
        <f t="shared" si="161"/>
        <v>178</v>
      </c>
      <c r="B181" s="72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1">
        <f t="shared" si="140"/>
        <v>0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66">
        <f t="shared" si="110"/>
        <v>256.66666666666669</v>
      </c>
      <c r="I181" s="6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20.879999999999939</v>
      </c>
      <c r="O181" s="13">
        <f>N181*VLOOKUP('Données projet'!$B$9,Paramètres!$A$1:$I$89,3,0)*VLOOKUP('Données projet'!$B$9,Paramètres!$A$1:$I$89,5,0)</f>
        <v>18.892223999999942</v>
      </c>
      <c r="P181" s="13">
        <f t="shared" si="141"/>
        <v>6.184089977612083</v>
      </c>
      <c r="Q181" s="20">
        <f t="shared" si="162"/>
        <v>43.674580177674272</v>
      </c>
      <c r="R181" s="59">
        <f t="shared" si="109"/>
        <v>337.00791351100759</v>
      </c>
      <c r="S181" s="59">
        <f ca="1">AVERAGE(OFFSET($R$3,0,0,'Données projet'!$E$9+1,1))-AVERAGE(OFFSET($H$3,0,0,'Données projet'!$E$9+1,1))</f>
        <v>700.22008319944644</v>
      </c>
      <c r="T181" s="59">
        <f t="shared" si="142"/>
        <v>253.69632671986739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244.03349943271306</v>
      </c>
      <c r="AA181" s="21">
        <f>EXP(-LN(2)/25)*AA180+(1-EXP(-LN(2)/25))/(LN(2)/25)*Calculateur!V181*Calculateur!X181*VLOOKUP('Données projet'!$B$9,Paramètres!$A$1:$I$89,3,0)*0.475*44/12</f>
        <v>0</v>
      </c>
      <c r="AB181" s="21">
        <f>EXP(-LN(2)/2)*AB180+(1-EXP(-LN(2)/2))/(LN(2)/2)*V181*Y181*VLOOKUP('Données projet'!$B$9,Paramètres!$A$1:$I$89,3,0)*0.475*44/12</f>
        <v>0</v>
      </c>
      <c r="AC181" s="22">
        <f t="shared" si="163"/>
        <v>244.03349943271306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20.879999999999939</v>
      </c>
      <c r="AJ181" s="13">
        <f>AI181*VLOOKUP('Données projet'!$B$10,Paramètres!$A$1:$I$89,3,0)*VLOOKUP('Données projet'!$B$10,Paramètres!$A$1:$I$89,5,0)</f>
        <v>19.86940799999994</v>
      </c>
      <c r="AK181" s="13">
        <f t="shared" si="164"/>
        <v>6.4658893302320672</v>
      </c>
      <c r="AL181" s="20">
        <f t="shared" si="165"/>
        <v>45.86730951682074</v>
      </c>
      <c r="AM181" s="59">
        <f t="shared" si="113"/>
        <v>339.20064285015405</v>
      </c>
      <c r="AN181" s="59">
        <f ca="1">AVERAGE(OFFSET($AM$3,0,0,'Données projet'!$E$10+1,1))-AVERAGE(OFFSET($H$3,0,0,'Données projet'!$E$10+1,1))</f>
        <v>733.95677909577444</v>
      </c>
      <c r="AO181" s="59">
        <f t="shared" si="144"/>
        <v>264.63778993239799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256.65592181716374</v>
      </c>
      <c r="AV181" s="21">
        <f>EXP(-LN(2)/25)*AV180+(1-EXP(-LN(2)/25))/(LN(2)/25)*Calculateur!AQ181*Calculateur!AS181*VLOOKUP('Données projet'!$B$10,Paramètres!$A$1:$I$89,3,0)*0.475*44/12</f>
        <v>0</v>
      </c>
      <c r="AW181" s="21">
        <f>EXP(-LN(2)/2)*AW180+(1-EXP(-LN(2)/2))/(LN(2)/2)*AQ181*AT181*VLOOKUP('Données projet'!$B$10,Paramètres!$A$1:$I$89,3,0)*0.475*44/12</f>
        <v>0</v>
      </c>
      <c r="AX181" s="21">
        <f t="shared" si="166"/>
        <v>256.65592181716374</v>
      </c>
      <c r="AY181" s="7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0</v>
      </c>
      <c r="BE181" s="13">
        <f>BD181*VLOOKUP('Données projet'!$B$11,Paramètres!$A$1:$I$89,3,0)*VLOOKUP('Données projet'!$B$11,Paramètres!$A$1:$I$89,5,0)</f>
        <v>0</v>
      </c>
      <c r="BF181" s="13" t="e">
        <f t="shared" si="167"/>
        <v>#NUM!</v>
      </c>
      <c r="BG181" s="20" t="e">
        <f t="shared" si="168"/>
        <v>#NUM!</v>
      </c>
      <c r="BH181" s="59" t="e">
        <f t="shared" si="116"/>
        <v>#NUM!</v>
      </c>
      <c r="BI181" s="59">
        <f ca="1">AVERAGE(OFFSET($BH$3,0,0,'Données projet'!$E$11+1,1))-AVERAGE(OFFSET($H$3,0,0,'Données projet'!$E$11+1,1))</f>
        <v>187.80389738728508</v>
      </c>
      <c r="BJ181" s="59">
        <f t="shared" si="146"/>
        <v>439.28159165815265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6.5883217474012801</v>
      </c>
      <c r="BQ181" s="21">
        <f>EXP(-LN(2)/25)*BQ180+(1-EXP(-LN(2)/25))/(LN(2)/25)*Calculateur!BL181*Calculateur!BN181*VLOOKUP('Données projet'!$B$11,Paramètres!$A$1:$I$89,3,0)*0.475*44/12</f>
        <v>0.23745430655954985</v>
      </c>
      <c r="BR181" s="21">
        <f>EXP(-LN(2)/2)*BR180+(1-EXP(-LN(2)/2))/(LN(2)/2)*BL181*BO181*VLOOKUP('Données projet'!$B$11,Paramètres!$A$1:$I$89,3,0)*0.475*44/12</f>
        <v>2.3802687786756008E-24</v>
      </c>
      <c r="BS181" s="22">
        <f t="shared" si="169"/>
        <v>6.8257760539608299</v>
      </c>
      <c r="BT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0</v>
      </c>
      <c r="BZ181" s="13" t="e">
        <f>BY181*VLOOKUP('Données projet'!$B$12,Paramètres!$A$1:$I$89,3,0)*VLOOKUP('Données projet'!$B$12,Paramètres!$A$1:$I$89,5,0)</f>
        <v>#N/A</v>
      </c>
      <c r="CA181" s="13" t="e">
        <f t="shared" si="170"/>
        <v>#N/A</v>
      </c>
      <c r="CB181" s="20" t="e">
        <f t="shared" si="171"/>
        <v>#N/A</v>
      </c>
      <c r="CC181" s="59" t="e">
        <f t="shared" si="119"/>
        <v>#N/A</v>
      </c>
      <c r="CD181" s="59" t="e">
        <f ca="1">AVERAGE(OFFSET($CC$3,0,0,'Données projet'!$E$12+1,1))-AVERAGE(OFFSET($H$3,0,0,'Données projet'!$E$12+1,1))</f>
        <v>#N/A</v>
      </c>
      <c r="CE181" s="59" t="e">
        <f t="shared" si="148"/>
        <v>#N/A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 t="e">
        <f>EXP(-LN(2)/35)*CK180+(1-EXP(-LN(2)/35))/(LN(2)/35)*CG181*CH181*VLOOKUP('Données projet'!$B$12,Paramètres!$A$1:$I$89,3,0)*0.475*44/12</f>
        <v>#N/A</v>
      </c>
      <c r="CL181" s="21" t="e">
        <f>EXP(-LN(2)/25)*CL180+(1-EXP(-LN(2)/25))/(LN(2)/25)*Calculateur!CG181*Calculateur!CI181*VLOOKUP('Données projet'!$B$12,Paramètres!$A$1:$I$89,3,0)*0.475*44/12</f>
        <v>#N/A</v>
      </c>
      <c r="CM181" s="21" t="e">
        <f>EXP(-LN(2)/2)*CM180+(1-EXP(-LN(2)/2))/(LN(2)/2)*CG181*CJ181*VLOOKUP('Données projet'!$B$12,Paramètres!$A$1:$I$89,3,0)*0.475*44/12</f>
        <v>#N/A</v>
      </c>
      <c r="CN181" s="22" t="e">
        <f t="shared" si="172"/>
        <v>#N/A</v>
      </c>
      <c r="CO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35">
      <c r="A182" s="10">
        <f t="shared" si="161"/>
        <v>179</v>
      </c>
      <c r="B182" s="72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1">
        <f t="shared" si="140"/>
        <v>0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66">
        <f t="shared" si="110"/>
        <v>256.66666666666669</v>
      </c>
      <c r="I182" s="6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20.879999999999939</v>
      </c>
      <c r="O182" s="13">
        <f>N182*VLOOKUP('Données projet'!$B$9,Paramètres!$A$1:$I$89,3,0)*VLOOKUP('Données projet'!$B$9,Paramètres!$A$1:$I$89,5,0)</f>
        <v>18.892223999999942</v>
      </c>
      <c r="P182" s="13">
        <f t="shared" si="141"/>
        <v>6.184089977612083</v>
      </c>
      <c r="Q182" s="20">
        <f t="shared" si="162"/>
        <v>43.674580177674272</v>
      </c>
      <c r="R182" s="59">
        <f t="shared" si="109"/>
        <v>337.00791351100759</v>
      </c>
      <c r="S182" s="59">
        <f ca="1">AVERAGE(OFFSET($R$3,0,0,'Données projet'!$E$9+1,1))-AVERAGE(OFFSET($H$3,0,0,'Données projet'!$E$9+1,1))</f>
        <v>700.22008319944644</v>
      </c>
      <c r="T182" s="59">
        <f t="shared" si="142"/>
        <v>253.69632671986739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239.2481513545749</v>
      </c>
      <c r="AA182" s="21">
        <f>EXP(-LN(2)/25)*AA181+(1-EXP(-LN(2)/25))/(LN(2)/25)*Calculateur!V182*Calculateur!X182*VLOOKUP('Données projet'!$B$9,Paramètres!$A$1:$I$89,3,0)*0.475*44/12</f>
        <v>0</v>
      </c>
      <c r="AB182" s="21">
        <f>EXP(-LN(2)/2)*AB181+(1-EXP(-LN(2)/2))/(LN(2)/2)*V182*Y182*VLOOKUP('Données projet'!$B$9,Paramètres!$A$1:$I$89,3,0)*0.475*44/12</f>
        <v>0</v>
      </c>
      <c r="AC182" s="22">
        <f t="shared" si="163"/>
        <v>239.2481513545749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20.879999999999939</v>
      </c>
      <c r="AJ182" s="13">
        <f>AI182*VLOOKUP('Données projet'!$B$10,Paramètres!$A$1:$I$89,3,0)*VLOOKUP('Données projet'!$B$10,Paramètres!$A$1:$I$89,5,0)</f>
        <v>19.86940799999994</v>
      </c>
      <c r="AK182" s="13">
        <f t="shared" si="164"/>
        <v>6.4658893302320672</v>
      </c>
      <c r="AL182" s="20">
        <f t="shared" si="165"/>
        <v>45.86730951682074</v>
      </c>
      <c r="AM182" s="59">
        <f t="shared" si="113"/>
        <v>339.20064285015405</v>
      </c>
      <c r="AN182" s="59">
        <f ca="1">AVERAGE(OFFSET($AM$3,0,0,'Données projet'!$E$10+1,1))-AVERAGE(OFFSET($H$3,0,0,'Données projet'!$E$10+1,1))</f>
        <v>733.95677909577444</v>
      </c>
      <c r="AO182" s="59">
        <f t="shared" si="144"/>
        <v>264.63778993239799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251.62305573498398</v>
      </c>
      <c r="AV182" s="21">
        <f>EXP(-LN(2)/25)*AV181+(1-EXP(-LN(2)/25))/(LN(2)/25)*Calculateur!AQ182*Calculateur!AS182*VLOOKUP('Données projet'!$B$10,Paramètres!$A$1:$I$89,3,0)*0.475*44/12</f>
        <v>0</v>
      </c>
      <c r="AW182" s="21">
        <f>EXP(-LN(2)/2)*AW181+(1-EXP(-LN(2)/2))/(LN(2)/2)*AQ182*AT182*VLOOKUP('Données projet'!$B$10,Paramètres!$A$1:$I$89,3,0)*0.475*44/12</f>
        <v>0</v>
      </c>
      <c r="AX182" s="21">
        <f t="shared" si="166"/>
        <v>251.62305573498398</v>
      </c>
      <c r="AY182" s="7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0</v>
      </c>
      <c r="BE182" s="13">
        <f>BD182*VLOOKUP('Données projet'!$B$11,Paramètres!$A$1:$I$89,3,0)*VLOOKUP('Données projet'!$B$11,Paramètres!$A$1:$I$89,5,0)</f>
        <v>0</v>
      </c>
      <c r="BF182" s="13" t="e">
        <f t="shared" si="167"/>
        <v>#NUM!</v>
      </c>
      <c r="BG182" s="20" t="e">
        <f t="shared" si="168"/>
        <v>#NUM!</v>
      </c>
      <c r="BH182" s="59" t="e">
        <f t="shared" si="116"/>
        <v>#NUM!</v>
      </c>
      <c r="BI182" s="59">
        <f ca="1">AVERAGE(OFFSET($BH$3,0,0,'Données projet'!$E$11+1,1))-AVERAGE(OFFSET($H$3,0,0,'Données projet'!$E$11+1,1))</f>
        <v>187.80389738728508</v>
      </c>
      <c r="BJ182" s="59">
        <f t="shared" si="146"/>
        <v>439.28159165815265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6.4591287764142153</v>
      </c>
      <c r="BQ182" s="21">
        <f>EXP(-LN(2)/25)*BQ181+(1-EXP(-LN(2)/25))/(LN(2)/25)*Calculateur!BL182*Calculateur!BN182*VLOOKUP('Données projet'!$B$11,Paramètres!$A$1:$I$89,3,0)*0.475*44/12</f>
        <v>0.23096110605949968</v>
      </c>
      <c r="BR182" s="21">
        <f>EXP(-LN(2)/2)*BR181+(1-EXP(-LN(2)/2))/(LN(2)/2)*BL182*BO182*VLOOKUP('Données projet'!$B$11,Paramètres!$A$1:$I$89,3,0)*0.475*44/12</f>
        <v>1.6831041944481388E-24</v>
      </c>
      <c r="BS182" s="22">
        <f t="shared" si="169"/>
        <v>6.6900898824737149</v>
      </c>
      <c r="BT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0</v>
      </c>
      <c r="BZ182" s="13" t="e">
        <f>BY182*VLOOKUP('Données projet'!$B$12,Paramètres!$A$1:$I$89,3,0)*VLOOKUP('Données projet'!$B$12,Paramètres!$A$1:$I$89,5,0)</f>
        <v>#N/A</v>
      </c>
      <c r="CA182" s="13" t="e">
        <f t="shared" si="170"/>
        <v>#N/A</v>
      </c>
      <c r="CB182" s="20" t="e">
        <f t="shared" si="171"/>
        <v>#N/A</v>
      </c>
      <c r="CC182" s="59" t="e">
        <f t="shared" si="119"/>
        <v>#N/A</v>
      </c>
      <c r="CD182" s="59" t="e">
        <f ca="1">AVERAGE(OFFSET($CC$3,0,0,'Données projet'!$E$12+1,1))-AVERAGE(OFFSET($H$3,0,0,'Données projet'!$E$12+1,1))</f>
        <v>#N/A</v>
      </c>
      <c r="CE182" s="59" t="e">
        <f t="shared" si="148"/>
        <v>#N/A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 t="e">
        <f>EXP(-LN(2)/35)*CK181+(1-EXP(-LN(2)/35))/(LN(2)/35)*CG182*CH182*VLOOKUP('Données projet'!$B$12,Paramètres!$A$1:$I$89,3,0)*0.475*44/12</f>
        <v>#N/A</v>
      </c>
      <c r="CL182" s="21" t="e">
        <f>EXP(-LN(2)/25)*CL181+(1-EXP(-LN(2)/25))/(LN(2)/25)*Calculateur!CG182*Calculateur!CI182*VLOOKUP('Données projet'!$B$12,Paramètres!$A$1:$I$89,3,0)*0.475*44/12</f>
        <v>#N/A</v>
      </c>
      <c r="CM182" s="21" t="e">
        <f>EXP(-LN(2)/2)*CM181+(1-EXP(-LN(2)/2))/(LN(2)/2)*CG182*CJ182*VLOOKUP('Données projet'!$B$12,Paramètres!$A$1:$I$89,3,0)*0.475*44/12</f>
        <v>#N/A</v>
      </c>
      <c r="CN182" s="22" t="e">
        <f t="shared" si="172"/>
        <v>#N/A</v>
      </c>
      <c r="CO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35">
      <c r="A183" s="10">
        <f t="shared" si="161"/>
        <v>180</v>
      </c>
      <c r="B183" s="72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1">
        <f t="shared" si="140"/>
        <v>0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66">
        <f t="shared" si="110"/>
        <v>256.66666666666669</v>
      </c>
      <c r="I183" s="6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20.879999999999939</v>
      </c>
      <c r="O183" s="13">
        <f>N183*VLOOKUP('Données projet'!$B$9,Paramètres!$A$1:$I$89,3,0)*VLOOKUP('Données projet'!$B$9,Paramètres!$A$1:$I$89,5,0)</f>
        <v>18.892223999999942</v>
      </c>
      <c r="P183" s="13">
        <f t="shared" si="141"/>
        <v>6.184089977612083</v>
      </c>
      <c r="Q183" s="20">
        <f t="shared" si="162"/>
        <v>43.674580177674272</v>
      </c>
      <c r="R183" s="59">
        <f t="shared" si="109"/>
        <v>337.00791351100759</v>
      </c>
      <c r="S183" s="59">
        <f ca="1">AVERAGE(OFFSET($R$3,0,0,'Données projet'!$E$9+1,1))-AVERAGE(OFFSET($H$3,0,0,'Données projet'!$E$9+1,1))</f>
        <v>700.22008319944644</v>
      </c>
      <c r="T183" s="59">
        <f t="shared" si="142"/>
        <v>253.69632671986739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234.55664103347493</v>
      </c>
      <c r="AA183" s="21">
        <f>EXP(-LN(2)/25)*AA182+(1-EXP(-LN(2)/25))/(LN(2)/25)*Calculateur!V183*Calculateur!X183*VLOOKUP('Données projet'!$B$9,Paramètres!$A$1:$I$89,3,0)*0.475*44/12</f>
        <v>0</v>
      </c>
      <c r="AB183" s="21">
        <f>EXP(-LN(2)/2)*AB182+(1-EXP(-LN(2)/2))/(LN(2)/2)*V183*Y183*VLOOKUP('Données projet'!$B$9,Paramètres!$A$1:$I$89,3,0)*0.475*44/12</f>
        <v>0</v>
      </c>
      <c r="AC183" s="22">
        <f t="shared" si="163"/>
        <v>234.55664103347493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20.879999999999939</v>
      </c>
      <c r="AJ183" s="13">
        <f>AI183*VLOOKUP('Données projet'!$B$10,Paramètres!$A$1:$I$89,3,0)*VLOOKUP('Données projet'!$B$10,Paramètres!$A$1:$I$89,5,0)</f>
        <v>19.86940799999994</v>
      </c>
      <c r="AK183" s="13">
        <f t="shared" si="164"/>
        <v>6.4658893302320672</v>
      </c>
      <c r="AL183" s="20">
        <f t="shared" si="165"/>
        <v>45.86730951682074</v>
      </c>
      <c r="AM183" s="59">
        <f t="shared" si="113"/>
        <v>339.20064285015405</v>
      </c>
      <c r="AN183" s="59">
        <f ca="1">AVERAGE(OFFSET($AM$3,0,0,'Données projet'!$E$10+1,1))-AVERAGE(OFFSET($H$3,0,0,'Données projet'!$E$10+1,1))</f>
        <v>733.95677909577444</v>
      </c>
      <c r="AO183" s="59">
        <f t="shared" si="144"/>
        <v>264.63778993239799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246.68888108693056</v>
      </c>
      <c r="AV183" s="21">
        <f>EXP(-LN(2)/25)*AV182+(1-EXP(-LN(2)/25))/(LN(2)/25)*Calculateur!AQ183*Calculateur!AS183*VLOOKUP('Données projet'!$B$10,Paramètres!$A$1:$I$89,3,0)*0.475*44/12</f>
        <v>0</v>
      </c>
      <c r="AW183" s="21">
        <f>EXP(-LN(2)/2)*AW182+(1-EXP(-LN(2)/2))/(LN(2)/2)*AQ183*AT183*VLOOKUP('Données projet'!$B$10,Paramètres!$A$1:$I$89,3,0)*0.475*44/12</f>
        <v>0</v>
      </c>
      <c r="AX183" s="21">
        <f t="shared" si="166"/>
        <v>246.68888108693056</v>
      </c>
      <c r="AY183" s="7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0</v>
      </c>
      <c r="BE183" s="13">
        <f>BD183*VLOOKUP('Données projet'!$B$11,Paramètres!$A$1:$I$89,3,0)*VLOOKUP('Données projet'!$B$11,Paramètres!$A$1:$I$89,5,0)</f>
        <v>0</v>
      </c>
      <c r="BF183" s="13" t="e">
        <f t="shared" si="167"/>
        <v>#NUM!</v>
      </c>
      <c r="BG183" s="20" t="e">
        <f t="shared" si="168"/>
        <v>#NUM!</v>
      </c>
      <c r="BH183" s="59" t="e">
        <f t="shared" si="116"/>
        <v>#NUM!</v>
      </c>
      <c r="BI183" s="59">
        <f ca="1">AVERAGE(OFFSET($BH$3,0,0,'Données projet'!$E$11+1,1))-AVERAGE(OFFSET($H$3,0,0,'Données projet'!$E$11+1,1))</f>
        <v>187.80389738728508</v>
      </c>
      <c r="BJ183" s="59">
        <f t="shared" si="146"/>
        <v>439.28159165815265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6.3324692007882755</v>
      </c>
      <c r="BQ183" s="21">
        <f>EXP(-LN(2)/25)*BQ182+(1-EXP(-LN(2)/25))/(LN(2)/25)*Calculateur!BL183*Calculateur!BN183*VLOOKUP('Données projet'!$B$11,Paramètres!$A$1:$I$89,3,0)*0.475*44/12</f>
        <v>0.22464546246858597</v>
      </c>
      <c r="BR183" s="21">
        <f>EXP(-LN(2)/2)*BR182+(1-EXP(-LN(2)/2))/(LN(2)/2)*BL183*BO183*VLOOKUP('Données projet'!$B$11,Paramètres!$A$1:$I$89,3,0)*0.475*44/12</f>
        <v>1.1901343893378004E-24</v>
      </c>
      <c r="BS183" s="22">
        <f t="shared" si="169"/>
        <v>6.5571146632568613</v>
      </c>
      <c r="BT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0</v>
      </c>
      <c r="BZ183" s="13" t="e">
        <f>BY183*VLOOKUP('Données projet'!$B$12,Paramètres!$A$1:$I$89,3,0)*VLOOKUP('Données projet'!$B$12,Paramètres!$A$1:$I$89,5,0)</f>
        <v>#N/A</v>
      </c>
      <c r="CA183" s="13" t="e">
        <f t="shared" si="170"/>
        <v>#N/A</v>
      </c>
      <c r="CB183" s="20" t="e">
        <f t="shared" si="171"/>
        <v>#N/A</v>
      </c>
      <c r="CC183" s="59" t="e">
        <f t="shared" si="119"/>
        <v>#N/A</v>
      </c>
      <c r="CD183" s="59" t="e">
        <f ca="1">AVERAGE(OFFSET($CC$3,0,0,'Données projet'!$E$12+1,1))-AVERAGE(OFFSET($H$3,0,0,'Données projet'!$E$12+1,1))</f>
        <v>#N/A</v>
      </c>
      <c r="CE183" s="59" t="e">
        <f t="shared" si="148"/>
        <v>#N/A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 t="e">
        <f>EXP(-LN(2)/35)*CK182+(1-EXP(-LN(2)/35))/(LN(2)/35)*CG183*CH183*VLOOKUP('Données projet'!$B$12,Paramètres!$A$1:$I$89,3,0)*0.475*44/12</f>
        <v>#N/A</v>
      </c>
      <c r="CL183" s="21" t="e">
        <f>EXP(-LN(2)/25)*CL182+(1-EXP(-LN(2)/25))/(LN(2)/25)*Calculateur!CG183*Calculateur!CI183*VLOOKUP('Données projet'!$B$12,Paramètres!$A$1:$I$89,3,0)*0.475*44/12</f>
        <v>#N/A</v>
      </c>
      <c r="CM183" s="21" t="e">
        <f>EXP(-LN(2)/2)*CM182+(1-EXP(-LN(2)/2))/(LN(2)/2)*CG183*CJ183*VLOOKUP('Données projet'!$B$12,Paramètres!$A$1:$I$89,3,0)*0.475*44/12</f>
        <v>#N/A</v>
      </c>
      <c r="CN183" s="22" t="e">
        <f t="shared" si="172"/>
        <v>#N/A</v>
      </c>
      <c r="CO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35">
      <c r="A184" s="10">
        <f t="shared" si="161"/>
        <v>181</v>
      </c>
      <c r="B184" s="72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1">
        <f t="shared" si="140"/>
        <v>0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66">
        <f t="shared" si="110"/>
        <v>256.66666666666669</v>
      </c>
      <c r="I184" s="6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20.879999999999939</v>
      </c>
      <c r="O184" s="13">
        <f>N184*VLOOKUP('Données projet'!$B$9,Paramètres!$A$1:$I$89,3,0)*VLOOKUP('Données projet'!$B$9,Paramètres!$A$1:$I$89,5,0)</f>
        <v>18.892223999999942</v>
      </c>
      <c r="P184" s="13">
        <f t="shared" si="141"/>
        <v>6.184089977612083</v>
      </c>
      <c r="Q184" s="20">
        <f t="shared" si="162"/>
        <v>43.674580177674272</v>
      </c>
      <c r="R184" s="59">
        <f t="shared" si="109"/>
        <v>337.00791351100759</v>
      </c>
      <c r="S184" s="59">
        <f ca="1">AVERAGE(OFFSET($R$3,0,0,'Données projet'!$E$9+1,1))-AVERAGE(OFFSET($H$3,0,0,'Données projet'!$E$9+1,1))</f>
        <v>700.22008319944644</v>
      </c>
      <c r="T184" s="59">
        <f t="shared" si="142"/>
        <v>253.69632671986739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229.95712836823299</v>
      </c>
      <c r="AA184" s="21">
        <f>EXP(-LN(2)/25)*AA183+(1-EXP(-LN(2)/25))/(LN(2)/25)*Calculateur!V184*Calculateur!X184*VLOOKUP('Données projet'!$B$9,Paramètres!$A$1:$I$89,3,0)*0.475*44/12</f>
        <v>0</v>
      </c>
      <c r="AB184" s="21">
        <f>EXP(-LN(2)/2)*AB183+(1-EXP(-LN(2)/2))/(LN(2)/2)*V184*Y184*VLOOKUP('Données projet'!$B$9,Paramètres!$A$1:$I$89,3,0)*0.475*44/12</f>
        <v>0</v>
      </c>
      <c r="AC184" s="22">
        <f t="shared" si="163"/>
        <v>229.95712836823299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20.879999999999939</v>
      </c>
      <c r="AJ184" s="13">
        <f>AI184*VLOOKUP('Données projet'!$B$10,Paramètres!$A$1:$I$89,3,0)*VLOOKUP('Données projet'!$B$10,Paramètres!$A$1:$I$89,5,0)</f>
        <v>19.86940799999994</v>
      </c>
      <c r="AK184" s="13">
        <f t="shared" si="164"/>
        <v>6.4658893302320672</v>
      </c>
      <c r="AL184" s="20">
        <f t="shared" si="165"/>
        <v>45.86730951682074</v>
      </c>
      <c r="AM184" s="59">
        <f t="shared" si="113"/>
        <v>339.20064285015405</v>
      </c>
      <c r="AN184" s="59">
        <f ca="1">AVERAGE(OFFSET($AM$3,0,0,'Données projet'!$E$10+1,1))-AVERAGE(OFFSET($H$3,0,0,'Données projet'!$E$10+1,1))</f>
        <v>733.95677909577444</v>
      </c>
      <c r="AO184" s="59">
        <f t="shared" si="144"/>
        <v>264.63778993239799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241.8514625941761</v>
      </c>
      <c r="AV184" s="21">
        <f>EXP(-LN(2)/25)*AV183+(1-EXP(-LN(2)/25))/(LN(2)/25)*Calculateur!AQ184*Calculateur!AS184*VLOOKUP('Données projet'!$B$10,Paramètres!$A$1:$I$89,3,0)*0.475*44/12</f>
        <v>0</v>
      </c>
      <c r="AW184" s="21">
        <f>EXP(-LN(2)/2)*AW183+(1-EXP(-LN(2)/2))/(LN(2)/2)*AQ184*AT184*VLOOKUP('Données projet'!$B$10,Paramètres!$A$1:$I$89,3,0)*0.475*44/12</f>
        <v>0</v>
      </c>
      <c r="AX184" s="21">
        <f t="shared" si="166"/>
        <v>241.8514625941761</v>
      </c>
      <c r="AY184" s="7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0</v>
      </c>
      <c r="BE184" s="13">
        <f>BD184*VLOOKUP('Données projet'!$B$11,Paramètres!$A$1:$I$89,3,0)*VLOOKUP('Données projet'!$B$11,Paramètres!$A$1:$I$89,5,0)</f>
        <v>0</v>
      </c>
      <c r="BF184" s="13" t="e">
        <f t="shared" si="167"/>
        <v>#NUM!</v>
      </c>
      <c r="BG184" s="20" t="e">
        <f t="shared" si="168"/>
        <v>#NUM!</v>
      </c>
      <c r="BH184" s="59" t="e">
        <f t="shared" si="116"/>
        <v>#NUM!</v>
      </c>
      <c r="BI184" s="59">
        <f ca="1">AVERAGE(OFFSET($BH$3,0,0,'Données projet'!$E$11+1,1))-AVERAGE(OFFSET($H$3,0,0,'Données projet'!$E$11+1,1))</f>
        <v>187.80389738728508</v>
      </c>
      <c r="BJ184" s="59">
        <f t="shared" si="146"/>
        <v>439.28159165815265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6.2082933421856472</v>
      </c>
      <c r="BQ184" s="21">
        <f>EXP(-LN(2)/25)*BQ183+(1-EXP(-LN(2)/25))/(LN(2)/25)*Calculateur!BL184*Calculateur!BN184*VLOOKUP('Données projet'!$B$11,Paramètres!$A$1:$I$89,3,0)*0.475*44/12</f>
        <v>0.21850252048379104</v>
      </c>
      <c r="BR184" s="21">
        <f>EXP(-LN(2)/2)*BR183+(1-EXP(-LN(2)/2))/(LN(2)/2)*BL184*BO184*VLOOKUP('Données projet'!$B$11,Paramètres!$A$1:$I$89,3,0)*0.475*44/12</f>
        <v>8.415520972240694E-25</v>
      </c>
      <c r="BS184" s="22">
        <f t="shared" si="169"/>
        <v>6.4267958626694384</v>
      </c>
      <c r="BT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0</v>
      </c>
      <c r="BZ184" s="13" t="e">
        <f>BY184*VLOOKUP('Données projet'!$B$12,Paramètres!$A$1:$I$89,3,0)*VLOOKUP('Données projet'!$B$12,Paramètres!$A$1:$I$89,5,0)</f>
        <v>#N/A</v>
      </c>
      <c r="CA184" s="13" t="e">
        <f t="shared" si="170"/>
        <v>#N/A</v>
      </c>
      <c r="CB184" s="20" t="e">
        <f t="shared" si="171"/>
        <v>#N/A</v>
      </c>
      <c r="CC184" s="59" t="e">
        <f t="shared" si="119"/>
        <v>#N/A</v>
      </c>
      <c r="CD184" s="59" t="e">
        <f ca="1">AVERAGE(OFFSET($CC$3,0,0,'Données projet'!$E$12+1,1))-AVERAGE(OFFSET($H$3,0,0,'Données projet'!$E$12+1,1))</f>
        <v>#N/A</v>
      </c>
      <c r="CE184" s="59" t="e">
        <f t="shared" si="148"/>
        <v>#N/A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 t="e">
        <f>EXP(-LN(2)/35)*CK183+(1-EXP(-LN(2)/35))/(LN(2)/35)*CG184*CH184*VLOOKUP('Données projet'!$B$12,Paramètres!$A$1:$I$89,3,0)*0.475*44/12</f>
        <v>#N/A</v>
      </c>
      <c r="CL184" s="21" t="e">
        <f>EXP(-LN(2)/25)*CL183+(1-EXP(-LN(2)/25))/(LN(2)/25)*Calculateur!CG184*Calculateur!CI184*VLOOKUP('Données projet'!$B$12,Paramètres!$A$1:$I$89,3,0)*0.475*44/12</f>
        <v>#N/A</v>
      </c>
      <c r="CM184" s="21" t="e">
        <f>EXP(-LN(2)/2)*CM183+(1-EXP(-LN(2)/2))/(LN(2)/2)*CG184*CJ184*VLOOKUP('Données projet'!$B$12,Paramètres!$A$1:$I$89,3,0)*0.475*44/12</f>
        <v>#N/A</v>
      </c>
      <c r="CN184" s="22" t="e">
        <f t="shared" si="172"/>
        <v>#N/A</v>
      </c>
      <c r="CO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35">
      <c r="A185" s="10">
        <f t="shared" si="161"/>
        <v>182</v>
      </c>
      <c r="B185" s="72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1">
        <f t="shared" si="140"/>
        <v>0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66">
        <f t="shared" si="110"/>
        <v>256.66666666666669</v>
      </c>
      <c r="I185" s="6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20.879999999999939</v>
      </c>
      <c r="O185" s="13">
        <f>N185*VLOOKUP('Données projet'!$B$9,Paramètres!$A$1:$I$89,3,0)*VLOOKUP('Données projet'!$B$9,Paramètres!$A$1:$I$89,5,0)</f>
        <v>18.892223999999942</v>
      </c>
      <c r="P185" s="13">
        <f t="shared" si="141"/>
        <v>6.184089977612083</v>
      </c>
      <c r="Q185" s="20">
        <f t="shared" si="162"/>
        <v>43.674580177674272</v>
      </c>
      <c r="R185" s="59">
        <f t="shared" si="109"/>
        <v>337.00791351100759</v>
      </c>
      <c r="S185" s="59">
        <f ca="1">AVERAGE(OFFSET($R$3,0,0,'Données projet'!$E$9+1,1))-AVERAGE(OFFSET($H$3,0,0,'Données projet'!$E$9+1,1))</f>
        <v>700.22008319944644</v>
      </c>
      <c r="T185" s="59">
        <f t="shared" si="142"/>
        <v>253.69632671986739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225.44780934093072</v>
      </c>
      <c r="AA185" s="21">
        <f>EXP(-LN(2)/25)*AA184+(1-EXP(-LN(2)/25))/(LN(2)/25)*Calculateur!V185*Calculateur!X185*VLOOKUP('Données projet'!$B$9,Paramètres!$A$1:$I$89,3,0)*0.475*44/12</f>
        <v>0</v>
      </c>
      <c r="AB185" s="21">
        <f>EXP(-LN(2)/2)*AB184+(1-EXP(-LN(2)/2))/(LN(2)/2)*V185*Y185*VLOOKUP('Données projet'!$B$9,Paramètres!$A$1:$I$89,3,0)*0.475*44/12</f>
        <v>0</v>
      </c>
      <c r="AC185" s="22">
        <f t="shared" si="163"/>
        <v>225.44780934093072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20.879999999999939</v>
      </c>
      <c r="AJ185" s="13">
        <f>AI185*VLOOKUP('Données projet'!$B$10,Paramètres!$A$1:$I$89,3,0)*VLOOKUP('Données projet'!$B$10,Paramètres!$A$1:$I$89,5,0)</f>
        <v>19.86940799999994</v>
      </c>
      <c r="AK185" s="13">
        <f t="shared" si="164"/>
        <v>6.4658893302320672</v>
      </c>
      <c r="AL185" s="20">
        <f t="shared" si="165"/>
        <v>45.86730951682074</v>
      </c>
      <c r="AM185" s="59">
        <f t="shared" si="113"/>
        <v>339.20064285015405</v>
      </c>
      <c r="AN185" s="59">
        <f ca="1">AVERAGE(OFFSET($AM$3,0,0,'Données projet'!$E$10+1,1))-AVERAGE(OFFSET($H$3,0,0,'Données projet'!$E$10+1,1))</f>
        <v>733.95677909577444</v>
      </c>
      <c r="AO185" s="59">
        <f t="shared" si="144"/>
        <v>264.63778993239799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237.10890292753061</v>
      </c>
      <c r="AV185" s="21">
        <f>EXP(-LN(2)/25)*AV184+(1-EXP(-LN(2)/25))/(LN(2)/25)*Calculateur!AQ185*Calculateur!AS185*VLOOKUP('Données projet'!$B$10,Paramètres!$A$1:$I$89,3,0)*0.475*44/12</f>
        <v>0</v>
      </c>
      <c r="AW185" s="21">
        <f>EXP(-LN(2)/2)*AW184+(1-EXP(-LN(2)/2))/(LN(2)/2)*AQ185*AT185*VLOOKUP('Données projet'!$B$10,Paramètres!$A$1:$I$89,3,0)*0.475*44/12</f>
        <v>0</v>
      </c>
      <c r="AX185" s="21">
        <f t="shared" si="166"/>
        <v>237.10890292753061</v>
      </c>
      <c r="AY185" s="7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0</v>
      </c>
      <c r="BE185" s="13">
        <f>BD185*VLOOKUP('Données projet'!$B$11,Paramètres!$A$1:$I$89,3,0)*VLOOKUP('Données projet'!$B$11,Paramètres!$A$1:$I$89,5,0)</f>
        <v>0</v>
      </c>
      <c r="BF185" s="13" t="e">
        <f t="shared" si="167"/>
        <v>#NUM!</v>
      </c>
      <c r="BG185" s="20" t="e">
        <f t="shared" si="168"/>
        <v>#NUM!</v>
      </c>
      <c r="BH185" s="59" t="e">
        <f t="shared" si="116"/>
        <v>#NUM!</v>
      </c>
      <c r="BI185" s="59">
        <f ca="1">AVERAGE(OFFSET($BH$3,0,0,'Données projet'!$E$11+1,1))-AVERAGE(OFFSET($H$3,0,0,'Données projet'!$E$11+1,1))</f>
        <v>187.80389738728508</v>
      </c>
      <c r="BJ185" s="59">
        <f t="shared" si="146"/>
        <v>439.28159165815265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6.0865524964304214</v>
      </c>
      <c r="BQ185" s="21">
        <f>EXP(-LN(2)/25)*BQ184+(1-EXP(-LN(2)/25))/(LN(2)/25)*Calculateur!BL185*Calculateur!BN185*VLOOKUP('Données projet'!$B$11,Paramètres!$A$1:$I$89,3,0)*0.475*44/12</f>
        <v>0.21252755757061362</v>
      </c>
      <c r="BR185" s="21">
        <f>EXP(-LN(2)/2)*BR184+(1-EXP(-LN(2)/2))/(LN(2)/2)*BL185*BO185*VLOOKUP('Données projet'!$B$11,Paramètres!$A$1:$I$89,3,0)*0.475*44/12</f>
        <v>5.9506719466890021E-25</v>
      </c>
      <c r="BS185" s="22">
        <f t="shared" si="169"/>
        <v>6.2990800540010348</v>
      </c>
      <c r="BT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0</v>
      </c>
      <c r="BZ185" s="13" t="e">
        <f>BY185*VLOOKUP('Données projet'!$B$12,Paramètres!$A$1:$I$89,3,0)*VLOOKUP('Données projet'!$B$12,Paramètres!$A$1:$I$89,5,0)</f>
        <v>#N/A</v>
      </c>
      <c r="CA185" s="13" t="e">
        <f t="shared" si="170"/>
        <v>#N/A</v>
      </c>
      <c r="CB185" s="20" t="e">
        <f t="shared" si="171"/>
        <v>#N/A</v>
      </c>
      <c r="CC185" s="59" t="e">
        <f t="shared" si="119"/>
        <v>#N/A</v>
      </c>
      <c r="CD185" s="59" t="e">
        <f ca="1">AVERAGE(OFFSET($CC$3,0,0,'Données projet'!$E$12+1,1))-AVERAGE(OFFSET($H$3,0,0,'Données projet'!$E$12+1,1))</f>
        <v>#N/A</v>
      </c>
      <c r="CE185" s="59" t="e">
        <f t="shared" si="148"/>
        <v>#N/A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 t="e">
        <f>EXP(-LN(2)/35)*CK184+(1-EXP(-LN(2)/35))/(LN(2)/35)*CG185*CH185*VLOOKUP('Données projet'!$B$12,Paramètres!$A$1:$I$89,3,0)*0.475*44/12</f>
        <v>#N/A</v>
      </c>
      <c r="CL185" s="21" t="e">
        <f>EXP(-LN(2)/25)*CL184+(1-EXP(-LN(2)/25))/(LN(2)/25)*Calculateur!CG185*Calculateur!CI185*VLOOKUP('Données projet'!$B$12,Paramètres!$A$1:$I$89,3,0)*0.475*44/12</f>
        <v>#N/A</v>
      </c>
      <c r="CM185" s="21" t="e">
        <f>EXP(-LN(2)/2)*CM184+(1-EXP(-LN(2)/2))/(LN(2)/2)*CG185*CJ185*VLOOKUP('Données projet'!$B$12,Paramètres!$A$1:$I$89,3,0)*0.475*44/12</f>
        <v>#N/A</v>
      </c>
      <c r="CN185" s="22" t="e">
        <f t="shared" si="172"/>
        <v>#N/A</v>
      </c>
      <c r="CO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35">
      <c r="A186" s="10">
        <f t="shared" si="161"/>
        <v>183</v>
      </c>
      <c r="B186" s="72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1">
        <f t="shared" si="140"/>
        <v>0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66">
        <f t="shared" si="110"/>
        <v>256.66666666666669</v>
      </c>
      <c r="I186" s="6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20.879999999999939</v>
      </c>
      <c r="O186" s="13">
        <f>N186*VLOOKUP('Données projet'!$B$9,Paramètres!$A$1:$I$89,3,0)*VLOOKUP('Données projet'!$B$9,Paramètres!$A$1:$I$89,5,0)</f>
        <v>18.892223999999942</v>
      </c>
      <c r="P186" s="13">
        <f t="shared" si="141"/>
        <v>6.184089977612083</v>
      </c>
      <c r="Q186" s="20">
        <f t="shared" si="162"/>
        <v>43.674580177674272</v>
      </c>
      <c r="R186" s="59">
        <f t="shared" si="109"/>
        <v>337.00791351100759</v>
      </c>
      <c r="S186" s="59">
        <f ca="1">AVERAGE(OFFSET($R$3,0,0,'Données projet'!$E$9+1,1))-AVERAGE(OFFSET($H$3,0,0,'Données projet'!$E$9+1,1))</f>
        <v>700.22008319944644</v>
      </c>
      <c r="T186" s="59">
        <f t="shared" si="142"/>
        <v>253.69632671986739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221.02691530934081</v>
      </c>
      <c r="AA186" s="21">
        <f>EXP(-LN(2)/25)*AA185+(1-EXP(-LN(2)/25))/(LN(2)/25)*Calculateur!V186*Calculateur!X186*VLOOKUP('Données projet'!$B$9,Paramètres!$A$1:$I$89,3,0)*0.475*44/12</f>
        <v>0</v>
      </c>
      <c r="AB186" s="21">
        <f>EXP(-LN(2)/2)*AB185+(1-EXP(-LN(2)/2))/(LN(2)/2)*V186*Y186*VLOOKUP('Données projet'!$B$9,Paramètres!$A$1:$I$89,3,0)*0.475*44/12</f>
        <v>0</v>
      </c>
      <c r="AC186" s="22">
        <f t="shared" si="163"/>
        <v>221.02691530934081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20.879999999999939</v>
      </c>
      <c r="AJ186" s="13">
        <f>AI186*VLOOKUP('Données projet'!$B$10,Paramètres!$A$1:$I$89,3,0)*VLOOKUP('Données projet'!$B$10,Paramètres!$A$1:$I$89,5,0)</f>
        <v>19.86940799999994</v>
      </c>
      <c r="AK186" s="13">
        <f t="shared" si="164"/>
        <v>6.4658893302320672</v>
      </c>
      <c r="AL186" s="20">
        <f t="shared" si="165"/>
        <v>45.86730951682074</v>
      </c>
      <c r="AM186" s="59">
        <f t="shared" si="113"/>
        <v>339.20064285015405</v>
      </c>
      <c r="AN186" s="59">
        <f ca="1">AVERAGE(OFFSET($AM$3,0,0,'Données projet'!$E$10+1,1))-AVERAGE(OFFSET($H$3,0,0,'Données projet'!$E$10+1,1))</f>
        <v>733.95677909577444</v>
      </c>
      <c r="AO186" s="59">
        <f t="shared" si="144"/>
        <v>264.63778993239799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232.45934196327227</v>
      </c>
      <c r="AV186" s="21">
        <f>EXP(-LN(2)/25)*AV185+(1-EXP(-LN(2)/25))/(LN(2)/25)*Calculateur!AQ186*Calculateur!AS186*VLOOKUP('Données projet'!$B$10,Paramètres!$A$1:$I$89,3,0)*0.475*44/12</f>
        <v>0</v>
      </c>
      <c r="AW186" s="21">
        <f>EXP(-LN(2)/2)*AW185+(1-EXP(-LN(2)/2))/(LN(2)/2)*AQ186*AT186*VLOOKUP('Données projet'!$B$10,Paramètres!$A$1:$I$89,3,0)*0.475*44/12</f>
        <v>0</v>
      </c>
      <c r="AX186" s="21">
        <f t="shared" si="166"/>
        <v>232.45934196327227</v>
      </c>
      <c r="AY186" s="7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0</v>
      </c>
      <c r="BE186" s="13">
        <f>BD186*VLOOKUP('Données projet'!$B$11,Paramètres!$A$1:$I$89,3,0)*VLOOKUP('Données projet'!$B$11,Paramètres!$A$1:$I$89,5,0)</f>
        <v>0</v>
      </c>
      <c r="BF186" s="13" t="e">
        <f t="shared" si="167"/>
        <v>#NUM!</v>
      </c>
      <c r="BG186" s="20" t="e">
        <f t="shared" si="168"/>
        <v>#NUM!</v>
      </c>
      <c r="BH186" s="59" t="e">
        <f t="shared" si="116"/>
        <v>#NUM!</v>
      </c>
      <c r="BI186" s="59">
        <f ca="1">AVERAGE(OFFSET($BH$3,0,0,'Données projet'!$E$11+1,1))-AVERAGE(OFFSET($H$3,0,0,'Données projet'!$E$11+1,1))</f>
        <v>187.80389738728508</v>
      </c>
      <c r="BJ186" s="59">
        <f t="shared" si="146"/>
        <v>439.28159165815265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5.9671989144058717</v>
      </c>
      <c r="BQ186" s="21">
        <f>EXP(-LN(2)/25)*BQ185+(1-EXP(-LN(2)/25))/(LN(2)/25)*Calculateur!BL186*Calculateur!BN186*VLOOKUP('Données projet'!$B$11,Paramètres!$A$1:$I$89,3,0)*0.475*44/12</f>
        <v>0.20671598033250668</v>
      </c>
      <c r="BR186" s="21">
        <f>EXP(-LN(2)/2)*BR185+(1-EXP(-LN(2)/2))/(LN(2)/2)*BL186*BO186*VLOOKUP('Données projet'!$B$11,Paramètres!$A$1:$I$89,3,0)*0.475*44/12</f>
        <v>4.207760486120347E-25</v>
      </c>
      <c r="BS186" s="22">
        <f t="shared" si="169"/>
        <v>6.1739148947383784</v>
      </c>
      <c r="BT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0</v>
      </c>
      <c r="BZ186" s="13" t="e">
        <f>BY186*VLOOKUP('Données projet'!$B$12,Paramètres!$A$1:$I$89,3,0)*VLOOKUP('Données projet'!$B$12,Paramètres!$A$1:$I$89,5,0)</f>
        <v>#N/A</v>
      </c>
      <c r="CA186" s="13" t="e">
        <f t="shared" si="170"/>
        <v>#N/A</v>
      </c>
      <c r="CB186" s="20" t="e">
        <f t="shared" si="171"/>
        <v>#N/A</v>
      </c>
      <c r="CC186" s="59" t="e">
        <f t="shared" si="119"/>
        <v>#N/A</v>
      </c>
      <c r="CD186" s="59" t="e">
        <f ca="1">AVERAGE(OFFSET($CC$3,0,0,'Données projet'!$E$12+1,1))-AVERAGE(OFFSET($H$3,0,0,'Données projet'!$E$12+1,1))</f>
        <v>#N/A</v>
      </c>
      <c r="CE186" s="59" t="e">
        <f t="shared" si="148"/>
        <v>#N/A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 t="e">
        <f>EXP(-LN(2)/35)*CK185+(1-EXP(-LN(2)/35))/(LN(2)/35)*CG186*CH186*VLOOKUP('Données projet'!$B$12,Paramètres!$A$1:$I$89,3,0)*0.475*44/12</f>
        <v>#N/A</v>
      </c>
      <c r="CL186" s="21" t="e">
        <f>EXP(-LN(2)/25)*CL185+(1-EXP(-LN(2)/25))/(LN(2)/25)*Calculateur!CG186*Calculateur!CI186*VLOOKUP('Données projet'!$B$12,Paramètres!$A$1:$I$89,3,0)*0.475*44/12</f>
        <v>#N/A</v>
      </c>
      <c r="CM186" s="21" t="e">
        <f>EXP(-LN(2)/2)*CM185+(1-EXP(-LN(2)/2))/(LN(2)/2)*CG186*CJ186*VLOOKUP('Données projet'!$B$12,Paramètres!$A$1:$I$89,3,0)*0.475*44/12</f>
        <v>#N/A</v>
      </c>
      <c r="CN186" s="22" t="e">
        <f t="shared" si="172"/>
        <v>#N/A</v>
      </c>
      <c r="CO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35">
      <c r="A187" s="10">
        <f t="shared" si="161"/>
        <v>184</v>
      </c>
      <c r="B187" s="72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1">
        <f t="shared" si="140"/>
        <v>0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66">
        <f t="shared" si="110"/>
        <v>256.66666666666669</v>
      </c>
      <c r="I187" s="6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20.879999999999939</v>
      </c>
      <c r="O187" s="13">
        <f>N187*VLOOKUP('Données projet'!$B$9,Paramètres!$A$1:$I$89,3,0)*VLOOKUP('Données projet'!$B$9,Paramètres!$A$1:$I$89,5,0)</f>
        <v>18.892223999999942</v>
      </c>
      <c r="P187" s="13">
        <f t="shared" si="141"/>
        <v>6.184089977612083</v>
      </c>
      <c r="Q187" s="20">
        <f t="shared" si="162"/>
        <v>43.674580177674272</v>
      </c>
      <c r="R187" s="59">
        <f t="shared" si="109"/>
        <v>337.00791351100759</v>
      </c>
      <c r="S187" s="59">
        <f ca="1">AVERAGE(OFFSET($R$3,0,0,'Données projet'!$E$9+1,1))-AVERAGE(OFFSET($H$3,0,0,'Données projet'!$E$9+1,1))</f>
        <v>700.22008319944644</v>
      </c>
      <c r="T187" s="59">
        <f t="shared" si="142"/>
        <v>253.69632671986739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216.69271231323128</v>
      </c>
      <c r="AA187" s="21">
        <f>EXP(-LN(2)/25)*AA186+(1-EXP(-LN(2)/25))/(LN(2)/25)*Calculateur!V187*Calculateur!X187*VLOOKUP('Données projet'!$B$9,Paramètres!$A$1:$I$89,3,0)*0.475*44/12</f>
        <v>0</v>
      </c>
      <c r="AB187" s="21">
        <f>EXP(-LN(2)/2)*AB186+(1-EXP(-LN(2)/2))/(LN(2)/2)*V187*Y187*VLOOKUP('Données projet'!$B$9,Paramètres!$A$1:$I$89,3,0)*0.475*44/12</f>
        <v>0</v>
      </c>
      <c r="AC187" s="22">
        <f t="shared" si="163"/>
        <v>216.69271231323128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20.879999999999939</v>
      </c>
      <c r="AJ187" s="13">
        <f>AI187*VLOOKUP('Données projet'!$B$10,Paramètres!$A$1:$I$89,3,0)*VLOOKUP('Données projet'!$B$10,Paramètres!$A$1:$I$89,5,0)</f>
        <v>19.86940799999994</v>
      </c>
      <c r="AK187" s="13">
        <f t="shared" si="164"/>
        <v>6.4658893302320672</v>
      </c>
      <c r="AL187" s="20">
        <f t="shared" si="165"/>
        <v>45.86730951682074</v>
      </c>
      <c r="AM187" s="59">
        <f t="shared" si="113"/>
        <v>339.20064285015405</v>
      </c>
      <c r="AN187" s="59">
        <f ca="1">AVERAGE(OFFSET($AM$3,0,0,'Données projet'!$E$10+1,1))-AVERAGE(OFFSET($H$3,0,0,'Données projet'!$E$10+1,1))</f>
        <v>733.95677909577444</v>
      </c>
      <c r="AO187" s="59">
        <f t="shared" si="144"/>
        <v>264.63778993239799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227.90095605357087</v>
      </c>
      <c r="AV187" s="21">
        <f>EXP(-LN(2)/25)*AV186+(1-EXP(-LN(2)/25))/(LN(2)/25)*Calculateur!AQ187*Calculateur!AS187*VLOOKUP('Données projet'!$B$10,Paramètres!$A$1:$I$89,3,0)*0.475*44/12</f>
        <v>0</v>
      </c>
      <c r="AW187" s="21">
        <f>EXP(-LN(2)/2)*AW186+(1-EXP(-LN(2)/2))/(LN(2)/2)*AQ187*AT187*VLOOKUP('Données projet'!$B$10,Paramètres!$A$1:$I$89,3,0)*0.475*44/12</f>
        <v>0</v>
      </c>
      <c r="AX187" s="21">
        <f t="shared" si="166"/>
        <v>227.90095605357087</v>
      </c>
      <c r="AY187" s="7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0</v>
      </c>
      <c r="BE187" s="13">
        <f>BD187*VLOOKUP('Données projet'!$B$11,Paramètres!$A$1:$I$89,3,0)*VLOOKUP('Données projet'!$B$11,Paramètres!$A$1:$I$89,5,0)</f>
        <v>0</v>
      </c>
      <c r="BF187" s="13" t="e">
        <f t="shared" si="167"/>
        <v>#NUM!</v>
      </c>
      <c r="BG187" s="20" t="e">
        <f t="shared" si="168"/>
        <v>#NUM!</v>
      </c>
      <c r="BH187" s="59" t="e">
        <f t="shared" si="116"/>
        <v>#NUM!</v>
      </c>
      <c r="BI187" s="59">
        <f ca="1">AVERAGE(OFFSET($BH$3,0,0,'Données projet'!$E$11+1,1))-AVERAGE(OFFSET($H$3,0,0,'Données projet'!$E$11+1,1))</f>
        <v>187.80389738728508</v>
      </c>
      <c r="BJ187" s="59">
        <f t="shared" si="146"/>
        <v>439.28159165815265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5.8501857833263262</v>
      </c>
      <c r="BQ187" s="21">
        <f>EXP(-LN(2)/25)*BQ186+(1-EXP(-LN(2)/25))/(LN(2)/25)*Calculateur!BL187*Calculateur!BN187*VLOOKUP('Données projet'!$B$11,Paramètres!$A$1:$I$89,3,0)*0.475*44/12</f>
        <v>0.20106332097959334</v>
      </c>
      <c r="BR187" s="21">
        <f>EXP(-LN(2)/2)*BR186+(1-EXP(-LN(2)/2))/(LN(2)/2)*BL187*BO187*VLOOKUP('Données projet'!$B$11,Paramètres!$A$1:$I$89,3,0)*0.475*44/12</f>
        <v>2.9753359733445011E-25</v>
      </c>
      <c r="BS187" s="22">
        <f t="shared" si="169"/>
        <v>6.0512491043059198</v>
      </c>
      <c r="BT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0</v>
      </c>
      <c r="BZ187" s="13" t="e">
        <f>BY187*VLOOKUP('Données projet'!$B$12,Paramètres!$A$1:$I$89,3,0)*VLOOKUP('Données projet'!$B$12,Paramètres!$A$1:$I$89,5,0)</f>
        <v>#N/A</v>
      </c>
      <c r="CA187" s="13" t="e">
        <f t="shared" si="170"/>
        <v>#N/A</v>
      </c>
      <c r="CB187" s="20" t="e">
        <f t="shared" si="171"/>
        <v>#N/A</v>
      </c>
      <c r="CC187" s="59" t="e">
        <f t="shared" si="119"/>
        <v>#N/A</v>
      </c>
      <c r="CD187" s="59" t="e">
        <f ca="1">AVERAGE(OFFSET($CC$3,0,0,'Données projet'!$E$12+1,1))-AVERAGE(OFFSET($H$3,0,0,'Données projet'!$E$12+1,1))</f>
        <v>#N/A</v>
      </c>
      <c r="CE187" s="59" t="e">
        <f t="shared" si="148"/>
        <v>#N/A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 t="e">
        <f>EXP(-LN(2)/35)*CK186+(1-EXP(-LN(2)/35))/(LN(2)/35)*CG187*CH187*VLOOKUP('Données projet'!$B$12,Paramètres!$A$1:$I$89,3,0)*0.475*44/12</f>
        <v>#N/A</v>
      </c>
      <c r="CL187" s="21" t="e">
        <f>EXP(-LN(2)/25)*CL186+(1-EXP(-LN(2)/25))/(LN(2)/25)*Calculateur!CG187*Calculateur!CI187*VLOOKUP('Données projet'!$B$12,Paramètres!$A$1:$I$89,3,0)*0.475*44/12</f>
        <v>#N/A</v>
      </c>
      <c r="CM187" s="21" t="e">
        <f>EXP(-LN(2)/2)*CM186+(1-EXP(-LN(2)/2))/(LN(2)/2)*CG187*CJ187*VLOOKUP('Données projet'!$B$12,Paramètres!$A$1:$I$89,3,0)*0.475*44/12</f>
        <v>#N/A</v>
      </c>
      <c r="CN187" s="22" t="e">
        <f t="shared" si="172"/>
        <v>#N/A</v>
      </c>
      <c r="CO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35">
      <c r="A188" s="10">
        <f t="shared" si="161"/>
        <v>185</v>
      </c>
      <c r="B188" s="72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1">
        <f t="shared" si="140"/>
        <v>0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66">
        <f t="shared" si="110"/>
        <v>256.66666666666669</v>
      </c>
      <c r="I188" s="6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20.879999999999939</v>
      </c>
      <c r="O188" s="13">
        <f>N188*VLOOKUP('Données projet'!$B$9,Paramètres!$A$1:$I$89,3,0)*VLOOKUP('Données projet'!$B$9,Paramètres!$A$1:$I$89,5,0)</f>
        <v>18.892223999999942</v>
      </c>
      <c r="P188" s="13">
        <f t="shared" si="141"/>
        <v>6.184089977612083</v>
      </c>
      <c r="Q188" s="20">
        <f t="shared" si="162"/>
        <v>43.674580177674272</v>
      </c>
      <c r="R188" s="59">
        <f t="shared" si="109"/>
        <v>337.00791351100759</v>
      </c>
      <c r="S188" s="59">
        <f ca="1">AVERAGE(OFFSET($R$3,0,0,'Données projet'!$E$9+1,1))-AVERAGE(OFFSET($H$3,0,0,'Données projet'!$E$9+1,1))</f>
        <v>700.22008319944644</v>
      </c>
      <c r="T188" s="59">
        <f t="shared" si="142"/>
        <v>253.69632671986739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212.44350039427266</v>
      </c>
      <c r="AA188" s="21">
        <f>EXP(-LN(2)/25)*AA187+(1-EXP(-LN(2)/25))/(LN(2)/25)*Calculateur!V188*Calculateur!X188*VLOOKUP('Données projet'!$B$9,Paramètres!$A$1:$I$89,3,0)*0.475*44/12</f>
        <v>0</v>
      </c>
      <c r="AB188" s="21">
        <f>EXP(-LN(2)/2)*AB187+(1-EXP(-LN(2)/2))/(LN(2)/2)*V188*Y188*VLOOKUP('Données projet'!$B$9,Paramètres!$A$1:$I$89,3,0)*0.475*44/12</f>
        <v>0</v>
      </c>
      <c r="AC188" s="22">
        <f t="shared" si="163"/>
        <v>212.44350039427266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20.879999999999939</v>
      </c>
      <c r="AJ188" s="13">
        <f>AI188*VLOOKUP('Données projet'!$B$10,Paramètres!$A$1:$I$89,3,0)*VLOOKUP('Données projet'!$B$10,Paramètres!$A$1:$I$89,5,0)</f>
        <v>19.86940799999994</v>
      </c>
      <c r="AK188" s="13">
        <f t="shared" si="164"/>
        <v>6.4658893302320672</v>
      </c>
      <c r="AL188" s="20">
        <f t="shared" si="165"/>
        <v>45.86730951682074</v>
      </c>
      <c r="AM188" s="59">
        <f t="shared" si="113"/>
        <v>339.20064285015405</v>
      </c>
      <c r="AN188" s="59">
        <f ca="1">AVERAGE(OFFSET($AM$3,0,0,'Données projet'!$E$10+1,1))-AVERAGE(OFFSET($H$3,0,0,'Données projet'!$E$10+1,1))</f>
        <v>733.95677909577444</v>
      </c>
      <c r="AO188" s="59">
        <f t="shared" si="144"/>
        <v>264.63778993239799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223.43195731121784</v>
      </c>
      <c r="AV188" s="21">
        <f>EXP(-LN(2)/25)*AV187+(1-EXP(-LN(2)/25))/(LN(2)/25)*Calculateur!AQ188*Calculateur!AS188*VLOOKUP('Données projet'!$B$10,Paramètres!$A$1:$I$89,3,0)*0.475*44/12</f>
        <v>0</v>
      </c>
      <c r="AW188" s="21">
        <f>EXP(-LN(2)/2)*AW187+(1-EXP(-LN(2)/2))/(LN(2)/2)*AQ188*AT188*VLOOKUP('Données projet'!$B$10,Paramètres!$A$1:$I$89,3,0)*0.475*44/12</f>
        <v>0</v>
      </c>
      <c r="AX188" s="21">
        <f t="shared" si="166"/>
        <v>223.43195731121784</v>
      </c>
      <c r="AY188" s="7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0</v>
      </c>
      <c r="BE188" s="13">
        <f>BD188*VLOOKUP('Données projet'!$B$11,Paramètres!$A$1:$I$89,3,0)*VLOOKUP('Données projet'!$B$11,Paramètres!$A$1:$I$89,5,0)</f>
        <v>0</v>
      </c>
      <c r="BF188" s="13" t="e">
        <f t="shared" si="167"/>
        <v>#NUM!</v>
      </c>
      <c r="BG188" s="20" t="e">
        <f t="shared" si="168"/>
        <v>#NUM!</v>
      </c>
      <c r="BH188" s="59" t="e">
        <f t="shared" si="116"/>
        <v>#NUM!</v>
      </c>
      <c r="BI188" s="59">
        <f ca="1">AVERAGE(OFFSET($BH$3,0,0,'Données projet'!$E$11+1,1))-AVERAGE(OFFSET($H$3,0,0,'Données projet'!$E$11+1,1))</f>
        <v>187.80389738728508</v>
      </c>
      <c r="BJ188" s="59">
        <f t="shared" si="146"/>
        <v>439.28159165815265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5.7354672083762885</v>
      </c>
      <c r="BQ188" s="21">
        <f>EXP(-LN(2)/25)*BQ187+(1-EXP(-LN(2)/25))/(LN(2)/25)*Calculateur!BL188*Calculateur!BN188*VLOOKUP('Données projet'!$B$11,Paramètres!$A$1:$I$89,3,0)*0.475*44/12</f>
        <v>0.19556523389394584</v>
      </c>
      <c r="BR188" s="21">
        <f>EXP(-LN(2)/2)*BR187+(1-EXP(-LN(2)/2))/(LN(2)/2)*BL188*BO188*VLOOKUP('Données projet'!$B$11,Paramètres!$A$1:$I$89,3,0)*0.475*44/12</f>
        <v>2.1038802430601735E-25</v>
      </c>
      <c r="BS188" s="22">
        <f t="shared" si="169"/>
        <v>5.9310324422702347</v>
      </c>
      <c r="BT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0</v>
      </c>
      <c r="BZ188" s="13" t="e">
        <f>BY188*VLOOKUP('Données projet'!$B$12,Paramètres!$A$1:$I$89,3,0)*VLOOKUP('Données projet'!$B$12,Paramètres!$A$1:$I$89,5,0)</f>
        <v>#N/A</v>
      </c>
      <c r="CA188" s="13" t="e">
        <f t="shared" si="170"/>
        <v>#N/A</v>
      </c>
      <c r="CB188" s="20" t="e">
        <f t="shared" si="171"/>
        <v>#N/A</v>
      </c>
      <c r="CC188" s="59" t="e">
        <f t="shared" si="119"/>
        <v>#N/A</v>
      </c>
      <c r="CD188" s="59" t="e">
        <f ca="1">AVERAGE(OFFSET($CC$3,0,0,'Données projet'!$E$12+1,1))-AVERAGE(OFFSET($H$3,0,0,'Données projet'!$E$12+1,1))</f>
        <v>#N/A</v>
      </c>
      <c r="CE188" s="59" t="e">
        <f t="shared" si="148"/>
        <v>#N/A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 t="e">
        <f>EXP(-LN(2)/35)*CK187+(1-EXP(-LN(2)/35))/(LN(2)/35)*CG188*CH188*VLOOKUP('Données projet'!$B$12,Paramètres!$A$1:$I$89,3,0)*0.475*44/12</f>
        <v>#N/A</v>
      </c>
      <c r="CL188" s="21" t="e">
        <f>EXP(-LN(2)/25)*CL187+(1-EXP(-LN(2)/25))/(LN(2)/25)*Calculateur!CG188*Calculateur!CI188*VLOOKUP('Données projet'!$B$12,Paramètres!$A$1:$I$89,3,0)*0.475*44/12</f>
        <v>#N/A</v>
      </c>
      <c r="CM188" s="21" t="e">
        <f>EXP(-LN(2)/2)*CM187+(1-EXP(-LN(2)/2))/(LN(2)/2)*CG188*CJ188*VLOOKUP('Données projet'!$B$12,Paramètres!$A$1:$I$89,3,0)*0.475*44/12</f>
        <v>#N/A</v>
      </c>
      <c r="CN188" s="22" t="e">
        <f t="shared" si="172"/>
        <v>#N/A</v>
      </c>
      <c r="CO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35">
      <c r="A189" s="10">
        <f t="shared" si="161"/>
        <v>186</v>
      </c>
      <c r="B189" s="72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1">
        <f t="shared" si="140"/>
        <v>0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66">
        <f t="shared" si="110"/>
        <v>256.66666666666669</v>
      </c>
      <c r="I189" s="6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20.879999999999939</v>
      </c>
      <c r="O189" s="13">
        <f>N189*VLOOKUP('Données projet'!$B$9,Paramètres!$A$1:$I$89,3,0)*VLOOKUP('Données projet'!$B$9,Paramètres!$A$1:$I$89,5,0)</f>
        <v>18.892223999999942</v>
      </c>
      <c r="P189" s="13">
        <f t="shared" si="141"/>
        <v>6.184089977612083</v>
      </c>
      <c r="Q189" s="20">
        <f t="shared" si="162"/>
        <v>43.674580177674272</v>
      </c>
      <c r="R189" s="59">
        <f t="shared" si="109"/>
        <v>337.00791351100759</v>
      </c>
      <c r="S189" s="59">
        <f ca="1">AVERAGE(OFFSET($R$3,0,0,'Données projet'!$E$9+1,1))-AVERAGE(OFFSET($H$3,0,0,'Données projet'!$E$9+1,1))</f>
        <v>700.22008319944644</v>
      </c>
      <c r="T189" s="59">
        <f t="shared" si="142"/>
        <v>253.69632671986739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208.27761292928147</v>
      </c>
      <c r="AA189" s="21">
        <f>EXP(-LN(2)/25)*AA188+(1-EXP(-LN(2)/25))/(LN(2)/25)*Calculateur!V189*Calculateur!X189*VLOOKUP('Données projet'!$B$9,Paramètres!$A$1:$I$89,3,0)*0.475*44/12</f>
        <v>0</v>
      </c>
      <c r="AB189" s="21">
        <f>EXP(-LN(2)/2)*AB188+(1-EXP(-LN(2)/2))/(LN(2)/2)*V189*Y189*VLOOKUP('Données projet'!$B$9,Paramètres!$A$1:$I$89,3,0)*0.475*44/12</f>
        <v>0</v>
      </c>
      <c r="AC189" s="22">
        <f t="shared" si="163"/>
        <v>208.27761292928147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20.879999999999939</v>
      </c>
      <c r="AJ189" s="13">
        <f>AI189*VLOOKUP('Données projet'!$B$10,Paramètres!$A$1:$I$89,3,0)*VLOOKUP('Données projet'!$B$10,Paramètres!$A$1:$I$89,5,0)</f>
        <v>19.86940799999994</v>
      </c>
      <c r="AK189" s="13">
        <f t="shared" si="164"/>
        <v>6.4658893302320672</v>
      </c>
      <c r="AL189" s="20">
        <f t="shared" si="165"/>
        <v>45.86730951682074</v>
      </c>
      <c r="AM189" s="59">
        <f t="shared" si="113"/>
        <v>339.20064285015405</v>
      </c>
      <c r="AN189" s="59">
        <f ca="1">AVERAGE(OFFSET($AM$3,0,0,'Données projet'!$E$10+1,1))-AVERAGE(OFFSET($H$3,0,0,'Données projet'!$E$10+1,1))</f>
        <v>733.95677909577444</v>
      </c>
      <c r="AO189" s="59">
        <f t="shared" si="144"/>
        <v>264.63778993239799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219.0505929083823</v>
      </c>
      <c r="AV189" s="21">
        <f>EXP(-LN(2)/25)*AV188+(1-EXP(-LN(2)/25))/(LN(2)/25)*Calculateur!AQ189*Calculateur!AS189*VLOOKUP('Données projet'!$B$10,Paramètres!$A$1:$I$89,3,0)*0.475*44/12</f>
        <v>0</v>
      </c>
      <c r="AW189" s="21">
        <f>EXP(-LN(2)/2)*AW188+(1-EXP(-LN(2)/2))/(LN(2)/2)*AQ189*AT189*VLOOKUP('Données projet'!$B$10,Paramètres!$A$1:$I$89,3,0)*0.475*44/12</f>
        <v>0</v>
      </c>
      <c r="AX189" s="21">
        <f t="shared" si="166"/>
        <v>219.0505929083823</v>
      </c>
      <c r="AY189" s="7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0</v>
      </c>
      <c r="BE189" s="13">
        <f>BD189*VLOOKUP('Données projet'!$B$11,Paramètres!$A$1:$I$89,3,0)*VLOOKUP('Données projet'!$B$11,Paramètres!$A$1:$I$89,5,0)</f>
        <v>0</v>
      </c>
      <c r="BF189" s="13" t="e">
        <f t="shared" si="167"/>
        <v>#NUM!</v>
      </c>
      <c r="BG189" s="20" t="e">
        <f t="shared" si="168"/>
        <v>#NUM!</v>
      </c>
      <c r="BH189" s="59" t="e">
        <f t="shared" si="116"/>
        <v>#NUM!</v>
      </c>
      <c r="BI189" s="59">
        <f ca="1">AVERAGE(OFFSET($BH$3,0,0,'Données projet'!$E$11+1,1))-AVERAGE(OFFSET($H$3,0,0,'Données projet'!$E$11+1,1))</f>
        <v>187.80389738728508</v>
      </c>
      <c r="BJ189" s="59">
        <f t="shared" si="146"/>
        <v>439.28159165815265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5.6229981947095995</v>
      </c>
      <c r="BQ189" s="21">
        <f>EXP(-LN(2)/25)*BQ188+(1-EXP(-LN(2)/25))/(LN(2)/25)*Calculateur!BL189*Calculateur!BN189*VLOOKUP('Données projet'!$B$11,Paramètres!$A$1:$I$89,3,0)*0.475*44/12</f>
        <v>0.1902174922887872</v>
      </c>
      <c r="BR189" s="21">
        <f>EXP(-LN(2)/2)*BR188+(1-EXP(-LN(2)/2))/(LN(2)/2)*BL189*BO189*VLOOKUP('Données projet'!$B$11,Paramètres!$A$1:$I$89,3,0)*0.475*44/12</f>
        <v>1.4876679866722505E-25</v>
      </c>
      <c r="BS189" s="22">
        <f t="shared" si="169"/>
        <v>5.8132156869983866</v>
      </c>
      <c r="BT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0</v>
      </c>
      <c r="BZ189" s="13" t="e">
        <f>BY189*VLOOKUP('Données projet'!$B$12,Paramètres!$A$1:$I$89,3,0)*VLOOKUP('Données projet'!$B$12,Paramètres!$A$1:$I$89,5,0)</f>
        <v>#N/A</v>
      </c>
      <c r="CA189" s="13" t="e">
        <f t="shared" si="170"/>
        <v>#N/A</v>
      </c>
      <c r="CB189" s="20" t="e">
        <f t="shared" si="171"/>
        <v>#N/A</v>
      </c>
      <c r="CC189" s="59" t="e">
        <f t="shared" si="119"/>
        <v>#N/A</v>
      </c>
      <c r="CD189" s="59" t="e">
        <f ca="1">AVERAGE(OFFSET($CC$3,0,0,'Données projet'!$E$12+1,1))-AVERAGE(OFFSET($H$3,0,0,'Données projet'!$E$12+1,1))</f>
        <v>#N/A</v>
      </c>
      <c r="CE189" s="59" t="e">
        <f t="shared" si="148"/>
        <v>#N/A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 t="e">
        <f>EXP(-LN(2)/35)*CK188+(1-EXP(-LN(2)/35))/(LN(2)/35)*CG189*CH189*VLOOKUP('Données projet'!$B$12,Paramètres!$A$1:$I$89,3,0)*0.475*44/12</f>
        <v>#N/A</v>
      </c>
      <c r="CL189" s="21" t="e">
        <f>EXP(-LN(2)/25)*CL188+(1-EXP(-LN(2)/25))/(LN(2)/25)*Calculateur!CG189*Calculateur!CI189*VLOOKUP('Données projet'!$B$12,Paramètres!$A$1:$I$89,3,0)*0.475*44/12</f>
        <v>#N/A</v>
      </c>
      <c r="CM189" s="21" t="e">
        <f>EXP(-LN(2)/2)*CM188+(1-EXP(-LN(2)/2))/(LN(2)/2)*CG189*CJ189*VLOOKUP('Données projet'!$B$12,Paramètres!$A$1:$I$89,3,0)*0.475*44/12</f>
        <v>#N/A</v>
      </c>
      <c r="CN189" s="22" t="e">
        <f t="shared" si="172"/>
        <v>#N/A</v>
      </c>
      <c r="CO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35">
      <c r="A190" s="10">
        <f t="shared" si="161"/>
        <v>187</v>
      </c>
      <c r="B190" s="72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1">
        <f t="shared" si="140"/>
        <v>0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66">
        <f t="shared" si="110"/>
        <v>256.66666666666669</v>
      </c>
      <c r="I190" s="6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20.879999999999939</v>
      </c>
      <c r="O190" s="13">
        <f>N190*VLOOKUP('Données projet'!$B$9,Paramètres!$A$1:$I$89,3,0)*VLOOKUP('Données projet'!$B$9,Paramètres!$A$1:$I$89,5,0)</f>
        <v>18.892223999999942</v>
      </c>
      <c r="P190" s="13">
        <f t="shared" si="141"/>
        <v>6.184089977612083</v>
      </c>
      <c r="Q190" s="20">
        <f t="shared" si="162"/>
        <v>43.674580177674272</v>
      </c>
      <c r="R190" s="59">
        <f t="shared" si="109"/>
        <v>337.00791351100759</v>
      </c>
      <c r="S190" s="59">
        <f ca="1">AVERAGE(OFFSET($R$3,0,0,'Données projet'!$E$9+1,1))-AVERAGE(OFFSET($H$3,0,0,'Données projet'!$E$9+1,1))</f>
        <v>700.22008319944644</v>
      </c>
      <c r="T190" s="59">
        <f t="shared" si="142"/>
        <v>253.69632671986739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204.19341597653832</v>
      </c>
      <c r="AA190" s="21">
        <f>EXP(-LN(2)/25)*AA189+(1-EXP(-LN(2)/25))/(LN(2)/25)*Calculateur!V190*Calculateur!X190*VLOOKUP('Données projet'!$B$9,Paramètres!$A$1:$I$89,3,0)*0.475*44/12</f>
        <v>0</v>
      </c>
      <c r="AB190" s="21">
        <f>EXP(-LN(2)/2)*AB189+(1-EXP(-LN(2)/2))/(LN(2)/2)*V190*Y190*VLOOKUP('Données projet'!$B$9,Paramètres!$A$1:$I$89,3,0)*0.475*44/12</f>
        <v>0</v>
      </c>
      <c r="AC190" s="22">
        <f t="shared" si="163"/>
        <v>204.19341597653832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20.879999999999939</v>
      </c>
      <c r="AJ190" s="13">
        <f>AI190*VLOOKUP('Données projet'!$B$10,Paramètres!$A$1:$I$89,3,0)*VLOOKUP('Données projet'!$B$10,Paramètres!$A$1:$I$89,5,0)</f>
        <v>19.86940799999994</v>
      </c>
      <c r="AK190" s="13">
        <f t="shared" si="164"/>
        <v>6.4658893302320672</v>
      </c>
      <c r="AL190" s="20">
        <f t="shared" si="165"/>
        <v>45.86730951682074</v>
      </c>
      <c r="AM190" s="59">
        <f t="shared" si="113"/>
        <v>339.20064285015405</v>
      </c>
      <c r="AN190" s="59">
        <f ca="1">AVERAGE(OFFSET($AM$3,0,0,'Données projet'!$E$10+1,1))-AVERAGE(OFFSET($H$3,0,0,'Données projet'!$E$10+1,1))</f>
        <v>733.95677909577444</v>
      </c>
      <c r="AO190" s="59">
        <f t="shared" si="144"/>
        <v>264.63778993239799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214.75514438911793</v>
      </c>
      <c r="AV190" s="21">
        <f>EXP(-LN(2)/25)*AV189+(1-EXP(-LN(2)/25))/(LN(2)/25)*Calculateur!AQ190*Calculateur!AS190*VLOOKUP('Données projet'!$B$10,Paramètres!$A$1:$I$89,3,0)*0.475*44/12</f>
        <v>0</v>
      </c>
      <c r="AW190" s="21">
        <f>EXP(-LN(2)/2)*AW189+(1-EXP(-LN(2)/2))/(LN(2)/2)*AQ190*AT190*VLOOKUP('Données projet'!$B$10,Paramètres!$A$1:$I$89,3,0)*0.475*44/12</f>
        <v>0</v>
      </c>
      <c r="AX190" s="21">
        <f t="shared" si="166"/>
        <v>214.75514438911793</v>
      </c>
      <c r="AY190" s="7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0</v>
      </c>
      <c r="BE190" s="13">
        <f>BD190*VLOOKUP('Données projet'!$B$11,Paramètres!$A$1:$I$89,3,0)*VLOOKUP('Données projet'!$B$11,Paramètres!$A$1:$I$89,5,0)</f>
        <v>0</v>
      </c>
      <c r="BF190" s="13" t="e">
        <f t="shared" si="167"/>
        <v>#NUM!</v>
      </c>
      <c r="BG190" s="20" t="e">
        <f t="shared" si="168"/>
        <v>#NUM!</v>
      </c>
      <c r="BH190" s="59" t="e">
        <f t="shared" si="116"/>
        <v>#NUM!</v>
      </c>
      <c r="BI190" s="59">
        <f ca="1">AVERAGE(OFFSET($BH$3,0,0,'Données projet'!$E$11+1,1))-AVERAGE(OFFSET($H$3,0,0,'Données projet'!$E$11+1,1))</f>
        <v>187.80389738728508</v>
      </c>
      <c r="BJ190" s="59">
        <f t="shared" si="146"/>
        <v>439.28159165815265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5.5127346298015896</v>
      </c>
      <c r="BQ190" s="21">
        <f>EXP(-LN(2)/25)*BQ189+(1-EXP(-LN(2)/25))/(LN(2)/25)*Calculateur!BL190*Calculateur!BN190*VLOOKUP('Données projet'!$B$11,Paramètres!$A$1:$I$89,3,0)*0.475*44/12</f>
        <v>0.18501598495904714</v>
      </c>
      <c r="BR190" s="21">
        <f>EXP(-LN(2)/2)*BR189+(1-EXP(-LN(2)/2))/(LN(2)/2)*BL190*BO190*VLOOKUP('Données projet'!$B$11,Paramètres!$A$1:$I$89,3,0)*0.475*44/12</f>
        <v>1.0519401215300867E-25</v>
      </c>
      <c r="BS190" s="22">
        <f t="shared" si="169"/>
        <v>5.6977506147606363</v>
      </c>
      <c r="BT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0</v>
      </c>
      <c r="BZ190" s="13" t="e">
        <f>BY190*VLOOKUP('Données projet'!$B$12,Paramètres!$A$1:$I$89,3,0)*VLOOKUP('Données projet'!$B$12,Paramètres!$A$1:$I$89,5,0)</f>
        <v>#N/A</v>
      </c>
      <c r="CA190" s="13" t="e">
        <f t="shared" si="170"/>
        <v>#N/A</v>
      </c>
      <c r="CB190" s="20" t="e">
        <f t="shared" si="171"/>
        <v>#N/A</v>
      </c>
      <c r="CC190" s="59" t="e">
        <f t="shared" si="119"/>
        <v>#N/A</v>
      </c>
      <c r="CD190" s="59" t="e">
        <f ca="1">AVERAGE(OFFSET($CC$3,0,0,'Données projet'!$E$12+1,1))-AVERAGE(OFFSET($H$3,0,0,'Données projet'!$E$12+1,1))</f>
        <v>#N/A</v>
      </c>
      <c r="CE190" s="59" t="e">
        <f t="shared" si="148"/>
        <v>#N/A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 t="e">
        <f>EXP(-LN(2)/35)*CK189+(1-EXP(-LN(2)/35))/(LN(2)/35)*CG190*CH190*VLOOKUP('Données projet'!$B$12,Paramètres!$A$1:$I$89,3,0)*0.475*44/12</f>
        <v>#N/A</v>
      </c>
      <c r="CL190" s="21" t="e">
        <f>EXP(-LN(2)/25)*CL189+(1-EXP(-LN(2)/25))/(LN(2)/25)*Calculateur!CG190*Calculateur!CI190*VLOOKUP('Données projet'!$B$12,Paramètres!$A$1:$I$89,3,0)*0.475*44/12</f>
        <v>#N/A</v>
      </c>
      <c r="CM190" s="21" t="e">
        <f>EXP(-LN(2)/2)*CM189+(1-EXP(-LN(2)/2))/(LN(2)/2)*CG190*CJ190*VLOOKUP('Données projet'!$B$12,Paramètres!$A$1:$I$89,3,0)*0.475*44/12</f>
        <v>#N/A</v>
      </c>
      <c r="CN190" s="22" t="e">
        <f t="shared" si="172"/>
        <v>#N/A</v>
      </c>
      <c r="CO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35">
      <c r="A191" s="10">
        <f t="shared" si="161"/>
        <v>188</v>
      </c>
      <c r="B191" s="72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1">
        <f t="shared" si="140"/>
        <v>0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66">
        <f t="shared" si="110"/>
        <v>256.66666666666669</v>
      </c>
      <c r="I191" s="6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20.879999999999939</v>
      </c>
      <c r="O191" s="13">
        <f>N191*VLOOKUP('Données projet'!$B$9,Paramètres!$A$1:$I$89,3,0)*VLOOKUP('Données projet'!$B$9,Paramètres!$A$1:$I$89,5,0)</f>
        <v>18.892223999999942</v>
      </c>
      <c r="P191" s="13">
        <f t="shared" si="141"/>
        <v>6.184089977612083</v>
      </c>
      <c r="Q191" s="20">
        <f t="shared" si="162"/>
        <v>43.674580177674272</v>
      </c>
      <c r="R191" s="59">
        <f t="shared" si="109"/>
        <v>337.00791351100759</v>
      </c>
      <c r="S191" s="59">
        <f ca="1">AVERAGE(OFFSET($R$3,0,0,'Données projet'!$E$9+1,1))-AVERAGE(OFFSET($H$3,0,0,'Données projet'!$E$9+1,1))</f>
        <v>700.22008319944644</v>
      </c>
      <c r="T191" s="59">
        <f t="shared" si="142"/>
        <v>253.69632671986739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200.18930763492429</v>
      </c>
      <c r="AA191" s="21">
        <f>EXP(-LN(2)/25)*AA190+(1-EXP(-LN(2)/25))/(LN(2)/25)*Calculateur!V191*Calculateur!X191*VLOOKUP('Données projet'!$B$9,Paramètres!$A$1:$I$89,3,0)*0.475*44/12</f>
        <v>0</v>
      </c>
      <c r="AB191" s="21">
        <f>EXP(-LN(2)/2)*AB190+(1-EXP(-LN(2)/2))/(LN(2)/2)*V191*Y191*VLOOKUP('Données projet'!$B$9,Paramètres!$A$1:$I$89,3,0)*0.475*44/12</f>
        <v>0</v>
      </c>
      <c r="AC191" s="22">
        <f t="shared" si="163"/>
        <v>200.18930763492429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20.879999999999939</v>
      </c>
      <c r="AJ191" s="13">
        <f>AI191*VLOOKUP('Données projet'!$B$10,Paramètres!$A$1:$I$89,3,0)*VLOOKUP('Données projet'!$B$10,Paramètres!$A$1:$I$89,5,0)</f>
        <v>19.86940799999994</v>
      </c>
      <c r="AK191" s="13">
        <f t="shared" si="164"/>
        <v>6.4658893302320672</v>
      </c>
      <c r="AL191" s="20">
        <f t="shared" si="165"/>
        <v>45.86730951682074</v>
      </c>
      <c r="AM191" s="59">
        <f t="shared" si="113"/>
        <v>339.20064285015405</v>
      </c>
      <c r="AN191" s="59">
        <f ca="1">AVERAGE(OFFSET($AM$3,0,0,'Données projet'!$E$10+1,1))-AVERAGE(OFFSET($H$3,0,0,'Données projet'!$E$10+1,1))</f>
        <v>733.95677909577444</v>
      </c>
      <c r="AO191" s="59">
        <f t="shared" si="144"/>
        <v>264.63778993239799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210.54392699535146</v>
      </c>
      <c r="AV191" s="21">
        <f>EXP(-LN(2)/25)*AV190+(1-EXP(-LN(2)/25))/(LN(2)/25)*Calculateur!AQ191*Calculateur!AS191*VLOOKUP('Données projet'!$B$10,Paramètres!$A$1:$I$89,3,0)*0.475*44/12</f>
        <v>0</v>
      </c>
      <c r="AW191" s="21">
        <f>EXP(-LN(2)/2)*AW190+(1-EXP(-LN(2)/2))/(LN(2)/2)*AQ191*AT191*VLOOKUP('Données projet'!$B$10,Paramètres!$A$1:$I$89,3,0)*0.475*44/12</f>
        <v>0</v>
      </c>
      <c r="AX191" s="21">
        <f t="shared" si="166"/>
        <v>210.54392699535146</v>
      </c>
      <c r="AY191" s="7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0</v>
      </c>
      <c r="BE191" s="13">
        <f>BD191*VLOOKUP('Données projet'!$B$11,Paramètres!$A$1:$I$89,3,0)*VLOOKUP('Données projet'!$B$11,Paramètres!$A$1:$I$89,5,0)</f>
        <v>0</v>
      </c>
      <c r="BF191" s="13" t="e">
        <f t="shared" si="167"/>
        <v>#NUM!</v>
      </c>
      <c r="BG191" s="20" t="e">
        <f t="shared" si="168"/>
        <v>#NUM!</v>
      </c>
      <c r="BH191" s="59" t="e">
        <f t="shared" si="116"/>
        <v>#NUM!</v>
      </c>
      <c r="BI191" s="59">
        <f ca="1">AVERAGE(OFFSET($BH$3,0,0,'Données projet'!$E$11+1,1))-AVERAGE(OFFSET($H$3,0,0,'Données projet'!$E$11+1,1))</f>
        <v>187.80389738728508</v>
      </c>
      <c r="BJ191" s="59">
        <f t="shared" si="146"/>
        <v>439.28159165815265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5.4046332661472913</v>
      </c>
      <c r="BQ191" s="21">
        <f>EXP(-LN(2)/25)*BQ190+(1-EXP(-LN(2)/25))/(LN(2)/25)*Calculateur!BL191*Calculateur!BN191*VLOOKUP('Données projet'!$B$11,Paramètres!$A$1:$I$89,3,0)*0.475*44/12</f>
        <v>0.17995671312077421</v>
      </c>
      <c r="BR191" s="21">
        <f>EXP(-LN(2)/2)*BR190+(1-EXP(-LN(2)/2))/(LN(2)/2)*BL191*BO191*VLOOKUP('Données projet'!$B$11,Paramètres!$A$1:$I$89,3,0)*0.475*44/12</f>
        <v>7.4383399333612527E-26</v>
      </c>
      <c r="BS191" s="22">
        <f t="shared" si="169"/>
        <v>5.5845899792680651</v>
      </c>
      <c r="BT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0</v>
      </c>
      <c r="BZ191" s="13" t="e">
        <f>BY191*VLOOKUP('Données projet'!$B$12,Paramètres!$A$1:$I$89,3,0)*VLOOKUP('Données projet'!$B$12,Paramètres!$A$1:$I$89,5,0)</f>
        <v>#N/A</v>
      </c>
      <c r="CA191" s="13" t="e">
        <f t="shared" si="170"/>
        <v>#N/A</v>
      </c>
      <c r="CB191" s="20" t="e">
        <f t="shared" si="171"/>
        <v>#N/A</v>
      </c>
      <c r="CC191" s="59" t="e">
        <f t="shared" si="119"/>
        <v>#N/A</v>
      </c>
      <c r="CD191" s="59" t="e">
        <f ca="1">AVERAGE(OFFSET($CC$3,0,0,'Données projet'!$E$12+1,1))-AVERAGE(OFFSET($H$3,0,0,'Données projet'!$E$12+1,1))</f>
        <v>#N/A</v>
      </c>
      <c r="CE191" s="59" t="e">
        <f t="shared" si="148"/>
        <v>#N/A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 t="e">
        <f>EXP(-LN(2)/35)*CK190+(1-EXP(-LN(2)/35))/(LN(2)/35)*CG191*CH191*VLOOKUP('Données projet'!$B$12,Paramètres!$A$1:$I$89,3,0)*0.475*44/12</f>
        <v>#N/A</v>
      </c>
      <c r="CL191" s="21" t="e">
        <f>EXP(-LN(2)/25)*CL190+(1-EXP(-LN(2)/25))/(LN(2)/25)*Calculateur!CG191*Calculateur!CI191*VLOOKUP('Données projet'!$B$12,Paramètres!$A$1:$I$89,3,0)*0.475*44/12</f>
        <v>#N/A</v>
      </c>
      <c r="CM191" s="21" t="e">
        <f>EXP(-LN(2)/2)*CM190+(1-EXP(-LN(2)/2))/(LN(2)/2)*CG191*CJ191*VLOOKUP('Données projet'!$B$12,Paramètres!$A$1:$I$89,3,0)*0.475*44/12</f>
        <v>#N/A</v>
      </c>
      <c r="CN191" s="22" t="e">
        <f t="shared" si="172"/>
        <v>#N/A</v>
      </c>
      <c r="CO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35">
      <c r="A192" s="10">
        <f t="shared" si="161"/>
        <v>189</v>
      </c>
      <c r="B192" s="72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1">
        <f t="shared" si="140"/>
        <v>0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66">
        <f t="shared" si="110"/>
        <v>256.66666666666669</v>
      </c>
      <c r="I192" s="6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20.879999999999939</v>
      </c>
      <c r="O192" s="13">
        <f>N192*VLOOKUP('Données projet'!$B$9,Paramètres!$A$1:$I$89,3,0)*VLOOKUP('Données projet'!$B$9,Paramètres!$A$1:$I$89,5,0)</f>
        <v>18.892223999999942</v>
      </c>
      <c r="P192" s="13">
        <f t="shared" si="141"/>
        <v>6.184089977612083</v>
      </c>
      <c r="Q192" s="20">
        <f t="shared" si="162"/>
        <v>43.674580177674272</v>
      </c>
      <c r="R192" s="59">
        <f t="shared" si="109"/>
        <v>337.00791351100759</v>
      </c>
      <c r="S192" s="59">
        <f ca="1">AVERAGE(OFFSET($R$3,0,0,'Données projet'!$E$9+1,1))-AVERAGE(OFFSET($H$3,0,0,'Données projet'!$E$9+1,1))</f>
        <v>700.22008319944644</v>
      </c>
      <c r="T192" s="59">
        <f t="shared" si="142"/>
        <v>253.69632671986739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196.26371741562437</v>
      </c>
      <c r="AA192" s="21">
        <f>EXP(-LN(2)/25)*AA191+(1-EXP(-LN(2)/25))/(LN(2)/25)*Calculateur!V192*Calculateur!X192*VLOOKUP('Données projet'!$B$9,Paramètres!$A$1:$I$89,3,0)*0.475*44/12</f>
        <v>0</v>
      </c>
      <c r="AB192" s="21">
        <f>EXP(-LN(2)/2)*AB191+(1-EXP(-LN(2)/2))/(LN(2)/2)*V192*Y192*VLOOKUP('Données projet'!$B$9,Paramètres!$A$1:$I$89,3,0)*0.475*44/12</f>
        <v>0</v>
      </c>
      <c r="AC192" s="22">
        <f t="shared" si="163"/>
        <v>196.26371741562437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20.879999999999939</v>
      </c>
      <c r="AJ192" s="13">
        <f>AI192*VLOOKUP('Données projet'!$B$10,Paramètres!$A$1:$I$89,3,0)*VLOOKUP('Données projet'!$B$10,Paramètres!$A$1:$I$89,5,0)</f>
        <v>19.86940799999994</v>
      </c>
      <c r="AK192" s="13">
        <f t="shared" si="164"/>
        <v>6.4658893302320672</v>
      </c>
      <c r="AL192" s="20">
        <f t="shared" si="165"/>
        <v>45.86730951682074</v>
      </c>
      <c r="AM192" s="59">
        <f t="shared" si="113"/>
        <v>339.20064285015405</v>
      </c>
      <c r="AN192" s="59">
        <f ca="1">AVERAGE(OFFSET($AM$3,0,0,'Données projet'!$E$10+1,1))-AVERAGE(OFFSET($H$3,0,0,'Données projet'!$E$10+1,1))</f>
        <v>733.95677909577444</v>
      </c>
      <c r="AO192" s="59">
        <f t="shared" si="144"/>
        <v>264.63778993239799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206.41528900608773</v>
      </c>
      <c r="AV192" s="21">
        <f>EXP(-LN(2)/25)*AV191+(1-EXP(-LN(2)/25))/(LN(2)/25)*Calculateur!AQ192*Calculateur!AS192*VLOOKUP('Données projet'!$B$10,Paramètres!$A$1:$I$89,3,0)*0.475*44/12</f>
        <v>0</v>
      </c>
      <c r="AW192" s="21">
        <f>EXP(-LN(2)/2)*AW191+(1-EXP(-LN(2)/2))/(LN(2)/2)*AQ192*AT192*VLOOKUP('Données projet'!$B$10,Paramètres!$A$1:$I$89,3,0)*0.475*44/12</f>
        <v>0</v>
      </c>
      <c r="AX192" s="21">
        <f t="shared" si="166"/>
        <v>206.41528900608773</v>
      </c>
      <c r="AY192" s="7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0</v>
      </c>
      <c r="BE192" s="13">
        <f>BD192*VLOOKUP('Données projet'!$B$11,Paramètres!$A$1:$I$89,3,0)*VLOOKUP('Données projet'!$B$11,Paramètres!$A$1:$I$89,5,0)</f>
        <v>0</v>
      </c>
      <c r="BF192" s="13" t="e">
        <f t="shared" si="167"/>
        <v>#NUM!</v>
      </c>
      <c r="BG192" s="20" t="e">
        <f t="shared" si="168"/>
        <v>#NUM!</v>
      </c>
      <c r="BH192" s="59" t="e">
        <f t="shared" si="116"/>
        <v>#NUM!</v>
      </c>
      <c r="BI192" s="59">
        <f ca="1">AVERAGE(OFFSET($BH$3,0,0,'Données projet'!$E$11+1,1))-AVERAGE(OFFSET($H$3,0,0,'Données projet'!$E$11+1,1))</f>
        <v>187.80389738728508</v>
      </c>
      <c r="BJ192" s="59">
        <f t="shared" si="146"/>
        <v>439.28159165815265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5.2986517042989325</v>
      </c>
      <c r="BQ192" s="21">
        <f>EXP(-LN(2)/25)*BQ191+(1-EXP(-LN(2)/25))/(LN(2)/25)*Calculateur!BL192*Calculateur!BN192*VLOOKUP('Données projet'!$B$11,Paramètres!$A$1:$I$89,3,0)*0.475*44/12</f>
        <v>0.17503578733697439</v>
      </c>
      <c r="BR192" s="21">
        <f>EXP(-LN(2)/2)*BR191+(1-EXP(-LN(2)/2))/(LN(2)/2)*BL192*BO192*VLOOKUP('Données projet'!$B$11,Paramètres!$A$1:$I$89,3,0)*0.475*44/12</f>
        <v>5.2597006076504337E-26</v>
      </c>
      <c r="BS192" s="22">
        <f t="shared" si="169"/>
        <v>5.4736874916359071</v>
      </c>
      <c r="BT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0</v>
      </c>
      <c r="BZ192" s="13" t="e">
        <f>BY192*VLOOKUP('Données projet'!$B$12,Paramètres!$A$1:$I$89,3,0)*VLOOKUP('Données projet'!$B$12,Paramètres!$A$1:$I$89,5,0)</f>
        <v>#N/A</v>
      </c>
      <c r="CA192" s="13" t="e">
        <f t="shared" si="170"/>
        <v>#N/A</v>
      </c>
      <c r="CB192" s="20" t="e">
        <f t="shared" si="171"/>
        <v>#N/A</v>
      </c>
      <c r="CC192" s="59" t="e">
        <f t="shared" si="119"/>
        <v>#N/A</v>
      </c>
      <c r="CD192" s="59" t="e">
        <f ca="1">AVERAGE(OFFSET($CC$3,0,0,'Données projet'!$E$12+1,1))-AVERAGE(OFFSET($H$3,0,0,'Données projet'!$E$12+1,1))</f>
        <v>#N/A</v>
      </c>
      <c r="CE192" s="59" t="e">
        <f t="shared" si="148"/>
        <v>#N/A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 t="e">
        <f>EXP(-LN(2)/35)*CK191+(1-EXP(-LN(2)/35))/(LN(2)/35)*CG192*CH192*VLOOKUP('Données projet'!$B$12,Paramètres!$A$1:$I$89,3,0)*0.475*44/12</f>
        <v>#N/A</v>
      </c>
      <c r="CL192" s="21" t="e">
        <f>EXP(-LN(2)/25)*CL191+(1-EXP(-LN(2)/25))/(LN(2)/25)*Calculateur!CG192*Calculateur!CI192*VLOOKUP('Données projet'!$B$12,Paramètres!$A$1:$I$89,3,0)*0.475*44/12</f>
        <v>#N/A</v>
      </c>
      <c r="CM192" s="21" t="e">
        <f>EXP(-LN(2)/2)*CM191+(1-EXP(-LN(2)/2))/(LN(2)/2)*CG192*CJ192*VLOOKUP('Données projet'!$B$12,Paramètres!$A$1:$I$89,3,0)*0.475*44/12</f>
        <v>#N/A</v>
      </c>
      <c r="CN192" s="22" t="e">
        <f t="shared" si="172"/>
        <v>#N/A</v>
      </c>
      <c r="CO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35">
      <c r="A193" s="10">
        <f t="shared" si="161"/>
        <v>190</v>
      </c>
      <c r="B193" s="72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1">
        <f t="shared" si="140"/>
        <v>0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66">
        <f t="shared" si="110"/>
        <v>256.66666666666669</v>
      </c>
      <c r="I193" s="6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20.879999999999939</v>
      </c>
      <c r="O193" s="13">
        <f>N193*VLOOKUP('Données projet'!$B$9,Paramètres!$A$1:$I$89,3,0)*VLOOKUP('Données projet'!$B$9,Paramètres!$A$1:$I$89,5,0)</f>
        <v>18.892223999999942</v>
      </c>
      <c r="P193" s="13">
        <f t="shared" si="141"/>
        <v>6.184089977612083</v>
      </c>
      <c r="Q193" s="20">
        <f t="shared" si="162"/>
        <v>43.674580177674272</v>
      </c>
      <c r="R193" s="59">
        <f t="shared" si="109"/>
        <v>337.00791351100759</v>
      </c>
      <c r="S193" s="59">
        <f ca="1">AVERAGE(OFFSET($R$3,0,0,'Données projet'!$E$9+1,1))-AVERAGE(OFFSET($H$3,0,0,'Données projet'!$E$9+1,1))</f>
        <v>700.22008319944644</v>
      </c>
      <c r="T193" s="59">
        <f t="shared" si="142"/>
        <v>253.69632671986739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192.4151056261513</v>
      </c>
      <c r="AA193" s="21">
        <f>EXP(-LN(2)/25)*AA192+(1-EXP(-LN(2)/25))/(LN(2)/25)*Calculateur!V193*Calculateur!X193*VLOOKUP('Données projet'!$B$9,Paramètres!$A$1:$I$89,3,0)*0.475*44/12</f>
        <v>0</v>
      </c>
      <c r="AB193" s="21">
        <f>EXP(-LN(2)/2)*AB192+(1-EXP(-LN(2)/2))/(LN(2)/2)*V193*Y193*VLOOKUP('Données projet'!$B$9,Paramètres!$A$1:$I$89,3,0)*0.475*44/12</f>
        <v>0</v>
      </c>
      <c r="AC193" s="22">
        <f t="shared" si="163"/>
        <v>192.4151056261513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20.879999999999939</v>
      </c>
      <c r="AJ193" s="13">
        <f>AI193*VLOOKUP('Données projet'!$B$10,Paramètres!$A$1:$I$89,3,0)*VLOOKUP('Données projet'!$B$10,Paramètres!$A$1:$I$89,5,0)</f>
        <v>19.86940799999994</v>
      </c>
      <c r="AK193" s="13">
        <f t="shared" si="164"/>
        <v>6.4658893302320672</v>
      </c>
      <c r="AL193" s="20">
        <f t="shared" si="165"/>
        <v>45.86730951682074</v>
      </c>
      <c r="AM193" s="59">
        <f t="shared" si="113"/>
        <v>339.20064285015405</v>
      </c>
      <c r="AN193" s="59">
        <f ca="1">AVERAGE(OFFSET($AM$3,0,0,'Données projet'!$E$10+1,1))-AVERAGE(OFFSET($H$3,0,0,'Données projet'!$E$10+1,1))</f>
        <v>733.95677909577444</v>
      </c>
      <c r="AO193" s="59">
        <f t="shared" si="144"/>
        <v>264.63778993239799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202.36761108957296</v>
      </c>
      <c r="AV193" s="21">
        <f>EXP(-LN(2)/25)*AV192+(1-EXP(-LN(2)/25))/(LN(2)/25)*Calculateur!AQ193*Calculateur!AS193*VLOOKUP('Données projet'!$B$10,Paramètres!$A$1:$I$89,3,0)*0.475*44/12</f>
        <v>0</v>
      </c>
      <c r="AW193" s="21">
        <f>EXP(-LN(2)/2)*AW192+(1-EXP(-LN(2)/2))/(LN(2)/2)*AQ193*AT193*VLOOKUP('Données projet'!$B$10,Paramètres!$A$1:$I$89,3,0)*0.475*44/12</f>
        <v>0</v>
      </c>
      <c r="AX193" s="21">
        <f t="shared" si="166"/>
        <v>202.36761108957296</v>
      </c>
      <c r="AY193" s="7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0</v>
      </c>
      <c r="BE193" s="13">
        <f>BD193*VLOOKUP('Données projet'!$B$11,Paramètres!$A$1:$I$89,3,0)*VLOOKUP('Données projet'!$B$11,Paramètres!$A$1:$I$89,5,0)</f>
        <v>0</v>
      </c>
      <c r="BF193" s="13" t="e">
        <f t="shared" si="167"/>
        <v>#NUM!</v>
      </c>
      <c r="BG193" s="20" t="e">
        <f t="shared" si="168"/>
        <v>#NUM!</v>
      </c>
      <c r="BH193" s="59" t="e">
        <f t="shared" si="116"/>
        <v>#NUM!</v>
      </c>
      <c r="BI193" s="59">
        <f ca="1">AVERAGE(OFFSET($BH$3,0,0,'Données projet'!$E$11+1,1))-AVERAGE(OFFSET($H$3,0,0,'Données projet'!$E$11+1,1))</f>
        <v>187.80389738728508</v>
      </c>
      <c r="BJ193" s="59">
        <f t="shared" si="146"/>
        <v>439.28159165815265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5.1947483762360509</v>
      </c>
      <c r="BQ193" s="21">
        <f>EXP(-LN(2)/25)*BQ192+(1-EXP(-LN(2)/25))/(LN(2)/25)*Calculateur!BL193*Calculateur!BN193*VLOOKUP('Données projet'!$B$11,Paramètres!$A$1:$I$89,3,0)*0.475*44/12</f>
        <v>0.17024942452751282</v>
      </c>
      <c r="BR193" s="21">
        <f>EXP(-LN(2)/2)*BR192+(1-EXP(-LN(2)/2))/(LN(2)/2)*BL193*BO193*VLOOKUP('Données projet'!$B$11,Paramètres!$A$1:$I$89,3,0)*0.475*44/12</f>
        <v>3.7191699666806263E-26</v>
      </c>
      <c r="BS193" s="22">
        <f t="shared" si="169"/>
        <v>5.3649978007635637</v>
      </c>
      <c r="BT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0</v>
      </c>
      <c r="BZ193" s="13" t="e">
        <f>BY193*VLOOKUP('Données projet'!$B$12,Paramètres!$A$1:$I$89,3,0)*VLOOKUP('Données projet'!$B$12,Paramètres!$A$1:$I$89,5,0)</f>
        <v>#N/A</v>
      </c>
      <c r="CA193" s="13" t="e">
        <f t="shared" si="170"/>
        <v>#N/A</v>
      </c>
      <c r="CB193" s="20" t="e">
        <f t="shared" si="171"/>
        <v>#N/A</v>
      </c>
      <c r="CC193" s="59" t="e">
        <f t="shared" si="119"/>
        <v>#N/A</v>
      </c>
      <c r="CD193" s="59" t="e">
        <f ca="1">AVERAGE(OFFSET($CC$3,0,0,'Données projet'!$E$12+1,1))-AVERAGE(OFFSET($H$3,0,0,'Données projet'!$E$12+1,1))</f>
        <v>#N/A</v>
      </c>
      <c r="CE193" s="59" t="e">
        <f t="shared" si="148"/>
        <v>#N/A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 t="e">
        <f>EXP(-LN(2)/35)*CK192+(1-EXP(-LN(2)/35))/(LN(2)/35)*CG193*CH193*VLOOKUP('Données projet'!$B$12,Paramètres!$A$1:$I$89,3,0)*0.475*44/12</f>
        <v>#N/A</v>
      </c>
      <c r="CL193" s="21" t="e">
        <f>EXP(-LN(2)/25)*CL192+(1-EXP(-LN(2)/25))/(LN(2)/25)*Calculateur!CG193*Calculateur!CI193*VLOOKUP('Données projet'!$B$12,Paramètres!$A$1:$I$89,3,0)*0.475*44/12</f>
        <v>#N/A</v>
      </c>
      <c r="CM193" s="21" t="e">
        <f>EXP(-LN(2)/2)*CM192+(1-EXP(-LN(2)/2))/(LN(2)/2)*CG193*CJ193*VLOOKUP('Données projet'!$B$12,Paramètres!$A$1:$I$89,3,0)*0.475*44/12</f>
        <v>#N/A</v>
      </c>
      <c r="CN193" s="22" t="e">
        <f t="shared" si="172"/>
        <v>#N/A</v>
      </c>
      <c r="CO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35">
      <c r="A194" s="10">
        <f t="shared" si="161"/>
        <v>191</v>
      </c>
      <c r="B194" s="72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1">
        <f t="shared" si="140"/>
        <v>0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66">
        <f t="shared" si="110"/>
        <v>256.66666666666669</v>
      </c>
      <c r="I194" s="6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20.879999999999939</v>
      </c>
      <c r="O194" s="13">
        <f>N194*VLOOKUP('Données projet'!$B$9,Paramètres!$A$1:$I$89,3,0)*VLOOKUP('Données projet'!$B$9,Paramètres!$A$1:$I$89,5,0)</f>
        <v>18.892223999999942</v>
      </c>
      <c r="P194" s="13">
        <f t="shared" si="141"/>
        <v>6.184089977612083</v>
      </c>
      <c r="Q194" s="20">
        <f t="shared" si="162"/>
        <v>43.674580177674272</v>
      </c>
      <c r="R194" s="59">
        <f t="shared" si="109"/>
        <v>337.00791351100759</v>
      </c>
      <c r="S194" s="59">
        <f ca="1">AVERAGE(OFFSET($R$3,0,0,'Données projet'!$E$9+1,1))-AVERAGE(OFFSET($H$3,0,0,'Données projet'!$E$9+1,1))</f>
        <v>700.22008319944644</v>
      </c>
      <c r="T194" s="59">
        <f t="shared" si="142"/>
        <v>253.69632671986739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188.64196276644842</v>
      </c>
      <c r="AA194" s="21">
        <f>EXP(-LN(2)/25)*AA193+(1-EXP(-LN(2)/25))/(LN(2)/25)*Calculateur!V194*Calculateur!X194*VLOOKUP('Données projet'!$B$9,Paramètres!$A$1:$I$89,3,0)*0.475*44/12</f>
        <v>0</v>
      </c>
      <c r="AB194" s="21">
        <f>EXP(-LN(2)/2)*AB193+(1-EXP(-LN(2)/2))/(LN(2)/2)*V194*Y194*VLOOKUP('Données projet'!$B$9,Paramètres!$A$1:$I$89,3,0)*0.475*44/12</f>
        <v>0</v>
      </c>
      <c r="AC194" s="22">
        <f t="shared" si="163"/>
        <v>188.64196276644842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20.879999999999939</v>
      </c>
      <c r="AJ194" s="13">
        <f>AI194*VLOOKUP('Données projet'!$B$10,Paramètres!$A$1:$I$89,3,0)*VLOOKUP('Données projet'!$B$10,Paramètres!$A$1:$I$89,5,0)</f>
        <v>19.86940799999994</v>
      </c>
      <c r="AK194" s="13">
        <f t="shared" si="164"/>
        <v>6.4658893302320672</v>
      </c>
      <c r="AL194" s="20">
        <f t="shared" si="165"/>
        <v>45.86730951682074</v>
      </c>
      <c r="AM194" s="59">
        <f t="shared" si="113"/>
        <v>339.20064285015405</v>
      </c>
      <c r="AN194" s="59">
        <f ca="1">AVERAGE(OFFSET($AM$3,0,0,'Données projet'!$E$10+1,1))-AVERAGE(OFFSET($H$3,0,0,'Données projet'!$E$10+1,1))</f>
        <v>733.95677909577444</v>
      </c>
      <c r="AO194" s="59">
        <f t="shared" si="144"/>
        <v>264.63778993239799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198.3993056681613</v>
      </c>
      <c r="AV194" s="21">
        <f>EXP(-LN(2)/25)*AV193+(1-EXP(-LN(2)/25))/(LN(2)/25)*Calculateur!AQ194*Calculateur!AS194*VLOOKUP('Données projet'!$B$10,Paramètres!$A$1:$I$89,3,0)*0.475*44/12</f>
        <v>0</v>
      </c>
      <c r="AW194" s="21">
        <f>EXP(-LN(2)/2)*AW193+(1-EXP(-LN(2)/2))/(LN(2)/2)*AQ194*AT194*VLOOKUP('Données projet'!$B$10,Paramètres!$A$1:$I$89,3,0)*0.475*44/12</f>
        <v>0</v>
      </c>
      <c r="AX194" s="21">
        <f t="shared" si="166"/>
        <v>198.3993056681613</v>
      </c>
      <c r="AY194" s="7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0</v>
      </c>
      <c r="BE194" s="13">
        <f>BD194*VLOOKUP('Données projet'!$B$11,Paramètres!$A$1:$I$89,3,0)*VLOOKUP('Données projet'!$B$11,Paramètres!$A$1:$I$89,5,0)</f>
        <v>0</v>
      </c>
      <c r="BF194" s="13" t="e">
        <f t="shared" si="167"/>
        <v>#NUM!</v>
      </c>
      <c r="BG194" s="20" t="e">
        <f t="shared" si="168"/>
        <v>#NUM!</v>
      </c>
      <c r="BH194" s="59" t="e">
        <f t="shared" si="116"/>
        <v>#NUM!</v>
      </c>
      <c r="BI194" s="59">
        <f ca="1">AVERAGE(OFFSET($BH$3,0,0,'Données projet'!$E$11+1,1))-AVERAGE(OFFSET($H$3,0,0,'Données projet'!$E$11+1,1))</f>
        <v>187.80389738728508</v>
      </c>
      <c r="BJ194" s="59">
        <f t="shared" si="146"/>
        <v>439.28159165815265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5.0928825290617095</v>
      </c>
      <c r="BQ194" s="21">
        <f>EXP(-LN(2)/25)*BQ193+(1-EXP(-LN(2)/25))/(LN(2)/25)*Calculateur!BL194*Calculateur!BN194*VLOOKUP('Données projet'!$B$11,Paramètres!$A$1:$I$89,3,0)*0.475*44/12</f>
        <v>0.16559394506077985</v>
      </c>
      <c r="BR194" s="21">
        <f>EXP(-LN(2)/2)*BR193+(1-EXP(-LN(2)/2))/(LN(2)/2)*BL194*BO194*VLOOKUP('Données projet'!$B$11,Paramètres!$A$1:$I$89,3,0)*0.475*44/12</f>
        <v>2.6298503038252169E-26</v>
      </c>
      <c r="BS194" s="22">
        <f t="shared" si="169"/>
        <v>5.2584764741224896</v>
      </c>
      <c r="BT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0</v>
      </c>
      <c r="BZ194" s="13" t="e">
        <f>BY194*VLOOKUP('Données projet'!$B$12,Paramètres!$A$1:$I$89,3,0)*VLOOKUP('Données projet'!$B$12,Paramètres!$A$1:$I$89,5,0)</f>
        <v>#N/A</v>
      </c>
      <c r="CA194" s="13" t="e">
        <f t="shared" si="170"/>
        <v>#N/A</v>
      </c>
      <c r="CB194" s="20" t="e">
        <f t="shared" si="171"/>
        <v>#N/A</v>
      </c>
      <c r="CC194" s="59" t="e">
        <f t="shared" si="119"/>
        <v>#N/A</v>
      </c>
      <c r="CD194" s="59" t="e">
        <f ca="1">AVERAGE(OFFSET($CC$3,0,0,'Données projet'!$E$12+1,1))-AVERAGE(OFFSET($H$3,0,0,'Données projet'!$E$12+1,1))</f>
        <v>#N/A</v>
      </c>
      <c r="CE194" s="59" t="e">
        <f t="shared" si="148"/>
        <v>#N/A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 t="e">
        <f>EXP(-LN(2)/35)*CK193+(1-EXP(-LN(2)/35))/(LN(2)/35)*CG194*CH194*VLOOKUP('Données projet'!$B$12,Paramètres!$A$1:$I$89,3,0)*0.475*44/12</f>
        <v>#N/A</v>
      </c>
      <c r="CL194" s="21" t="e">
        <f>EXP(-LN(2)/25)*CL193+(1-EXP(-LN(2)/25))/(LN(2)/25)*Calculateur!CG194*Calculateur!CI194*VLOOKUP('Données projet'!$B$12,Paramètres!$A$1:$I$89,3,0)*0.475*44/12</f>
        <v>#N/A</v>
      </c>
      <c r="CM194" s="21" t="e">
        <f>EXP(-LN(2)/2)*CM193+(1-EXP(-LN(2)/2))/(LN(2)/2)*CG194*CJ194*VLOOKUP('Données projet'!$B$12,Paramètres!$A$1:$I$89,3,0)*0.475*44/12</f>
        <v>#N/A</v>
      </c>
      <c r="CN194" s="22" t="e">
        <f t="shared" si="172"/>
        <v>#N/A</v>
      </c>
      <c r="CO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35">
      <c r="A195" s="10">
        <f t="shared" si="161"/>
        <v>192</v>
      </c>
      <c r="B195" s="72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1">
        <f t="shared" si="140"/>
        <v>0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66">
        <f t="shared" si="110"/>
        <v>256.66666666666669</v>
      </c>
      <c r="I195" s="6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20.879999999999939</v>
      </c>
      <c r="O195" s="13">
        <f>N195*VLOOKUP('Données projet'!$B$9,Paramètres!$A$1:$I$89,3,0)*VLOOKUP('Données projet'!$B$9,Paramètres!$A$1:$I$89,5,0)</f>
        <v>18.892223999999942</v>
      </c>
      <c r="P195" s="13">
        <f t="shared" si="141"/>
        <v>6.184089977612083</v>
      </c>
      <c r="Q195" s="20">
        <f t="shared" si="162"/>
        <v>43.674580177674272</v>
      </c>
      <c r="R195" s="59">
        <f t="shared" ref="R195:R203" si="191">Q195+(I195+J195)*44/12</f>
        <v>337.00791351100759</v>
      </c>
      <c r="S195" s="59">
        <f ca="1">AVERAGE(OFFSET($R$3,0,0,'Données projet'!$E$9+1,1))-AVERAGE(OFFSET($H$3,0,0,'Données projet'!$E$9+1,1))</f>
        <v>700.22008319944644</v>
      </c>
      <c r="T195" s="59">
        <f t="shared" si="142"/>
        <v>253.69632671986739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184.94280893683438</v>
      </c>
      <c r="AA195" s="21">
        <f>EXP(-LN(2)/25)*AA194+(1-EXP(-LN(2)/25))/(LN(2)/25)*Calculateur!V195*Calculateur!X195*VLOOKUP('Données projet'!$B$9,Paramètres!$A$1:$I$89,3,0)*0.475*44/12</f>
        <v>0</v>
      </c>
      <c r="AB195" s="21">
        <f>EXP(-LN(2)/2)*AB194+(1-EXP(-LN(2)/2))/(LN(2)/2)*V195*Y195*VLOOKUP('Données projet'!$B$9,Paramètres!$A$1:$I$89,3,0)*0.475*44/12</f>
        <v>0</v>
      </c>
      <c r="AC195" s="22">
        <f t="shared" si="163"/>
        <v>184.94280893683438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20.879999999999939</v>
      </c>
      <c r="AJ195" s="13">
        <f>AI195*VLOOKUP('Données projet'!$B$10,Paramètres!$A$1:$I$89,3,0)*VLOOKUP('Données projet'!$B$10,Paramètres!$A$1:$I$89,5,0)</f>
        <v>19.86940799999994</v>
      </c>
      <c r="AK195" s="13">
        <f t="shared" si="164"/>
        <v>6.4658893302320672</v>
      </c>
      <c r="AL195" s="20">
        <f t="shared" si="165"/>
        <v>45.86730951682074</v>
      </c>
      <c r="AM195" s="59">
        <f t="shared" si="113"/>
        <v>339.20064285015405</v>
      </c>
      <c r="AN195" s="59">
        <f ca="1">AVERAGE(OFFSET($AM$3,0,0,'Données projet'!$E$10+1,1))-AVERAGE(OFFSET($H$3,0,0,'Données projet'!$E$10+1,1))</f>
        <v>733.95677909577444</v>
      </c>
      <c r="AO195" s="59">
        <f t="shared" si="144"/>
        <v>264.63778993239799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194.50881629563622</v>
      </c>
      <c r="AV195" s="21">
        <f>EXP(-LN(2)/25)*AV194+(1-EXP(-LN(2)/25))/(LN(2)/25)*Calculateur!AQ195*Calculateur!AS195*VLOOKUP('Données projet'!$B$10,Paramètres!$A$1:$I$89,3,0)*0.475*44/12</f>
        <v>0</v>
      </c>
      <c r="AW195" s="21">
        <f>EXP(-LN(2)/2)*AW194+(1-EXP(-LN(2)/2))/(LN(2)/2)*AQ195*AT195*VLOOKUP('Données projet'!$B$10,Paramètres!$A$1:$I$89,3,0)*0.475*44/12</f>
        <v>0</v>
      </c>
      <c r="AX195" s="21">
        <f t="shared" si="166"/>
        <v>194.50881629563622</v>
      </c>
      <c r="AY195" s="7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0</v>
      </c>
      <c r="BE195" s="13">
        <f>BD195*VLOOKUP('Données projet'!$B$11,Paramètres!$A$1:$I$89,3,0)*VLOOKUP('Données projet'!$B$11,Paramètres!$A$1:$I$89,5,0)</f>
        <v>0</v>
      </c>
      <c r="BF195" s="13" t="e">
        <f t="shared" si="167"/>
        <v>#NUM!</v>
      </c>
      <c r="BG195" s="20" t="e">
        <f t="shared" si="168"/>
        <v>#NUM!</v>
      </c>
      <c r="BH195" s="59" t="e">
        <f t="shared" si="116"/>
        <v>#NUM!</v>
      </c>
      <c r="BI195" s="59">
        <f ca="1">AVERAGE(OFFSET($BH$3,0,0,'Données projet'!$E$11+1,1))-AVERAGE(OFFSET($H$3,0,0,'Données projet'!$E$11+1,1))</f>
        <v>187.80389738728508</v>
      </c>
      <c r="BJ195" s="59">
        <f t="shared" si="146"/>
        <v>439.28159165815265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4.9930142090184253</v>
      </c>
      <c r="BQ195" s="21">
        <f>EXP(-LN(2)/25)*BQ194+(1-EXP(-LN(2)/25))/(LN(2)/25)*Calculateur!BL195*Calculateur!BN195*VLOOKUP('Données projet'!$B$11,Paramètres!$A$1:$I$89,3,0)*0.475*44/12</f>
        <v>0.16106576992488572</v>
      </c>
      <c r="BR195" s="21">
        <f>EXP(-LN(2)/2)*BR194+(1-EXP(-LN(2)/2))/(LN(2)/2)*BL195*BO195*VLOOKUP('Données projet'!$B$11,Paramètres!$A$1:$I$89,3,0)*0.475*44/12</f>
        <v>1.8595849833403132E-26</v>
      </c>
      <c r="BS195" s="22">
        <f t="shared" si="169"/>
        <v>5.1540799789433107</v>
      </c>
      <c r="BT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0</v>
      </c>
      <c r="BZ195" s="13" t="e">
        <f>BY195*VLOOKUP('Données projet'!$B$12,Paramètres!$A$1:$I$89,3,0)*VLOOKUP('Données projet'!$B$12,Paramètres!$A$1:$I$89,5,0)</f>
        <v>#N/A</v>
      </c>
      <c r="CA195" s="13" t="e">
        <f t="shared" si="170"/>
        <v>#N/A</v>
      </c>
      <c r="CB195" s="20" t="e">
        <f t="shared" si="171"/>
        <v>#N/A</v>
      </c>
      <c r="CC195" s="59" t="e">
        <f t="shared" si="119"/>
        <v>#N/A</v>
      </c>
      <c r="CD195" s="59" t="e">
        <f ca="1">AVERAGE(OFFSET($CC$3,0,0,'Données projet'!$E$12+1,1))-AVERAGE(OFFSET($H$3,0,0,'Données projet'!$E$12+1,1))</f>
        <v>#N/A</v>
      </c>
      <c r="CE195" s="59" t="e">
        <f t="shared" si="148"/>
        <v>#N/A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 t="e">
        <f>EXP(-LN(2)/35)*CK194+(1-EXP(-LN(2)/35))/(LN(2)/35)*CG195*CH195*VLOOKUP('Données projet'!$B$12,Paramètres!$A$1:$I$89,3,0)*0.475*44/12</f>
        <v>#N/A</v>
      </c>
      <c r="CL195" s="21" t="e">
        <f>EXP(-LN(2)/25)*CL194+(1-EXP(-LN(2)/25))/(LN(2)/25)*Calculateur!CG195*Calculateur!CI195*VLOOKUP('Données projet'!$B$12,Paramètres!$A$1:$I$89,3,0)*0.475*44/12</f>
        <v>#N/A</v>
      </c>
      <c r="CM195" s="21" t="e">
        <f>EXP(-LN(2)/2)*CM194+(1-EXP(-LN(2)/2))/(LN(2)/2)*CG195*CJ195*VLOOKUP('Données projet'!$B$12,Paramètres!$A$1:$I$89,3,0)*0.475*44/12</f>
        <v>#N/A</v>
      </c>
      <c r="CN195" s="22" t="e">
        <f t="shared" si="172"/>
        <v>#N/A</v>
      </c>
      <c r="CO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35">
      <c r="A196" s="10">
        <f t="shared" si="161"/>
        <v>193</v>
      </c>
      <c r="B196" s="72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1">
        <f t="shared" si="140"/>
        <v>0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66">
        <f t="shared" ref="H196:H203" si="192">(B196+E196+F196)*44/12+(C196+D196)*0.475*44/12</f>
        <v>256.66666666666669</v>
      </c>
      <c r="I196" s="6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20.879999999999939</v>
      </c>
      <c r="O196" s="13">
        <f>N196*VLOOKUP('Données projet'!$B$9,Paramètres!$A$1:$I$89,3,0)*VLOOKUP('Données projet'!$B$9,Paramètres!$A$1:$I$89,5,0)</f>
        <v>18.892223999999942</v>
      </c>
      <c r="P196" s="13">
        <f t="shared" si="141"/>
        <v>6.184089977612083</v>
      </c>
      <c r="Q196" s="20">
        <f t="shared" si="162"/>
        <v>43.674580177674272</v>
      </c>
      <c r="R196" s="59">
        <f t="shared" si="191"/>
        <v>337.00791351100759</v>
      </c>
      <c r="S196" s="59">
        <f ca="1">AVERAGE(OFFSET($R$3,0,0,'Données projet'!$E$9+1,1))-AVERAGE(OFFSET($H$3,0,0,'Données projet'!$E$9+1,1))</f>
        <v>700.22008319944644</v>
      </c>
      <c r="T196" s="59">
        <f t="shared" si="142"/>
        <v>253.69632671986739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181.31619325755804</v>
      </c>
      <c r="AA196" s="21">
        <f>EXP(-LN(2)/25)*AA195+(1-EXP(-LN(2)/25))/(LN(2)/25)*Calculateur!V196*Calculateur!X196*VLOOKUP('Données projet'!$B$9,Paramètres!$A$1:$I$89,3,0)*0.475*44/12</f>
        <v>0</v>
      </c>
      <c r="AB196" s="21">
        <f>EXP(-LN(2)/2)*AB195+(1-EXP(-LN(2)/2))/(LN(2)/2)*V196*Y196*VLOOKUP('Données projet'!$B$9,Paramètres!$A$1:$I$89,3,0)*0.475*44/12</f>
        <v>0</v>
      </c>
      <c r="AC196" s="22">
        <f t="shared" si="163"/>
        <v>181.31619325755804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20.879999999999939</v>
      </c>
      <c r="AJ196" s="13">
        <f>AI196*VLOOKUP('Données projet'!$B$10,Paramètres!$A$1:$I$89,3,0)*VLOOKUP('Données projet'!$B$10,Paramètres!$A$1:$I$89,5,0)</f>
        <v>19.86940799999994</v>
      </c>
      <c r="AK196" s="13">
        <f t="shared" si="164"/>
        <v>6.4658893302320672</v>
      </c>
      <c r="AL196" s="20">
        <f t="shared" si="165"/>
        <v>45.86730951682074</v>
      </c>
      <c r="AM196" s="59">
        <f t="shared" ref="AM196:AM203" si="193">AL196+(AD196+AE196)*44/12</f>
        <v>339.20064285015405</v>
      </c>
      <c r="AN196" s="59">
        <f ca="1">AVERAGE(OFFSET($AM$3,0,0,'Données projet'!$E$10+1,1))-AVERAGE(OFFSET($H$3,0,0,'Données projet'!$E$10+1,1))</f>
        <v>733.95677909577444</v>
      </c>
      <c r="AO196" s="59">
        <f t="shared" si="144"/>
        <v>264.63778993239799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190.69461704674214</v>
      </c>
      <c r="AV196" s="21">
        <f>EXP(-LN(2)/25)*AV195+(1-EXP(-LN(2)/25))/(LN(2)/25)*Calculateur!AQ196*Calculateur!AS196*VLOOKUP('Données projet'!$B$10,Paramètres!$A$1:$I$89,3,0)*0.475*44/12</f>
        <v>0</v>
      </c>
      <c r="AW196" s="21">
        <f>EXP(-LN(2)/2)*AW195+(1-EXP(-LN(2)/2))/(LN(2)/2)*AQ196*AT196*VLOOKUP('Données projet'!$B$10,Paramètres!$A$1:$I$89,3,0)*0.475*44/12</f>
        <v>0</v>
      </c>
      <c r="AX196" s="21">
        <f t="shared" si="166"/>
        <v>190.69461704674214</v>
      </c>
      <c r="AY196" s="7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0</v>
      </c>
      <c r="BE196" s="13">
        <f>BD196*VLOOKUP('Données projet'!$B$11,Paramètres!$A$1:$I$89,3,0)*VLOOKUP('Données projet'!$B$11,Paramètres!$A$1:$I$89,5,0)</f>
        <v>0</v>
      </c>
      <c r="BF196" s="13" t="e">
        <f t="shared" si="167"/>
        <v>#NUM!</v>
      </c>
      <c r="BG196" s="20" t="e">
        <f t="shared" si="168"/>
        <v>#NUM!</v>
      </c>
      <c r="BH196" s="59" t="e">
        <f t="shared" ref="BH196:BH203" si="194">BG196+(AY196+AZ196)*44/12</f>
        <v>#NUM!</v>
      </c>
      <c r="BI196" s="59">
        <f ca="1">AVERAGE(OFFSET($BH$3,0,0,'Données projet'!$E$11+1,1))-AVERAGE(OFFSET($H$3,0,0,'Données projet'!$E$11+1,1))</f>
        <v>187.80389738728508</v>
      </c>
      <c r="BJ196" s="59">
        <f t="shared" si="146"/>
        <v>439.28159165815265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4.8951042458175298</v>
      </c>
      <c r="BQ196" s="21">
        <f>EXP(-LN(2)/25)*BQ195+(1-EXP(-LN(2)/25))/(LN(2)/25)*Calculateur!BL196*Calculateur!BN196*VLOOKUP('Données projet'!$B$11,Paramètres!$A$1:$I$89,3,0)*0.475*44/12</f>
        <v>0.156661417976209</v>
      </c>
      <c r="BR196" s="21">
        <f>EXP(-LN(2)/2)*BR195+(1-EXP(-LN(2)/2))/(LN(2)/2)*BL196*BO196*VLOOKUP('Données projet'!$B$11,Paramètres!$A$1:$I$89,3,0)*0.475*44/12</f>
        <v>1.3149251519126084E-26</v>
      </c>
      <c r="BS196" s="22">
        <f t="shared" si="169"/>
        <v>5.0517656637937387</v>
      </c>
      <c r="BT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0</v>
      </c>
      <c r="BZ196" s="13" t="e">
        <f>BY196*VLOOKUP('Données projet'!$B$12,Paramètres!$A$1:$I$89,3,0)*VLOOKUP('Données projet'!$B$12,Paramètres!$A$1:$I$89,5,0)</f>
        <v>#N/A</v>
      </c>
      <c r="CA196" s="13" t="e">
        <f t="shared" si="170"/>
        <v>#N/A</v>
      </c>
      <c r="CB196" s="20" t="e">
        <f t="shared" si="171"/>
        <v>#N/A</v>
      </c>
      <c r="CC196" s="59" t="e">
        <f t="shared" ref="CC196:CC203" si="195">CB196+(BT196+BU196)*44/12</f>
        <v>#N/A</v>
      </c>
      <c r="CD196" s="59" t="e">
        <f ca="1">AVERAGE(OFFSET($CC$3,0,0,'Données projet'!$E$12+1,1))-AVERAGE(OFFSET($H$3,0,0,'Données projet'!$E$12+1,1))</f>
        <v>#N/A</v>
      </c>
      <c r="CE196" s="59" t="e">
        <f t="shared" si="148"/>
        <v>#N/A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 t="e">
        <f>EXP(-LN(2)/35)*CK195+(1-EXP(-LN(2)/35))/(LN(2)/35)*CG196*CH196*VLOOKUP('Données projet'!$B$12,Paramètres!$A$1:$I$89,3,0)*0.475*44/12</f>
        <v>#N/A</v>
      </c>
      <c r="CL196" s="21" t="e">
        <f>EXP(-LN(2)/25)*CL195+(1-EXP(-LN(2)/25))/(LN(2)/25)*Calculateur!CG196*Calculateur!CI196*VLOOKUP('Données projet'!$B$12,Paramètres!$A$1:$I$89,3,0)*0.475*44/12</f>
        <v>#N/A</v>
      </c>
      <c r="CM196" s="21" t="e">
        <f>EXP(-LN(2)/2)*CM195+(1-EXP(-LN(2)/2))/(LN(2)/2)*CG196*CJ196*VLOOKUP('Données projet'!$B$12,Paramètres!$A$1:$I$89,3,0)*0.475*44/12</f>
        <v>#N/A</v>
      </c>
      <c r="CN196" s="22" t="e">
        <f t="shared" si="172"/>
        <v>#N/A</v>
      </c>
      <c r="CO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35">
      <c r="A197" s="10">
        <f t="shared" si="161"/>
        <v>194</v>
      </c>
      <c r="B197" s="72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1">
        <f t="shared" ref="D197:D203" si="202">IFERROR(EXP(-1.0587+0.8836*LN(C197)+0.284),0)</f>
        <v>0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66">
        <f t="shared" si="192"/>
        <v>256.66666666666669</v>
      </c>
      <c r="I197" s="6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20.879999999999939</v>
      </c>
      <c r="O197" s="13">
        <f>N197*VLOOKUP('Données projet'!$B$9,Paramètres!$A$1:$I$89,3,0)*VLOOKUP('Données projet'!$B$9,Paramètres!$A$1:$I$89,5,0)</f>
        <v>18.892223999999942</v>
      </c>
      <c r="P197" s="13">
        <f t="shared" ref="P197:P203" si="203">EXP(-1.0587+0.8836*LN(O197)+0.284)</f>
        <v>6.184089977612083</v>
      </c>
      <c r="Q197" s="20">
        <f t="shared" si="162"/>
        <v>43.674580177674272</v>
      </c>
      <c r="R197" s="59">
        <f t="shared" si="191"/>
        <v>337.00791351100759</v>
      </c>
      <c r="S197" s="59">
        <f ca="1">AVERAGE(OFFSET($R$3,0,0,'Données projet'!$E$9+1,1))-AVERAGE(OFFSET($H$3,0,0,'Données projet'!$E$9+1,1))</f>
        <v>700.22008319944644</v>
      </c>
      <c r="T197" s="59">
        <f t="shared" ref="T197:T203" si="204">$T$3</f>
        <v>253.69632671986739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177.76069329973515</v>
      </c>
      <c r="AA197" s="21">
        <f>EXP(-LN(2)/25)*AA196+(1-EXP(-LN(2)/25))/(LN(2)/25)*Calculateur!V197*Calculateur!X197*VLOOKUP('Données projet'!$B$9,Paramètres!$A$1:$I$89,3,0)*0.475*44/12</f>
        <v>0</v>
      </c>
      <c r="AB197" s="21">
        <f>EXP(-LN(2)/2)*AB196+(1-EXP(-LN(2)/2))/(LN(2)/2)*V197*Y197*VLOOKUP('Données projet'!$B$9,Paramètres!$A$1:$I$89,3,0)*0.475*44/12</f>
        <v>0</v>
      </c>
      <c r="AC197" s="22">
        <f t="shared" si="163"/>
        <v>177.76069329973515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20.879999999999939</v>
      </c>
      <c r="AJ197" s="13">
        <f>AI197*VLOOKUP('Données projet'!$B$10,Paramètres!$A$1:$I$89,3,0)*VLOOKUP('Données projet'!$B$10,Paramètres!$A$1:$I$89,5,0)</f>
        <v>19.86940799999994</v>
      </c>
      <c r="AK197" s="13">
        <f t="shared" si="164"/>
        <v>6.4658893302320672</v>
      </c>
      <c r="AL197" s="20">
        <f t="shared" si="165"/>
        <v>45.86730951682074</v>
      </c>
      <c r="AM197" s="59">
        <f t="shared" si="193"/>
        <v>339.20064285015405</v>
      </c>
      <c r="AN197" s="59">
        <f ca="1">AVERAGE(OFFSET($AM$3,0,0,'Données projet'!$E$10+1,1))-AVERAGE(OFFSET($H$3,0,0,'Données projet'!$E$10+1,1))</f>
        <v>733.95677909577444</v>
      </c>
      <c r="AO197" s="59">
        <f t="shared" ref="AO197:AO203" si="205">$AO$3</f>
        <v>264.63778993239799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186.95521191868704</v>
      </c>
      <c r="AV197" s="21">
        <f>EXP(-LN(2)/25)*AV196+(1-EXP(-LN(2)/25))/(LN(2)/25)*Calculateur!AQ197*Calculateur!AS197*VLOOKUP('Données projet'!$B$10,Paramètres!$A$1:$I$89,3,0)*0.475*44/12</f>
        <v>0</v>
      </c>
      <c r="AW197" s="21">
        <f>EXP(-LN(2)/2)*AW196+(1-EXP(-LN(2)/2))/(LN(2)/2)*AQ197*AT197*VLOOKUP('Données projet'!$B$10,Paramètres!$A$1:$I$89,3,0)*0.475*44/12</f>
        <v>0</v>
      </c>
      <c r="AX197" s="21">
        <f t="shared" si="166"/>
        <v>186.95521191868704</v>
      </c>
      <c r="AY197" s="7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0</v>
      </c>
      <c r="BE197" s="13">
        <f>BD197*VLOOKUP('Données projet'!$B$11,Paramètres!$A$1:$I$89,3,0)*VLOOKUP('Données projet'!$B$11,Paramètres!$A$1:$I$89,5,0)</f>
        <v>0</v>
      </c>
      <c r="BF197" s="13" t="e">
        <f t="shared" si="167"/>
        <v>#NUM!</v>
      </c>
      <c r="BG197" s="20" t="e">
        <f t="shared" si="168"/>
        <v>#NUM!</v>
      </c>
      <c r="BH197" s="59" t="e">
        <f t="shared" si="194"/>
        <v>#NUM!</v>
      </c>
      <c r="BI197" s="59">
        <f ca="1">AVERAGE(OFFSET($BH$3,0,0,'Données projet'!$E$11+1,1))-AVERAGE(OFFSET($H$3,0,0,'Données projet'!$E$11+1,1))</f>
        <v>187.80389738728508</v>
      </c>
      <c r="BJ197" s="59">
        <f t="shared" ref="BJ197:BJ203" si="206">$BJ$3</f>
        <v>439.28159165815265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4.7991142372758224</v>
      </c>
      <c r="BQ197" s="21">
        <f>EXP(-LN(2)/25)*BQ196+(1-EXP(-LN(2)/25))/(LN(2)/25)*Calculateur!BL197*Calculateur!BN197*VLOOKUP('Données projet'!$B$11,Paramètres!$A$1:$I$89,3,0)*0.475*44/12</f>
        <v>0.15237750326318364</v>
      </c>
      <c r="BR197" s="21">
        <f>EXP(-LN(2)/2)*BR196+(1-EXP(-LN(2)/2))/(LN(2)/2)*BL197*BO197*VLOOKUP('Données projet'!$B$11,Paramètres!$A$1:$I$89,3,0)*0.475*44/12</f>
        <v>9.2979249167015658E-27</v>
      </c>
      <c r="BS197" s="22">
        <f t="shared" si="169"/>
        <v>4.951491740539006</v>
      </c>
      <c r="BT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0</v>
      </c>
      <c r="BZ197" s="13" t="e">
        <f>BY197*VLOOKUP('Données projet'!$B$12,Paramètres!$A$1:$I$89,3,0)*VLOOKUP('Données projet'!$B$12,Paramètres!$A$1:$I$89,5,0)</f>
        <v>#N/A</v>
      </c>
      <c r="CA197" s="13" t="e">
        <f t="shared" si="170"/>
        <v>#N/A</v>
      </c>
      <c r="CB197" s="20" t="e">
        <f t="shared" si="171"/>
        <v>#N/A</v>
      </c>
      <c r="CC197" s="59" t="e">
        <f t="shared" si="195"/>
        <v>#N/A</v>
      </c>
      <c r="CD197" s="59" t="e">
        <f ca="1">AVERAGE(OFFSET($CC$3,0,0,'Données projet'!$E$12+1,1))-AVERAGE(OFFSET($H$3,0,0,'Données projet'!$E$12+1,1))</f>
        <v>#N/A</v>
      </c>
      <c r="CE197" s="59" t="e">
        <f t="shared" ref="CE197:CE203" si="207">$CE$3</f>
        <v>#N/A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 t="e">
        <f>EXP(-LN(2)/35)*CK196+(1-EXP(-LN(2)/35))/(LN(2)/35)*CG197*CH197*VLOOKUP('Données projet'!$B$12,Paramètres!$A$1:$I$89,3,0)*0.475*44/12</f>
        <v>#N/A</v>
      </c>
      <c r="CL197" s="21" t="e">
        <f>EXP(-LN(2)/25)*CL196+(1-EXP(-LN(2)/25))/(LN(2)/25)*Calculateur!CG197*Calculateur!CI197*VLOOKUP('Données projet'!$B$12,Paramètres!$A$1:$I$89,3,0)*0.475*44/12</f>
        <v>#N/A</v>
      </c>
      <c r="CM197" s="21" t="e">
        <f>EXP(-LN(2)/2)*CM196+(1-EXP(-LN(2)/2))/(LN(2)/2)*CG197*CJ197*VLOOKUP('Données projet'!$B$12,Paramètres!$A$1:$I$89,3,0)*0.475*44/12</f>
        <v>#N/A</v>
      </c>
      <c r="CN197" s="22" t="e">
        <f t="shared" si="172"/>
        <v>#N/A</v>
      </c>
      <c r="CO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35">
      <c r="A198" s="10">
        <f t="shared" si="161"/>
        <v>195</v>
      </c>
      <c r="B198" s="72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1">
        <f t="shared" si="202"/>
        <v>0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66">
        <f t="shared" si="192"/>
        <v>256.66666666666669</v>
      </c>
      <c r="I198" s="6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20.879999999999939</v>
      </c>
      <c r="O198" s="13">
        <f>N198*VLOOKUP('Données projet'!$B$9,Paramètres!$A$1:$I$89,3,0)*VLOOKUP('Données projet'!$B$9,Paramètres!$A$1:$I$89,5,0)</f>
        <v>18.892223999999942</v>
      </c>
      <c r="P198" s="13">
        <f t="shared" si="203"/>
        <v>6.184089977612083</v>
      </c>
      <c r="Q198" s="20">
        <f t="shared" si="162"/>
        <v>43.674580177674272</v>
      </c>
      <c r="R198" s="59">
        <f t="shared" si="191"/>
        <v>337.00791351100759</v>
      </c>
      <c r="S198" s="59">
        <f ca="1">AVERAGE(OFFSET($R$3,0,0,'Données projet'!$E$9+1,1))-AVERAGE(OFFSET($H$3,0,0,'Données projet'!$E$9+1,1))</f>
        <v>700.22008319944644</v>
      </c>
      <c r="T198" s="59">
        <f t="shared" si="204"/>
        <v>253.69632671986739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174.27491452744434</v>
      </c>
      <c r="AA198" s="21">
        <f>EXP(-LN(2)/25)*AA197+(1-EXP(-LN(2)/25))/(LN(2)/25)*Calculateur!V198*Calculateur!X198*VLOOKUP('Données projet'!$B$9,Paramètres!$A$1:$I$89,3,0)*0.475*44/12</f>
        <v>0</v>
      </c>
      <c r="AB198" s="21">
        <f>EXP(-LN(2)/2)*AB197+(1-EXP(-LN(2)/2))/(LN(2)/2)*V198*Y198*VLOOKUP('Données projet'!$B$9,Paramètres!$A$1:$I$89,3,0)*0.475*44/12</f>
        <v>0</v>
      </c>
      <c r="AC198" s="22">
        <f t="shared" si="163"/>
        <v>174.27491452744434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20.879999999999939</v>
      </c>
      <c r="AJ198" s="13">
        <f>AI198*VLOOKUP('Données projet'!$B$10,Paramètres!$A$1:$I$89,3,0)*VLOOKUP('Données projet'!$B$10,Paramètres!$A$1:$I$89,5,0)</f>
        <v>19.86940799999994</v>
      </c>
      <c r="AK198" s="13">
        <f t="shared" si="164"/>
        <v>6.4658893302320672</v>
      </c>
      <c r="AL198" s="20">
        <f t="shared" si="165"/>
        <v>45.86730951682074</v>
      </c>
      <c r="AM198" s="59">
        <f t="shared" si="193"/>
        <v>339.20064285015405</v>
      </c>
      <c r="AN198" s="59">
        <f ca="1">AVERAGE(OFFSET($AM$3,0,0,'Données projet'!$E$10+1,1))-AVERAGE(OFFSET($H$3,0,0,'Données projet'!$E$10+1,1))</f>
        <v>733.95677909577444</v>
      </c>
      <c r="AO198" s="59">
        <f t="shared" si="205"/>
        <v>264.63778993239799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183.28913424438119</v>
      </c>
      <c r="AV198" s="21">
        <f>EXP(-LN(2)/25)*AV197+(1-EXP(-LN(2)/25))/(LN(2)/25)*Calculateur!AQ198*Calculateur!AS198*VLOOKUP('Données projet'!$B$10,Paramètres!$A$1:$I$89,3,0)*0.475*44/12</f>
        <v>0</v>
      </c>
      <c r="AW198" s="21">
        <f>EXP(-LN(2)/2)*AW197+(1-EXP(-LN(2)/2))/(LN(2)/2)*AQ198*AT198*VLOOKUP('Données projet'!$B$10,Paramètres!$A$1:$I$89,3,0)*0.475*44/12</f>
        <v>0</v>
      </c>
      <c r="AX198" s="21">
        <f t="shared" si="166"/>
        <v>183.28913424438119</v>
      </c>
      <c r="AY198" s="7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0</v>
      </c>
      <c r="BE198" s="13">
        <f>BD198*VLOOKUP('Données projet'!$B$11,Paramètres!$A$1:$I$89,3,0)*VLOOKUP('Données projet'!$B$11,Paramètres!$A$1:$I$89,5,0)</f>
        <v>0</v>
      </c>
      <c r="BF198" s="13" t="e">
        <f t="shared" si="167"/>
        <v>#NUM!</v>
      </c>
      <c r="BG198" s="20" t="e">
        <f t="shared" si="168"/>
        <v>#NUM!</v>
      </c>
      <c r="BH198" s="59" t="e">
        <f t="shared" si="194"/>
        <v>#NUM!</v>
      </c>
      <c r="BI198" s="59">
        <f ca="1">AVERAGE(OFFSET($BH$3,0,0,'Données projet'!$E$11+1,1))-AVERAGE(OFFSET($H$3,0,0,'Données projet'!$E$11+1,1))</f>
        <v>187.80389738728508</v>
      </c>
      <c r="BJ198" s="59">
        <f t="shared" si="206"/>
        <v>439.28159165815265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4.7050065342534939</v>
      </c>
      <c r="BQ198" s="21">
        <f>EXP(-LN(2)/25)*BQ197+(1-EXP(-LN(2)/25))/(LN(2)/25)*Calculateur!BL198*Calculateur!BN198*VLOOKUP('Données projet'!$B$11,Paramètres!$A$1:$I$89,3,0)*0.475*44/12</f>
        <v>0.14821073242326724</v>
      </c>
      <c r="BR198" s="21">
        <f>EXP(-LN(2)/2)*BR197+(1-EXP(-LN(2)/2))/(LN(2)/2)*BL198*BO198*VLOOKUP('Données projet'!$B$11,Paramètres!$A$1:$I$89,3,0)*0.475*44/12</f>
        <v>6.5746257595630422E-27</v>
      </c>
      <c r="BS198" s="22">
        <f t="shared" si="169"/>
        <v>4.8532172666767615</v>
      </c>
      <c r="BT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0</v>
      </c>
      <c r="BZ198" s="13" t="e">
        <f>BY198*VLOOKUP('Données projet'!$B$12,Paramètres!$A$1:$I$89,3,0)*VLOOKUP('Données projet'!$B$12,Paramètres!$A$1:$I$89,5,0)</f>
        <v>#N/A</v>
      </c>
      <c r="CA198" s="13" t="e">
        <f t="shared" si="170"/>
        <v>#N/A</v>
      </c>
      <c r="CB198" s="20" t="e">
        <f t="shared" si="171"/>
        <v>#N/A</v>
      </c>
      <c r="CC198" s="59" t="e">
        <f t="shared" si="195"/>
        <v>#N/A</v>
      </c>
      <c r="CD198" s="59" t="e">
        <f ca="1">AVERAGE(OFFSET($CC$3,0,0,'Données projet'!$E$12+1,1))-AVERAGE(OFFSET($H$3,0,0,'Données projet'!$E$12+1,1))</f>
        <v>#N/A</v>
      </c>
      <c r="CE198" s="59" t="e">
        <f t="shared" si="207"/>
        <v>#N/A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 t="e">
        <f>EXP(-LN(2)/35)*CK197+(1-EXP(-LN(2)/35))/(LN(2)/35)*CG198*CH198*VLOOKUP('Données projet'!$B$12,Paramètres!$A$1:$I$89,3,0)*0.475*44/12</f>
        <v>#N/A</v>
      </c>
      <c r="CL198" s="21" t="e">
        <f>EXP(-LN(2)/25)*CL197+(1-EXP(-LN(2)/25))/(LN(2)/25)*Calculateur!CG198*Calculateur!CI198*VLOOKUP('Données projet'!$B$12,Paramètres!$A$1:$I$89,3,0)*0.475*44/12</f>
        <v>#N/A</v>
      </c>
      <c r="CM198" s="21" t="e">
        <f>EXP(-LN(2)/2)*CM197+(1-EXP(-LN(2)/2))/(LN(2)/2)*CG198*CJ198*VLOOKUP('Données projet'!$B$12,Paramètres!$A$1:$I$89,3,0)*0.475*44/12</f>
        <v>#N/A</v>
      </c>
      <c r="CN198" s="22" t="e">
        <f t="shared" si="172"/>
        <v>#N/A</v>
      </c>
      <c r="CO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35">
      <c r="A199" s="10">
        <f t="shared" si="161"/>
        <v>196</v>
      </c>
      <c r="B199" s="72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1">
        <f t="shared" si="202"/>
        <v>0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66">
        <f t="shared" si="192"/>
        <v>256.66666666666669</v>
      </c>
      <c r="I199" s="6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20.879999999999939</v>
      </c>
      <c r="O199" s="13">
        <f>N199*VLOOKUP('Données projet'!$B$9,Paramètres!$A$1:$I$89,3,0)*VLOOKUP('Données projet'!$B$9,Paramètres!$A$1:$I$89,5,0)</f>
        <v>18.892223999999942</v>
      </c>
      <c r="P199" s="13">
        <f t="shared" si="203"/>
        <v>6.184089977612083</v>
      </c>
      <c r="Q199" s="20">
        <f t="shared" si="162"/>
        <v>43.674580177674272</v>
      </c>
      <c r="R199" s="59">
        <f t="shared" si="191"/>
        <v>337.00791351100759</v>
      </c>
      <c r="S199" s="59">
        <f ca="1">AVERAGE(OFFSET($R$3,0,0,'Données projet'!$E$9+1,1))-AVERAGE(OFFSET($H$3,0,0,'Données projet'!$E$9+1,1))</f>
        <v>700.22008319944644</v>
      </c>
      <c r="T199" s="59">
        <f t="shared" si="204"/>
        <v>253.69632671986739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170.85748975076305</v>
      </c>
      <c r="AA199" s="21">
        <f>EXP(-LN(2)/25)*AA198+(1-EXP(-LN(2)/25))/(LN(2)/25)*Calculateur!V199*Calculateur!X199*VLOOKUP('Données projet'!$B$9,Paramètres!$A$1:$I$89,3,0)*0.475*44/12</f>
        <v>0</v>
      </c>
      <c r="AB199" s="21">
        <f>EXP(-LN(2)/2)*AB198+(1-EXP(-LN(2)/2))/(LN(2)/2)*V199*Y199*VLOOKUP('Données projet'!$B$9,Paramètres!$A$1:$I$89,3,0)*0.475*44/12</f>
        <v>0</v>
      </c>
      <c r="AC199" s="22">
        <f t="shared" si="163"/>
        <v>170.85748975076305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20.879999999999939</v>
      </c>
      <c r="AJ199" s="13">
        <f>AI199*VLOOKUP('Données projet'!$B$10,Paramètres!$A$1:$I$89,3,0)*VLOOKUP('Données projet'!$B$10,Paramètres!$A$1:$I$89,5,0)</f>
        <v>19.86940799999994</v>
      </c>
      <c r="AK199" s="13">
        <f t="shared" si="164"/>
        <v>6.4658893302320672</v>
      </c>
      <c r="AL199" s="20">
        <f t="shared" si="165"/>
        <v>45.86730951682074</v>
      </c>
      <c r="AM199" s="59">
        <f t="shared" si="193"/>
        <v>339.20064285015405</v>
      </c>
      <c r="AN199" s="59">
        <f ca="1">AVERAGE(OFFSET($AM$3,0,0,'Données projet'!$E$10+1,1))-AVERAGE(OFFSET($H$3,0,0,'Données projet'!$E$10+1,1))</f>
        <v>733.95677909577444</v>
      </c>
      <c r="AO199" s="59">
        <f t="shared" si="205"/>
        <v>264.63778993239799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179.6949461171819</v>
      </c>
      <c r="AV199" s="21">
        <f>EXP(-LN(2)/25)*AV198+(1-EXP(-LN(2)/25))/(LN(2)/25)*Calculateur!AQ199*Calculateur!AS199*VLOOKUP('Données projet'!$B$10,Paramètres!$A$1:$I$89,3,0)*0.475*44/12</f>
        <v>0</v>
      </c>
      <c r="AW199" s="21">
        <f>EXP(-LN(2)/2)*AW198+(1-EXP(-LN(2)/2))/(LN(2)/2)*AQ199*AT199*VLOOKUP('Données projet'!$B$10,Paramètres!$A$1:$I$89,3,0)*0.475*44/12</f>
        <v>0</v>
      </c>
      <c r="AX199" s="21">
        <f t="shared" si="166"/>
        <v>179.6949461171819</v>
      </c>
      <c r="AY199" s="7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0</v>
      </c>
      <c r="BE199" s="13">
        <f>BD199*VLOOKUP('Données projet'!$B$11,Paramètres!$A$1:$I$89,3,0)*VLOOKUP('Données projet'!$B$11,Paramètres!$A$1:$I$89,5,0)</f>
        <v>0</v>
      </c>
      <c r="BF199" s="13" t="e">
        <f t="shared" si="167"/>
        <v>#NUM!</v>
      </c>
      <c r="BG199" s="20" t="e">
        <f t="shared" si="168"/>
        <v>#NUM!</v>
      </c>
      <c r="BH199" s="59" t="e">
        <f t="shared" si="194"/>
        <v>#NUM!</v>
      </c>
      <c r="BI199" s="59">
        <f ca="1">AVERAGE(OFFSET($BH$3,0,0,'Données projet'!$E$11+1,1))-AVERAGE(OFFSET($H$3,0,0,'Données projet'!$E$11+1,1))</f>
        <v>187.80389738728508</v>
      </c>
      <c r="BJ199" s="59">
        <f t="shared" si="206"/>
        <v>439.28159165815265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4.6127442258874023</v>
      </c>
      <c r="BQ199" s="21">
        <f>EXP(-LN(2)/25)*BQ198+(1-EXP(-LN(2)/25))/(LN(2)/25)*Calculateur!BL199*Calculateur!BN199*VLOOKUP('Données projet'!$B$11,Paramètres!$A$1:$I$89,3,0)*0.475*44/12</f>
        <v>0.14415790215108931</v>
      </c>
      <c r="BR199" s="21">
        <f>EXP(-LN(2)/2)*BR198+(1-EXP(-LN(2)/2))/(LN(2)/2)*BL199*BO199*VLOOKUP('Données projet'!$B$11,Paramètres!$A$1:$I$89,3,0)*0.475*44/12</f>
        <v>4.6489624583507829E-27</v>
      </c>
      <c r="BS199" s="22">
        <f t="shared" si="169"/>
        <v>4.756902128038492</v>
      </c>
      <c r="BT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0</v>
      </c>
      <c r="BZ199" s="13" t="e">
        <f>BY199*VLOOKUP('Données projet'!$B$12,Paramètres!$A$1:$I$89,3,0)*VLOOKUP('Données projet'!$B$12,Paramètres!$A$1:$I$89,5,0)</f>
        <v>#N/A</v>
      </c>
      <c r="CA199" s="13" t="e">
        <f t="shared" si="170"/>
        <v>#N/A</v>
      </c>
      <c r="CB199" s="20" t="e">
        <f t="shared" si="171"/>
        <v>#N/A</v>
      </c>
      <c r="CC199" s="59" t="e">
        <f t="shared" si="195"/>
        <v>#N/A</v>
      </c>
      <c r="CD199" s="59" t="e">
        <f ca="1">AVERAGE(OFFSET($CC$3,0,0,'Données projet'!$E$12+1,1))-AVERAGE(OFFSET($H$3,0,0,'Données projet'!$E$12+1,1))</f>
        <v>#N/A</v>
      </c>
      <c r="CE199" s="59" t="e">
        <f t="shared" si="207"/>
        <v>#N/A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 t="e">
        <f>EXP(-LN(2)/35)*CK198+(1-EXP(-LN(2)/35))/(LN(2)/35)*CG199*CH199*VLOOKUP('Données projet'!$B$12,Paramètres!$A$1:$I$89,3,0)*0.475*44/12</f>
        <v>#N/A</v>
      </c>
      <c r="CL199" s="21" t="e">
        <f>EXP(-LN(2)/25)*CL198+(1-EXP(-LN(2)/25))/(LN(2)/25)*Calculateur!CG199*Calculateur!CI199*VLOOKUP('Données projet'!$B$12,Paramètres!$A$1:$I$89,3,0)*0.475*44/12</f>
        <v>#N/A</v>
      </c>
      <c r="CM199" s="21" t="e">
        <f>EXP(-LN(2)/2)*CM198+(1-EXP(-LN(2)/2))/(LN(2)/2)*CG199*CJ199*VLOOKUP('Données projet'!$B$12,Paramètres!$A$1:$I$89,3,0)*0.475*44/12</f>
        <v>#N/A</v>
      </c>
      <c r="CN199" s="22" t="e">
        <f t="shared" si="172"/>
        <v>#N/A</v>
      </c>
      <c r="CO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35">
      <c r="A200" s="10">
        <f t="shared" si="161"/>
        <v>197</v>
      </c>
      <c r="B200" s="72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1">
        <f t="shared" si="202"/>
        <v>0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66">
        <f t="shared" si="192"/>
        <v>256.66666666666669</v>
      </c>
      <c r="I200" s="6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20.879999999999939</v>
      </c>
      <c r="O200" s="13">
        <f>N200*VLOOKUP('Données projet'!$B$9,Paramètres!$A$1:$I$89,3,0)*VLOOKUP('Données projet'!$B$9,Paramètres!$A$1:$I$89,5,0)</f>
        <v>18.892223999999942</v>
      </c>
      <c r="P200" s="13">
        <f t="shared" si="203"/>
        <v>6.184089977612083</v>
      </c>
      <c r="Q200" s="20">
        <f t="shared" si="162"/>
        <v>43.674580177674272</v>
      </c>
      <c r="R200" s="59">
        <f t="shared" si="191"/>
        <v>337.00791351100759</v>
      </c>
      <c r="S200" s="59">
        <f ca="1">AVERAGE(OFFSET($R$3,0,0,'Données projet'!$E$9+1,1))-AVERAGE(OFFSET($H$3,0,0,'Données projet'!$E$9+1,1))</f>
        <v>700.22008319944644</v>
      </c>
      <c r="T200" s="59">
        <f t="shared" si="204"/>
        <v>253.69632671986739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167.50707858952919</v>
      </c>
      <c r="AA200" s="21">
        <f>EXP(-LN(2)/25)*AA199+(1-EXP(-LN(2)/25))/(LN(2)/25)*Calculateur!V200*Calculateur!X200*VLOOKUP('Données projet'!$B$9,Paramètres!$A$1:$I$89,3,0)*0.475*44/12</f>
        <v>0</v>
      </c>
      <c r="AB200" s="21">
        <f>EXP(-LN(2)/2)*AB199+(1-EXP(-LN(2)/2))/(LN(2)/2)*V200*Y200*VLOOKUP('Données projet'!$B$9,Paramètres!$A$1:$I$89,3,0)*0.475*44/12</f>
        <v>0</v>
      </c>
      <c r="AC200" s="22">
        <f t="shared" si="163"/>
        <v>167.50707858952919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20.879999999999939</v>
      </c>
      <c r="AJ200" s="13">
        <f>AI200*VLOOKUP('Données projet'!$B$10,Paramètres!$A$1:$I$89,3,0)*VLOOKUP('Données projet'!$B$10,Paramètres!$A$1:$I$89,5,0)</f>
        <v>19.86940799999994</v>
      </c>
      <c r="AK200" s="13">
        <f t="shared" si="164"/>
        <v>6.4658893302320672</v>
      </c>
      <c r="AL200" s="20">
        <f t="shared" si="165"/>
        <v>45.86730951682074</v>
      </c>
      <c r="AM200" s="59">
        <f t="shared" si="193"/>
        <v>339.20064285015405</v>
      </c>
      <c r="AN200" s="59">
        <f ca="1">AVERAGE(OFFSET($AM$3,0,0,'Données projet'!$E$10+1,1))-AVERAGE(OFFSET($H$3,0,0,'Données projet'!$E$10+1,1))</f>
        <v>733.95677909577444</v>
      </c>
      <c r="AO200" s="59">
        <f t="shared" si="205"/>
        <v>264.63778993239799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176.17123782691868</v>
      </c>
      <c r="AV200" s="21">
        <f>EXP(-LN(2)/25)*AV199+(1-EXP(-LN(2)/25))/(LN(2)/25)*Calculateur!AQ200*Calculateur!AS200*VLOOKUP('Données projet'!$B$10,Paramètres!$A$1:$I$89,3,0)*0.475*44/12</f>
        <v>0</v>
      </c>
      <c r="AW200" s="21">
        <f>EXP(-LN(2)/2)*AW199+(1-EXP(-LN(2)/2))/(LN(2)/2)*AQ200*AT200*VLOOKUP('Données projet'!$B$10,Paramètres!$A$1:$I$89,3,0)*0.475*44/12</f>
        <v>0</v>
      </c>
      <c r="AX200" s="21">
        <f t="shared" si="166"/>
        <v>176.17123782691868</v>
      </c>
      <c r="AY200" s="7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0</v>
      </c>
      <c r="BE200" s="13">
        <f>BD200*VLOOKUP('Données projet'!$B$11,Paramètres!$A$1:$I$89,3,0)*VLOOKUP('Données projet'!$B$11,Paramètres!$A$1:$I$89,5,0)</f>
        <v>0</v>
      </c>
      <c r="BF200" s="13" t="e">
        <f t="shared" si="167"/>
        <v>#NUM!</v>
      </c>
      <c r="BG200" s="20" t="e">
        <f t="shared" si="168"/>
        <v>#NUM!</v>
      </c>
      <c r="BH200" s="59" t="e">
        <f t="shared" si="194"/>
        <v>#NUM!</v>
      </c>
      <c r="BI200" s="59">
        <f ca="1">AVERAGE(OFFSET($BH$3,0,0,'Données projet'!$E$11+1,1))-AVERAGE(OFFSET($H$3,0,0,'Données projet'!$E$11+1,1))</f>
        <v>187.80389738728508</v>
      </c>
      <c r="BJ200" s="59">
        <f t="shared" si="206"/>
        <v>439.28159165815265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4.5222911251139184</v>
      </c>
      <c r="BQ200" s="21">
        <f>EXP(-LN(2)/25)*BQ199+(1-EXP(-LN(2)/25))/(LN(2)/25)*Calculateur!BL200*Calculateur!BN200*VLOOKUP('Données projet'!$B$11,Paramètres!$A$1:$I$89,3,0)*0.475*44/12</f>
        <v>0.14021589673583318</v>
      </c>
      <c r="BR200" s="21">
        <f>EXP(-LN(2)/2)*BR199+(1-EXP(-LN(2)/2))/(LN(2)/2)*BL200*BO200*VLOOKUP('Données projet'!$B$11,Paramètres!$A$1:$I$89,3,0)*0.475*44/12</f>
        <v>3.2873128797815211E-27</v>
      </c>
      <c r="BS200" s="22">
        <f t="shared" si="169"/>
        <v>4.662507021849752</v>
      </c>
      <c r="BT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0</v>
      </c>
      <c r="BZ200" s="13" t="e">
        <f>BY200*VLOOKUP('Données projet'!$B$12,Paramètres!$A$1:$I$89,3,0)*VLOOKUP('Données projet'!$B$12,Paramètres!$A$1:$I$89,5,0)</f>
        <v>#N/A</v>
      </c>
      <c r="CA200" s="13" t="e">
        <f t="shared" si="170"/>
        <v>#N/A</v>
      </c>
      <c r="CB200" s="20" t="e">
        <f t="shared" si="171"/>
        <v>#N/A</v>
      </c>
      <c r="CC200" s="59" t="e">
        <f t="shared" si="195"/>
        <v>#N/A</v>
      </c>
      <c r="CD200" s="59" t="e">
        <f ca="1">AVERAGE(OFFSET($CC$3,0,0,'Données projet'!$E$12+1,1))-AVERAGE(OFFSET($H$3,0,0,'Données projet'!$E$12+1,1))</f>
        <v>#N/A</v>
      </c>
      <c r="CE200" s="59" t="e">
        <f t="shared" si="207"/>
        <v>#N/A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 t="e">
        <f>EXP(-LN(2)/35)*CK199+(1-EXP(-LN(2)/35))/(LN(2)/35)*CG200*CH200*VLOOKUP('Données projet'!$B$12,Paramètres!$A$1:$I$89,3,0)*0.475*44/12</f>
        <v>#N/A</v>
      </c>
      <c r="CL200" s="21" t="e">
        <f>EXP(-LN(2)/25)*CL199+(1-EXP(-LN(2)/25))/(LN(2)/25)*Calculateur!CG200*Calculateur!CI200*VLOOKUP('Données projet'!$B$12,Paramètres!$A$1:$I$89,3,0)*0.475*44/12</f>
        <v>#N/A</v>
      </c>
      <c r="CM200" s="21" t="e">
        <f>EXP(-LN(2)/2)*CM199+(1-EXP(-LN(2)/2))/(LN(2)/2)*CG200*CJ200*VLOOKUP('Données projet'!$B$12,Paramètres!$A$1:$I$89,3,0)*0.475*44/12</f>
        <v>#N/A</v>
      </c>
      <c r="CN200" s="22" t="e">
        <f t="shared" si="172"/>
        <v>#N/A</v>
      </c>
      <c r="CO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35">
      <c r="A201" s="10">
        <f>A200+1</f>
        <v>198</v>
      </c>
      <c r="B201" s="72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1">
        <f t="shared" si="202"/>
        <v>0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66">
        <f t="shared" si="192"/>
        <v>256.66666666666669</v>
      </c>
      <c r="I201" s="6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20.879999999999939</v>
      </c>
      <c r="O201" s="13">
        <f>N201*VLOOKUP('Données projet'!$B$9,Paramètres!$A$1:$I$89,3,0)*VLOOKUP('Données projet'!$B$9,Paramètres!$A$1:$I$89,5,0)</f>
        <v>18.892223999999942</v>
      </c>
      <c r="P201" s="13">
        <f t="shared" si="203"/>
        <v>6.184089977612083</v>
      </c>
      <c r="Q201" s="20">
        <f t="shared" si="162"/>
        <v>43.674580177674272</v>
      </c>
      <c r="R201" s="59">
        <f t="shared" si="191"/>
        <v>337.00791351100759</v>
      </c>
      <c r="S201" s="59">
        <f ca="1">AVERAGE(OFFSET($R$3,0,0,'Données projet'!$E$9+1,1))-AVERAGE(OFFSET($H$3,0,0,'Données projet'!$E$9+1,1))</f>
        <v>700.22008319944644</v>
      </c>
      <c r="T201" s="59">
        <f t="shared" si="204"/>
        <v>253.69632671986739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164.2223669476181</v>
      </c>
      <c r="AA201" s="21">
        <f>EXP(-LN(2)/25)*AA200+(1-EXP(-LN(2)/25))/(LN(2)/25)*Calculateur!V201*Calculateur!X201*VLOOKUP('Données projet'!$B$9,Paramètres!$A$1:$I$89,3,0)*0.475*44/12</f>
        <v>0</v>
      </c>
      <c r="AB201" s="21">
        <f>EXP(-LN(2)/2)*AB200+(1-EXP(-LN(2)/2))/(LN(2)/2)*V201*Y201*VLOOKUP('Données projet'!$B$9,Paramètres!$A$1:$I$89,3,0)*0.475*44/12</f>
        <v>0</v>
      </c>
      <c r="AC201" s="22">
        <f t="shared" si="163"/>
        <v>164.2223669476181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20.879999999999939</v>
      </c>
      <c r="AJ201" s="13">
        <f>AI201*VLOOKUP('Données projet'!$B$10,Paramètres!$A$1:$I$89,3,0)*VLOOKUP('Données projet'!$B$10,Paramètres!$A$1:$I$89,5,0)</f>
        <v>19.86940799999994</v>
      </c>
      <c r="AK201" s="13">
        <f t="shared" si="164"/>
        <v>6.4658893302320672</v>
      </c>
      <c r="AL201" s="20">
        <f t="shared" si="165"/>
        <v>45.86730951682074</v>
      </c>
      <c r="AM201" s="59">
        <f t="shared" si="193"/>
        <v>339.20064285015405</v>
      </c>
      <c r="AN201" s="59">
        <f ca="1">AVERAGE(OFFSET($AM$3,0,0,'Données projet'!$E$10+1,1))-AVERAGE(OFFSET($H$3,0,0,'Données projet'!$E$10+1,1))</f>
        <v>733.95677909577444</v>
      </c>
      <c r="AO201" s="59">
        <f t="shared" si="205"/>
        <v>264.63778993239799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172.7166273069777</v>
      </c>
      <c r="AV201" s="21">
        <f>EXP(-LN(2)/25)*AV200+(1-EXP(-LN(2)/25))/(LN(2)/25)*Calculateur!AQ201*Calculateur!AS201*VLOOKUP('Données projet'!$B$10,Paramètres!$A$1:$I$89,3,0)*0.475*44/12</f>
        <v>0</v>
      </c>
      <c r="AW201" s="21">
        <f>EXP(-LN(2)/2)*AW200+(1-EXP(-LN(2)/2))/(LN(2)/2)*AQ201*AT201*VLOOKUP('Données projet'!$B$10,Paramètres!$A$1:$I$89,3,0)*0.475*44/12</f>
        <v>0</v>
      </c>
      <c r="AX201" s="21">
        <f t="shared" si="166"/>
        <v>172.7166273069777</v>
      </c>
      <c r="AY201" s="7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0</v>
      </c>
      <c r="BE201" s="13">
        <f>BD201*VLOOKUP('Données projet'!$B$11,Paramètres!$A$1:$I$89,3,0)*VLOOKUP('Données projet'!$B$11,Paramètres!$A$1:$I$89,5,0)</f>
        <v>0</v>
      </c>
      <c r="BF201" s="13" t="e">
        <f t="shared" si="167"/>
        <v>#NUM!</v>
      </c>
      <c r="BG201" s="20" t="e">
        <f t="shared" si="168"/>
        <v>#NUM!</v>
      </c>
      <c r="BH201" s="59" t="e">
        <f t="shared" si="194"/>
        <v>#NUM!</v>
      </c>
      <c r="BI201" s="59">
        <f ca="1">AVERAGE(OFFSET($BH$3,0,0,'Données projet'!$E$11+1,1))-AVERAGE(OFFSET($H$3,0,0,'Données projet'!$E$11+1,1))</f>
        <v>187.80389738728508</v>
      </c>
      <c r="BJ201" s="59">
        <f t="shared" si="206"/>
        <v>439.28159165815265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4.4336117544756588</v>
      </c>
      <c r="BQ201" s="21">
        <f>EXP(-LN(2)/25)*BQ200+(1-EXP(-LN(2)/25))/(LN(2)/25)*Calculateur!BL201*Calculateur!BN201*VLOOKUP('Données projet'!$B$11,Paramètres!$A$1:$I$89,3,0)*0.475*44/12</f>
        <v>0.13638168566595829</v>
      </c>
      <c r="BR201" s="21">
        <f>EXP(-LN(2)/2)*BR200+(1-EXP(-LN(2)/2))/(LN(2)/2)*BL201*BO201*VLOOKUP('Données projet'!$B$11,Paramètres!$A$1:$I$89,3,0)*0.475*44/12</f>
        <v>2.3244812291753915E-27</v>
      </c>
      <c r="BS201" s="22">
        <f t="shared" si="169"/>
        <v>4.5699934401416167</v>
      </c>
      <c r="BT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0</v>
      </c>
      <c r="BZ201" s="13" t="e">
        <f>BY201*VLOOKUP('Données projet'!$B$12,Paramètres!$A$1:$I$89,3,0)*VLOOKUP('Données projet'!$B$12,Paramètres!$A$1:$I$89,5,0)</f>
        <v>#N/A</v>
      </c>
      <c r="CA201" s="13" t="e">
        <f t="shared" si="170"/>
        <v>#N/A</v>
      </c>
      <c r="CB201" s="20" t="e">
        <f t="shared" si="171"/>
        <v>#N/A</v>
      </c>
      <c r="CC201" s="59" t="e">
        <f t="shared" si="195"/>
        <v>#N/A</v>
      </c>
      <c r="CD201" s="59" t="e">
        <f ca="1">AVERAGE(OFFSET($CC$3,0,0,'Données projet'!$E$12+1,1))-AVERAGE(OFFSET($H$3,0,0,'Données projet'!$E$12+1,1))</f>
        <v>#N/A</v>
      </c>
      <c r="CE201" s="59" t="e">
        <f t="shared" si="207"/>
        <v>#N/A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 t="e">
        <f>EXP(-LN(2)/35)*CK200+(1-EXP(-LN(2)/35))/(LN(2)/35)*CG201*CH201*VLOOKUP('Données projet'!$B$12,Paramètres!$A$1:$I$89,3,0)*0.475*44/12</f>
        <v>#N/A</v>
      </c>
      <c r="CL201" s="21" t="e">
        <f>EXP(-LN(2)/25)*CL200+(1-EXP(-LN(2)/25))/(LN(2)/25)*Calculateur!CG201*Calculateur!CI201*VLOOKUP('Données projet'!$B$12,Paramètres!$A$1:$I$89,3,0)*0.475*44/12</f>
        <v>#N/A</v>
      </c>
      <c r="CM201" s="21" t="e">
        <f>EXP(-LN(2)/2)*CM200+(1-EXP(-LN(2)/2))/(LN(2)/2)*CG201*CJ201*VLOOKUP('Données projet'!$B$12,Paramètres!$A$1:$I$89,3,0)*0.475*44/12</f>
        <v>#N/A</v>
      </c>
      <c r="CN201" s="22" t="e">
        <f t="shared" si="172"/>
        <v>#N/A</v>
      </c>
      <c r="CO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35">
      <c r="A202" s="10">
        <f t="shared" si="161"/>
        <v>199</v>
      </c>
      <c r="B202" s="72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1">
        <f t="shared" si="202"/>
        <v>0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66">
        <f t="shared" si="192"/>
        <v>256.66666666666669</v>
      </c>
      <c r="I202" s="6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20.879999999999939</v>
      </c>
      <c r="O202" s="13">
        <f>N202*VLOOKUP('Données projet'!$B$9,Paramètres!$A$1:$I$89,3,0)*VLOOKUP('Données projet'!$B$9,Paramètres!$A$1:$I$89,5,0)</f>
        <v>18.892223999999942</v>
      </c>
      <c r="P202" s="13">
        <f t="shared" si="203"/>
        <v>6.184089977612083</v>
      </c>
      <c r="Q202" s="20">
        <f t="shared" si="162"/>
        <v>43.674580177674272</v>
      </c>
      <c r="R202" s="59">
        <f t="shared" si="191"/>
        <v>337.00791351100759</v>
      </c>
      <c r="S202" s="59">
        <f ca="1">AVERAGE(OFFSET($R$3,0,0,'Données projet'!$E$9+1,1))-AVERAGE(OFFSET($H$3,0,0,'Données projet'!$E$9+1,1))</f>
        <v>700.22008319944644</v>
      </c>
      <c r="T202" s="59">
        <f t="shared" si="204"/>
        <v>253.69632671986739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161.0020664975286</v>
      </c>
      <c r="AA202" s="21">
        <f>EXP(-LN(2)/25)*AA201+(1-EXP(-LN(2)/25))/(LN(2)/25)*Calculateur!V202*Calculateur!X202*VLOOKUP('Données projet'!$B$9,Paramètres!$A$1:$I$89,3,0)*0.475*44/12</f>
        <v>0</v>
      </c>
      <c r="AB202" s="21">
        <f>EXP(-LN(2)/2)*AB201+(1-EXP(-LN(2)/2))/(LN(2)/2)*V202*Y202*VLOOKUP('Données projet'!$B$9,Paramètres!$A$1:$I$89,3,0)*0.475*44/12</f>
        <v>0</v>
      </c>
      <c r="AC202" s="22">
        <f t="shared" si="163"/>
        <v>161.0020664975286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20.879999999999939</v>
      </c>
      <c r="AJ202" s="13">
        <f>AI202*VLOOKUP('Données projet'!$B$10,Paramètres!$A$1:$I$89,3,0)*VLOOKUP('Données projet'!$B$10,Paramètres!$A$1:$I$89,5,0)</f>
        <v>19.86940799999994</v>
      </c>
      <c r="AK202" s="13">
        <f t="shared" si="164"/>
        <v>6.4658893302320672</v>
      </c>
      <c r="AL202" s="20">
        <f t="shared" si="165"/>
        <v>45.86730951682074</v>
      </c>
      <c r="AM202" s="59">
        <f t="shared" si="193"/>
        <v>339.20064285015405</v>
      </c>
      <c r="AN202" s="59">
        <f ca="1">AVERAGE(OFFSET($AM$3,0,0,'Données projet'!$E$10+1,1))-AVERAGE(OFFSET($H$3,0,0,'Données projet'!$E$10+1,1))</f>
        <v>733.95677909577444</v>
      </c>
      <c r="AO202" s="59">
        <f t="shared" si="205"/>
        <v>264.63778993239799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169.32975959222838</v>
      </c>
      <c r="AV202" s="21">
        <f>EXP(-LN(2)/25)*AV201+(1-EXP(-LN(2)/25))/(LN(2)/25)*Calculateur!AQ202*Calculateur!AS202*VLOOKUP('Données projet'!$B$10,Paramètres!$A$1:$I$89,3,0)*0.475*44/12</f>
        <v>0</v>
      </c>
      <c r="AW202" s="21">
        <f>EXP(-LN(2)/2)*AW201+(1-EXP(-LN(2)/2))/(LN(2)/2)*AQ202*AT202*VLOOKUP('Données projet'!$B$10,Paramètres!$A$1:$I$89,3,0)*0.475*44/12</f>
        <v>0</v>
      </c>
      <c r="AX202" s="21">
        <f t="shared" si="166"/>
        <v>169.32975959222838</v>
      </c>
      <c r="AY202" s="7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0</v>
      </c>
      <c r="BE202" s="13">
        <f>BD202*VLOOKUP('Données projet'!$B$11,Paramètres!$A$1:$I$89,3,0)*VLOOKUP('Données projet'!$B$11,Paramètres!$A$1:$I$89,5,0)</f>
        <v>0</v>
      </c>
      <c r="BF202" s="13" t="e">
        <f t="shared" si="167"/>
        <v>#NUM!</v>
      </c>
      <c r="BG202" s="20" t="e">
        <f t="shared" si="168"/>
        <v>#NUM!</v>
      </c>
      <c r="BH202" s="59" t="e">
        <f t="shared" si="194"/>
        <v>#NUM!</v>
      </c>
      <c r="BI202" s="59">
        <f ca="1">AVERAGE(OFFSET($BH$3,0,0,'Données projet'!$E$11+1,1))-AVERAGE(OFFSET($H$3,0,0,'Données projet'!$E$11+1,1))</f>
        <v>187.80389738728508</v>
      </c>
      <c r="BJ202" s="59">
        <f t="shared" si="206"/>
        <v>439.28159165815265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4.3466713322065402</v>
      </c>
      <c r="BQ202" s="21">
        <f>EXP(-LN(2)/25)*BQ201+(1-EXP(-LN(2)/25))/(LN(2)/25)*Calculateur!BL202*Calculateur!BN202*VLOOKUP('Données projet'!$B$11,Paramètres!$A$1:$I$89,3,0)*0.475*44/12</f>
        <v>0.13265232129942151</v>
      </c>
      <c r="BR202" s="21">
        <f>EXP(-LN(2)/2)*BR201+(1-EXP(-LN(2)/2))/(LN(2)/2)*BL202*BO202*VLOOKUP('Données projet'!$B$11,Paramètres!$A$1:$I$89,3,0)*0.475*44/12</f>
        <v>1.6436564398907605E-27</v>
      </c>
      <c r="BS202" s="22">
        <f t="shared" si="169"/>
        <v>4.4793236535059613</v>
      </c>
      <c r="BT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0</v>
      </c>
      <c r="BZ202" s="13" t="e">
        <f>BY202*VLOOKUP('Données projet'!$B$12,Paramètres!$A$1:$I$89,3,0)*VLOOKUP('Données projet'!$B$12,Paramètres!$A$1:$I$89,5,0)</f>
        <v>#N/A</v>
      </c>
      <c r="CA202" s="13" t="e">
        <f t="shared" si="170"/>
        <v>#N/A</v>
      </c>
      <c r="CB202" s="20" t="e">
        <f t="shared" si="171"/>
        <v>#N/A</v>
      </c>
      <c r="CC202" s="59" t="e">
        <f t="shared" si="195"/>
        <v>#N/A</v>
      </c>
      <c r="CD202" s="59" t="e">
        <f ca="1">AVERAGE(OFFSET($CC$3,0,0,'Données projet'!$E$12+1,1))-AVERAGE(OFFSET($H$3,0,0,'Données projet'!$E$12+1,1))</f>
        <v>#N/A</v>
      </c>
      <c r="CE202" s="59" t="e">
        <f t="shared" si="207"/>
        <v>#N/A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 t="e">
        <f>EXP(-LN(2)/35)*CK201+(1-EXP(-LN(2)/35))/(LN(2)/35)*CG202*CH202*VLOOKUP('Données projet'!$B$12,Paramètres!$A$1:$I$89,3,0)*0.475*44/12</f>
        <v>#N/A</v>
      </c>
      <c r="CL202" s="21" t="e">
        <f>EXP(-LN(2)/25)*CL201+(1-EXP(-LN(2)/25))/(LN(2)/25)*Calculateur!CG202*Calculateur!CI202*VLOOKUP('Données projet'!$B$12,Paramètres!$A$1:$I$89,3,0)*0.475*44/12</f>
        <v>#N/A</v>
      </c>
      <c r="CM202" s="21" t="e">
        <f>EXP(-LN(2)/2)*CM201+(1-EXP(-LN(2)/2))/(LN(2)/2)*CG202*CJ202*VLOOKUP('Données projet'!$B$12,Paramètres!$A$1:$I$89,3,0)*0.475*44/12</f>
        <v>#N/A</v>
      </c>
      <c r="CN202" s="22" t="e">
        <f t="shared" si="172"/>
        <v>#N/A</v>
      </c>
      <c r="CO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4">
      <c r="A203" s="10">
        <f>A202+1</f>
        <v>200</v>
      </c>
      <c r="B203" s="72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1">
        <f t="shared" si="202"/>
        <v>0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66">
        <f t="shared" si="192"/>
        <v>256.66666666666669</v>
      </c>
      <c r="I203" s="6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20.879999999999939</v>
      </c>
      <c r="O203" s="13">
        <f>N203*VLOOKUP('Données projet'!$B$9,Paramètres!$A$1:$I$89,3,0)*VLOOKUP('Données projet'!$B$9,Paramètres!$A$1:$I$89,5,0)</f>
        <v>18.892223999999942</v>
      </c>
      <c r="P203" s="13">
        <f t="shared" si="203"/>
        <v>6.184089977612083</v>
      </c>
      <c r="Q203" s="20">
        <f t="shared" si="162"/>
        <v>43.674580177674272</v>
      </c>
      <c r="R203" s="59">
        <f t="shared" si="191"/>
        <v>337.00791351100759</v>
      </c>
      <c r="S203" s="59">
        <f ca="1">AVERAGE(OFFSET($R$3,0,0,'Données projet'!$E$9+1,1))-AVERAGE(OFFSET($H$3,0,0,'Données projet'!$E$9+1,1))</f>
        <v>700.22008319944644</v>
      </c>
      <c r="T203" s="59">
        <f t="shared" si="204"/>
        <v>253.69632671986739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157.84491417507604</v>
      </c>
      <c r="AA203" s="21">
        <f>EXP(-LN(2)/25)*AA202+(1-EXP(-LN(2)/25))/(LN(2)/25)*Calculateur!V203*Calculateur!X203*VLOOKUP('Données projet'!$B$9,Paramètres!$A$1:$I$89,3,0)*0.475*44/12</f>
        <v>0</v>
      </c>
      <c r="AB203" s="21">
        <f>EXP(-LN(2)/2)*AB202+(1-EXP(-LN(2)/2))/(LN(2)/2)*V203*Y203*VLOOKUP('Données projet'!$B$9,Paramètres!$A$1:$I$89,3,0)*0.475*44/12</f>
        <v>0</v>
      </c>
      <c r="AC203" s="22">
        <f t="shared" si="163"/>
        <v>157.84491417507604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20.879999999999939</v>
      </c>
      <c r="AJ203" s="13">
        <f>AI203*VLOOKUP('Données projet'!$B$10,Paramètres!$A$1:$I$89,3,0)*VLOOKUP('Données projet'!$B$10,Paramètres!$A$1:$I$89,5,0)</f>
        <v>19.86940799999994</v>
      </c>
      <c r="AK203" s="13">
        <f t="shared" si="164"/>
        <v>6.4658893302320672</v>
      </c>
      <c r="AL203" s="20">
        <f t="shared" si="165"/>
        <v>45.86730951682074</v>
      </c>
      <c r="AM203" s="59">
        <f t="shared" si="193"/>
        <v>339.20064285015405</v>
      </c>
      <c r="AN203" s="59">
        <f ca="1">AVERAGE(OFFSET($AM$3,0,0,'Données projet'!$E$10+1,1))-AVERAGE(OFFSET($H$3,0,0,'Données projet'!$E$10+1,1))</f>
        <v>733.95677909577444</v>
      </c>
      <c r="AO203" s="59">
        <f t="shared" si="205"/>
        <v>264.63778993239799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166.00930628757999</v>
      </c>
      <c r="AV203" s="21">
        <f>EXP(-LN(2)/25)*AV202+(1-EXP(-LN(2)/25))/(LN(2)/25)*Calculateur!AQ203*Calculateur!AS203*VLOOKUP('Données projet'!$B$10,Paramètres!$A$1:$I$89,3,0)*0.475*44/12</f>
        <v>0</v>
      </c>
      <c r="AW203" s="21">
        <f>EXP(-LN(2)/2)*AW202+(1-EXP(-LN(2)/2))/(LN(2)/2)*AQ203*AT203*VLOOKUP('Données projet'!$B$10,Paramètres!$A$1:$I$89,3,0)*0.475*44/12</f>
        <v>0</v>
      </c>
      <c r="AX203" s="21">
        <f t="shared" si="166"/>
        <v>166.00930628757999</v>
      </c>
      <c r="AY203" s="7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0</v>
      </c>
      <c r="BE203" s="13">
        <f>BD203*VLOOKUP('Données projet'!$B$11,Paramètres!$A$1:$I$89,3,0)*VLOOKUP('Données projet'!$B$11,Paramètres!$A$1:$I$89,5,0)</f>
        <v>0</v>
      </c>
      <c r="BF203" s="13" t="e">
        <f t="shared" si="167"/>
        <v>#NUM!</v>
      </c>
      <c r="BG203" s="20" t="e">
        <f t="shared" si="168"/>
        <v>#NUM!</v>
      </c>
      <c r="BH203" s="59" t="e">
        <f t="shared" si="194"/>
        <v>#NUM!</v>
      </c>
      <c r="BI203" s="59">
        <f ca="1">AVERAGE(OFFSET($BH$3,0,0,'Données projet'!$E$11+1,1))-AVERAGE(OFFSET($H$3,0,0,'Données projet'!$E$11+1,1))</f>
        <v>187.80389738728508</v>
      </c>
      <c r="BJ203" s="59">
        <f t="shared" si="206"/>
        <v>439.28159165815265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4.2614357585896974</v>
      </c>
      <c r="BQ203" s="21">
        <f>EXP(-LN(2)/25)*BQ202+(1-EXP(-LN(2)/25))/(LN(2)/25)*Calculateur!BL203*Calculateur!BN203*VLOOKUP('Données projet'!$B$11,Paramètres!$A$1:$I$89,3,0)*0.475*44/12</f>
        <v>0.12902493659760642</v>
      </c>
      <c r="BR203" s="21">
        <f>EXP(-LN(2)/2)*BR202+(1-EXP(-LN(2)/2))/(LN(2)/2)*BL203*BO203*VLOOKUP('Données projet'!$B$11,Paramètres!$A$1:$I$89,3,0)*0.475*44/12</f>
        <v>1.1622406145876957E-27</v>
      </c>
      <c r="BS203" s="22">
        <f t="shared" si="169"/>
        <v>4.3904606951873042</v>
      </c>
      <c r="BT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0</v>
      </c>
      <c r="BZ203" s="13" t="e">
        <f>BY203*VLOOKUP('Données projet'!$B$12,Paramètres!$A$1:$I$89,3,0)*VLOOKUP('Données projet'!$B$12,Paramètres!$A$1:$I$89,5,0)</f>
        <v>#N/A</v>
      </c>
      <c r="CA203" s="13" t="e">
        <f t="shared" si="170"/>
        <v>#N/A</v>
      </c>
      <c r="CB203" s="20" t="e">
        <f t="shared" si="171"/>
        <v>#N/A</v>
      </c>
      <c r="CC203" s="59" t="e">
        <f t="shared" si="195"/>
        <v>#N/A</v>
      </c>
      <c r="CD203" s="59" t="e">
        <f ca="1">AVERAGE(OFFSET($CC$3,0,0,'Données projet'!$E$12+1,1))-AVERAGE(OFFSET($H$3,0,0,'Données projet'!$E$12+1,1))</f>
        <v>#N/A</v>
      </c>
      <c r="CE203" s="59" t="e">
        <f t="shared" si="207"/>
        <v>#N/A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 t="e">
        <f>EXP(-LN(2)/35)*CK202+(1-EXP(-LN(2)/35))/(LN(2)/35)*CG203*CH203*VLOOKUP('Données projet'!$B$12,Paramètres!$A$1:$I$89,3,0)*0.475*44/12</f>
        <v>#N/A</v>
      </c>
      <c r="CL203" s="21" t="e">
        <f>EXP(-LN(2)/25)*CL202+(1-EXP(-LN(2)/25))/(LN(2)/25)*Calculateur!CG203*Calculateur!CI203*VLOOKUP('Données projet'!$B$12,Paramètres!$A$1:$I$89,3,0)*0.475*44/12</f>
        <v>#N/A</v>
      </c>
      <c r="CM203" s="21" t="e">
        <f>EXP(-LN(2)/2)*CM202+(1-EXP(-LN(2)/2))/(LN(2)/2)*CG203*CJ203*VLOOKUP('Données projet'!$B$12,Paramètres!$A$1:$I$89,3,0)*0.475*44/12</f>
        <v>#N/A</v>
      </c>
      <c r="CN203" s="22" t="e">
        <f t="shared" si="172"/>
        <v>#N/A</v>
      </c>
      <c r="CO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4">
      <c r="B204" s="10"/>
      <c r="C204" s="75"/>
      <c r="D204" s="76"/>
      <c r="E204" s="76"/>
      <c r="F204" s="76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5"/>
      <c r="I204" s="75"/>
      <c r="J204" s="75"/>
      <c r="K204" s="83" t="s">
        <v>293</v>
      </c>
      <c r="L204" s="77"/>
      <c r="M204" s="77"/>
      <c r="N204" s="77"/>
      <c r="O204" s="75"/>
      <c r="P204" s="75"/>
      <c r="Q204" s="76"/>
      <c r="R204" s="78"/>
      <c r="S204" s="78"/>
      <c r="T204" s="78"/>
      <c r="U204" s="77"/>
      <c r="V204" s="77"/>
      <c r="W204" s="79"/>
      <c r="X204" s="79"/>
      <c r="Y204" s="79"/>
      <c r="Z204" s="75"/>
      <c r="AA204" s="75"/>
      <c r="AB204" s="75"/>
      <c r="AC204" s="75"/>
      <c r="AD204" s="75"/>
      <c r="AE204" s="75"/>
      <c r="AF204" s="80" t="s">
        <v>293</v>
      </c>
      <c r="BA204" s="80" t="s">
        <v>293</v>
      </c>
      <c r="BV204" s="80" t="s">
        <v>293</v>
      </c>
      <c r="CQ204" s="80" t="s">
        <v>293</v>
      </c>
      <c r="DL204" s="80" t="s">
        <v>293</v>
      </c>
      <c r="EG204" s="80" t="s">
        <v>293</v>
      </c>
      <c r="FB204" s="80" t="s">
        <v>293</v>
      </c>
      <c r="FW204" s="80" t="s">
        <v>293</v>
      </c>
      <c r="GR204" s="80" t="s">
        <v>293</v>
      </c>
    </row>
    <row r="205" spans="1:218" ht="15" thickBot="1" x14ac:dyDescent="0.4">
      <c r="B205" s="10"/>
      <c r="C205" s="75"/>
      <c r="D205" s="76"/>
      <c r="E205" s="76"/>
      <c r="F205" s="76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5"/>
      <c r="I205" s="75"/>
      <c r="J205" s="75"/>
      <c r="K205" s="81">
        <f>EXP(LN('Données projet'!B36)/'Données projet'!A36)</f>
        <v>1.1690615875887691</v>
      </c>
      <c r="L205" s="77"/>
      <c r="M205" s="77"/>
      <c r="N205" s="77"/>
      <c r="O205" s="75"/>
      <c r="P205" s="75"/>
      <c r="Q205" s="76"/>
      <c r="R205" s="78"/>
      <c r="S205" s="78"/>
      <c r="T205" s="78"/>
      <c r="U205" s="77"/>
      <c r="V205" s="77"/>
      <c r="W205" s="79"/>
      <c r="X205" s="79"/>
      <c r="Y205" s="79"/>
      <c r="Z205" s="75"/>
      <c r="AA205" s="75"/>
      <c r="AB205" s="75"/>
      <c r="AC205" s="75"/>
      <c r="AD205" s="75"/>
      <c r="AE205" s="75"/>
      <c r="AF205" s="82">
        <f>EXP(LN('Données projet'!B62)/'Données projet'!A62)</f>
        <v>1.1690615875887691</v>
      </c>
      <c r="BA205" s="81">
        <f>EXP(LN('Données projet'!B88)/'Données projet'!A88)</f>
        <v>1.4943820583928935</v>
      </c>
      <c r="BV205" s="81" t="e">
        <f>EXP(LN('Données projet'!B114)/'Données projet'!A114)</f>
        <v>#NUM!</v>
      </c>
      <c r="CQ205" s="81" t="e">
        <f>EXP(LN('Données projet'!B140)/'Données projet'!A140)</f>
        <v>#NUM!</v>
      </c>
      <c r="DL205" s="81" t="e">
        <f>EXP(LN('Données projet'!B166)/'Données projet'!A166)</f>
        <v>#NUM!</v>
      </c>
      <c r="EG205" s="81" t="e">
        <f>EXP(LN('Données projet'!B192)/'Données projet'!A192)</f>
        <v>#NUM!</v>
      </c>
      <c r="FB205" s="81" t="e">
        <f>EXP(LN('Données projet'!B218)/'Données projet'!A218)</f>
        <v>#NUM!</v>
      </c>
      <c r="FW205" s="81" t="e">
        <f>EXP(LN('Données projet'!B244)/'Données projet'!A244)</f>
        <v>#NUM!</v>
      </c>
      <c r="GR205" s="81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53125" defaultRowHeight="14.5" x14ac:dyDescent="0.35"/>
  <cols>
    <col min="1" max="1" width="23.453125" style="4" bestFit="1" customWidth="1"/>
    <col min="2" max="2" width="27.6328125" style="4" bestFit="1" customWidth="1"/>
    <col min="3" max="3" width="11.81640625" style="4" bestFit="1" customWidth="1"/>
    <col min="4" max="4" width="40" style="4" bestFit="1" customWidth="1"/>
    <col min="5" max="5" width="11.81640625" style="4" bestFit="1" customWidth="1"/>
    <col min="6" max="6" width="13.6328125" style="4" bestFit="1" customWidth="1"/>
    <col min="7" max="7" width="11.453125" style="4" bestFit="1" customWidth="1"/>
    <col min="8" max="8" width="39" style="4" bestFit="1" customWidth="1"/>
    <col min="9" max="9" width="16.6328125" style="4" customWidth="1"/>
    <col min="10" max="14" width="11.453125" style="4"/>
    <col min="15" max="15" width="23.453125" style="4" bestFit="1" customWidth="1"/>
    <col min="16" max="16384" width="11.453125" style="4"/>
  </cols>
  <sheetData>
    <row r="1" spans="1:16" ht="44" thickBot="1" x14ac:dyDescent="0.4">
      <c r="A1" s="109" t="s">
        <v>0</v>
      </c>
      <c r="B1" s="110" t="s">
        <v>106</v>
      </c>
      <c r="C1" s="111" t="s">
        <v>144</v>
      </c>
      <c r="D1" s="110" t="s">
        <v>100</v>
      </c>
      <c r="E1" s="111" t="s">
        <v>145</v>
      </c>
      <c r="F1" s="111" t="s">
        <v>100</v>
      </c>
      <c r="G1" s="111" t="s">
        <v>146</v>
      </c>
      <c r="H1" s="111" t="s">
        <v>100</v>
      </c>
      <c r="I1" s="112" t="s">
        <v>147</v>
      </c>
      <c r="J1" s="77"/>
      <c r="K1" s="77"/>
      <c r="L1" s="77"/>
      <c r="M1" s="77"/>
      <c r="N1" s="77"/>
    </row>
    <row r="2" spans="1:16" x14ac:dyDescent="0.35">
      <c r="A2" s="113" t="s">
        <v>1</v>
      </c>
      <c r="B2" s="114" t="s">
        <v>53</v>
      </c>
      <c r="C2" s="115">
        <v>0.62</v>
      </c>
      <c r="D2" s="115" t="s">
        <v>161</v>
      </c>
      <c r="E2" s="115">
        <v>1.56</v>
      </c>
      <c r="F2" s="115" t="s">
        <v>274</v>
      </c>
      <c r="G2" s="116">
        <v>0.43</v>
      </c>
      <c r="H2" s="117" t="s">
        <v>278</v>
      </c>
      <c r="I2" s="118">
        <v>0.25</v>
      </c>
      <c r="J2" s="77"/>
      <c r="K2" s="77"/>
      <c r="L2" s="77"/>
      <c r="M2" s="77"/>
      <c r="N2" s="77"/>
      <c r="O2" s="290" t="s">
        <v>238</v>
      </c>
      <c r="P2" s="119">
        <v>0</v>
      </c>
    </row>
    <row r="3" spans="1:16" ht="15" thickBot="1" x14ac:dyDescent="0.4">
      <c r="A3" s="120" t="s">
        <v>2</v>
      </c>
      <c r="B3" s="121" t="s">
        <v>54</v>
      </c>
      <c r="C3" s="122">
        <v>0.64</v>
      </c>
      <c r="D3" s="122" t="s">
        <v>161</v>
      </c>
      <c r="E3" s="122">
        <v>1.56</v>
      </c>
      <c r="F3" s="123" t="s">
        <v>274</v>
      </c>
      <c r="G3" s="124">
        <v>0.43</v>
      </c>
      <c r="H3" s="122" t="s">
        <v>278</v>
      </c>
      <c r="I3" s="125">
        <v>0.25</v>
      </c>
      <c r="J3" s="77"/>
      <c r="K3" s="77"/>
      <c r="L3" s="77"/>
      <c r="M3" s="77"/>
      <c r="N3" s="77"/>
      <c r="O3" s="291"/>
      <c r="P3" s="126">
        <v>0.2</v>
      </c>
    </row>
    <row r="4" spans="1:16" ht="15" thickBot="1" x14ac:dyDescent="0.4">
      <c r="A4" s="120" t="s">
        <v>98</v>
      </c>
      <c r="B4" s="121" t="s">
        <v>99</v>
      </c>
      <c r="C4" s="122">
        <v>0.42</v>
      </c>
      <c r="D4" s="122" t="s">
        <v>161</v>
      </c>
      <c r="E4" s="122">
        <v>1.56</v>
      </c>
      <c r="F4" s="123" t="s">
        <v>274</v>
      </c>
      <c r="G4" s="124">
        <v>0.43</v>
      </c>
      <c r="H4" s="122" t="s">
        <v>278</v>
      </c>
      <c r="I4" s="125">
        <v>0.25</v>
      </c>
      <c r="J4" s="77"/>
      <c r="K4" s="77"/>
      <c r="L4" s="77"/>
      <c r="M4" s="77"/>
      <c r="N4" s="77"/>
    </row>
    <row r="5" spans="1:16" x14ac:dyDescent="0.35">
      <c r="A5" s="120" t="s">
        <v>4</v>
      </c>
      <c r="B5" s="121" t="s">
        <v>55</v>
      </c>
      <c r="C5" s="122">
        <v>0.42</v>
      </c>
      <c r="D5" s="122" t="s">
        <v>161</v>
      </c>
      <c r="E5" s="122">
        <v>1.56</v>
      </c>
      <c r="F5" s="123" t="s">
        <v>274</v>
      </c>
      <c r="G5" s="124">
        <v>0.43</v>
      </c>
      <c r="H5" s="122" t="s">
        <v>278</v>
      </c>
      <c r="I5" s="125">
        <v>0.25</v>
      </c>
      <c r="J5" s="77"/>
      <c r="K5" s="77"/>
      <c r="L5" s="77"/>
      <c r="M5" s="77"/>
      <c r="N5" s="77"/>
      <c r="O5" s="290" t="s">
        <v>237</v>
      </c>
      <c r="P5" s="119">
        <v>0</v>
      </c>
    </row>
    <row r="6" spans="1:16" x14ac:dyDescent="0.35">
      <c r="A6" s="120" t="s">
        <v>3</v>
      </c>
      <c r="B6" s="121" t="s">
        <v>97</v>
      </c>
      <c r="C6" s="122">
        <v>0.42</v>
      </c>
      <c r="D6" s="122" t="s">
        <v>161</v>
      </c>
      <c r="E6" s="122">
        <v>1.56</v>
      </c>
      <c r="F6" s="123" t="s">
        <v>274</v>
      </c>
      <c r="G6" s="124">
        <v>0.43</v>
      </c>
      <c r="H6" s="122" t="s">
        <v>278</v>
      </c>
      <c r="I6" s="125">
        <v>0.25</v>
      </c>
      <c r="J6" s="77"/>
      <c r="K6" s="77"/>
      <c r="L6" s="77"/>
      <c r="M6" s="77"/>
      <c r="N6" s="77"/>
      <c r="O6" s="292"/>
      <c r="P6" s="127">
        <v>0.05</v>
      </c>
    </row>
    <row r="7" spans="1:16" x14ac:dyDescent="0.35">
      <c r="A7" s="120" t="s">
        <v>5</v>
      </c>
      <c r="B7" s="121" t="s">
        <v>56</v>
      </c>
      <c r="C7" s="122">
        <v>0.52</v>
      </c>
      <c r="D7" s="122" t="s">
        <v>161</v>
      </c>
      <c r="E7" s="122">
        <v>1.56</v>
      </c>
      <c r="F7" s="123" t="s">
        <v>274</v>
      </c>
      <c r="G7" s="124">
        <v>0.43</v>
      </c>
      <c r="H7" s="122" t="s">
        <v>278</v>
      </c>
      <c r="I7" s="125">
        <v>0.25</v>
      </c>
      <c r="J7" s="77"/>
      <c r="K7" s="77"/>
      <c r="L7" s="77"/>
      <c r="M7" s="77"/>
      <c r="N7" s="77"/>
      <c r="O7" s="292"/>
      <c r="P7" s="127">
        <v>0.1</v>
      </c>
    </row>
    <row r="8" spans="1:16" ht="15" thickBot="1" x14ac:dyDescent="0.4">
      <c r="A8" s="120" t="s">
        <v>164</v>
      </c>
      <c r="B8" s="121" t="s">
        <v>57</v>
      </c>
      <c r="C8" s="122">
        <v>0.36</v>
      </c>
      <c r="D8" s="122" t="s">
        <v>161</v>
      </c>
      <c r="E8" s="122">
        <v>1.3</v>
      </c>
      <c r="F8" s="123" t="s">
        <v>274</v>
      </c>
      <c r="G8" s="124">
        <v>0.55000000000000004</v>
      </c>
      <c r="H8" s="122" t="s">
        <v>153</v>
      </c>
      <c r="I8" s="125">
        <v>0.43</v>
      </c>
      <c r="J8" s="77"/>
      <c r="K8" s="77"/>
      <c r="L8" s="77"/>
      <c r="M8" s="77"/>
      <c r="N8" s="77"/>
      <c r="O8" s="291"/>
      <c r="P8" s="126">
        <v>0.15</v>
      </c>
    </row>
    <row r="9" spans="1:16" ht="15" thickBot="1" x14ac:dyDescent="0.4">
      <c r="A9" s="120" t="s">
        <v>6</v>
      </c>
      <c r="B9" s="121" t="s">
        <v>58</v>
      </c>
      <c r="C9" s="122">
        <v>0.61</v>
      </c>
      <c r="D9" s="122" t="s">
        <v>161</v>
      </c>
      <c r="E9" s="122">
        <v>1.56</v>
      </c>
      <c r="F9" s="123" t="s">
        <v>274</v>
      </c>
      <c r="G9" s="124">
        <v>0.43</v>
      </c>
      <c r="H9" s="122" t="s">
        <v>278</v>
      </c>
      <c r="I9" s="125">
        <v>0.25</v>
      </c>
      <c r="J9" s="77"/>
      <c r="K9" s="77"/>
      <c r="L9" s="77"/>
      <c r="M9" s="77"/>
      <c r="N9" s="77"/>
    </row>
    <row r="10" spans="1:16" x14ac:dyDescent="0.35">
      <c r="A10" s="120" t="s">
        <v>7</v>
      </c>
      <c r="B10" s="121" t="s">
        <v>59</v>
      </c>
      <c r="C10" s="122">
        <v>0.66</v>
      </c>
      <c r="D10" s="122" t="s">
        <v>161</v>
      </c>
      <c r="E10" s="122">
        <v>1.56</v>
      </c>
      <c r="F10" s="123" t="s">
        <v>274</v>
      </c>
      <c r="G10" s="124">
        <v>0.43</v>
      </c>
      <c r="H10" s="122" t="s">
        <v>278</v>
      </c>
      <c r="I10" s="125">
        <v>0.25</v>
      </c>
      <c r="J10" s="77"/>
      <c r="K10" s="77"/>
      <c r="L10" s="77"/>
      <c r="M10" s="77"/>
      <c r="N10" s="77"/>
      <c r="O10" s="290" t="s">
        <v>236</v>
      </c>
      <c r="P10" s="119">
        <v>0</v>
      </c>
    </row>
    <row r="11" spans="1:16" ht="15" thickBot="1" x14ac:dyDescent="0.4">
      <c r="A11" s="120" t="s">
        <v>8</v>
      </c>
      <c r="B11" s="121" t="s">
        <v>60</v>
      </c>
      <c r="C11" s="122">
        <v>0.47</v>
      </c>
      <c r="D11" s="122" t="s">
        <v>161</v>
      </c>
      <c r="E11" s="122">
        <v>1.56</v>
      </c>
      <c r="F11" s="123" t="s">
        <v>274</v>
      </c>
      <c r="G11" s="124">
        <v>0.43</v>
      </c>
      <c r="H11" s="122" t="s">
        <v>278</v>
      </c>
      <c r="I11" s="125">
        <v>0.25</v>
      </c>
      <c r="J11" s="77"/>
      <c r="K11" s="77"/>
      <c r="L11" s="77"/>
      <c r="M11" s="77"/>
      <c r="N11" s="77"/>
      <c r="O11" s="291"/>
      <c r="P11" s="126">
        <v>0.1</v>
      </c>
    </row>
    <row r="12" spans="1:16" x14ac:dyDescent="0.35">
      <c r="A12" s="120" t="s">
        <v>9</v>
      </c>
      <c r="B12" s="121" t="s">
        <v>61</v>
      </c>
      <c r="C12" s="122">
        <v>0.67</v>
      </c>
      <c r="D12" s="122" t="s">
        <v>161</v>
      </c>
      <c r="E12" s="122">
        <v>1.56</v>
      </c>
      <c r="F12" s="123" t="s">
        <v>274</v>
      </c>
      <c r="G12" s="124">
        <v>0.43</v>
      </c>
      <c r="H12" s="122" t="s">
        <v>152</v>
      </c>
      <c r="I12" s="125">
        <v>0.25</v>
      </c>
      <c r="J12" s="77"/>
      <c r="K12" s="77"/>
      <c r="L12" s="77"/>
      <c r="M12" s="77"/>
      <c r="N12" s="77"/>
    </row>
    <row r="13" spans="1:16" x14ac:dyDescent="0.35">
      <c r="A13" s="120" t="s">
        <v>10</v>
      </c>
      <c r="B13" s="121" t="s">
        <v>62</v>
      </c>
      <c r="C13" s="122">
        <v>0.7</v>
      </c>
      <c r="D13" s="122" t="s">
        <v>161</v>
      </c>
      <c r="E13" s="122">
        <v>1.56</v>
      </c>
      <c r="F13" s="123" t="s">
        <v>274</v>
      </c>
      <c r="G13" s="124">
        <v>0.43</v>
      </c>
      <c r="H13" s="122" t="s">
        <v>152</v>
      </c>
      <c r="I13" s="125">
        <v>0.25</v>
      </c>
      <c r="J13" s="77"/>
      <c r="K13" s="77"/>
      <c r="L13" s="77"/>
      <c r="M13" s="77"/>
      <c r="N13" s="77"/>
    </row>
    <row r="14" spans="1:16" x14ac:dyDescent="0.35">
      <c r="A14" s="120" t="s">
        <v>11</v>
      </c>
      <c r="B14" s="121" t="s">
        <v>63</v>
      </c>
      <c r="C14" s="122">
        <v>0.54</v>
      </c>
      <c r="D14" s="122" t="s">
        <v>161</v>
      </c>
      <c r="E14" s="122">
        <v>1.56</v>
      </c>
      <c r="F14" s="123" t="s">
        <v>274</v>
      </c>
      <c r="G14" s="124">
        <v>0.43</v>
      </c>
      <c r="H14" s="122" t="s">
        <v>152</v>
      </c>
      <c r="I14" s="125">
        <v>0.25</v>
      </c>
      <c r="J14" s="77"/>
      <c r="K14" s="77"/>
      <c r="L14" s="77"/>
      <c r="M14" s="77"/>
      <c r="N14" s="77"/>
    </row>
    <row r="15" spans="1:16" x14ac:dyDescent="0.35">
      <c r="A15" s="120" t="s">
        <v>12</v>
      </c>
      <c r="B15" s="121" t="s">
        <v>64</v>
      </c>
      <c r="C15" s="122">
        <v>0.65</v>
      </c>
      <c r="D15" s="122" t="s">
        <v>161</v>
      </c>
      <c r="E15" s="122">
        <v>1.56</v>
      </c>
      <c r="F15" s="123" t="s">
        <v>274</v>
      </c>
      <c r="G15" s="124">
        <v>0.43</v>
      </c>
      <c r="H15" s="122" t="s">
        <v>152</v>
      </c>
      <c r="I15" s="125">
        <v>0.25</v>
      </c>
      <c r="J15" s="77"/>
      <c r="K15" s="77"/>
      <c r="L15" s="77"/>
      <c r="M15" s="77"/>
      <c r="N15" s="77"/>
    </row>
    <row r="16" spans="1:16" x14ac:dyDescent="0.35">
      <c r="A16" s="120" t="s">
        <v>13</v>
      </c>
      <c r="B16" s="121" t="s">
        <v>65</v>
      </c>
      <c r="C16" s="122">
        <v>0.56000000000000005</v>
      </c>
      <c r="D16" s="122" t="s">
        <v>161</v>
      </c>
      <c r="E16" s="122">
        <v>1.56</v>
      </c>
      <c r="F16" s="123" t="s">
        <v>274</v>
      </c>
      <c r="G16" s="124">
        <v>0.43</v>
      </c>
      <c r="H16" s="122" t="s">
        <v>152</v>
      </c>
      <c r="I16" s="125">
        <v>0.25</v>
      </c>
      <c r="J16" s="77"/>
      <c r="K16" s="77"/>
      <c r="L16" s="77"/>
      <c r="M16" s="77"/>
      <c r="N16" s="77"/>
    </row>
    <row r="17" spans="1:14" x14ac:dyDescent="0.35">
      <c r="A17" s="120" t="s">
        <v>14</v>
      </c>
      <c r="B17" s="121" t="s">
        <v>66</v>
      </c>
      <c r="C17" s="122">
        <v>0.57999999999999996</v>
      </c>
      <c r="D17" s="122" t="s">
        <v>161</v>
      </c>
      <c r="E17" s="122">
        <v>1.56</v>
      </c>
      <c r="F17" s="123" t="s">
        <v>274</v>
      </c>
      <c r="G17" s="124">
        <v>0.43</v>
      </c>
      <c r="H17" s="122" t="s">
        <v>152</v>
      </c>
      <c r="I17" s="125">
        <v>0.25</v>
      </c>
      <c r="J17" s="77"/>
      <c r="K17" s="77"/>
      <c r="L17" s="77"/>
      <c r="M17" s="77"/>
      <c r="N17" s="77"/>
    </row>
    <row r="18" spans="1:14" x14ac:dyDescent="0.35">
      <c r="A18" s="120" t="s">
        <v>15</v>
      </c>
      <c r="B18" s="121" t="s">
        <v>67</v>
      </c>
      <c r="C18" s="122">
        <v>0.64</v>
      </c>
      <c r="D18" s="122" t="s">
        <v>161</v>
      </c>
      <c r="E18" s="122">
        <v>1.56</v>
      </c>
      <c r="F18" s="123" t="s">
        <v>274</v>
      </c>
      <c r="G18" s="124">
        <v>0.43</v>
      </c>
      <c r="H18" s="122" t="s">
        <v>152</v>
      </c>
      <c r="I18" s="125">
        <v>0.25</v>
      </c>
      <c r="J18" s="77"/>
      <c r="K18" s="77"/>
      <c r="L18" s="77"/>
      <c r="M18" s="77"/>
      <c r="N18" s="77"/>
    </row>
    <row r="19" spans="1:14" x14ac:dyDescent="0.35">
      <c r="A19" s="120" t="s">
        <v>16</v>
      </c>
      <c r="B19" s="121" t="s">
        <v>68</v>
      </c>
      <c r="C19" s="122">
        <v>0.73</v>
      </c>
      <c r="D19" s="122" t="s">
        <v>161</v>
      </c>
      <c r="E19" s="122">
        <v>1.56</v>
      </c>
      <c r="F19" s="123" t="s">
        <v>274</v>
      </c>
      <c r="G19" s="124">
        <v>0.43</v>
      </c>
      <c r="H19" s="122" t="s">
        <v>152</v>
      </c>
      <c r="I19" s="125">
        <v>0.25</v>
      </c>
      <c r="J19" s="77"/>
      <c r="K19" s="77"/>
      <c r="L19" s="77"/>
      <c r="M19" s="77"/>
      <c r="N19" s="77"/>
    </row>
    <row r="20" spans="1:14" x14ac:dyDescent="0.35">
      <c r="A20" s="120" t="s">
        <v>52</v>
      </c>
      <c r="B20" s="121" t="s">
        <v>69</v>
      </c>
      <c r="C20" s="122">
        <v>0.69</v>
      </c>
      <c r="D20" s="122" t="s">
        <v>131</v>
      </c>
      <c r="E20" s="122">
        <v>1.56</v>
      </c>
      <c r="F20" s="123" t="s">
        <v>274</v>
      </c>
      <c r="G20" s="124">
        <v>0.43</v>
      </c>
      <c r="H20" s="122" t="s">
        <v>282</v>
      </c>
      <c r="I20" s="125">
        <v>0.25</v>
      </c>
      <c r="J20" s="77"/>
      <c r="K20" s="77"/>
      <c r="L20" s="77"/>
      <c r="M20" s="77"/>
      <c r="N20" s="77"/>
    </row>
    <row r="21" spans="1:14" x14ac:dyDescent="0.35">
      <c r="A21" s="120" t="s">
        <v>154</v>
      </c>
      <c r="B21" s="121" t="s">
        <v>155</v>
      </c>
      <c r="C21" s="122">
        <v>0.36</v>
      </c>
      <c r="D21" s="122" t="s">
        <v>161</v>
      </c>
      <c r="E21" s="122">
        <v>1.3</v>
      </c>
      <c r="F21" s="123" t="s">
        <v>274</v>
      </c>
      <c r="G21" s="124">
        <v>0.55000000000000004</v>
      </c>
      <c r="H21" s="122" t="s">
        <v>153</v>
      </c>
      <c r="I21" s="125">
        <v>0.43</v>
      </c>
      <c r="J21" s="77"/>
      <c r="K21" s="77"/>
      <c r="L21" s="77"/>
      <c r="M21" s="77"/>
      <c r="N21" s="77"/>
    </row>
    <row r="22" spans="1:14" x14ac:dyDescent="0.35">
      <c r="A22" s="120" t="s">
        <v>17</v>
      </c>
      <c r="B22" s="121" t="s">
        <v>70</v>
      </c>
      <c r="C22" s="122">
        <v>0.4</v>
      </c>
      <c r="D22" s="122" t="s">
        <v>161</v>
      </c>
      <c r="E22" s="122">
        <v>1.3</v>
      </c>
      <c r="F22" s="123" t="s">
        <v>274</v>
      </c>
      <c r="G22" s="124">
        <v>0.55000000000000004</v>
      </c>
      <c r="H22" s="122" t="s">
        <v>153</v>
      </c>
      <c r="I22" s="125">
        <v>0.43</v>
      </c>
      <c r="J22" s="77"/>
      <c r="K22" s="77"/>
      <c r="L22" s="77"/>
      <c r="M22" s="77"/>
      <c r="N22" s="77"/>
    </row>
    <row r="23" spans="1:14" x14ac:dyDescent="0.35">
      <c r="A23" s="120" t="s">
        <v>18</v>
      </c>
      <c r="B23" s="121" t="s">
        <v>71</v>
      </c>
      <c r="C23" s="122">
        <v>0.43</v>
      </c>
      <c r="D23" s="122" t="s">
        <v>161</v>
      </c>
      <c r="E23" s="122">
        <v>1.3</v>
      </c>
      <c r="F23" s="123" t="s">
        <v>274</v>
      </c>
      <c r="G23" s="124">
        <v>0.55000000000000004</v>
      </c>
      <c r="H23" s="122" t="s">
        <v>153</v>
      </c>
      <c r="I23" s="125">
        <v>0.43</v>
      </c>
      <c r="J23" s="77"/>
      <c r="K23" s="77"/>
      <c r="L23" s="77"/>
      <c r="M23" s="77"/>
      <c r="N23" s="77"/>
    </row>
    <row r="24" spans="1:14" x14ac:dyDescent="0.35">
      <c r="A24" s="120" t="s">
        <v>19</v>
      </c>
      <c r="B24" s="121" t="s">
        <v>72</v>
      </c>
      <c r="C24" s="122">
        <v>0.37</v>
      </c>
      <c r="D24" s="122" t="s">
        <v>161</v>
      </c>
      <c r="E24" s="122">
        <v>1.3</v>
      </c>
      <c r="F24" s="123" t="s">
        <v>274</v>
      </c>
      <c r="G24" s="124">
        <v>0.55000000000000004</v>
      </c>
      <c r="H24" s="122" t="s">
        <v>152</v>
      </c>
      <c r="I24" s="125">
        <v>0.43</v>
      </c>
      <c r="J24" s="77"/>
      <c r="K24" s="77"/>
      <c r="L24" s="77"/>
      <c r="M24" s="77"/>
      <c r="N24" s="77"/>
    </row>
    <row r="25" spans="1:14" x14ac:dyDescent="0.35">
      <c r="A25" s="120" t="s">
        <v>20</v>
      </c>
      <c r="B25" s="121" t="s">
        <v>73</v>
      </c>
      <c r="C25" s="122">
        <v>0.36</v>
      </c>
      <c r="D25" s="122" t="s">
        <v>161</v>
      </c>
      <c r="E25" s="122">
        <v>1.3</v>
      </c>
      <c r="F25" s="123" t="s">
        <v>274</v>
      </c>
      <c r="G25" s="124">
        <v>0.55000000000000004</v>
      </c>
      <c r="H25" s="122" t="s">
        <v>152</v>
      </c>
      <c r="I25" s="125">
        <v>0.43</v>
      </c>
      <c r="J25" s="77"/>
      <c r="K25" s="77"/>
      <c r="L25" s="77"/>
      <c r="M25" s="77"/>
      <c r="N25" s="77"/>
    </row>
    <row r="26" spans="1:14" x14ac:dyDescent="0.35">
      <c r="A26" s="120" t="s">
        <v>21</v>
      </c>
      <c r="B26" s="121" t="s">
        <v>74</v>
      </c>
      <c r="C26" s="122">
        <v>0.56000000000000005</v>
      </c>
      <c r="D26" s="122" t="s">
        <v>161</v>
      </c>
      <c r="E26" s="122">
        <v>1.56</v>
      </c>
      <c r="F26" s="123" t="s">
        <v>274</v>
      </c>
      <c r="G26" s="124">
        <v>0.53</v>
      </c>
      <c r="H26" s="122" t="s">
        <v>275</v>
      </c>
      <c r="I26" s="125">
        <v>0.25</v>
      </c>
      <c r="J26" s="77"/>
      <c r="K26" s="77"/>
      <c r="L26" s="77"/>
      <c r="M26" s="77"/>
      <c r="N26" s="77"/>
    </row>
    <row r="27" spans="1:14" x14ac:dyDescent="0.35">
      <c r="A27" s="120" t="s">
        <v>22</v>
      </c>
      <c r="B27" s="121" t="s">
        <v>75</v>
      </c>
      <c r="C27" s="122">
        <v>0.51</v>
      </c>
      <c r="D27" s="122" t="s">
        <v>161</v>
      </c>
      <c r="E27" s="122">
        <v>1.56</v>
      </c>
      <c r="F27" s="123" t="s">
        <v>274</v>
      </c>
      <c r="G27" s="124">
        <v>0.53</v>
      </c>
      <c r="H27" s="122" t="s">
        <v>275</v>
      </c>
      <c r="I27" s="125">
        <v>0.25</v>
      </c>
      <c r="J27" s="77"/>
      <c r="K27" s="77"/>
      <c r="L27" s="77"/>
      <c r="M27" s="77"/>
      <c r="N27" s="77"/>
    </row>
    <row r="28" spans="1:14" x14ac:dyDescent="0.35">
      <c r="A28" s="120" t="s">
        <v>23</v>
      </c>
      <c r="B28" s="121" t="s">
        <v>76</v>
      </c>
      <c r="C28" s="122">
        <v>0.51</v>
      </c>
      <c r="D28" s="122" t="s">
        <v>161</v>
      </c>
      <c r="E28" s="122">
        <v>1.56</v>
      </c>
      <c r="F28" s="123" t="s">
        <v>274</v>
      </c>
      <c r="G28" s="124">
        <v>0.53</v>
      </c>
      <c r="H28" s="122" t="s">
        <v>275</v>
      </c>
      <c r="I28" s="125">
        <v>0.25</v>
      </c>
      <c r="J28" s="77"/>
      <c r="K28" s="77"/>
      <c r="L28" s="77"/>
      <c r="M28" s="77"/>
      <c r="N28" s="77"/>
    </row>
    <row r="29" spans="1:14" x14ac:dyDescent="0.35">
      <c r="A29" s="120" t="s">
        <v>24</v>
      </c>
      <c r="B29" s="121" t="s">
        <v>24</v>
      </c>
      <c r="C29" s="122">
        <v>0.56000000000000005</v>
      </c>
      <c r="D29" s="122" t="s">
        <v>161</v>
      </c>
      <c r="E29" s="122">
        <v>1.56</v>
      </c>
      <c r="F29" s="123" t="s">
        <v>274</v>
      </c>
      <c r="G29" s="124">
        <v>0.53</v>
      </c>
      <c r="H29" s="122" t="s">
        <v>275</v>
      </c>
      <c r="I29" s="125">
        <v>0.25</v>
      </c>
      <c r="J29" s="77"/>
      <c r="K29" s="77"/>
      <c r="L29" s="77"/>
      <c r="M29" s="77"/>
      <c r="N29" s="77"/>
    </row>
    <row r="30" spans="1:14" x14ac:dyDescent="0.35">
      <c r="A30" s="120" t="s">
        <v>25</v>
      </c>
      <c r="B30" s="121" t="s">
        <v>77</v>
      </c>
      <c r="C30" s="122">
        <v>0.55000000000000004</v>
      </c>
      <c r="D30" s="122" t="s">
        <v>161</v>
      </c>
      <c r="E30" s="122">
        <v>1.56</v>
      </c>
      <c r="F30" s="123" t="s">
        <v>274</v>
      </c>
      <c r="G30" s="124">
        <v>0.53</v>
      </c>
      <c r="H30" s="122" t="s">
        <v>152</v>
      </c>
      <c r="I30" s="125">
        <v>0.25</v>
      </c>
      <c r="J30" s="77"/>
      <c r="K30" s="77"/>
      <c r="L30" s="77"/>
      <c r="M30" s="77"/>
      <c r="N30" s="77"/>
    </row>
    <row r="31" spans="1:14" x14ac:dyDescent="0.35">
      <c r="A31" s="120" t="s">
        <v>26</v>
      </c>
      <c r="B31" s="121" t="s">
        <v>78</v>
      </c>
      <c r="C31" s="122">
        <v>0.56000000000000005</v>
      </c>
      <c r="D31" s="122" t="s">
        <v>161</v>
      </c>
      <c r="E31" s="122">
        <v>1.56</v>
      </c>
      <c r="F31" s="123" t="s">
        <v>274</v>
      </c>
      <c r="G31" s="124">
        <v>0.43</v>
      </c>
      <c r="H31" s="122" t="s">
        <v>278</v>
      </c>
      <c r="I31" s="125">
        <v>0.25</v>
      </c>
      <c r="J31" s="77"/>
      <c r="K31" s="77"/>
      <c r="L31" s="77"/>
      <c r="M31" s="77"/>
      <c r="N31" s="77"/>
    </row>
    <row r="32" spans="1:14" x14ac:dyDescent="0.35">
      <c r="A32" s="120" t="s">
        <v>27</v>
      </c>
      <c r="B32" s="121" t="s">
        <v>79</v>
      </c>
      <c r="C32" s="122">
        <v>0.48</v>
      </c>
      <c r="D32" s="122" t="s">
        <v>161</v>
      </c>
      <c r="E32" s="122">
        <v>1.3</v>
      </c>
      <c r="F32" s="123" t="s">
        <v>274</v>
      </c>
      <c r="G32" s="124">
        <v>0.6</v>
      </c>
      <c r="H32" s="122" t="s">
        <v>281</v>
      </c>
      <c r="I32" s="125">
        <v>0.43</v>
      </c>
      <c r="J32" s="77"/>
      <c r="K32" s="77"/>
      <c r="L32" s="77"/>
      <c r="M32" s="77"/>
      <c r="N32" s="77"/>
    </row>
    <row r="33" spans="1:14" x14ac:dyDescent="0.35">
      <c r="A33" s="120" t="s">
        <v>28</v>
      </c>
      <c r="B33" s="121" t="s">
        <v>80</v>
      </c>
      <c r="C33" s="122">
        <v>0.42</v>
      </c>
      <c r="D33" s="122" t="s">
        <v>161</v>
      </c>
      <c r="E33" s="122">
        <v>1.3</v>
      </c>
      <c r="F33" s="123" t="s">
        <v>274</v>
      </c>
      <c r="G33" s="124">
        <v>0.6</v>
      </c>
      <c r="H33" s="122" t="s">
        <v>281</v>
      </c>
      <c r="I33" s="125">
        <v>0.43</v>
      </c>
      <c r="J33" s="77"/>
      <c r="K33" s="77"/>
      <c r="L33" s="77"/>
      <c r="M33" s="77"/>
      <c r="N33" s="77"/>
    </row>
    <row r="34" spans="1:14" x14ac:dyDescent="0.35">
      <c r="A34" s="120" t="s">
        <v>81</v>
      </c>
      <c r="B34" s="121" t="s">
        <v>163</v>
      </c>
      <c r="C34" s="122">
        <v>0.42</v>
      </c>
      <c r="D34" s="122" t="s">
        <v>103</v>
      </c>
      <c r="E34" s="122">
        <v>1.3</v>
      </c>
      <c r="F34" s="123" t="s">
        <v>274</v>
      </c>
      <c r="G34" s="124">
        <v>0.6</v>
      </c>
      <c r="H34" s="121" t="s">
        <v>280</v>
      </c>
      <c r="I34" s="125">
        <v>0.43</v>
      </c>
      <c r="J34" s="77"/>
      <c r="K34" s="77"/>
      <c r="L34" s="77"/>
      <c r="M34" s="77"/>
      <c r="N34" s="77"/>
    </row>
    <row r="35" spans="1:14" x14ac:dyDescent="0.35">
      <c r="A35" s="120" t="s">
        <v>29</v>
      </c>
      <c r="B35" s="121" t="s">
        <v>82</v>
      </c>
      <c r="C35" s="122">
        <v>0.5</v>
      </c>
      <c r="D35" s="122" t="s">
        <v>161</v>
      </c>
      <c r="E35" s="122">
        <v>1.56</v>
      </c>
      <c r="F35" s="123" t="s">
        <v>274</v>
      </c>
      <c r="G35" s="124">
        <v>0.43</v>
      </c>
      <c r="H35" s="122" t="s">
        <v>278</v>
      </c>
      <c r="I35" s="125">
        <v>0.25</v>
      </c>
      <c r="J35" s="77"/>
      <c r="K35" s="77"/>
      <c r="L35" s="77"/>
      <c r="M35" s="77"/>
      <c r="N35" s="77"/>
    </row>
    <row r="36" spans="1:14" x14ac:dyDescent="0.35">
      <c r="A36" s="120" t="s">
        <v>102</v>
      </c>
      <c r="B36" s="121" t="s">
        <v>101</v>
      </c>
      <c r="C36" s="122">
        <v>0.55000000000000004</v>
      </c>
      <c r="D36" s="122" t="s">
        <v>161</v>
      </c>
      <c r="E36" s="122">
        <v>1.56</v>
      </c>
      <c r="F36" s="123" t="s">
        <v>274</v>
      </c>
      <c r="G36" s="124">
        <v>0.53</v>
      </c>
      <c r="H36" s="122" t="s">
        <v>275</v>
      </c>
      <c r="I36" s="125">
        <v>0.25</v>
      </c>
      <c r="J36" s="77"/>
      <c r="K36" s="77"/>
      <c r="L36" s="77"/>
      <c r="M36" s="77"/>
      <c r="N36" s="77"/>
    </row>
    <row r="37" spans="1:14" x14ac:dyDescent="0.35">
      <c r="A37" s="120" t="s">
        <v>30</v>
      </c>
      <c r="B37" s="121" t="s">
        <v>104</v>
      </c>
      <c r="C37" s="122">
        <v>0.52</v>
      </c>
      <c r="D37" s="122" t="s">
        <v>161</v>
      </c>
      <c r="E37" s="122">
        <v>1.56</v>
      </c>
      <c r="F37" s="123" t="s">
        <v>274</v>
      </c>
      <c r="G37" s="124">
        <v>0.53</v>
      </c>
      <c r="H37" s="122" t="s">
        <v>275</v>
      </c>
      <c r="I37" s="125">
        <v>0.25</v>
      </c>
      <c r="J37" s="77"/>
      <c r="K37" s="77"/>
      <c r="L37" s="77"/>
      <c r="M37" s="77"/>
      <c r="N37" s="77"/>
    </row>
    <row r="38" spans="1:14" x14ac:dyDescent="0.35">
      <c r="A38" s="120" t="s">
        <v>31</v>
      </c>
      <c r="B38" s="121" t="s">
        <v>105</v>
      </c>
      <c r="C38" s="122">
        <v>0.52</v>
      </c>
      <c r="D38" s="122" t="s">
        <v>161</v>
      </c>
      <c r="E38" s="122">
        <v>1.56</v>
      </c>
      <c r="F38" s="123" t="s">
        <v>274</v>
      </c>
      <c r="G38" s="124">
        <v>0.43</v>
      </c>
      <c r="H38" s="122" t="s">
        <v>278</v>
      </c>
      <c r="I38" s="125">
        <v>0.25</v>
      </c>
      <c r="J38" s="77"/>
      <c r="K38" s="77"/>
      <c r="L38" s="77"/>
      <c r="M38" s="77"/>
      <c r="N38" s="77"/>
    </row>
    <row r="39" spans="1:14" x14ac:dyDescent="0.35">
      <c r="A39" s="120" t="s">
        <v>107</v>
      </c>
      <c r="B39" s="121" t="s">
        <v>132</v>
      </c>
      <c r="C39" s="122">
        <v>0.313</v>
      </c>
      <c r="D39" s="122" t="s">
        <v>130</v>
      </c>
      <c r="E39" s="122">
        <v>1.56</v>
      </c>
      <c r="F39" s="123" t="s">
        <v>274</v>
      </c>
      <c r="G39" s="124">
        <v>0.6</v>
      </c>
      <c r="H39" s="122" t="s">
        <v>283</v>
      </c>
      <c r="I39" s="125">
        <v>1.03</v>
      </c>
      <c r="J39" s="77"/>
      <c r="K39" s="77"/>
      <c r="L39" s="77"/>
      <c r="M39" s="77"/>
      <c r="N39" s="77"/>
    </row>
    <row r="40" spans="1:14" x14ac:dyDescent="0.35">
      <c r="A40" s="120" t="s">
        <v>108</v>
      </c>
      <c r="B40" s="121" t="s">
        <v>132</v>
      </c>
      <c r="C40" s="122">
        <v>0.35199999999999998</v>
      </c>
      <c r="D40" s="122" t="s">
        <v>130</v>
      </c>
      <c r="E40" s="122">
        <v>1.56</v>
      </c>
      <c r="F40" s="123" t="s">
        <v>274</v>
      </c>
      <c r="G40" s="124">
        <v>0.6</v>
      </c>
      <c r="H40" s="122" t="s">
        <v>283</v>
      </c>
      <c r="I40" s="125">
        <v>1.03</v>
      </c>
      <c r="J40" s="77"/>
      <c r="K40" s="77"/>
      <c r="L40" s="77"/>
      <c r="M40" s="77"/>
      <c r="N40" s="77"/>
    </row>
    <row r="41" spans="1:14" x14ac:dyDescent="0.35">
      <c r="A41" s="120" t="s">
        <v>121</v>
      </c>
      <c r="B41" s="121" t="s">
        <v>132</v>
      </c>
      <c r="C41" s="122">
        <v>0.32200000000000001</v>
      </c>
      <c r="D41" s="122" t="s">
        <v>130</v>
      </c>
      <c r="E41" s="122">
        <v>1.56</v>
      </c>
      <c r="F41" s="123" t="s">
        <v>274</v>
      </c>
      <c r="G41" s="124">
        <v>0.6</v>
      </c>
      <c r="H41" s="122" t="s">
        <v>283</v>
      </c>
      <c r="I41" s="125">
        <v>1.03</v>
      </c>
      <c r="J41" s="77"/>
      <c r="K41" s="77"/>
      <c r="L41" s="77"/>
      <c r="M41" s="77"/>
      <c r="N41" s="77"/>
    </row>
    <row r="42" spans="1:14" x14ac:dyDescent="0.35">
      <c r="A42" s="120" t="s">
        <v>122</v>
      </c>
      <c r="B42" s="121" t="s">
        <v>132</v>
      </c>
      <c r="C42" s="122">
        <v>0.311</v>
      </c>
      <c r="D42" s="122" t="s">
        <v>130</v>
      </c>
      <c r="E42" s="122">
        <v>1.56</v>
      </c>
      <c r="F42" s="123" t="s">
        <v>274</v>
      </c>
      <c r="G42" s="124">
        <v>0.6</v>
      </c>
      <c r="H42" s="122" t="s">
        <v>283</v>
      </c>
      <c r="I42" s="125">
        <v>1.03</v>
      </c>
      <c r="J42" s="77"/>
      <c r="K42" s="77"/>
      <c r="L42" s="77"/>
      <c r="M42" s="77"/>
      <c r="N42" s="77"/>
    </row>
    <row r="43" spans="1:14" x14ac:dyDescent="0.35">
      <c r="A43" s="120" t="s">
        <v>109</v>
      </c>
      <c r="B43" s="121" t="s">
        <v>132</v>
      </c>
      <c r="C43" s="122">
        <v>0.33900000000000002</v>
      </c>
      <c r="D43" s="122" t="s">
        <v>130</v>
      </c>
      <c r="E43" s="122">
        <v>1.56</v>
      </c>
      <c r="F43" s="123" t="s">
        <v>274</v>
      </c>
      <c r="G43" s="124">
        <v>0.6</v>
      </c>
      <c r="H43" s="122" t="s">
        <v>283</v>
      </c>
      <c r="I43" s="125">
        <v>1.03</v>
      </c>
      <c r="J43" s="77"/>
      <c r="K43" s="77"/>
      <c r="L43" s="77"/>
      <c r="M43" s="77"/>
      <c r="N43" s="77"/>
    </row>
    <row r="44" spans="1:14" x14ac:dyDescent="0.35">
      <c r="A44" s="120" t="s">
        <v>123</v>
      </c>
      <c r="B44" s="121" t="s">
        <v>132</v>
      </c>
      <c r="C44" s="122">
        <v>0.33600000000000002</v>
      </c>
      <c r="D44" s="122" t="s">
        <v>130</v>
      </c>
      <c r="E44" s="122">
        <v>1.56</v>
      </c>
      <c r="F44" s="123" t="s">
        <v>274</v>
      </c>
      <c r="G44" s="124">
        <v>0.6</v>
      </c>
      <c r="H44" s="122" t="s">
        <v>283</v>
      </c>
      <c r="I44" s="125">
        <v>1.03</v>
      </c>
      <c r="J44" s="77"/>
      <c r="K44" s="77"/>
      <c r="L44" s="77"/>
      <c r="M44" s="77"/>
      <c r="N44" s="77"/>
    </row>
    <row r="45" spans="1:14" x14ac:dyDescent="0.35">
      <c r="A45" s="120" t="s">
        <v>110</v>
      </c>
      <c r="B45" s="121" t="s">
        <v>132</v>
      </c>
      <c r="C45" s="122">
        <v>0.32900000000000001</v>
      </c>
      <c r="D45" s="122" t="s">
        <v>130</v>
      </c>
      <c r="E45" s="122">
        <v>1.56</v>
      </c>
      <c r="F45" s="123" t="s">
        <v>274</v>
      </c>
      <c r="G45" s="124">
        <v>0.6</v>
      </c>
      <c r="H45" s="122" t="s">
        <v>283</v>
      </c>
      <c r="I45" s="125">
        <v>1.03</v>
      </c>
      <c r="J45" s="77"/>
      <c r="K45" s="77"/>
      <c r="L45" s="77"/>
      <c r="M45" s="77"/>
      <c r="N45" s="77"/>
    </row>
    <row r="46" spans="1:14" x14ac:dyDescent="0.35">
      <c r="A46" s="120" t="s">
        <v>124</v>
      </c>
      <c r="B46" s="121" t="s">
        <v>132</v>
      </c>
      <c r="C46" s="122">
        <v>0.34300000000000003</v>
      </c>
      <c r="D46" s="122" t="s">
        <v>130</v>
      </c>
      <c r="E46" s="122">
        <v>1.56</v>
      </c>
      <c r="F46" s="123" t="s">
        <v>274</v>
      </c>
      <c r="G46" s="124">
        <v>0.6</v>
      </c>
      <c r="H46" s="122" t="s">
        <v>283</v>
      </c>
      <c r="I46" s="125">
        <v>1.03</v>
      </c>
      <c r="J46" s="77"/>
      <c r="K46" s="77"/>
      <c r="L46" s="77"/>
      <c r="M46" s="77"/>
      <c r="N46" s="77"/>
    </row>
    <row r="47" spans="1:14" x14ac:dyDescent="0.35">
      <c r="A47" s="120" t="s">
        <v>125</v>
      </c>
      <c r="B47" s="121" t="s">
        <v>132</v>
      </c>
      <c r="C47" s="122">
        <v>0.32500000000000001</v>
      </c>
      <c r="D47" s="122" t="s">
        <v>130</v>
      </c>
      <c r="E47" s="122">
        <v>1.56</v>
      </c>
      <c r="F47" s="123" t="s">
        <v>274</v>
      </c>
      <c r="G47" s="124">
        <v>0.6</v>
      </c>
      <c r="H47" s="122" t="s">
        <v>283</v>
      </c>
      <c r="I47" s="125">
        <v>1.03</v>
      </c>
      <c r="J47" s="77"/>
      <c r="K47" s="77"/>
      <c r="L47" s="77"/>
      <c r="M47" s="77"/>
      <c r="N47" s="77"/>
    </row>
    <row r="48" spans="1:14" x14ac:dyDescent="0.35">
      <c r="A48" s="120" t="s">
        <v>126</v>
      </c>
      <c r="B48" s="121" t="s">
        <v>132</v>
      </c>
      <c r="C48" s="122">
        <v>0.32</v>
      </c>
      <c r="D48" s="122" t="s">
        <v>130</v>
      </c>
      <c r="E48" s="122">
        <v>1.56</v>
      </c>
      <c r="F48" s="123" t="s">
        <v>274</v>
      </c>
      <c r="G48" s="124">
        <v>0.6</v>
      </c>
      <c r="H48" s="122" t="s">
        <v>283</v>
      </c>
      <c r="I48" s="125">
        <v>1.03</v>
      </c>
      <c r="J48" s="77"/>
      <c r="K48" s="77"/>
      <c r="L48" s="77"/>
      <c r="M48" s="77"/>
      <c r="N48" s="77"/>
    </row>
    <row r="49" spans="1:14" x14ac:dyDescent="0.35">
      <c r="A49" s="120" t="s">
        <v>111</v>
      </c>
      <c r="B49" s="121" t="s">
        <v>132</v>
      </c>
      <c r="C49" s="122">
        <v>0.28199999999999997</v>
      </c>
      <c r="D49" s="122" t="s">
        <v>130</v>
      </c>
      <c r="E49" s="122">
        <v>1.56</v>
      </c>
      <c r="F49" s="123" t="s">
        <v>274</v>
      </c>
      <c r="G49" s="124">
        <v>0.6</v>
      </c>
      <c r="H49" s="122" t="s">
        <v>283</v>
      </c>
      <c r="I49" s="125">
        <v>1.03</v>
      </c>
      <c r="J49" s="77"/>
      <c r="K49" s="77"/>
      <c r="L49" s="77"/>
      <c r="M49" s="77"/>
      <c r="N49" s="77"/>
    </row>
    <row r="50" spans="1:14" x14ac:dyDescent="0.35">
      <c r="A50" s="120" t="s">
        <v>127</v>
      </c>
      <c r="B50" s="121" t="s">
        <v>132</v>
      </c>
      <c r="C50" s="122">
        <v>0.32800000000000001</v>
      </c>
      <c r="D50" s="122" t="s">
        <v>130</v>
      </c>
      <c r="E50" s="122">
        <v>1.56</v>
      </c>
      <c r="F50" s="123" t="s">
        <v>274</v>
      </c>
      <c r="G50" s="124">
        <v>0.6</v>
      </c>
      <c r="H50" s="122" t="s">
        <v>283</v>
      </c>
      <c r="I50" s="125">
        <v>1.03</v>
      </c>
      <c r="J50" s="77"/>
      <c r="K50" s="77"/>
      <c r="L50" s="77"/>
      <c r="M50" s="77"/>
      <c r="N50" s="77"/>
    </row>
    <row r="51" spans="1:14" x14ac:dyDescent="0.35">
      <c r="A51" s="120" t="s">
        <v>112</v>
      </c>
      <c r="B51" s="121" t="s">
        <v>132</v>
      </c>
      <c r="C51" s="122">
        <v>0.32600000000000001</v>
      </c>
      <c r="D51" s="122" t="s">
        <v>130</v>
      </c>
      <c r="E51" s="122">
        <v>1.56</v>
      </c>
      <c r="F51" s="123" t="s">
        <v>274</v>
      </c>
      <c r="G51" s="124">
        <v>0.6</v>
      </c>
      <c r="H51" s="122" t="s">
        <v>283</v>
      </c>
      <c r="I51" s="125">
        <v>1.03</v>
      </c>
      <c r="J51" s="77"/>
      <c r="K51" s="77"/>
      <c r="L51" s="77"/>
      <c r="M51" s="77"/>
      <c r="N51" s="77"/>
    </row>
    <row r="52" spans="1:14" x14ac:dyDescent="0.35">
      <c r="A52" s="120" t="s">
        <v>113</v>
      </c>
      <c r="B52" s="121" t="s">
        <v>132</v>
      </c>
      <c r="C52" s="122">
        <v>0.35899999999999999</v>
      </c>
      <c r="D52" s="122" t="s">
        <v>130</v>
      </c>
      <c r="E52" s="122">
        <v>1.56</v>
      </c>
      <c r="F52" s="123" t="s">
        <v>274</v>
      </c>
      <c r="G52" s="124">
        <v>0.6</v>
      </c>
      <c r="H52" s="122" t="s">
        <v>283</v>
      </c>
      <c r="I52" s="125">
        <v>1.03</v>
      </c>
      <c r="J52" s="77"/>
      <c r="K52" s="77"/>
      <c r="L52" s="77"/>
      <c r="M52" s="77"/>
      <c r="N52" s="77"/>
    </row>
    <row r="53" spans="1:14" x14ac:dyDescent="0.35">
      <c r="A53" s="120" t="s">
        <v>114</v>
      </c>
      <c r="B53" s="121" t="s">
        <v>132</v>
      </c>
      <c r="C53" s="122">
        <v>0.34599999999999997</v>
      </c>
      <c r="D53" s="122" t="s">
        <v>130</v>
      </c>
      <c r="E53" s="122">
        <v>1.56</v>
      </c>
      <c r="F53" s="123" t="s">
        <v>274</v>
      </c>
      <c r="G53" s="124">
        <v>0.6</v>
      </c>
      <c r="H53" s="122" t="s">
        <v>283</v>
      </c>
      <c r="I53" s="125">
        <v>1.03</v>
      </c>
      <c r="J53" s="77"/>
      <c r="K53" s="77"/>
      <c r="L53" s="77"/>
      <c r="M53" s="77"/>
      <c r="N53" s="77"/>
    </row>
    <row r="54" spans="1:14" x14ac:dyDescent="0.35">
      <c r="A54" s="120" t="s">
        <v>115</v>
      </c>
      <c r="B54" s="121" t="s">
        <v>132</v>
      </c>
      <c r="C54" s="122">
        <v>0.32600000000000001</v>
      </c>
      <c r="D54" s="122" t="s">
        <v>130</v>
      </c>
      <c r="E54" s="122">
        <v>1.56</v>
      </c>
      <c r="F54" s="123" t="s">
        <v>274</v>
      </c>
      <c r="G54" s="124">
        <v>0.6</v>
      </c>
      <c r="H54" s="122" t="s">
        <v>283</v>
      </c>
      <c r="I54" s="125">
        <v>1.03</v>
      </c>
      <c r="J54" s="77"/>
      <c r="K54" s="77"/>
      <c r="L54" s="77"/>
      <c r="M54" s="77"/>
      <c r="N54" s="77"/>
    </row>
    <row r="55" spans="1:14" x14ac:dyDescent="0.35">
      <c r="A55" s="120" t="s">
        <v>116</v>
      </c>
      <c r="B55" s="121" t="s">
        <v>132</v>
      </c>
      <c r="C55" s="122">
        <v>0.30499999999999999</v>
      </c>
      <c r="D55" s="122" t="s">
        <v>130</v>
      </c>
      <c r="E55" s="122">
        <v>1.56</v>
      </c>
      <c r="F55" s="123" t="s">
        <v>274</v>
      </c>
      <c r="G55" s="124">
        <v>0.6</v>
      </c>
      <c r="H55" s="122" t="s">
        <v>283</v>
      </c>
      <c r="I55" s="125">
        <v>1.03</v>
      </c>
      <c r="J55" s="77"/>
      <c r="K55" s="77"/>
      <c r="L55" s="77"/>
      <c r="M55" s="77"/>
      <c r="N55" s="77"/>
    </row>
    <row r="56" spans="1:14" x14ac:dyDescent="0.35">
      <c r="A56" s="120" t="s">
        <v>128</v>
      </c>
      <c r="B56" s="121" t="s">
        <v>132</v>
      </c>
      <c r="C56" s="122">
        <v>0.32300000000000001</v>
      </c>
      <c r="D56" s="122" t="s">
        <v>130</v>
      </c>
      <c r="E56" s="122">
        <v>1.56</v>
      </c>
      <c r="F56" s="123" t="s">
        <v>274</v>
      </c>
      <c r="G56" s="124">
        <v>0.6</v>
      </c>
      <c r="H56" s="122" t="s">
        <v>283</v>
      </c>
      <c r="I56" s="125">
        <v>1.03</v>
      </c>
      <c r="J56" s="77"/>
      <c r="K56" s="77"/>
      <c r="L56" s="77"/>
      <c r="M56" s="77"/>
      <c r="N56" s="77"/>
    </row>
    <row r="57" spans="1:14" x14ac:dyDescent="0.35">
      <c r="A57" s="120" t="s">
        <v>129</v>
      </c>
      <c r="B57" s="121" t="s">
        <v>132</v>
      </c>
      <c r="C57" s="122">
        <v>0.36699999999999999</v>
      </c>
      <c r="D57" s="122" t="s">
        <v>130</v>
      </c>
      <c r="E57" s="122">
        <v>1.56</v>
      </c>
      <c r="F57" s="123" t="s">
        <v>274</v>
      </c>
      <c r="G57" s="124">
        <v>0.6</v>
      </c>
      <c r="H57" s="122" t="s">
        <v>283</v>
      </c>
      <c r="I57" s="125">
        <v>1.03</v>
      </c>
      <c r="J57" s="77"/>
      <c r="K57" s="77"/>
      <c r="L57" s="77"/>
      <c r="M57" s="77"/>
      <c r="N57" s="77"/>
    </row>
    <row r="58" spans="1:14" x14ac:dyDescent="0.35">
      <c r="A58" s="120" t="s">
        <v>117</v>
      </c>
      <c r="B58" s="121" t="s">
        <v>132</v>
      </c>
      <c r="C58" s="122">
        <v>0.36</v>
      </c>
      <c r="D58" s="122" t="s">
        <v>130</v>
      </c>
      <c r="E58" s="122">
        <v>1.56</v>
      </c>
      <c r="F58" s="123" t="s">
        <v>274</v>
      </c>
      <c r="G58" s="124">
        <v>0.6</v>
      </c>
      <c r="H58" s="122" t="s">
        <v>283</v>
      </c>
      <c r="I58" s="125">
        <v>1.03</v>
      </c>
      <c r="J58" s="77"/>
      <c r="K58" s="77"/>
      <c r="L58" s="77"/>
      <c r="M58" s="77"/>
      <c r="N58" s="77"/>
    </row>
    <row r="59" spans="1:14" x14ac:dyDescent="0.35">
      <c r="A59" s="120" t="s">
        <v>118</v>
      </c>
      <c r="B59" s="121" t="s">
        <v>132</v>
      </c>
      <c r="C59" s="122">
        <v>0.36799999999999999</v>
      </c>
      <c r="D59" s="122" t="s">
        <v>130</v>
      </c>
      <c r="E59" s="122">
        <v>1.56</v>
      </c>
      <c r="F59" s="123" t="s">
        <v>274</v>
      </c>
      <c r="G59" s="124">
        <v>0.6</v>
      </c>
      <c r="H59" s="122" t="s">
        <v>283</v>
      </c>
      <c r="I59" s="125">
        <v>1.03</v>
      </c>
      <c r="J59" s="77"/>
      <c r="K59" s="77"/>
      <c r="L59" s="77"/>
      <c r="M59" s="77"/>
      <c r="N59" s="77"/>
    </row>
    <row r="60" spans="1:14" x14ac:dyDescent="0.35">
      <c r="A60" s="120" t="s">
        <v>119</v>
      </c>
      <c r="B60" s="121" t="s">
        <v>132</v>
      </c>
      <c r="C60" s="122">
        <v>0.30599999999999999</v>
      </c>
      <c r="D60" s="122" t="s">
        <v>130</v>
      </c>
      <c r="E60" s="122">
        <v>1.56</v>
      </c>
      <c r="F60" s="123" t="s">
        <v>274</v>
      </c>
      <c r="G60" s="124">
        <v>0.6</v>
      </c>
      <c r="H60" s="122" t="s">
        <v>283</v>
      </c>
      <c r="I60" s="125">
        <v>1.03</v>
      </c>
      <c r="J60" s="77"/>
      <c r="K60" s="77"/>
      <c r="L60" s="77"/>
      <c r="M60" s="77"/>
      <c r="N60" s="77"/>
    </row>
    <row r="61" spans="1:14" x14ac:dyDescent="0.35">
      <c r="A61" s="120" t="s">
        <v>120</v>
      </c>
      <c r="B61" s="121" t="s">
        <v>132</v>
      </c>
      <c r="C61" s="122">
        <v>0.313</v>
      </c>
      <c r="D61" s="122" t="s">
        <v>130</v>
      </c>
      <c r="E61" s="122">
        <v>1.56</v>
      </c>
      <c r="F61" s="123" t="s">
        <v>274</v>
      </c>
      <c r="G61" s="124">
        <v>0.6</v>
      </c>
      <c r="H61" s="122" t="s">
        <v>283</v>
      </c>
      <c r="I61" s="125">
        <v>1.03</v>
      </c>
      <c r="J61" s="77"/>
      <c r="K61" s="77"/>
      <c r="L61" s="77"/>
      <c r="M61" s="77"/>
      <c r="N61" s="77"/>
    </row>
    <row r="62" spans="1:14" x14ac:dyDescent="0.35">
      <c r="A62" s="120" t="s">
        <v>32</v>
      </c>
      <c r="B62" s="121" t="s">
        <v>133</v>
      </c>
      <c r="C62" s="122">
        <v>0.37</v>
      </c>
      <c r="D62" s="122" t="s">
        <v>161</v>
      </c>
      <c r="E62" s="122">
        <v>1.56</v>
      </c>
      <c r="F62" s="123" t="s">
        <v>274</v>
      </c>
      <c r="G62" s="124">
        <v>0.6</v>
      </c>
      <c r="H62" s="122" t="s">
        <v>283</v>
      </c>
      <c r="I62" s="125">
        <v>1.03</v>
      </c>
      <c r="J62" s="77"/>
      <c r="K62" s="77"/>
      <c r="L62" s="77"/>
      <c r="M62" s="77"/>
      <c r="N62" s="77"/>
    </row>
    <row r="63" spans="1:14" x14ac:dyDescent="0.35">
      <c r="A63" s="120" t="s">
        <v>90</v>
      </c>
      <c r="B63" s="121" t="s">
        <v>83</v>
      </c>
      <c r="C63" s="122">
        <v>0.45</v>
      </c>
      <c r="D63" s="122" t="s">
        <v>161</v>
      </c>
      <c r="E63" s="122">
        <v>1.3</v>
      </c>
      <c r="F63" s="123" t="s">
        <v>274</v>
      </c>
      <c r="G63" s="124">
        <v>0.45</v>
      </c>
      <c r="H63" s="122" t="s">
        <v>276</v>
      </c>
      <c r="I63" s="125">
        <v>0.43</v>
      </c>
      <c r="J63" s="77"/>
      <c r="K63" s="77"/>
      <c r="L63" s="77"/>
      <c r="M63" s="77"/>
      <c r="N63" s="77"/>
    </row>
    <row r="64" spans="1:14" x14ac:dyDescent="0.35">
      <c r="A64" s="120" t="s">
        <v>33</v>
      </c>
      <c r="B64" s="121" t="s">
        <v>134</v>
      </c>
      <c r="C64" s="122">
        <v>0.39</v>
      </c>
      <c r="D64" s="122" t="s">
        <v>161</v>
      </c>
      <c r="E64" s="122">
        <v>1.3</v>
      </c>
      <c r="F64" s="123" t="s">
        <v>274</v>
      </c>
      <c r="G64" s="124">
        <v>0.45</v>
      </c>
      <c r="H64" s="122" t="s">
        <v>276</v>
      </c>
      <c r="I64" s="125">
        <v>0.43</v>
      </c>
      <c r="J64" s="77"/>
      <c r="K64" s="77"/>
      <c r="L64" s="77"/>
      <c r="M64" s="77"/>
      <c r="N64" s="77"/>
    </row>
    <row r="65" spans="1:14" x14ac:dyDescent="0.35">
      <c r="A65" s="120" t="s">
        <v>34</v>
      </c>
      <c r="B65" s="121" t="s">
        <v>135</v>
      </c>
      <c r="C65" s="122">
        <v>0.44</v>
      </c>
      <c r="D65" s="122" t="s">
        <v>161</v>
      </c>
      <c r="E65" s="122">
        <v>1.3</v>
      </c>
      <c r="F65" s="123" t="s">
        <v>274</v>
      </c>
      <c r="G65" s="124">
        <v>0.45</v>
      </c>
      <c r="H65" s="122" t="s">
        <v>276</v>
      </c>
      <c r="I65" s="125">
        <v>0.43</v>
      </c>
      <c r="J65" s="77"/>
      <c r="K65" s="77"/>
      <c r="L65" s="77"/>
      <c r="M65" s="77"/>
      <c r="N65" s="77"/>
    </row>
    <row r="66" spans="1:14" x14ac:dyDescent="0.35">
      <c r="A66" s="120" t="s">
        <v>35</v>
      </c>
      <c r="B66" s="121" t="s">
        <v>84</v>
      </c>
      <c r="C66" s="122">
        <v>0.46</v>
      </c>
      <c r="D66" s="122" t="s">
        <v>161</v>
      </c>
      <c r="E66" s="122">
        <v>1.3</v>
      </c>
      <c r="F66" s="123" t="s">
        <v>274</v>
      </c>
      <c r="G66" s="124">
        <v>0.45</v>
      </c>
      <c r="H66" s="122" t="s">
        <v>276</v>
      </c>
      <c r="I66" s="125">
        <v>0.43</v>
      </c>
      <c r="J66" s="77"/>
      <c r="K66" s="77"/>
      <c r="L66" s="77"/>
      <c r="M66" s="77"/>
      <c r="N66" s="77"/>
    </row>
    <row r="67" spans="1:14" x14ac:dyDescent="0.35">
      <c r="A67" s="120" t="s">
        <v>36</v>
      </c>
      <c r="B67" s="121" t="s">
        <v>85</v>
      </c>
      <c r="C67" s="122">
        <v>0.46</v>
      </c>
      <c r="D67" s="122" t="s">
        <v>161</v>
      </c>
      <c r="E67" s="122">
        <v>1.3</v>
      </c>
      <c r="F67" s="123" t="s">
        <v>274</v>
      </c>
      <c r="G67" s="124">
        <v>0.45</v>
      </c>
      <c r="H67" s="122" t="s">
        <v>152</v>
      </c>
      <c r="I67" s="125">
        <v>0.59</v>
      </c>
      <c r="J67" s="77"/>
      <c r="K67" s="77"/>
      <c r="L67" s="77"/>
      <c r="M67" s="77"/>
      <c r="N67" s="77"/>
    </row>
    <row r="68" spans="1:14" x14ac:dyDescent="0.35">
      <c r="A68" s="120" t="s">
        <v>37</v>
      </c>
      <c r="B68" s="121" t="s">
        <v>136</v>
      </c>
      <c r="C68" s="122">
        <v>0.44</v>
      </c>
      <c r="D68" s="122" t="s">
        <v>161</v>
      </c>
      <c r="E68" s="122">
        <v>1.3</v>
      </c>
      <c r="F68" s="123" t="s">
        <v>274</v>
      </c>
      <c r="G68" s="124">
        <v>0.45</v>
      </c>
      <c r="H68" s="122" t="s">
        <v>276</v>
      </c>
      <c r="I68" s="125">
        <v>0.43</v>
      </c>
      <c r="J68" s="77"/>
      <c r="K68" s="77"/>
      <c r="L68" s="77"/>
      <c r="M68" s="77"/>
      <c r="N68" s="77"/>
    </row>
    <row r="69" spans="1:14" x14ac:dyDescent="0.35">
      <c r="A69" s="120" t="s">
        <v>38</v>
      </c>
      <c r="B69" s="121" t="s">
        <v>86</v>
      </c>
      <c r="C69" s="122">
        <v>0.46</v>
      </c>
      <c r="D69" s="122" t="s">
        <v>161</v>
      </c>
      <c r="E69" s="122">
        <v>1.3</v>
      </c>
      <c r="F69" s="123" t="s">
        <v>274</v>
      </c>
      <c r="G69" s="124">
        <v>0.45</v>
      </c>
      <c r="H69" s="122" t="s">
        <v>276</v>
      </c>
      <c r="I69" s="125">
        <v>0.43</v>
      </c>
      <c r="J69" s="77"/>
      <c r="K69" s="77"/>
      <c r="L69" s="77"/>
      <c r="M69" s="77"/>
      <c r="N69" s="77"/>
    </row>
    <row r="70" spans="1:14" x14ac:dyDescent="0.35">
      <c r="A70" s="120" t="s">
        <v>39</v>
      </c>
      <c r="B70" s="121" t="s">
        <v>137</v>
      </c>
      <c r="C70" s="122">
        <v>0.48</v>
      </c>
      <c r="D70" s="122" t="s">
        <v>161</v>
      </c>
      <c r="E70" s="122">
        <v>2.4</v>
      </c>
      <c r="F70" s="122" t="s">
        <v>284</v>
      </c>
      <c r="G70" s="124">
        <v>0.45</v>
      </c>
      <c r="H70" s="122" t="s">
        <v>276</v>
      </c>
      <c r="I70" s="125">
        <v>0.43</v>
      </c>
      <c r="J70" s="77"/>
      <c r="K70" s="77"/>
      <c r="L70" s="77"/>
      <c r="M70" s="77"/>
      <c r="N70" s="77"/>
    </row>
    <row r="71" spans="1:14" x14ac:dyDescent="0.35">
      <c r="A71" s="120" t="s">
        <v>40</v>
      </c>
      <c r="B71" s="121" t="s">
        <v>87</v>
      </c>
      <c r="C71" s="122">
        <v>0.46</v>
      </c>
      <c r="D71" s="122" t="s">
        <v>150</v>
      </c>
      <c r="E71" s="122">
        <v>1.3</v>
      </c>
      <c r="F71" s="123" t="s">
        <v>274</v>
      </c>
      <c r="G71" s="124">
        <v>0.45</v>
      </c>
      <c r="H71" s="122" t="s">
        <v>276</v>
      </c>
      <c r="I71" s="125">
        <v>0.43</v>
      </c>
      <c r="J71" s="77"/>
      <c r="K71" s="77"/>
      <c r="L71" s="77"/>
      <c r="M71" s="77"/>
      <c r="N71" s="77"/>
    </row>
    <row r="72" spans="1:14" x14ac:dyDescent="0.35">
      <c r="A72" s="120" t="s">
        <v>41</v>
      </c>
      <c r="B72" s="121" t="s">
        <v>88</v>
      </c>
      <c r="C72" s="122">
        <v>0.44</v>
      </c>
      <c r="D72" s="122" t="s">
        <v>161</v>
      </c>
      <c r="E72" s="122">
        <v>1.3</v>
      </c>
      <c r="F72" s="123" t="s">
        <v>274</v>
      </c>
      <c r="G72" s="124">
        <v>0.45</v>
      </c>
      <c r="H72" s="122" t="s">
        <v>276</v>
      </c>
      <c r="I72" s="125">
        <v>0.43</v>
      </c>
      <c r="J72" s="77"/>
      <c r="K72" s="77"/>
      <c r="L72" s="77"/>
      <c r="M72" s="77"/>
      <c r="N72" s="77"/>
    </row>
    <row r="73" spans="1:14" x14ac:dyDescent="0.35">
      <c r="A73" s="120" t="s">
        <v>138</v>
      </c>
      <c r="B73" s="121" t="s">
        <v>140</v>
      </c>
      <c r="C73" s="122">
        <v>0.46</v>
      </c>
      <c r="D73" s="122" t="s">
        <v>151</v>
      </c>
      <c r="E73" s="122">
        <v>1.3</v>
      </c>
      <c r="F73" s="123" t="s">
        <v>274</v>
      </c>
      <c r="G73" s="124">
        <v>0.45</v>
      </c>
      <c r="H73" s="122" t="s">
        <v>276</v>
      </c>
      <c r="I73" s="125">
        <v>0.43</v>
      </c>
      <c r="J73" s="77"/>
      <c r="K73" s="77"/>
      <c r="L73" s="77"/>
      <c r="M73" s="77"/>
      <c r="N73" s="77"/>
    </row>
    <row r="74" spans="1:14" x14ac:dyDescent="0.35">
      <c r="A74" s="120" t="s">
        <v>42</v>
      </c>
      <c r="B74" s="121" t="s">
        <v>139</v>
      </c>
      <c r="C74" s="122">
        <v>0.34</v>
      </c>
      <c r="D74" s="122" t="s">
        <v>161</v>
      </c>
      <c r="E74" s="122">
        <v>1.3</v>
      </c>
      <c r="F74" s="123" t="s">
        <v>274</v>
      </c>
      <c r="G74" s="124">
        <v>0.45</v>
      </c>
      <c r="H74" s="122" t="s">
        <v>276</v>
      </c>
      <c r="I74" s="125">
        <v>0.43</v>
      </c>
      <c r="J74" s="77"/>
      <c r="K74" s="77"/>
      <c r="L74" s="77"/>
      <c r="M74" s="77"/>
      <c r="N74" s="77"/>
    </row>
    <row r="75" spans="1:14" x14ac:dyDescent="0.35">
      <c r="A75" s="120" t="s">
        <v>43</v>
      </c>
      <c r="B75" s="121" t="s">
        <v>162</v>
      </c>
      <c r="C75" s="122">
        <v>0.5</v>
      </c>
      <c r="D75" s="122" t="s">
        <v>161</v>
      </c>
      <c r="E75" s="122">
        <v>1.56</v>
      </c>
      <c r="F75" s="123" t="s">
        <v>274</v>
      </c>
      <c r="G75" s="124">
        <v>0.53</v>
      </c>
      <c r="H75" s="122" t="s">
        <v>275</v>
      </c>
      <c r="I75" s="125">
        <v>0.25</v>
      </c>
      <c r="J75" s="77"/>
      <c r="K75" s="77"/>
      <c r="L75" s="77"/>
      <c r="M75" s="77"/>
      <c r="N75" s="77"/>
    </row>
    <row r="76" spans="1:14" x14ac:dyDescent="0.35">
      <c r="A76" s="120" t="s">
        <v>44</v>
      </c>
      <c r="B76" s="121" t="s">
        <v>89</v>
      </c>
      <c r="C76" s="122">
        <v>0.57999999999999996</v>
      </c>
      <c r="D76" s="122" t="s">
        <v>161</v>
      </c>
      <c r="E76" s="122">
        <v>1.56</v>
      </c>
      <c r="F76" s="123" t="s">
        <v>274</v>
      </c>
      <c r="G76" s="124">
        <v>0.3</v>
      </c>
      <c r="H76" s="122" t="s">
        <v>277</v>
      </c>
      <c r="I76" s="125">
        <v>0.25</v>
      </c>
      <c r="J76" s="77"/>
      <c r="K76" s="77"/>
      <c r="L76" s="77"/>
      <c r="M76" s="77"/>
      <c r="N76" s="77"/>
    </row>
    <row r="77" spans="1:14" x14ac:dyDescent="0.35">
      <c r="A77" s="120" t="s">
        <v>47</v>
      </c>
      <c r="B77" s="121" t="s">
        <v>141</v>
      </c>
      <c r="C77" s="122">
        <v>0.37</v>
      </c>
      <c r="D77" s="122" t="s">
        <v>161</v>
      </c>
      <c r="E77" s="122">
        <v>1.3</v>
      </c>
      <c r="F77" s="123" t="s">
        <v>274</v>
      </c>
      <c r="G77" s="124">
        <v>0.55000000000000004</v>
      </c>
      <c r="H77" s="122" t="s">
        <v>152</v>
      </c>
      <c r="I77" s="125">
        <v>0.43</v>
      </c>
      <c r="J77" s="77"/>
      <c r="K77" s="77"/>
      <c r="L77" s="77"/>
      <c r="M77" s="77"/>
      <c r="N77" s="77"/>
    </row>
    <row r="78" spans="1:14" x14ac:dyDescent="0.35">
      <c r="A78" s="120" t="s">
        <v>45</v>
      </c>
      <c r="B78" s="121" t="s">
        <v>96</v>
      </c>
      <c r="C78" s="122">
        <v>0.37</v>
      </c>
      <c r="D78" s="122" t="s">
        <v>161</v>
      </c>
      <c r="E78" s="122">
        <v>1.3</v>
      </c>
      <c r="F78" s="123" t="s">
        <v>274</v>
      </c>
      <c r="G78" s="124">
        <v>0.55000000000000004</v>
      </c>
      <c r="H78" s="122" t="s">
        <v>152</v>
      </c>
      <c r="I78" s="125">
        <v>0.43</v>
      </c>
      <c r="J78" s="77"/>
      <c r="K78" s="77"/>
      <c r="L78" s="77"/>
      <c r="M78" s="77"/>
      <c r="N78" s="77"/>
    </row>
    <row r="79" spans="1:14" x14ac:dyDescent="0.35">
      <c r="A79" s="120" t="s">
        <v>46</v>
      </c>
      <c r="B79" s="121" t="s">
        <v>95</v>
      </c>
      <c r="C79" s="122">
        <v>0.38</v>
      </c>
      <c r="D79" s="122" t="s">
        <v>161</v>
      </c>
      <c r="E79" s="122">
        <v>1.3</v>
      </c>
      <c r="F79" s="123" t="s">
        <v>274</v>
      </c>
      <c r="G79" s="124">
        <v>0.55000000000000004</v>
      </c>
      <c r="H79" s="122" t="s">
        <v>153</v>
      </c>
      <c r="I79" s="125">
        <v>0.43</v>
      </c>
      <c r="J79" s="77"/>
      <c r="K79" s="77"/>
      <c r="L79" s="77"/>
      <c r="M79" s="77"/>
      <c r="N79" s="77"/>
    </row>
    <row r="80" spans="1:14" x14ac:dyDescent="0.35">
      <c r="A80" s="120" t="s">
        <v>48</v>
      </c>
      <c r="B80" s="121" t="s">
        <v>94</v>
      </c>
      <c r="C80" s="122">
        <v>0.36</v>
      </c>
      <c r="D80" s="122" t="s">
        <v>161</v>
      </c>
      <c r="E80" s="122">
        <v>1.3</v>
      </c>
      <c r="F80" s="123" t="s">
        <v>274</v>
      </c>
      <c r="G80" s="124">
        <v>0.55000000000000004</v>
      </c>
      <c r="H80" s="122" t="s">
        <v>153</v>
      </c>
      <c r="I80" s="125">
        <v>0.43</v>
      </c>
      <c r="J80" s="77"/>
      <c r="K80" s="77"/>
      <c r="L80" s="77"/>
      <c r="M80" s="77"/>
      <c r="N80" s="77"/>
    </row>
    <row r="81" spans="1:14" x14ac:dyDescent="0.35">
      <c r="A81" s="120" t="s">
        <v>49</v>
      </c>
      <c r="B81" s="121" t="s">
        <v>142</v>
      </c>
      <c r="C81" s="122">
        <v>0.37</v>
      </c>
      <c r="D81" s="122" t="s">
        <v>161</v>
      </c>
      <c r="E81" s="122">
        <v>1.56</v>
      </c>
      <c r="F81" s="123" t="s">
        <v>274</v>
      </c>
      <c r="G81" s="124">
        <v>0.43</v>
      </c>
      <c r="H81" s="122" t="s">
        <v>278</v>
      </c>
      <c r="I81" s="125">
        <v>0.25</v>
      </c>
      <c r="J81" s="77"/>
      <c r="K81" s="77"/>
      <c r="L81" s="77"/>
      <c r="M81" s="77"/>
      <c r="N81" s="77"/>
    </row>
    <row r="82" spans="1:14" x14ac:dyDescent="0.35">
      <c r="A82" s="120" t="s">
        <v>158</v>
      </c>
      <c r="B82" s="121" t="s">
        <v>159</v>
      </c>
      <c r="C82" s="122">
        <v>0.35</v>
      </c>
      <c r="D82" s="122" t="s">
        <v>160</v>
      </c>
      <c r="E82" s="122">
        <v>1.3</v>
      </c>
      <c r="F82" s="123" t="s">
        <v>274</v>
      </c>
      <c r="G82" s="124">
        <v>0.55000000000000004</v>
      </c>
      <c r="H82" s="122" t="s">
        <v>153</v>
      </c>
      <c r="I82" s="125">
        <v>0.43</v>
      </c>
      <c r="J82" s="77"/>
      <c r="K82" s="77"/>
      <c r="L82" s="77"/>
      <c r="M82" s="77"/>
      <c r="N82" s="77"/>
    </row>
    <row r="83" spans="1:14" x14ac:dyDescent="0.35">
      <c r="A83" s="120" t="s">
        <v>156</v>
      </c>
      <c r="B83" s="121" t="s">
        <v>157</v>
      </c>
      <c r="C83" s="122">
        <v>0.34</v>
      </c>
      <c r="D83" s="122" t="s">
        <v>161</v>
      </c>
      <c r="E83" s="122">
        <v>1.3</v>
      </c>
      <c r="F83" s="123" t="s">
        <v>274</v>
      </c>
      <c r="G83" s="124">
        <v>0.55000000000000004</v>
      </c>
      <c r="H83" s="122" t="s">
        <v>153</v>
      </c>
      <c r="I83" s="125">
        <v>0.43</v>
      </c>
      <c r="J83" s="77"/>
      <c r="K83" s="77"/>
      <c r="L83" s="77"/>
      <c r="M83" s="77"/>
      <c r="N83" s="77"/>
    </row>
    <row r="84" spans="1:14" x14ac:dyDescent="0.35">
      <c r="A84" s="120" t="s">
        <v>92</v>
      </c>
      <c r="B84" s="121" t="s">
        <v>93</v>
      </c>
      <c r="C84" s="122">
        <v>0.31</v>
      </c>
      <c r="D84" s="122" t="s">
        <v>161</v>
      </c>
      <c r="E84" s="122">
        <v>1.3</v>
      </c>
      <c r="F84" s="123" t="s">
        <v>274</v>
      </c>
      <c r="G84" s="124">
        <v>0.55000000000000004</v>
      </c>
      <c r="H84" s="122" t="s">
        <v>153</v>
      </c>
      <c r="I84" s="125">
        <v>0.43</v>
      </c>
      <c r="J84" s="77"/>
      <c r="K84" s="77"/>
      <c r="L84" s="77"/>
      <c r="M84" s="77"/>
      <c r="N84" s="77"/>
    </row>
    <row r="85" spans="1:14" x14ac:dyDescent="0.35">
      <c r="A85" s="120" t="s">
        <v>50</v>
      </c>
      <c r="B85" s="121" t="s">
        <v>143</v>
      </c>
      <c r="C85" s="122">
        <v>0.43</v>
      </c>
      <c r="D85" s="122" t="s">
        <v>161</v>
      </c>
      <c r="E85" s="122">
        <v>1.56</v>
      </c>
      <c r="F85" s="123" t="s">
        <v>274</v>
      </c>
      <c r="G85" s="124">
        <v>0.53</v>
      </c>
      <c r="H85" s="122" t="s">
        <v>275</v>
      </c>
      <c r="I85" s="125">
        <v>0.25</v>
      </c>
      <c r="J85" s="77"/>
      <c r="K85" s="77"/>
      <c r="L85" s="77"/>
      <c r="M85" s="77"/>
      <c r="N85" s="77"/>
    </row>
    <row r="86" spans="1:14" x14ac:dyDescent="0.35">
      <c r="A86" s="120" t="s">
        <v>51</v>
      </c>
      <c r="B86" s="121" t="s">
        <v>91</v>
      </c>
      <c r="C86" s="122">
        <v>0.38</v>
      </c>
      <c r="D86" s="122" t="s">
        <v>161</v>
      </c>
      <c r="E86" s="122">
        <v>1.56</v>
      </c>
      <c r="F86" s="123" t="s">
        <v>274</v>
      </c>
      <c r="G86" s="124">
        <v>0.6</v>
      </c>
      <c r="H86" s="122" t="s">
        <v>279</v>
      </c>
      <c r="I86" s="125">
        <v>0.25</v>
      </c>
      <c r="J86" s="77"/>
      <c r="K86" s="77"/>
      <c r="L86" s="77"/>
      <c r="M86" s="77"/>
      <c r="N86" s="77"/>
    </row>
    <row r="87" spans="1:14" x14ac:dyDescent="0.35">
      <c r="A87" s="249" t="s">
        <v>321</v>
      </c>
      <c r="B87" s="250" t="s">
        <v>322</v>
      </c>
      <c r="C87" s="251">
        <v>0.41</v>
      </c>
      <c r="D87" s="251" t="s">
        <v>323</v>
      </c>
      <c r="E87" s="251">
        <v>1.56</v>
      </c>
      <c r="F87" s="252" t="s">
        <v>274</v>
      </c>
      <c r="G87" s="253">
        <v>0.43</v>
      </c>
      <c r="H87" s="251" t="s">
        <v>278</v>
      </c>
      <c r="I87" s="254">
        <v>0.25</v>
      </c>
      <c r="J87" s="77"/>
      <c r="K87" s="77"/>
      <c r="L87" s="77"/>
      <c r="M87" s="77"/>
      <c r="N87" s="77"/>
    </row>
    <row r="88" spans="1:14" x14ac:dyDescent="0.35">
      <c r="A88" s="120" t="s">
        <v>148</v>
      </c>
      <c r="B88" s="128"/>
      <c r="C88" s="122">
        <v>0.42</v>
      </c>
      <c r="D88" s="122" t="s">
        <v>161</v>
      </c>
      <c r="E88" s="122">
        <v>1.3</v>
      </c>
      <c r="F88" s="123" t="s">
        <v>274</v>
      </c>
      <c r="G88" s="129"/>
      <c r="H88" s="128"/>
      <c r="I88" s="130"/>
    </row>
    <row r="89" spans="1:14" ht="15" thickBot="1" x14ac:dyDescent="0.4">
      <c r="A89" s="131" t="s">
        <v>149</v>
      </c>
      <c r="B89" s="132"/>
      <c r="C89" s="133">
        <v>0.56999999999999995</v>
      </c>
      <c r="D89" s="134" t="s">
        <v>161</v>
      </c>
      <c r="E89" s="133">
        <v>1.56</v>
      </c>
      <c r="F89" s="133" t="s">
        <v>274</v>
      </c>
      <c r="G89" s="132"/>
      <c r="H89" s="132"/>
      <c r="I89" s="135"/>
    </row>
    <row r="93" spans="1:14" x14ac:dyDescent="0.35">
      <c r="A93" s="120" t="s">
        <v>208</v>
      </c>
    </row>
    <row r="94" spans="1:14" x14ac:dyDescent="0.35">
      <c r="A94" s="120" t="s">
        <v>209</v>
      </c>
    </row>
    <row r="95" spans="1:14" x14ac:dyDescent="0.35">
      <c r="A95" s="120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zoomScale="110" zoomScaleNormal="110" workbookViewId="0">
      <selection activeCell="M34" sqref="M34"/>
    </sheetView>
  </sheetViews>
  <sheetFormatPr baseColWidth="10" defaultColWidth="11.453125" defaultRowHeight="14.5" x14ac:dyDescent="0.35"/>
  <cols>
    <col min="1" max="1" width="22.81640625" style="1" bestFit="1" customWidth="1"/>
    <col min="2" max="2" width="10.453125" style="1" bestFit="1" customWidth="1"/>
    <col min="3" max="3" width="15.453125" style="1" bestFit="1" customWidth="1"/>
    <col min="4" max="4" width="13.453125" style="1" bestFit="1" customWidth="1"/>
    <col min="5" max="8" width="11.453125" style="1"/>
    <col min="9" max="13" width="11.453125" style="62"/>
    <col min="14" max="15" width="11.453125" style="1"/>
    <col min="16" max="17" width="13.453125" style="1" customWidth="1"/>
    <col min="18" max="16384" width="11.453125" style="1"/>
  </cols>
  <sheetData>
    <row r="1" spans="1:62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5" thickBot="1" x14ac:dyDescent="0.65">
      <c r="A2" s="281" t="s">
        <v>271</v>
      </c>
      <c r="B2" s="282"/>
      <c r="C2" s="282"/>
      <c r="D2" s="282"/>
      <c r="E2" s="282"/>
      <c r="F2" s="282"/>
      <c r="G2" s="282"/>
      <c r="H2" s="282"/>
      <c r="I2" s="282"/>
      <c r="J2" s="282"/>
      <c r="K2" s="282"/>
      <c r="L2" s="283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4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58.5" thickBot="1" x14ac:dyDescent="0.4">
      <c r="A5" s="136" t="s">
        <v>207</v>
      </c>
      <c r="B5" s="137" t="s">
        <v>250</v>
      </c>
      <c r="C5" s="138" t="str">
        <f>Calculateur!S2</f>
        <v>ΔStock moyen de long terme (tCO₂/ha)</v>
      </c>
      <c r="D5" s="138" t="str">
        <f>Calculateur!T2</f>
        <v>Δstock CO₂ 30 ans (tCO₂/ha)</v>
      </c>
      <c r="E5" s="138" t="s">
        <v>228</v>
      </c>
      <c r="F5" s="138" t="s">
        <v>239</v>
      </c>
      <c r="G5" s="138" t="s">
        <v>240</v>
      </c>
      <c r="H5" s="139" t="s">
        <v>241</v>
      </c>
      <c r="I5" s="140" t="s">
        <v>242</v>
      </c>
      <c r="J5" s="141" t="s">
        <v>243</v>
      </c>
      <c r="K5" s="142" t="s">
        <v>244</v>
      </c>
      <c r="L5" s="83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5">
      <c r="A6" s="143" t="str">
        <f>IF('Données projet'!$B$9="","",'Données projet'!$B$9)</f>
        <v>Chêne sessile</v>
      </c>
      <c r="B6" s="144">
        <f>'Données projet'!D9</f>
        <v>2.5052093020799999</v>
      </c>
      <c r="C6" s="145">
        <f ca="1">IF(OR('Données projet'!B9="",'Données projet'!C9="",'Données projet'!C9=0%),0,Calculateur!S3)</f>
        <v>700.22008319944644</v>
      </c>
      <c r="D6" s="145">
        <f>IF(OR('Données projet'!B9="",'Données projet'!C9="",'Données projet'!C9=0%),0,Calculateur!T3)</f>
        <v>253.69632671986739</v>
      </c>
      <c r="E6" s="145">
        <f ca="1">MIN(C6,D6)</f>
        <v>253.69632671986739</v>
      </c>
      <c r="F6" s="145">
        <f ca="1">E6*B6</f>
        <v>635.56239760213862</v>
      </c>
      <c r="G6" s="145">
        <f ca="1">F6*(100%-'Données projet'!$C$24)*(100%-'Données projet'!$C$25)*(100%-'Données projet'!$C$26)*(100%-'Données projet'!$C$27)</f>
        <v>514.80554205773228</v>
      </c>
      <c r="H6" s="146">
        <f>IF(OR('Données projet'!B9="",'Données projet'!C9="",'Données projet'!C9=0%),0,AVERAGE(Calculateur!$AC$3:$AC$33)*B6)</f>
        <v>0</v>
      </c>
      <c r="I6" s="147">
        <f>H6*(100%-'Données projet'!$C$24)*(100%-'Données projet'!$C$25)*(100%-'Données projet'!$C$26)*(100%-'Données projet'!$C$27)</f>
        <v>0</v>
      </c>
      <c r="J6" s="148">
        <f>IF(OR('Données projet'!B9="",'Données projet'!C9="",'Données projet'!C9=0%),0,SUM(Calculateur!$V$3:$V$33)*VLOOKUP('Données projet'!$B$9,Paramètres!$A$1:$I$89,9,0)*B6)</f>
        <v>0</v>
      </c>
      <c r="K6" s="149">
        <f>J6*(100%-'Données projet'!$C$24)*(100%-'Données projet'!$C$25)*(100%-'Données projet'!$C$26)*(100%-'Données projet'!$C$27)</f>
        <v>0</v>
      </c>
      <c r="L6" s="150">
        <f ca="1">G6+I6+K6</f>
        <v>514.80554205773228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5">
      <c r="A7" s="151" t="str">
        <f>IF('Données projet'!$B$10="","",'Données projet'!$B$10)</f>
        <v>Charme</v>
      </c>
      <c r="B7" s="152">
        <f>'Données projet'!D10</f>
        <v>1.038883720896</v>
      </c>
      <c r="C7" s="145">
        <f ca="1">IF(OR('Données projet'!B10="",'Données projet'!C10="",'Données projet'!C10=0%),0,Calculateur!AN3)</f>
        <v>733.95677909577444</v>
      </c>
      <c r="D7" s="145">
        <f>IF(OR('Données projet'!B10="",'Données projet'!C10="",'Données projet'!C10=0%),0,Calculateur!AO3)</f>
        <v>264.63778993239799</v>
      </c>
      <c r="E7" s="145">
        <f t="shared" ref="E7:E15" ca="1" si="0">MIN(C7,D7)</f>
        <v>264.63778993239799</v>
      </c>
      <c r="F7" s="145">
        <f t="shared" ref="F7:F15" ca="1" si="1">E7*B7</f>
        <v>274.92789189466362</v>
      </c>
      <c r="G7" s="145">
        <f ca="1">F7*(100%-'Données projet'!$C$24)*(100%-'Données projet'!$C$25)*(100%-'Données projet'!$C$26)*(100%-'Données projet'!$C$27)</f>
        <v>222.69159243467755</v>
      </c>
      <c r="H7" s="153">
        <f>IF(OR('Données projet'!B10="",'Données projet'!C10="",'Données projet'!C10=0%),0,AVERAGE(Calculateur!$AX$3:$AX$33)*B7)</f>
        <v>0</v>
      </c>
      <c r="I7" s="147">
        <f>H7*(100%-'Données projet'!$C$24)*(100%-'Données projet'!$C$25)*(100%-'Données projet'!$C$26)*(100%-'Données projet'!$C$27)</f>
        <v>0</v>
      </c>
      <c r="J7" s="148">
        <f>IF(OR('Données projet'!B10="",'Données projet'!C10="",'Données projet'!C10=0%),0,SUM(Calculateur!$AQ$3:$AQ$33)*VLOOKUP('Données projet'!$B$10,Paramètres!$A$1:$I$89,9,0)*B7)</f>
        <v>0</v>
      </c>
      <c r="K7" s="149">
        <f>J7*(100%-'Données projet'!$C$24)*(100%-'Données projet'!$C$25)*(100%-'Données projet'!$C$26)*(100%-'Données projet'!$C$27)</f>
        <v>0</v>
      </c>
      <c r="L7" s="150">
        <f t="shared" ref="L7:L15" ca="1" si="2">G7+I7+K7</f>
        <v>222.69159243467755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5">
      <c r="A8" s="151" t="str">
        <f>IF('Données projet'!$B$11="","",'Données projet'!$B$11)</f>
        <v>Pin maritime</v>
      </c>
      <c r="B8" s="152">
        <f>'Données projet'!D11</f>
        <v>2.2159069770239999</v>
      </c>
      <c r="C8" s="145">
        <f ca="1">IF(OR('Données projet'!B11="",'Données projet'!C11="",'Données projet'!C11=0%),0,Calculateur!BI3)</f>
        <v>187.80389738728508</v>
      </c>
      <c r="D8" s="145">
        <f>IF(OR('Données projet'!B11="",'Données projet'!C11="",'Données projet'!C11=0%),0,Calculateur!BJ3)</f>
        <v>439.28159165815265</v>
      </c>
      <c r="E8" s="145">
        <f t="shared" ca="1" si="0"/>
        <v>187.80389738728508</v>
      </c>
      <c r="F8" s="145">
        <f t="shared" ca="1" si="1"/>
        <v>416.15596653278436</v>
      </c>
      <c r="G8" s="145">
        <f ca="1">F8*(100%-'Données projet'!$C$24)*(100%-'Données projet'!$C$25)*(100%-'Données projet'!$C$26)*(100%-'Données projet'!$C$27)</f>
        <v>337.08633289155534</v>
      </c>
      <c r="H8" s="153">
        <f>IF(OR('Données projet'!B11="",'Données projet'!C11="",'Données projet'!C11=0%),0,AVERAGE(Calculateur!$BS$3:$BS$33)*B8)</f>
        <v>38.261472097278784</v>
      </c>
      <c r="I8" s="147">
        <f>H8*(100%-'Données projet'!$C$24)*(100%-'Données projet'!$C$25)*(100%-'Données projet'!$C$26)*(100%-'Données projet'!$C$27)</f>
        <v>30.991792398795816</v>
      </c>
      <c r="J8" s="148">
        <f>IF(OR('Données projet'!B11="",'Données projet'!C11="",'Données projet'!C11=0%),0,SUM(Calculateur!$BL$3:$BL$33)*VLOOKUP('Données projet'!$B$11,Paramètres!$A$1:$I$89,9,0)*B8)</f>
        <v>577.86422146831865</v>
      </c>
      <c r="K8" s="149">
        <f>J8*(100%-'Données projet'!$C$24)*(100%-'Données projet'!$C$25)*(100%-'Données projet'!$C$26)*(100%-'Données projet'!$C$27)</f>
        <v>468.0700193893382</v>
      </c>
      <c r="L8" s="150">
        <f t="shared" ca="1" si="2"/>
        <v>836.14814467968938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5">
      <c r="A9" s="151" t="str">
        <f>IF('Données projet'!$B$12="","",'Données projet'!$B$12)</f>
        <v/>
      </c>
      <c r="B9" s="152">
        <f>'Données projet'!D12</f>
        <v>0</v>
      </c>
      <c r="C9" s="145">
        <f>IF(OR('Données projet'!B12="",'Données projet'!C12="",'Données projet'!C12=0%),0,Calculateur!CD3)</f>
        <v>0</v>
      </c>
      <c r="D9" s="145">
        <f>IF(OR('Données projet'!B12="",'Données projet'!C12="",'Données projet'!C12=0%),0,Calculateur!CE3)</f>
        <v>0</v>
      </c>
      <c r="E9" s="145">
        <f t="shared" si="0"/>
        <v>0</v>
      </c>
      <c r="F9" s="145">
        <f t="shared" si="1"/>
        <v>0</v>
      </c>
      <c r="G9" s="145">
        <f>F9*(100%-'Données projet'!$C$24)*(100%-'Données projet'!$C$25)*(100%-'Données projet'!$C$26)*(100%-'Données projet'!$C$27)</f>
        <v>0</v>
      </c>
      <c r="H9" s="153">
        <f>IF(OR('Données projet'!B12="",'Données projet'!C12="",'Données projet'!C12=0%),0,AVERAGE(Calculateur!$CN$3:$CN$33)*B9)</f>
        <v>0</v>
      </c>
      <c r="I9" s="147">
        <f>H9*(100%-'Données projet'!$C$24)*(100%-'Données projet'!$C$25)*(100%-'Données projet'!$C$26)*(100%-'Données projet'!$C$27)</f>
        <v>0</v>
      </c>
      <c r="J9" s="148">
        <f>IF(OR('Données projet'!B12="",'Données projet'!C12="",'Données projet'!C12=0%),0,SUM(Calculateur!$CG$3:$CG$33)*VLOOKUP('Données projet'!$B$12,Paramètres!$A$1:$I$89,9,0)*B9)</f>
        <v>0</v>
      </c>
      <c r="K9" s="149">
        <f>J9*(100%-'Données projet'!$C$24)*(100%-'Données projet'!$C$25)*(100%-'Données projet'!$C$26)*(100%-'Données projet'!$C$27)</f>
        <v>0</v>
      </c>
      <c r="L9" s="150">
        <f t="shared" si="2"/>
        <v>0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5">
      <c r="A10" s="151" t="str">
        <f>IF('Données projet'!$B$13="","",'Données projet'!$B$13)</f>
        <v/>
      </c>
      <c r="B10" s="152">
        <f>'Données projet'!D13</f>
        <v>0</v>
      </c>
      <c r="C10" s="145">
        <f>IF(OR('Données projet'!B13="",'Données projet'!C13="",'Données projet'!C13=0%),0,Calculateur!CY3)</f>
        <v>0</v>
      </c>
      <c r="D10" s="145">
        <f>IF(OR('Données projet'!B13="",'Données projet'!C13="",'Données projet'!C13=0%),0,Calculateur!CZ3)</f>
        <v>0</v>
      </c>
      <c r="E10" s="145">
        <f t="shared" si="0"/>
        <v>0</v>
      </c>
      <c r="F10" s="145">
        <f t="shared" si="1"/>
        <v>0</v>
      </c>
      <c r="G10" s="145">
        <f>F10*(100%-'Données projet'!$C$24)*(100%-'Données projet'!$C$25)*(100%-'Données projet'!$C$26)*(100%-'Données projet'!$C$27)</f>
        <v>0</v>
      </c>
      <c r="H10" s="153">
        <f>IF(OR('Données projet'!B13="",'Données projet'!C13="",'Données projet'!C13=0%),0,AVERAGE(Calculateur!$DI$3:$DI$33)*B10)</f>
        <v>0</v>
      </c>
      <c r="I10" s="147">
        <f>H10*(100%-'Données projet'!$C$24)*(100%-'Données projet'!$C$25)*(100%-'Données projet'!$C$26)*(100%-'Données projet'!$C$27)</f>
        <v>0</v>
      </c>
      <c r="J10" s="148">
        <f>IF(OR('Données projet'!B13="",'Données projet'!C13="",'Données projet'!C13=0%),0,SUM(Calculateur!$DB$3:$DB$33)*VLOOKUP('Données projet'!$B$13,Paramètres!$A$1:$I$89,9,0)*B10)</f>
        <v>0</v>
      </c>
      <c r="K10" s="149">
        <f>J10*(100%-'Données projet'!$C$24)*(100%-'Données projet'!$C$25)*(100%-'Données projet'!$C$26)*(100%-'Données projet'!$C$27)</f>
        <v>0</v>
      </c>
      <c r="L10" s="150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5">
      <c r="A11" s="151" t="str">
        <f>IF('Données projet'!$B$14="","",'Données projet'!$B$14)</f>
        <v/>
      </c>
      <c r="B11" s="152">
        <f>'Données projet'!D14</f>
        <v>0</v>
      </c>
      <c r="C11" s="145">
        <f>IF(OR('Données projet'!B14="",'Données projet'!C14="",'Données projet'!C14=0%),0,Calculateur!DT3)</f>
        <v>0</v>
      </c>
      <c r="D11" s="145">
        <f>IF(OR('Données projet'!B14="",'Données projet'!C14="",'Données projet'!C14=0%),0,Calculateur!DU3)</f>
        <v>0</v>
      </c>
      <c r="E11" s="145">
        <f t="shared" si="0"/>
        <v>0</v>
      </c>
      <c r="F11" s="145">
        <f t="shared" si="1"/>
        <v>0</v>
      </c>
      <c r="G11" s="145">
        <f>F11*(100%-'Données projet'!$C$24)*(100%-'Données projet'!$C$25)*(100%-'Données projet'!$C$26)*(100%-'Données projet'!$C$27)</f>
        <v>0</v>
      </c>
      <c r="H11" s="153">
        <f>IF(OR('Données projet'!B14="",'Données projet'!C14="",'Données projet'!C14=0%),0,AVERAGE(Calculateur!$ED$3:$ED$33)*B11)</f>
        <v>0</v>
      </c>
      <c r="I11" s="147">
        <f>H11*(100%-'Données projet'!$C$24)*(100%-'Données projet'!$C$25)*(100%-'Données projet'!$C$26)*(100%-'Données projet'!$C$27)</f>
        <v>0</v>
      </c>
      <c r="J11" s="148">
        <f>IF(OR('Données projet'!B14="",'Données projet'!C14="",'Données projet'!C14=0%),0,SUM(Calculateur!$DW$3:$DW$33)*VLOOKUP('Données projet'!$B$14,Paramètres!$A$1:$I$89,9,0)*B11)</f>
        <v>0</v>
      </c>
      <c r="K11" s="149">
        <f>J11*(100%-'Données projet'!$C$24)*(100%-'Données projet'!$C$25)*(100%-'Données projet'!$C$26)*(100%-'Données projet'!$C$27)</f>
        <v>0</v>
      </c>
      <c r="L11" s="150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5">
      <c r="A12" s="151" t="str">
        <f>IF('Données projet'!$B$15="","",'Données projet'!$B$15)</f>
        <v/>
      </c>
      <c r="B12" s="152">
        <f>'Données projet'!D15</f>
        <v>0</v>
      </c>
      <c r="C12" s="145">
        <f>IF(OR('Données projet'!B15="",'Données projet'!C15="",'Données projet'!C15=0%),0,Calculateur!EO3)</f>
        <v>0</v>
      </c>
      <c r="D12" s="145">
        <f>IF(OR('Données projet'!B15="",'Données projet'!C15="",'Données projet'!C15=0%),0,Calculateur!EP3)</f>
        <v>0</v>
      </c>
      <c r="E12" s="145">
        <f t="shared" si="0"/>
        <v>0</v>
      </c>
      <c r="F12" s="145">
        <f t="shared" si="1"/>
        <v>0</v>
      </c>
      <c r="G12" s="145">
        <f>F12*(100%-'Données projet'!$C$24)*(100%-'Données projet'!$C$25)*(100%-'Données projet'!$C$26)*(100%-'Données projet'!$C$27)</f>
        <v>0</v>
      </c>
      <c r="H12" s="153">
        <f>IF(OR('Données projet'!B15="",'Données projet'!C15="",'Données projet'!C15=0%),0,AVERAGE(Calculateur!$EY$3:$EY$33)*B12)</f>
        <v>0</v>
      </c>
      <c r="I12" s="147">
        <f>H12*(100%-'Données projet'!$C$24)*(100%-'Données projet'!$C$25)*(100%-'Données projet'!$C$26)*(100%-'Données projet'!$C$27)</f>
        <v>0</v>
      </c>
      <c r="J12" s="148">
        <f>IF(OR('Données projet'!B15="",'Données projet'!C15="",'Données projet'!C15=0%),0,SUM(Calculateur!$ER$3:$ER$33)*VLOOKUP('Données projet'!$B$15,Paramètres!$A$1:$I$89,9,0)*B12)</f>
        <v>0</v>
      </c>
      <c r="K12" s="149">
        <f>J12*(100%-'Données projet'!$C$24)*(100%-'Données projet'!$C$25)*(100%-'Données projet'!$C$26)*(100%-'Données projet'!$C$27)</f>
        <v>0</v>
      </c>
      <c r="L12" s="150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5">
      <c r="A13" s="151" t="str">
        <f>IF('Données projet'!$B$16="","",'Données projet'!$B$16)</f>
        <v/>
      </c>
      <c r="B13" s="152">
        <f>'Données projet'!D16</f>
        <v>0</v>
      </c>
      <c r="C13" s="145">
        <f>IF(OR('Données projet'!B16="",'Données projet'!C16="",'Données projet'!C16=0%),0,Calculateur!FJ3)</f>
        <v>0</v>
      </c>
      <c r="D13" s="145">
        <f>IF(OR('Données projet'!B16="",'Données projet'!C16="",'Données projet'!C16=0%),0,Calculateur!FK3)</f>
        <v>0</v>
      </c>
      <c r="E13" s="145">
        <f t="shared" si="0"/>
        <v>0</v>
      </c>
      <c r="F13" s="145">
        <f t="shared" si="1"/>
        <v>0</v>
      </c>
      <c r="G13" s="145">
        <f>F13*(100%-'Données projet'!$C$24)*(100%-'Données projet'!$C$25)*(100%-'Données projet'!$C$26)*(100%-'Données projet'!$C$27)</f>
        <v>0</v>
      </c>
      <c r="H13" s="153">
        <f>IF(OR('Données projet'!B16="",'Données projet'!C16="",'Données projet'!C16=0%),0,AVERAGE(Calculateur!$FT$3:$FT$33)*B13)</f>
        <v>0</v>
      </c>
      <c r="I13" s="147">
        <f>H13*(100%-'Données projet'!$C$24)*(100%-'Données projet'!$C$25)*(100%-'Données projet'!$C$26)*(100%-'Données projet'!$C$27)</f>
        <v>0</v>
      </c>
      <c r="J13" s="148">
        <f>IF(OR('Données projet'!C16="",'Données projet'!C16=0%),0,SUM(Calculateur!$FM$3:$FM$33)*VLOOKUP('Données projet'!$B$16,Paramètres!$A$1:$I$89,9,0)*B13)</f>
        <v>0</v>
      </c>
      <c r="K13" s="149">
        <f>J13*(100%-'Données projet'!$C$24)*(100%-'Données projet'!$C$25)*(100%-'Données projet'!$C$26)*(100%-'Données projet'!$C$27)</f>
        <v>0</v>
      </c>
      <c r="L13" s="150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5">
      <c r="A14" s="151" t="str">
        <f>IF('Données projet'!$B$17="","",'Données projet'!$B$17)</f>
        <v/>
      </c>
      <c r="B14" s="152">
        <f>'Données projet'!D17</f>
        <v>0</v>
      </c>
      <c r="C14" s="145">
        <f>IF(OR('Données projet'!B17="",'Données projet'!C17="",'Données projet'!C17=0%),0,Calculateur!GE3)</f>
        <v>0</v>
      </c>
      <c r="D14" s="145">
        <f>IF(OR('Données projet'!B17="",'Données projet'!C17="",'Données projet'!C17=0%),0,Calculateur!GF3)</f>
        <v>0</v>
      </c>
      <c r="E14" s="145">
        <f t="shared" si="0"/>
        <v>0</v>
      </c>
      <c r="F14" s="145">
        <f t="shared" si="1"/>
        <v>0</v>
      </c>
      <c r="G14" s="145">
        <f>F14*(100%-'Données projet'!$C$24)*(100%-'Données projet'!$C$25)*(100%-'Données projet'!$C$26)*(100%-'Données projet'!$C$27)</f>
        <v>0</v>
      </c>
      <c r="H14" s="153">
        <f>IF(OR('Données projet'!B17="",'Données projet'!C17="",'Données projet'!C17=0%),0,AVERAGE(Calculateur!$GO$3:$GO$33)*B14)</f>
        <v>0</v>
      </c>
      <c r="I14" s="147">
        <f>H14*(100%-'Données projet'!$C$24)*(100%-'Données projet'!$C$25)*(100%-'Données projet'!$C$26)*(100%-'Données projet'!$C$27)</f>
        <v>0</v>
      </c>
      <c r="J14" s="148">
        <f>IF(OR('Données projet'!B17="",'Données projet'!C17="",'Données projet'!C17=0%),0,SUM(Calculateur!$GH$3:$GH$33)*VLOOKUP('Données projet'!$B$17,Paramètres!$A$1:$I$89,9,0)*B14)</f>
        <v>0</v>
      </c>
      <c r="K14" s="149">
        <f>J14*(100%-'Données projet'!$C$24)*(100%-'Données projet'!$C$25)*(100%-'Données projet'!$C$26)*(100%-'Données projet'!$C$27)</f>
        <v>0</v>
      </c>
      <c r="L14" s="150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4">
      <c r="A15" s="154" t="str">
        <f>IF('Données projet'!B18="","",'Données projet'!B18)</f>
        <v/>
      </c>
      <c r="B15" s="155">
        <f>'Données projet'!D18</f>
        <v>0</v>
      </c>
      <c r="C15" s="156">
        <f>IF(OR('Données projet'!B18="",'Données projet'!C18="",'Données projet'!C18=0%),0,Calculateur!GZ3)</f>
        <v>0</v>
      </c>
      <c r="D15" s="156">
        <f>IF(OR('Données projet'!B18="",'Données projet'!C18="",'Données projet'!C18=0%),0,Calculateur!HA3)</f>
        <v>0</v>
      </c>
      <c r="E15" s="156">
        <f t="shared" si="0"/>
        <v>0</v>
      </c>
      <c r="F15" s="157">
        <f t="shared" si="1"/>
        <v>0</v>
      </c>
      <c r="G15" s="157">
        <f>F15*(100%-'Données projet'!$C$24)*(100%-'Données projet'!$C$25)*(100%-'Données projet'!$C$26)*(100%-'Données projet'!$C$27)</f>
        <v>0</v>
      </c>
      <c r="H15" s="158">
        <f>IF(OR('Données projet'!B18="",'Données projet'!C18="",'Données projet'!C18=0%),0,AVERAGE(Calculateur!$HJ$3:$HJ$33)*B15)</f>
        <v>0</v>
      </c>
      <c r="I15" s="159">
        <f>H15*(100%-'Données projet'!$C$24)*(100%-'Données projet'!$C$25)*(100%-'Données projet'!$C$26)*(100%-'Données projet'!$C$27)</f>
        <v>0</v>
      </c>
      <c r="J15" s="160">
        <f>IF(OR('Données projet'!B18="",'Données projet'!C18="",'Données projet'!C18=0%),0,SUM(Calculateur!$HC$3:$HC$33)*VLOOKUP('Données projet'!$B$18,Paramètres!$A$1:$I$89,9,0)*B15)</f>
        <v>0</v>
      </c>
      <c r="K15" s="161">
        <f>J15*(100%-'Données projet'!$C$24)*(100%-'Données projet'!$C$25)*(100%-'Données projet'!$C$26)*(100%-'Données projet'!$C$27)</f>
        <v>0</v>
      </c>
      <c r="L15" s="162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4">
      <c r="A16" s="207"/>
      <c r="B16" s="211"/>
      <c r="C16" s="212"/>
      <c r="D16" s="23"/>
      <c r="E16" s="23"/>
      <c r="F16" s="163">
        <f t="shared" ref="F16:L16" ca="1" si="3">SUM(F6:F15)</f>
        <v>1326.6462560295865</v>
      </c>
      <c r="G16" s="164">
        <f t="shared" ca="1" si="3"/>
        <v>1074.5834673839652</v>
      </c>
      <c r="H16" s="165">
        <f t="shared" si="3"/>
        <v>38.261472097278784</v>
      </c>
      <c r="I16" s="165">
        <f t="shared" si="3"/>
        <v>30.991792398795816</v>
      </c>
      <c r="J16" s="166">
        <f t="shared" si="3"/>
        <v>577.86422146831865</v>
      </c>
      <c r="K16" s="166">
        <f t="shared" si="3"/>
        <v>468.0700193893382</v>
      </c>
      <c r="L16" s="167">
        <f t="shared" ca="1" si="3"/>
        <v>1573.6452791720992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5">
      <c r="A17" s="207"/>
      <c r="B17" s="211"/>
      <c r="C17" s="212"/>
      <c r="D17" s="23"/>
      <c r="E17" s="23"/>
      <c r="F17" s="293" t="s">
        <v>246</v>
      </c>
      <c r="G17" s="294"/>
      <c r="H17" s="294"/>
      <c r="I17" s="294"/>
      <c r="J17" s="294"/>
      <c r="K17" s="294"/>
      <c r="L17" s="294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5">
      <c r="A18" s="207"/>
      <c r="B18" s="211"/>
      <c r="C18" s="212"/>
      <c r="D18" s="23"/>
      <c r="E18" s="23"/>
      <c r="F18" s="280"/>
      <c r="G18" s="280"/>
      <c r="H18" s="280"/>
      <c r="I18" s="280"/>
      <c r="J18" s="280"/>
      <c r="K18" s="280"/>
      <c r="L18" s="280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4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4">
      <c r="A21" s="168" t="str">
        <f>A6</f>
        <v>Chêne sessile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5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5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5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5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5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5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5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5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5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5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5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5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5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5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5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5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4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4">
      <c r="A39" s="168" t="str">
        <f>A7</f>
        <v>Charme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5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5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5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5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5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5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5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5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5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5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5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5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5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5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5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5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4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4">
      <c r="A57" s="168" t="str">
        <f>A8</f>
        <v>Pin maritime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5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5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5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5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5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5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5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5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5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5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5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5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5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5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5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5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5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4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4">
      <c r="A76" s="168" t="str">
        <f>A9</f>
        <v/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5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5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5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5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5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5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5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5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5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5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5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5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5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5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5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5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4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4">
      <c r="A94" s="168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5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5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5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5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5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5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5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5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5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5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5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5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5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5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5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5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4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4">
      <c r="A112" s="168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5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5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5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5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5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5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5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5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5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5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5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5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5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5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5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5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4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4">
      <c r="A130" s="168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5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5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5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5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5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5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5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5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5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5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5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5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5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5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5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5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4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4">
      <c r="A148" s="168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5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5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5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5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5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5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5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5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5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5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5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5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5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5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5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5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4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4">
      <c r="A166" s="168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5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5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5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5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5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5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5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5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5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5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5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5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5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5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5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5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4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4">
      <c r="A184" s="168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5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5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5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5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5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5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5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5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5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5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5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5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5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5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5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5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5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5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5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I1" zoomScale="90" zoomScaleNormal="90" workbookViewId="0">
      <selection activeCell="L26" sqref="L26:P27"/>
    </sheetView>
  </sheetViews>
  <sheetFormatPr baseColWidth="10" defaultColWidth="11.453125" defaultRowHeight="14.5" x14ac:dyDescent="0.35"/>
  <cols>
    <col min="1" max="1" width="11.453125" style="1"/>
    <col min="2" max="2" width="30.81640625" style="1" bestFit="1" customWidth="1"/>
    <col min="3" max="3" width="18.08984375" style="1" bestFit="1" customWidth="1"/>
    <col min="4" max="5" width="11.453125" style="1"/>
    <col min="6" max="6" width="14" style="1" customWidth="1"/>
    <col min="7" max="7" width="17.453125" style="1" customWidth="1"/>
    <col min="8" max="8" width="21.6328125" style="1" customWidth="1"/>
    <col min="9" max="9" width="37" style="1" customWidth="1"/>
    <col min="10" max="10" width="11.453125" style="1"/>
    <col min="11" max="11" width="8.81640625" style="1" customWidth="1"/>
    <col min="12" max="12" width="11.453125" style="1"/>
    <col min="13" max="13" width="21" style="1" customWidth="1"/>
    <col min="14" max="16" width="11.453125" style="1"/>
    <col min="17" max="17" width="8" style="1" customWidth="1"/>
    <col min="18" max="18" width="11.453125" style="1"/>
    <col min="19" max="19" width="31" style="1" customWidth="1"/>
    <col min="20" max="20" width="18.08984375" style="1" customWidth="1"/>
    <col min="21" max="21" width="16.453125" style="1" customWidth="1"/>
    <col min="22" max="22" width="17.81640625" style="1" customWidth="1"/>
    <col min="23" max="16384" width="11.453125" style="1"/>
  </cols>
  <sheetData>
    <row r="1" spans="1:42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5" thickBot="1" x14ac:dyDescent="0.65">
      <c r="A2" s="4"/>
      <c r="B2" s="281" t="s">
        <v>272</v>
      </c>
      <c r="C2" s="282"/>
      <c r="D2" s="282"/>
      <c r="E2" s="282"/>
      <c r="F2" s="282"/>
      <c r="G2" s="282"/>
      <c r="H2" s="282"/>
      <c r="I2" s="282"/>
      <c r="J2" s="282"/>
      <c r="K2" s="282"/>
      <c r="L2" s="282"/>
      <c r="M2" s="282"/>
      <c r="N2" s="282"/>
      <c r="O2" s="282"/>
      <c r="P2" s="283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5">
      <c r="A3" s="4"/>
      <c r="B3" s="4"/>
      <c r="C3" s="4"/>
      <c r="D3" s="4"/>
      <c r="E3" s="4"/>
      <c r="F3" s="4"/>
      <c r="G3" s="4"/>
      <c r="H3" s="169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5">
      <c r="A4" s="4"/>
      <c r="B4" s="4"/>
      <c r="C4" s="4"/>
      <c r="D4" s="4"/>
      <c r="E4" s="4"/>
      <c r="G4" s="4"/>
      <c r="H4" s="271" t="s">
        <v>315</v>
      </c>
      <c r="I4" s="271"/>
      <c r="K4" s="295" t="s">
        <v>253</v>
      </c>
      <c r="L4" s="296"/>
      <c r="M4" s="235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5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4">
      <c r="A6" s="4"/>
      <c r="B6" s="4"/>
      <c r="C6" s="4"/>
      <c r="D6" s="4"/>
      <c r="E6" s="4"/>
      <c r="F6" s="23"/>
      <c r="G6" s="4"/>
      <c r="H6" s="170"/>
      <c r="I6" s="170"/>
      <c r="J6" s="170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65">
      <c r="A7" s="240"/>
      <c r="B7" s="241"/>
      <c r="C7" s="241"/>
      <c r="D7" s="241"/>
      <c r="E7" s="242"/>
      <c r="F7" s="242" t="s">
        <v>192</v>
      </c>
      <c r="G7" s="243"/>
      <c r="H7" s="241"/>
      <c r="I7" s="241"/>
      <c r="J7" s="244"/>
      <c r="K7" s="238"/>
      <c r="L7" s="239"/>
      <c r="M7" s="239"/>
      <c r="N7" s="245" t="s">
        <v>191</v>
      </c>
      <c r="O7" s="245"/>
      <c r="P7" s="246"/>
      <c r="Q7" s="247"/>
      <c r="R7" s="305" t="s">
        <v>310</v>
      </c>
      <c r="S7" s="306"/>
      <c r="T7" s="306"/>
      <c r="U7" s="306"/>
      <c r="V7" s="307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5">
      <c r="A8" s="23"/>
      <c r="C8" s="23"/>
      <c r="D8" s="23"/>
      <c r="E8" s="23"/>
      <c r="F8" s="23"/>
      <c r="G8" s="23"/>
      <c r="H8" s="4"/>
      <c r="I8" s="4"/>
      <c r="J8" s="198"/>
      <c r="K8" s="206"/>
      <c r="L8" s="23"/>
      <c r="M8" s="23"/>
      <c r="N8" s="23"/>
      <c r="O8" s="23"/>
      <c r="P8" s="23"/>
      <c r="Q8" s="232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5">
      <c r="A9" s="91" t="s">
        <v>311</v>
      </c>
      <c r="C9" s="23"/>
      <c r="D9" s="23"/>
      <c r="E9" s="23"/>
      <c r="F9" s="228"/>
      <c r="G9" s="91" t="s">
        <v>314</v>
      </c>
      <c r="J9" s="198"/>
      <c r="K9" s="206"/>
      <c r="O9" s="23"/>
      <c r="P9" s="23"/>
      <c r="Q9" s="232"/>
      <c r="R9" s="23"/>
      <c r="S9" s="4"/>
      <c r="T9" s="36" t="s">
        <v>262</v>
      </c>
      <c r="U9" s="174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5">
      <c r="A10" s="91" t="s">
        <v>317</v>
      </c>
      <c r="C10" s="23"/>
      <c r="D10" s="23"/>
      <c r="E10" s="23"/>
      <c r="F10" s="228"/>
      <c r="G10" s="91" t="s">
        <v>316</v>
      </c>
      <c r="J10" s="198"/>
      <c r="K10" s="206"/>
      <c r="O10" s="23"/>
      <c r="P10" s="23"/>
      <c r="Q10" s="232"/>
      <c r="R10" s="23"/>
      <c r="S10" s="36" t="str">
        <f>B14</f>
        <v>Chêne sessile</v>
      </c>
      <c r="T10" s="175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6366.8737563057184</v>
      </c>
      <c r="U10" s="176">
        <f>'Données projet'!D9</f>
        <v>2.5052093020799999</v>
      </c>
      <c r="V10" s="175">
        <f>U10*T10</f>
        <v>15950.351359466116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5">
      <c r="A11" s="91" t="s">
        <v>312</v>
      </c>
      <c r="B11" s="23"/>
      <c r="C11" s="23"/>
      <c r="D11" s="23"/>
      <c r="E11" s="23"/>
      <c r="F11" s="228"/>
      <c r="G11" s="91" t="s">
        <v>313</v>
      </c>
      <c r="J11" s="198"/>
      <c r="K11" s="206"/>
      <c r="M11" s="4"/>
      <c r="N11" s="4"/>
      <c r="O11" s="23"/>
      <c r="P11" s="23"/>
      <c r="Q11" s="232"/>
      <c r="R11" s="23"/>
      <c r="S11" s="36" t="str">
        <f>B45</f>
        <v>Charme</v>
      </c>
      <c r="T11" s="237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-138.79609323726726</v>
      </c>
      <c r="U11" s="176">
        <f>'Données projet'!D10</f>
        <v>1.038883720896</v>
      </c>
      <c r="V11" s="175">
        <f t="shared" ref="V11" si="0">U11*T11</f>
        <v>-144.19300178816036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5">
      <c r="B12" s="23"/>
      <c r="C12" s="23"/>
      <c r="D12" s="23"/>
      <c r="E12" s="23"/>
      <c r="F12" s="228"/>
      <c r="J12" s="198"/>
      <c r="K12" s="206"/>
      <c r="L12" s="200"/>
      <c r="M12" s="23"/>
      <c r="N12" s="23"/>
      <c r="O12" s="23"/>
      <c r="P12" s="23"/>
      <c r="Q12" s="232"/>
      <c r="R12" s="23"/>
      <c r="S12" s="36" t="str">
        <f>B76</f>
        <v>Pin maritime</v>
      </c>
      <c r="T12" s="237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4459.085774884461</v>
      </c>
      <c r="U12" s="176">
        <f>'Données projet'!D11</f>
        <v>2.2159069770239999</v>
      </c>
      <c r="V12" s="175">
        <f t="shared" ref="V12:V19" si="1">U12*T12</f>
        <v>9880.9192797149462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5">
      <c r="B13" s="23"/>
      <c r="C13" s="23"/>
      <c r="D13" s="23"/>
      <c r="E13" s="23"/>
      <c r="F13" s="228"/>
      <c r="J13" s="23"/>
      <c r="K13" s="206"/>
      <c r="L13" s="91" t="s">
        <v>257</v>
      </c>
      <c r="M13" s="23"/>
      <c r="N13" s="23"/>
      <c r="O13" s="23"/>
      <c r="P13" s="23"/>
      <c r="Q13" s="232"/>
      <c r="R13" s="23"/>
      <c r="S13" s="36" t="str">
        <f>B107</f>
        <v/>
      </c>
      <c r="T13" s="237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76">
        <f>'Données projet'!D12</f>
        <v>0</v>
      </c>
      <c r="V13" s="175">
        <f t="shared" si="1"/>
        <v>0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5">
      <c r="A14" s="46" t="s">
        <v>165</v>
      </c>
      <c r="B14" s="172" t="str">
        <f>IF('Données projet'!$B$9="","",'Données projet'!$B$9)</f>
        <v>Chêne sessile</v>
      </c>
      <c r="C14" s="4"/>
      <c r="D14" s="4"/>
      <c r="E14" s="4"/>
      <c r="F14" s="228"/>
      <c r="G14" s="23"/>
      <c r="H14" s="36" t="s">
        <v>178</v>
      </c>
      <c r="I14" s="36" t="s">
        <v>290</v>
      </c>
      <c r="J14" s="199"/>
      <c r="K14" s="171"/>
      <c r="L14" s="200"/>
      <c r="M14" s="23"/>
      <c r="N14" s="23"/>
      <c r="O14" s="4"/>
      <c r="P14" s="4"/>
      <c r="Q14" s="233"/>
      <c r="R14" s="4"/>
      <c r="S14" s="36" t="str">
        <f>B138</f>
        <v/>
      </c>
      <c r="T14" s="237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6">
        <f>'Données projet'!D13</f>
        <v>0</v>
      </c>
      <c r="V14" s="175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5">
      <c r="A15" s="4"/>
      <c r="B15" s="4"/>
      <c r="C15" s="4"/>
      <c r="D15" s="4"/>
      <c r="E15" s="4"/>
      <c r="F15" s="228"/>
      <c r="G15" s="298" t="s">
        <v>318</v>
      </c>
      <c r="H15" s="188">
        <v>0</v>
      </c>
      <c r="I15" s="189">
        <v>0</v>
      </c>
      <c r="J15" s="200"/>
      <c r="K15" s="206"/>
      <c r="L15" s="200"/>
      <c r="M15" s="23"/>
      <c r="N15" s="23"/>
      <c r="O15" s="23"/>
      <c r="P15" s="23"/>
      <c r="Q15" s="232"/>
      <c r="R15" s="23"/>
      <c r="S15" s="36" t="str">
        <f>B169</f>
        <v/>
      </c>
      <c r="T15" s="237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6">
        <f>'Données projet'!D14</f>
        <v>0</v>
      </c>
      <c r="V15" s="175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5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28"/>
      <c r="G16" s="298"/>
      <c r="H16" s="188"/>
      <c r="I16" s="189"/>
      <c r="J16" s="200"/>
      <c r="K16" s="206"/>
      <c r="L16" s="295" t="s">
        <v>254</v>
      </c>
      <c r="M16" s="296"/>
      <c r="N16" s="2"/>
      <c r="O16" s="23"/>
      <c r="P16" s="23"/>
      <c r="Q16" s="232"/>
      <c r="R16" s="23"/>
      <c r="S16" s="36" t="str">
        <f>B200</f>
        <v/>
      </c>
      <c r="T16" s="237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6">
        <f>'Données projet'!D15</f>
        <v>0</v>
      </c>
      <c r="V16" s="175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5">
      <c r="A17" s="49">
        <v>0</v>
      </c>
      <c r="B17" s="197" t="s">
        <v>132</v>
      </c>
      <c r="C17" s="196" t="s">
        <v>132</v>
      </c>
      <c r="D17" s="195" t="s">
        <v>132</v>
      </c>
      <c r="E17" s="191">
        <v>3301.09</v>
      </c>
      <c r="F17" s="228"/>
      <c r="G17" s="298"/>
      <c r="J17" s="200"/>
      <c r="K17" s="206"/>
      <c r="L17" s="268" t="s">
        <v>289</v>
      </c>
      <c r="M17" s="270"/>
      <c r="N17" s="173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2"/>
      <c r="R17" s="23"/>
      <c r="S17" s="36" t="str">
        <f>B231</f>
        <v/>
      </c>
      <c r="T17" s="237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6">
        <f>'Données projet'!D16</f>
        <v>0</v>
      </c>
      <c r="V17" s="175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5">
      <c r="A18" s="49">
        <v>1</v>
      </c>
      <c r="B18" s="197" t="s">
        <v>132</v>
      </c>
      <c r="C18" s="196" t="s">
        <v>132</v>
      </c>
      <c r="D18" s="195" t="s">
        <v>132</v>
      </c>
      <c r="E18" s="191"/>
      <c r="F18" s="228"/>
      <c r="G18" s="298"/>
      <c r="J18" s="200"/>
      <c r="K18" s="206"/>
      <c r="L18" s="268" t="s">
        <v>255</v>
      </c>
      <c r="M18" s="270"/>
      <c r="N18" s="190"/>
      <c r="O18" s="23"/>
      <c r="P18" s="23"/>
      <c r="Q18" s="232"/>
      <c r="R18" s="23"/>
      <c r="S18" s="36" t="str">
        <f>B262</f>
        <v/>
      </c>
      <c r="T18" s="237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6">
        <f>'Données projet'!D17</f>
        <v>0</v>
      </c>
      <c r="V18" s="175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5">
      <c r="A19" s="49">
        <v>2</v>
      </c>
      <c r="B19" s="197" t="s">
        <v>132</v>
      </c>
      <c r="C19" s="196" t="s">
        <v>132</v>
      </c>
      <c r="D19" s="195" t="s">
        <v>132</v>
      </c>
      <c r="E19" s="191"/>
      <c r="F19" s="228"/>
      <c r="G19" s="298"/>
      <c r="H19" s="210" t="s">
        <v>178</v>
      </c>
      <c r="I19" s="210" t="s">
        <v>287</v>
      </c>
      <c r="J19" s="91"/>
      <c r="K19" s="171"/>
      <c r="L19" s="295" t="s">
        <v>288</v>
      </c>
      <c r="M19" s="296"/>
      <c r="N19" s="177">
        <f>N17*N18</f>
        <v>0</v>
      </c>
      <c r="O19" s="23"/>
      <c r="P19" s="4"/>
      <c r="Q19" s="233"/>
      <c r="R19" s="4"/>
      <c r="S19" s="36" t="str">
        <f>B293</f>
        <v/>
      </c>
      <c r="T19" s="237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6">
        <f>'Données projet'!D18</f>
        <v>0</v>
      </c>
      <c r="V19" s="175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5">
      <c r="A20" s="49">
        <v>3</v>
      </c>
      <c r="B20" s="197" t="s">
        <v>132</v>
      </c>
      <c r="C20" s="196" t="s">
        <v>132</v>
      </c>
      <c r="D20" s="195" t="s">
        <v>132</v>
      </c>
      <c r="E20" s="191"/>
      <c r="F20" s="228"/>
      <c r="G20" s="298"/>
      <c r="H20" s="188">
        <v>0</v>
      </c>
      <c r="I20" s="189">
        <v>3029.06</v>
      </c>
      <c r="J20" s="4"/>
      <c r="K20" s="171"/>
      <c r="O20" s="23"/>
      <c r="P20" s="4"/>
      <c r="Q20" s="233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5">
      <c r="A21" s="49">
        <v>4</v>
      </c>
      <c r="B21" s="197" t="s">
        <v>132</v>
      </c>
      <c r="C21" s="196" t="s">
        <v>132</v>
      </c>
      <c r="D21" s="195" t="s">
        <v>132</v>
      </c>
      <c r="E21" s="191"/>
      <c r="F21" s="228"/>
      <c r="H21" s="188">
        <v>1</v>
      </c>
      <c r="I21" s="189">
        <v>1118.8499999999999</v>
      </c>
      <c r="K21" s="171"/>
      <c r="O21" s="23"/>
      <c r="P21" s="4"/>
      <c r="Q21" s="233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5">
      <c r="A22" s="49">
        <v>5</v>
      </c>
      <c r="B22" s="197" t="s">
        <v>132</v>
      </c>
      <c r="C22" s="196" t="s">
        <v>132</v>
      </c>
      <c r="D22" s="195" t="s">
        <v>132</v>
      </c>
      <c r="E22" s="191"/>
      <c r="F22" s="228"/>
      <c r="H22" s="188">
        <v>2</v>
      </c>
      <c r="I22" s="189">
        <v>1235.83</v>
      </c>
      <c r="K22" s="171"/>
      <c r="O22" s="23"/>
      <c r="P22" s="4"/>
      <c r="Q22" s="233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5">
      <c r="A23" s="178">
        <f>'Données projet'!A36</f>
        <v>30</v>
      </c>
      <c r="B23" s="179">
        <f>'Données projet'!D36</f>
        <v>0</v>
      </c>
      <c r="C23" s="191"/>
      <c r="D23" s="180">
        <f>B23*C23</f>
        <v>0</v>
      </c>
      <c r="E23" s="191"/>
      <c r="F23" s="228"/>
      <c r="H23" s="188">
        <v>3</v>
      </c>
      <c r="I23" s="189"/>
      <c r="K23" s="206"/>
      <c r="L23" s="297" t="s">
        <v>260</v>
      </c>
      <c r="M23" s="297"/>
      <c r="N23" s="297"/>
      <c r="O23" s="23"/>
      <c r="P23" s="23"/>
      <c r="Q23" s="232"/>
      <c r="R23" s="23"/>
      <c r="S23" s="36" t="s">
        <v>264</v>
      </c>
      <c r="T23" s="310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-4445.8808386859419</v>
      </c>
      <c r="U23" s="310"/>
      <c r="V23" s="310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5">
      <c r="A24" s="178">
        <f>'Données projet'!A37</f>
        <v>34</v>
      </c>
      <c r="B24" s="179">
        <f>'Données projet'!D37</f>
        <v>35.450000000000003</v>
      </c>
      <c r="C24" s="191">
        <v>235</v>
      </c>
      <c r="D24" s="180">
        <f t="shared" ref="D24:D42" si="2">B24*C24</f>
        <v>8330.75</v>
      </c>
      <c r="E24" s="191"/>
      <c r="F24" s="231"/>
      <c r="H24" s="188">
        <v>4</v>
      </c>
      <c r="I24" s="189"/>
      <c r="K24" s="206"/>
      <c r="O24" s="23"/>
      <c r="P24" s="23"/>
      <c r="Q24" s="232"/>
      <c r="R24" s="23"/>
      <c r="S24" s="36" t="s">
        <v>261</v>
      </c>
      <c r="T24" s="311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11"/>
      <c r="V24" s="311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5">
      <c r="A25" s="178">
        <f>'Données projet'!A38</f>
        <v>42</v>
      </c>
      <c r="B25" s="179">
        <f>'Données projet'!D38</f>
        <v>55.41</v>
      </c>
      <c r="C25" s="191">
        <v>235</v>
      </c>
      <c r="D25" s="180">
        <f t="shared" si="2"/>
        <v>13021.349999999999</v>
      </c>
      <c r="E25" s="191"/>
      <c r="F25" s="231"/>
      <c r="H25" s="188">
        <v>5</v>
      </c>
      <c r="I25" s="189"/>
      <c r="K25" s="206"/>
      <c r="L25" s="128" t="s">
        <v>285</v>
      </c>
      <c r="M25" s="128"/>
      <c r="N25" s="128"/>
      <c r="O25" s="128"/>
      <c r="P25" s="190">
        <v>0</v>
      </c>
      <c r="Q25" s="232"/>
      <c r="R25" s="23"/>
      <c r="S25" s="184" t="s">
        <v>266</v>
      </c>
      <c r="T25" s="312">
        <f ca="1">T23-T24</f>
        <v>-4445.8808386859419</v>
      </c>
      <c r="U25" s="312"/>
      <c r="V25" s="312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5">
      <c r="A26" s="178">
        <f>'Données projet'!A39</f>
        <v>50</v>
      </c>
      <c r="B26" s="179">
        <f>'Données projet'!D39</f>
        <v>66.62</v>
      </c>
      <c r="C26" s="191">
        <v>235</v>
      </c>
      <c r="D26" s="180">
        <f t="shared" si="2"/>
        <v>15655.7</v>
      </c>
      <c r="E26" s="191"/>
      <c r="F26" s="231"/>
      <c r="G26" s="227"/>
      <c r="H26" s="188"/>
      <c r="I26" s="189"/>
      <c r="K26" s="206"/>
      <c r="L26" s="299" t="s">
        <v>258</v>
      </c>
      <c r="M26" s="300"/>
      <c r="N26" s="300"/>
      <c r="O26" s="300"/>
      <c r="P26" s="301"/>
      <c r="Q26" s="232"/>
      <c r="R26" s="23"/>
      <c r="S26" s="184" t="s">
        <v>265</v>
      </c>
      <c r="T26" s="309" t="str">
        <f ca="1">IF(T25&lt;0,"Votre projet est additionnel","Votre projet n'est pas additionnel")</f>
        <v>Votre projet est additionnel</v>
      </c>
      <c r="U26" s="309"/>
      <c r="V26" s="309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5">
      <c r="A27" s="178">
        <f>'Données projet'!A40</f>
        <v>58</v>
      </c>
      <c r="B27" s="179">
        <f>'Données projet'!D40</f>
        <v>62.16</v>
      </c>
      <c r="C27" s="191">
        <v>235</v>
      </c>
      <c r="D27" s="180">
        <f t="shared" si="2"/>
        <v>14607.599999999999</v>
      </c>
      <c r="E27" s="191"/>
      <c r="F27" s="231"/>
      <c r="G27" s="227"/>
      <c r="H27" s="188"/>
      <c r="I27" s="189"/>
      <c r="K27" s="206"/>
      <c r="L27" s="302"/>
      <c r="M27" s="303"/>
      <c r="N27" s="303"/>
      <c r="O27" s="303"/>
      <c r="P27" s="304"/>
      <c r="Q27" s="232"/>
      <c r="R27" s="23"/>
      <c r="S27" s="308" t="s">
        <v>267</v>
      </c>
      <c r="T27" s="308"/>
      <c r="U27" s="308"/>
      <c r="V27" s="308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5">
      <c r="A28" s="178">
        <f>'Données projet'!A41</f>
        <v>66</v>
      </c>
      <c r="B28" s="179">
        <f>'Données projet'!D41</f>
        <v>71.34</v>
      </c>
      <c r="C28" s="191">
        <v>235</v>
      </c>
      <c r="D28" s="180">
        <f t="shared" si="2"/>
        <v>16764.900000000001</v>
      </c>
      <c r="E28" s="191"/>
      <c r="F28" s="231"/>
      <c r="G28" s="203"/>
      <c r="H28" s="188"/>
      <c r="I28" s="189"/>
      <c r="K28" s="206"/>
      <c r="Q28" s="232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5">
      <c r="A29" s="178">
        <f>'Données projet'!A42</f>
        <v>74</v>
      </c>
      <c r="B29" s="179">
        <f>'Données projet'!D42</f>
        <v>70.209999999999994</v>
      </c>
      <c r="C29" s="191">
        <v>235</v>
      </c>
      <c r="D29" s="180">
        <f t="shared" si="2"/>
        <v>16499.349999999999</v>
      </c>
      <c r="E29" s="191"/>
      <c r="F29" s="231"/>
      <c r="G29" s="201"/>
      <c r="H29" s="188"/>
      <c r="I29" s="189"/>
      <c r="K29" s="206"/>
      <c r="O29" s="23"/>
      <c r="P29" s="23"/>
      <c r="Q29" s="232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5">
      <c r="A30" s="178">
        <f>'Données projet'!A43</f>
        <v>82</v>
      </c>
      <c r="B30" s="179">
        <f>'Données projet'!D43</f>
        <v>53.92</v>
      </c>
      <c r="C30" s="191">
        <v>235</v>
      </c>
      <c r="D30" s="180">
        <f t="shared" si="2"/>
        <v>12671.2</v>
      </c>
      <c r="E30" s="191"/>
      <c r="F30" s="231"/>
      <c r="G30" s="201"/>
      <c r="H30" s="188"/>
      <c r="I30" s="189"/>
      <c r="K30" s="181"/>
      <c r="L30" s="36" t="s">
        <v>259</v>
      </c>
      <c r="M30" s="182">
        <f ca="1">SUM(OFFSET($P$33,0,0,MIN('Données projet'!$E$9:$E$18)+1,1))</f>
        <v>0</v>
      </c>
      <c r="O30" s="4"/>
      <c r="P30" s="4"/>
      <c r="Q30" s="233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5">
      <c r="A31" s="178">
        <f>'Données projet'!A44</f>
        <v>90</v>
      </c>
      <c r="B31" s="179">
        <f>'Données projet'!D44</f>
        <v>63.25</v>
      </c>
      <c r="C31" s="191">
        <v>235</v>
      </c>
      <c r="D31" s="180">
        <f t="shared" si="2"/>
        <v>14863.75</v>
      </c>
      <c r="E31" s="191"/>
      <c r="F31" s="231"/>
      <c r="G31" s="201"/>
      <c r="H31" s="188"/>
      <c r="I31" s="189"/>
      <c r="K31" s="171"/>
      <c r="Q31" s="232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5">
      <c r="A32" s="178">
        <f>'Données projet'!A45</f>
        <v>100</v>
      </c>
      <c r="B32" s="179">
        <f>'Données projet'!D45</f>
        <v>85.23</v>
      </c>
      <c r="C32" s="191">
        <v>235</v>
      </c>
      <c r="D32" s="180">
        <f t="shared" si="2"/>
        <v>20029.05</v>
      </c>
      <c r="E32" s="191"/>
      <c r="F32" s="231"/>
      <c r="G32" s="201"/>
      <c r="H32" s="188"/>
      <c r="I32" s="189"/>
      <c r="K32" s="171"/>
      <c r="N32" s="4"/>
      <c r="O32" s="84" t="s">
        <v>178</v>
      </c>
      <c r="P32" s="84" t="s">
        <v>252</v>
      </c>
      <c r="Q32" s="232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5">
      <c r="A33" s="178">
        <f>'Données projet'!A46</f>
        <v>110</v>
      </c>
      <c r="B33" s="179">
        <f>'Données projet'!D46</f>
        <v>67.22</v>
      </c>
      <c r="C33" s="191">
        <v>235</v>
      </c>
      <c r="D33" s="180">
        <f t="shared" si="2"/>
        <v>15796.699999999999</v>
      </c>
      <c r="E33" s="191"/>
      <c r="F33" s="231"/>
      <c r="G33" s="201"/>
      <c r="H33" s="188"/>
      <c r="I33" s="189"/>
      <c r="K33" s="171"/>
      <c r="L33" s="4"/>
      <c r="M33" s="4"/>
      <c r="N33" s="4"/>
      <c r="O33" s="192">
        <v>0</v>
      </c>
      <c r="P33" s="183">
        <f t="shared" ref="P33:P64" si="3">$P$25/(1+$M$4)^O33</f>
        <v>0</v>
      </c>
      <c r="Q33" s="232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5">
      <c r="A34" s="178">
        <f>'Données projet'!A47</f>
        <v>120</v>
      </c>
      <c r="B34" s="179">
        <f>'Données projet'!D47</f>
        <v>60.46</v>
      </c>
      <c r="C34" s="191">
        <v>235</v>
      </c>
      <c r="D34" s="180">
        <f t="shared" si="2"/>
        <v>14208.1</v>
      </c>
      <c r="E34" s="191"/>
      <c r="F34" s="231"/>
      <c r="G34" s="201"/>
      <c r="H34" s="188"/>
      <c r="I34" s="189"/>
      <c r="K34" s="171"/>
      <c r="L34" s="96"/>
      <c r="M34" s="96"/>
      <c r="N34" s="248"/>
      <c r="O34" s="192">
        <f>IF(O33+1&lt;=MIN('Données projet'!$E$9:$E$18),O33+1,"STOP")</f>
        <v>1</v>
      </c>
      <c r="P34" s="183">
        <f t="shared" si="3"/>
        <v>0</v>
      </c>
      <c r="Q34" s="232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5">
      <c r="A35" s="178">
        <f>'Données projet'!A48</f>
        <v>130</v>
      </c>
      <c r="B35" s="179">
        <f>'Données projet'!D48</f>
        <v>69</v>
      </c>
      <c r="C35" s="191">
        <v>235</v>
      </c>
      <c r="D35" s="180">
        <f t="shared" si="2"/>
        <v>16215</v>
      </c>
      <c r="E35" s="191"/>
      <c r="F35" s="231"/>
      <c r="G35" s="201"/>
      <c r="H35" s="188"/>
      <c r="I35" s="189"/>
      <c r="K35" s="171"/>
      <c r="L35" s="96"/>
      <c r="M35" s="96"/>
      <c r="N35" s="248"/>
      <c r="O35" s="192">
        <f>IF(O34+1&lt;=MIN('Données projet'!$E$9:$E$18),O34+1,"STOP")</f>
        <v>2</v>
      </c>
      <c r="P35" s="183">
        <f t="shared" si="3"/>
        <v>0</v>
      </c>
      <c r="Q35" s="232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5">
      <c r="A36" s="178">
        <f>'Données projet'!A49</f>
        <v>140</v>
      </c>
      <c r="B36" s="179">
        <f>'Données projet'!D49</f>
        <v>67.930000000000007</v>
      </c>
      <c r="C36" s="191">
        <v>235</v>
      </c>
      <c r="D36" s="180">
        <f t="shared" si="2"/>
        <v>15963.550000000001</v>
      </c>
      <c r="E36" s="191"/>
      <c r="F36" s="231"/>
      <c r="G36" s="201"/>
      <c r="H36" s="188"/>
      <c r="I36" s="189"/>
      <c r="K36" s="171"/>
      <c r="L36" s="23"/>
      <c r="M36" s="23"/>
      <c r="N36" s="23"/>
      <c r="O36" s="192">
        <f>IF(O35+1&lt;=MIN('Données projet'!$E$9:$E$18),O35+1,"STOP")</f>
        <v>3</v>
      </c>
      <c r="P36" s="183">
        <f t="shared" si="3"/>
        <v>0</v>
      </c>
      <c r="Q36" s="232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5">
      <c r="A37" s="178">
        <f>'Données projet'!A50</f>
        <v>150</v>
      </c>
      <c r="B37" s="179">
        <f>'Données projet'!D50</f>
        <v>234.51</v>
      </c>
      <c r="C37" s="191">
        <v>235</v>
      </c>
      <c r="D37" s="180">
        <f t="shared" si="2"/>
        <v>55109.85</v>
      </c>
      <c r="E37" s="191"/>
      <c r="F37" s="231"/>
      <c r="G37" s="201"/>
      <c r="H37" s="188"/>
      <c r="I37" s="189"/>
      <c r="K37" s="171"/>
      <c r="L37" s="23"/>
      <c r="M37" s="23"/>
      <c r="N37" s="23"/>
      <c r="O37" s="192">
        <f>IF(O36+1&lt;=MIN('Données projet'!$E$9:$E$18),O36+1,"STOP")</f>
        <v>4</v>
      </c>
      <c r="P37" s="183">
        <f t="shared" si="3"/>
        <v>0</v>
      </c>
      <c r="Q37" s="232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5">
      <c r="A38" s="178">
        <f>'Données projet'!A51</f>
        <v>153</v>
      </c>
      <c r="B38" s="179">
        <f>'Données projet'!D51</f>
        <v>141.22</v>
      </c>
      <c r="C38" s="191">
        <v>235</v>
      </c>
      <c r="D38" s="180">
        <f t="shared" si="2"/>
        <v>33186.699999999997</v>
      </c>
      <c r="E38" s="191"/>
      <c r="F38" s="231"/>
      <c r="G38" s="201"/>
      <c r="H38" s="188"/>
      <c r="I38" s="189"/>
      <c r="K38" s="171"/>
      <c r="L38" s="23"/>
      <c r="M38" s="23"/>
      <c r="N38" s="23"/>
      <c r="O38" s="192">
        <f>IF(O37+1&lt;=MIN('Données projet'!$E$9:$E$18),O37+1,"STOP")</f>
        <v>5</v>
      </c>
      <c r="P38" s="183">
        <f t="shared" si="3"/>
        <v>0</v>
      </c>
      <c r="Q38" s="232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5">
      <c r="A39" s="178">
        <f>'Données projet'!A52</f>
        <v>156</v>
      </c>
      <c r="B39" s="179">
        <f>'Données projet'!D52</f>
        <v>87.28</v>
      </c>
      <c r="C39" s="191">
        <v>235</v>
      </c>
      <c r="D39" s="180">
        <f t="shared" si="2"/>
        <v>20510.8</v>
      </c>
      <c r="E39" s="191"/>
      <c r="F39" s="231"/>
      <c r="G39" s="201"/>
      <c r="H39" s="188"/>
      <c r="I39" s="189"/>
      <c r="K39" s="206"/>
      <c r="L39" s="23"/>
      <c r="M39" s="23"/>
      <c r="N39" s="23"/>
      <c r="O39" s="192">
        <f>IF(O38+1&lt;=MIN('Données projet'!$E$9:$E$18),O38+1,"STOP")</f>
        <v>6</v>
      </c>
      <c r="P39" s="183">
        <f t="shared" si="3"/>
        <v>0</v>
      </c>
      <c r="Q39" s="232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5">
      <c r="A40" s="178">
        <f>'Données projet'!A53</f>
        <v>159</v>
      </c>
      <c r="B40" s="179">
        <f>'Données projet'!D53</f>
        <v>180.6</v>
      </c>
      <c r="C40" s="191">
        <v>235</v>
      </c>
      <c r="D40" s="180">
        <f t="shared" si="2"/>
        <v>42441</v>
      </c>
      <c r="E40" s="191"/>
      <c r="F40" s="231"/>
      <c r="G40" s="201"/>
      <c r="H40" s="188"/>
      <c r="I40" s="189"/>
      <c r="K40" s="206"/>
      <c r="L40" s="23"/>
      <c r="M40" s="23"/>
      <c r="N40" s="23"/>
      <c r="O40" s="192">
        <f>IF(O39+1&lt;=MIN('Données projet'!$E$9:$E$18),O39+1,"STOP")</f>
        <v>7</v>
      </c>
      <c r="P40" s="183">
        <f t="shared" si="3"/>
        <v>0</v>
      </c>
      <c r="Q40" s="232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5">
      <c r="A41" s="178">
        <f>'Données projet'!A54</f>
        <v>0</v>
      </c>
      <c r="B41" s="179">
        <f>'Données projet'!D54</f>
        <v>0</v>
      </c>
      <c r="C41" s="191"/>
      <c r="D41" s="180">
        <f t="shared" si="2"/>
        <v>0</v>
      </c>
      <c r="E41" s="191"/>
      <c r="F41" s="231"/>
      <c r="G41" s="201"/>
      <c r="H41" s="188"/>
      <c r="I41" s="189"/>
      <c r="K41" s="206"/>
      <c r="L41" s="23"/>
      <c r="M41" s="23"/>
      <c r="N41" s="23"/>
      <c r="O41" s="192">
        <f>IF(O40+1&lt;=MIN('Données projet'!$E$9:$E$18),O40+1,"STOP")</f>
        <v>8</v>
      </c>
      <c r="P41" s="183">
        <f t="shared" si="3"/>
        <v>0</v>
      </c>
      <c r="Q41" s="232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5">
      <c r="A42" s="178">
        <f>'Données projet'!A55</f>
        <v>0</v>
      </c>
      <c r="B42" s="179">
        <f>'Données projet'!D55</f>
        <v>0</v>
      </c>
      <c r="C42" s="191"/>
      <c r="D42" s="180">
        <f t="shared" si="2"/>
        <v>0</v>
      </c>
      <c r="E42" s="191"/>
      <c r="F42" s="231"/>
      <c r="G42" s="201"/>
      <c r="H42" s="188"/>
      <c r="I42" s="189"/>
      <c r="K42" s="206"/>
      <c r="L42" s="23"/>
      <c r="M42" s="23"/>
      <c r="N42" s="23"/>
      <c r="O42" s="192">
        <f>IF(O41+1&lt;=MIN('Données projet'!$E$9:$E$18),O41+1,"STOP")</f>
        <v>9</v>
      </c>
      <c r="P42" s="183">
        <f t="shared" si="3"/>
        <v>0</v>
      </c>
      <c r="Q42" s="232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5">
      <c r="A43" s="185"/>
      <c r="B43" s="185"/>
      <c r="C43" s="185"/>
      <c r="D43" s="225"/>
      <c r="E43" s="225"/>
      <c r="F43" s="236"/>
      <c r="G43" s="201"/>
      <c r="H43" s="188"/>
      <c r="I43" s="189"/>
      <c r="K43" s="206"/>
      <c r="L43" s="23"/>
      <c r="M43" s="23"/>
      <c r="N43" s="23"/>
      <c r="O43" s="192">
        <f>IF(O42+1&lt;=MIN('Données projet'!$E$9:$E$18),O42+1,"STOP")</f>
        <v>10</v>
      </c>
      <c r="P43" s="183">
        <f t="shared" si="3"/>
        <v>0</v>
      </c>
      <c r="Q43" s="233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5">
      <c r="A44" s="4"/>
      <c r="B44" s="4"/>
      <c r="C44" s="4"/>
      <c r="D44" s="4"/>
      <c r="E44" s="4"/>
      <c r="F44" s="228"/>
      <c r="G44" s="201"/>
      <c r="H44" s="188"/>
      <c r="I44" s="189"/>
      <c r="K44" s="206"/>
      <c r="L44" s="23"/>
      <c r="M44" s="23"/>
      <c r="N44" s="23"/>
      <c r="O44" s="192">
        <f>IF(O43+1&lt;=MIN('Données projet'!$E$9:$E$18),O43+1,"STOP")</f>
        <v>11</v>
      </c>
      <c r="P44" s="183">
        <f t="shared" si="3"/>
        <v>0</v>
      </c>
      <c r="Q44" s="233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5">
      <c r="A45" s="46" t="s">
        <v>166</v>
      </c>
      <c r="B45" s="172" t="str">
        <f>IF('Données projet'!$B$10="","",'Données projet'!$B$10)</f>
        <v>Charme</v>
      </c>
      <c r="C45" s="4"/>
      <c r="D45" s="4"/>
      <c r="E45" s="4"/>
      <c r="F45" s="228"/>
      <c r="G45" s="201"/>
      <c r="H45" s="188"/>
      <c r="I45" s="189"/>
      <c r="J45" s="23"/>
      <c r="K45" s="206"/>
      <c r="L45" s="23"/>
      <c r="M45" s="23"/>
      <c r="N45" s="23"/>
      <c r="O45" s="192">
        <f>IF(O44+1&lt;=MIN('Données projet'!$E$9:$E$18),O44+1,"STOP")</f>
        <v>12</v>
      </c>
      <c r="P45" s="183">
        <f t="shared" si="3"/>
        <v>0</v>
      </c>
      <c r="Q45" s="233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5">
      <c r="A46" s="4"/>
      <c r="B46" s="4"/>
      <c r="C46" s="4"/>
      <c r="D46" s="4"/>
      <c r="E46" s="4"/>
      <c r="F46" s="228"/>
      <c r="G46" s="201"/>
      <c r="H46" s="188"/>
      <c r="I46" s="189"/>
      <c r="J46" s="23"/>
      <c r="K46" s="206"/>
      <c r="L46" s="202"/>
      <c r="M46" s="202"/>
      <c r="N46" s="202"/>
      <c r="O46" s="192">
        <f>IF(O45+1&lt;=MIN('Données projet'!$E$9:$E$18),O45+1,"STOP")</f>
        <v>13</v>
      </c>
      <c r="P46" s="186">
        <f t="shared" si="3"/>
        <v>0</v>
      </c>
      <c r="Q46" s="233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5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29"/>
      <c r="G47" s="201"/>
      <c r="H47" s="188"/>
      <c r="I47" s="189"/>
      <c r="J47" s="23"/>
      <c r="K47" s="206"/>
      <c r="L47" s="4"/>
      <c r="M47" s="4"/>
      <c r="N47" s="4"/>
      <c r="O47" s="192">
        <f>IF(O46+1&lt;=MIN('Données projet'!$E$9:$E$18),O46+1,"STOP")</f>
        <v>14</v>
      </c>
      <c r="P47" s="183">
        <f t="shared" si="3"/>
        <v>0</v>
      </c>
      <c r="Q47" s="233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5">
      <c r="A48" s="49">
        <v>0</v>
      </c>
      <c r="B48" s="197" t="s">
        <v>132</v>
      </c>
      <c r="C48" s="196" t="s">
        <v>132</v>
      </c>
      <c r="D48" s="195" t="s">
        <v>132</v>
      </c>
      <c r="E48" s="191">
        <v>1964.97</v>
      </c>
      <c r="F48" s="229"/>
      <c r="G48" s="201"/>
      <c r="H48" s="188"/>
      <c r="I48" s="189"/>
      <c r="J48" s="23"/>
      <c r="K48" s="206"/>
      <c r="L48" s="4"/>
      <c r="M48" s="4"/>
      <c r="N48" s="4"/>
      <c r="O48" s="192">
        <f>IF(O47+1&lt;=MIN('Données projet'!$E$9:$E$18),O47+1,"STOP")</f>
        <v>15</v>
      </c>
      <c r="P48" s="183">
        <f t="shared" si="3"/>
        <v>0</v>
      </c>
      <c r="Q48" s="233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3" customFormat="1" ht="17.25" customHeight="1" x14ac:dyDescent="0.35">
      <c r="A49" s="49">
        <v>1</v>
      </c>
      <c r="B49" s="197" t="s">
        <v>132</v>
      </c>
      <c r="C49" s="196" t="s">
        <v>132</v>
      </c>
      <c r="D49" s="195" t="s">
        <v>132</v>
      </c>
      <c r="E49" s="191"/>
      <c r="F49" s="229"/>
      <c r="G49" s="202"/>
      <c r="H49" s="188"/>
      <c r="I49" s="189"/>
      <c r="J49" s="202"/>
      <c r="K49" s="208"/>
      <c r="L49" s="4"/>
      <c r="M49" s="4"/>
      <c r="N49" s="4"/>
      <c r="O49" s="192">
        <f>IF(O48+1&lt;=MIN('Données projet'!$E$9:$E$18),O48+1,"STOP")</f>
        <v>16</v>
      </c>
      <c r="P49" s="183">
        <f t="shared" si="3"/>
        <v>0</v>
      </c>
      <c r="Q49" s="234"/>
      <c r="R49" s="185"/>
      <c r="S49" s="185"/>
      <c r="T49" s="185"/>
      <c r="U49" s="185"/>
      <c r="V49" s="185"/>
      <c r="W49" s="185"/>
      <c r="X49" s="185"/>
      <c r="Y49" s="185"/>
      <c r="Z49" s="185"/>
      <c r="AA49" s="185"/>
      <c r="AB49" s="185"/>
      <c r="AC49" s="185"/>
      <c r="AD49" s="185"/>
      <c r="AE49" s="185"/>
      <c r="AF49" s="185"/>
      <c r="AG49" s="185"/>
      <c r="AH49" s="185"/>
      <c r="AI49" s="185"/>
      <c r="AJ49" s="185"/>
      <c r="AK49" s="185"/>
      <c r="AL49" s="185"/>
      <c r="AM49" s="185"/>
      <c r="AN49" s="185"/>
      <c r="AO49" s="185"/>
      <c r="AP49" s="185"/>
      <c r="AQ49" s="185"/>
      <c r="AR49" s="185"/>
      <c r="AS49" s="185"/>
      <c r="AT49" s="185"/>
      <c r="AU49" s="185"/>
      <c r="AV49" s="185"/>
      <c r="AW49" s="185"/>
      <c r="AX49" s="185"/>
      <c r="AY49" s="185"/>
      <c r="AZ49" s="185"/>
      <c r="BA49" s="185"/>
      <c r="BB49" s="185"/>
      <c r="BC49" s="185"/>
      <c r="BD49" s="185"/>
    </row>
    <row r="50" spans="1:56" x14ac:dyDescent="0.35">
      <c r="A50" s="49">
        <v>2</v>
      </c>
      <c r="B50" s="197" t="s">
        <v>132</v>
      </c>
      <c r="C50" s="196" t="s">
        <v>132</v>
      </c>
      <c r="D50" s="195" t="s">
        <v>132</v>
      </c>
      <c r="E50" s="191"/>
      <c r="F50" s="229"/>
      <c r="G50" s="23"/>
      <c r="H50" s="188"/>
      <c r="I50" s="189"/>
      <c r="J50" s="23"/>
      <c r="K50" s="171"/>
      <c r="L50" s="4"/>
      <c r="M50" s="4"/>
      <c r="N50" s="4"/>
      <c r="O50" s="192">
        <f>IF(O49+1&lt;=MIN('Données projet'!$E$9:$E$18),O49+1,"STOP")</f>
        <v>17</v>
      </c>
      <c r="P50" s="183">
        <f t="shared" si="3"/>
        <v>0</v>
      </c>
      <c r="Q50" s="233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5">
      <c r="A51" s="49">
        <v>3</v>
      </c>
      <c r="B51" s="197" t="s">
        <v>132</v>
      </c>
      <c r="C51" s="196" t="s">
        <v>132</v>
      </c>
      <c r="D51" s="195" t="s">
        <v>132</v>
      </c>
      <c r="E51" s="191"/>
      <c r="F51" s="229"/>
      <c r="G51" s="23"/>
      <c r="H51" s="188"/>
      <c r="I51" s="189"/>
      <c r="J51" s="23"/>
      <c r="K51" s="171"/>
      <c r="L51" s="4"/>
      <c r="M51" s="4"/>
      <c r="N51" s="4"/>
      <c r="O51" s="192">
        <f>IF(O50+1&lt;=MIN('Données projet'!$E$9:$E$18),O50+1,"STOP")</f>
        <v>18</v>
      </c>
      <c r="P51" s="183">
        <f t="shared" si="3"/>
        <v>0</v>
      </c>
      <c r="Q51" s="233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5">
      <c r="A52" s="49">
        <v>4</v>
      </c>
      <c r="B52" s="197" t="s">
        <v>132</v>
      </c>
      <c r="C52" s="196" t="s">
        <v>132</v>
      </c>
      <c r="D52" s="195" t="s">
        <v>132</v>
      </c>
      <c r="E52" s="191"/>
      <c r="F52" s="229"/>
      <c r="G52" s="23"/>
      <c r="H52" s="188"/>
      <c r="I52" s="189"/>
      <c r="J52" s="23"/>
      <c r="K52" s="171"/>
      <c r="L52" s="4"/>
      <c r="M52" s="4"/>
      <c r="N52" s="4"/>
      <c r="O52" s="192">
        <f>IF(O51+1&lt;=MIN('Données projet'!$E$9:$E$18),O51+1,"STOP")</f>
        <v>19</v>
      </c>
      <c r="P52" s="183">
        <f t="shared" si="3"/>
        <v>0</v>
      </c>
      <c r="Q52" s="233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5">
      <c r="A53" s="49">
        <v>5</v>
      </c>
      <c r="B53" s="197" t="s">
        <v>132</v>
      </c>
      <c r="C53" s="196" t="s">
        <v>132</v>
      </c>
      <c r="D53" s="195" t="s">
        <v>132</v>
      </c>
      <c r="E53" s="191"/>
      <c r="F53" s="229"/>
      <c r="G53" s="203"/>
      <c r="H53" s="188"/>
      <c r="I53" s="189"/>
      <c r="J53" s="23"/>
      <c r="K53" s="171"/>
      <c r="L53" s="4"/>
      <c r="M53" s="4"/>
      <c r="N53" s="4"/>
      <c r="O53" s="192">
        <f>IF(O52+1&lt;=MIN('Données projet'!$E$9:$E$18),O52+1,"STOP")</f>
        <v>20</v>
      </c>
      <c r="P53" s="183">
        <f t="shared" si="3"/>
        <v>0</v>
      </c>
      <c r="Q53" s="233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5">
      <c r="A54" s="178">
        <f>'Données projet'!A62</f>
        <v>30</v>
      </c>
      <c r="B54" s="179">
        <f>'Données projet'!D62</f>
        <v>0</v>
      </c>
      <c r="C54" s="189"/>
      <c r="D54" s="177">
        <f>B54*C54</f>
        <v>0</v>
      </c>
      <c r="E54" s="191"/>
      <c r="F54" s="230"/>
      <c r="G54" s="203"/>
      <c r="H54" s="188"/>
      <c r="I54" s="189"/>
      <c r="J54" s="23"/>
      <c r="K54" s="171"/>
      <c r="L54" s="4"/>
      <c r="M54" s="4"/>
      <c r="N54" s="4"/>
      <c r="O54" s="192">
        <f>IF(O53+1&lt;=MIN('Données projet'!$E$9:$E$18),O53+1,"STOP")</f>
        <v>21</v>
      </c>
      <c r="P54" s="183">
        <f t="shared" si="3"/>
        <v>0</v>
      </c>
      <c r="Q54" s="233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5">
      <c r="A55" s="178">
        <f>'Données projet'!A63</f>
        <v>34</v>
      </c>
      <c r="B55" s="179">
        <f>'Données projet'!D63</f>
        <v>35.450000000000003</v>
      </c>
      <c r="C55" s="189">
        <v>55</v>
      </c>
      <c r="D55" s="177">
        <f t="shared" ref="D55:D73" si="4">B55*C55</f>
        <v>1949.7500000000002</v>
      </c>
      <c r="E55" s="191"/>
      <c r="F55" s="230"/>
      <c r="G55" s="203"/>
      <c r="H55" s="188"/>
      <c r="I55" s="189"/>
      <c r="J55" s="23"/>
      <c r="K55" s="171"/>
      <c r="L55" s="4"/>
      <c r="M55" s="4"/>
      <c r="N55" s="4"/>
      <c r="O55" s="192">
        <f>IF(O54+1&lt;=MIN('Données projet'!$E$9:$E$18),O54+1,"STOP")</f>
        <v>22</v>
      </c>
      <c r="P55" s="183">
        <f t="shared" si="3"/>
        <v>0</v>
      </c>
      <c r="Q55" s="233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5">
      <c r="A56" s="178">
        <f>'Données projet'!A64</f>
        <v>42</v>
      </c>
      <c r="B56" s="179">
        <f>'Données projet'!D64</f>
        <v>55.41</v>
      </c>
      <c r="C56" s="189">
        <v>55</v>
      </c>
      <c r="D56" s="177">
        <f t="shared" si="4"/>
        <v>3047.5499999999997</v>
      </c>
      <c r="E56" s="191"/>
      <c r="F56" s="230"/>
      <c r="G56" s="203"/>
      <c r="H56" s="188"/>
      <c r="I56" s="189"/>
      <c r="J56" s="23"/>
      <c r="K56" s="171"/>
      <c r="L56" s="4"/>
      <c r="M56" s="4"/>
      <c r="N56" s="4"/>
      <c r="O56" s="192">
        <f>IF(O55+1&lt;=MIN('Données projet'!$E$9:$E$18),O55+1,"STOP")</f>
        <v>23</v>
      </c>
      <c r="P56" s="183">
        <f t="shared" si="3"/>
        <v>0</v>
      </c>
      <c r="Q56" s="233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5">
      <c r="A57" s="178">
        <f>'Données projet'!A65</f>
        <v>50</v>
      </c>
      <c r="B57" s="179">
        <f>'Données projet'!D65</f>
        <v>66.62</v>
      </c>
      <c r="C57" s="189">
        <v>55</v>
      </c>
      <c r="D57" s="177">
        <f t="shared" si="4"/>
        <v>3664.1000000000004</v>
      </c>
      <c r="E57" s="191"/>
      <c r="F57" s="230"/>
      <c r="G57" s="203"/>
      <c r="H57" s="188"/>
      <c r="I57" s="189"/>
      <c r="J57" s="23"/>
      <c r="K57" s="171"/>
      <c r="L57" s="4"/>
      <c r="M57" s="4"/>
      <c r="N57" s="4"/>
      <c r="O57" s="192">
        <f>IF(O56+1&lt;=MIN('Données projet'!$E$9:$E$18),O56+1,"STOP")</f>
        <v>24</v>
      </c>
      <c r="P57" s="183">
        <f t="shared" si="3"/>
        <v>0</v>
      </c>
      <c r="Q57" s="233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5">
      <c r="A58" s="178">
        <f>'Données projet'!A66</f>
        <v>58</v>
      </c>
      <c r="B58" s="179">
        <f>'Données projet'!D66</f>
        <v>62.16</v>
      </c>
      <c r="C58" s="189">
        <v>55</v>
      </c>
      <c r="D58" s="177">
        <f t="shared" si="4"/>
        <v>3418.7999999999997</v>
      </c>
      <c r="E58" s="191"/>
      <c r="F58" s="230"/>
      <c r="G58" s="203"/>
      <c r="H58" s="188"/>
      <c r="I58" s="189"/>
      <c r="J58" s="23"/>
      <c r="K58" s="171"/>
      <c r="L58" s="4"/>
      <c r="M58" s="4"/>
      <c r="N58" s="4"/>
      <c r="O58" s="192">
        <f>IF(O57+1&lt;=MIN('Données projet'!$E$9:$E$18),O57+1,"STOP")</f>
        <v>25</v>
      </c>
      <c r="P58" s="183">
        <f t="shared" si="3"/>
        <v>0</v>
      </c>
      <c r="Q58" s="233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5">
      <c r="A59" s="178">
        <f>'Données projet'!A67</f>
        <v>66</v>
      </c>
      <c r="B59" s="179">
        <f>'Données projet'!D67</f>
        <v>71.34</v>
      </c>
      <c r="C59" s="189">
        <v>55</v>
      </c>
      <c r="D59" s="177">
        <f t="shared" si="4"/>
        <v>3923.7000000000003</v>
      </c>
      <c r="E59" s="191"/>
      <c r="F59" s="230"/>
      <c r="G59" s="203"/>
      <c r="H59" s="188"/>
      <c r="I59" s="189"/>
      <c r="J59" s="23"/>
      <c r="K59" s="171"/>
      <c r="L59" s="4"/>
      <c r="M59" s="4"/>
      <c r="N59" s="4"/>
      <c r="O59" s="192">
        <f>IF(O58+1&lt;=MIN('Données projet'!$E$9:$E$18),O58+1,"STOP")</f>
        <v>26</v>
      </c>
      <c r="P59" s="183">
        <f t="shared" si="3"/>
        <v>0</v>
      </c>
      <c r="Q59" s="233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5">
      <c r="A60" s="178">
        <f>'Données projet'!A68</f>
        <v>74</v>
      </c>
      <c r="B60" s="179">
        <f>'Données projet'!D68</f>
        <v>70.209999999999994</v>
      </c>
      <c r="C60" s="189">
        <v>55</v>
      </c>
      <c r="D60" s="177">
        <f t="shared" si="4"/>
        <v>3861.5499999999997</v>
      </c>
      <c r="E60" s="191"/>
      <c r="F60" s="230"/>
      <c r="G60" s="204"/>
      <c r="H60" s="188"/>
      <c r="I60" s="189"/>
      <c r="J60" s="23"/>
      <c r="K60" s="171"/>
      <c r="L60" s="4"/>
      <c r="M60" s="4"/>
      <c r="N60" s="4"/>
      <c r="O60" s="192">
        <f>IF(O59+1&lt;=MIN('Données projet'!$E$9:$E$18),O59+1,"STOP")</f>
        <v>27</v>
      </c>
      <c r="P60" s="183">
        <f t="shared" si="3"/>
        <v>0</v>
      </c>
      <c r="Q60" s="233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5">
      <c r="A61" s="178">
        <f>'Données projet'!A69</f>
        <v>82</v>
      </c>
      <c r="B61" s="179">
        <f>'Données projet'!D69</f>
        <v>53.92</v>
      </c>
      <c r="C61" s="189">
        <v>55</v>
      </c>
      <c r="D61" s="177">
        <f t="shared" si="4"/>
        <v>2965.6</v>
      </c>
      <c r="E61" s="191"/>
      <c r="F61" s="230"/>
      <c r="G61" s="204"/>
      <c r="H61" s="188"/>
      <c r="I61" s="189"/>
      <c r="J61" s="23"/>
      <c r="K61" s="171"/>
      <c r="L61" s="4"/>
      <c r="M61" s="4"/>
      <c r="N61" s="4"/>
      <c r="O61" s="192">
        <f>IF(O60+1&lt;=MIN('Données projet'!$E$9:$E$18),O60+1,"STOP")</f>
        <v>28</v>
      </c>
      <c r="P61" s="183">
        <f t="shared" si="3"/>
        <v>0</v>
      </c>
      <c r="Q61" s="233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5">
      <c r="A62" s="178">
        <f>'Données projet'!A70</f>
        <v>90</v>
      </c>
      <c r="B62" s="179">
        <f>'Données projet'!D70</f>
        <v>63.25</v>
      </c>
      <c r="C62" s="189">
        <v>55</v>
      </c>
      <c r="D62" s="177">
        <f t="shared" si="4"/>
        <v>3478.75</v>
      </c>
      <c r="E62" s="191"/>
      <c r="F62" s="230"/>
      <c r="G62" s="204"/>
      <c r="H62" s="188"/>
      <c r="I62" s="189"/>
      <c r="J62" s="23"/>
      <c r="K62" s="171"/>
      <c r="L62" s="4"/>
      <c r="M62" s="4"/>
      <c r="N62" s="4"/>
      <c r="O62" s="192">
        <f>IF(O61+1&lt;=MIN('Données projet'!$E$9:$E$18),O61+1,"STOP")</f>
        <v>29</v>
      </c>
      <c r="P62" s="183">
        <f t="shared" si="3"/>
        <v>0</v>
      </c>
      <c r="Q62" s="233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5">
      <c r="A63" s="178">
        <f>'Données projet'!A71</f>
        <v>100</v>
      </c>
      <c r="B63" s="179">
        <f>'Données projet'!D71</f>
        <v>85.23</v>
      </c>
      <c r="C63" s="189">
        <v>55</v>
      </c>
      <c r="D63" s="177">
        <f t="shared" si="4"/>
        <v>4687.6500000000005</v>
      </c>
      <c r="E63" s="191"/>
      <c r="F63" s="230"/>
      <c r="G63" s="204"/>
      <c r="H63" s="188"/>
      <c r="I63" s="189"/>
      <c r="J63" s="23"/>
      <c r="K63" s="171"/>
      <c r="L63" s="4"/>
      <c r="M63" s="4"/>
      <c r="N63" s="4"/>
      <c r="O63" s="192">
        <f>IF(O62+1&lt;=MIN('Données projet'!$E$9:$E$18),O62+1,"STOP")</f>
        <v>30</v>
      </c>
      <c r="P63" s="183">
        <f t="shared" si="3"/>
        <v>0</v>
      </c>
      <c r="Q63" s="233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5">
      <c r="A64" s="178">
        <f>'Données projet'!A72</f>
        <v>110</v>
      </c>
      <c r="B64" s="179">
        <f>'Données projet'!D72</f>
        <v>67.22</v>
      </c>
      <c r="C64" s="189">
        <v>55</v>
      </c>
      <c r="D64" s="177">
        <f t="shared" si="4"/>
        <v>3697.1</v>
      </c>
      <c r="E64" s="191"/>
      <c r="F64" s="230"/>
      <c r="G64" s="204"/>
      <c r="H64" s="188"/>
      <c r="I64" s="189"/>
      <c r="J64" s="205"/>
      <c r="K64" s="171"/>
      <c r="L64" s="4"/>
      <c r="M64" s="4"/>
      <c r="N64" s="4"/>
      <c r="O64" s="192" t="str">
        <f>IF(O63+1&lt;=MIN('Données projet'!$E$9:$E$18),O63+1,"STOP")</f>
        <v>STOP</v>
      </c>
      <c r="P64" s="183" t="e">
        <f t="shared" si="3"/>
        <v>#VALUE!</v>
      </c>
      <c r="Q64" s="233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5">
      <c r="A65" s="178">
        <f>'Données projet'!A73</f>
        <v>120</v>
      </c>
      <c r="B65" s="179">
        <f>'Données projet'!D73</f>
        <v>60.46</v>
      </c>
      <c r="C65" s="189">
        <v>55</v>
      </c>
      <c r="D65" s="177">
        <f t="shared" si="4"/>
        <v>3325.3</v>
      </c>
      <c r="E65" s="191"/>
      <c r="F65" s="230"/>
      <c r="G65" s="204"/>
      <c r="H65" s="188"/>
      <c r="I65" s="189"/>
      <c r="J65" s="187"/>
      <c r="K65" s="171"/>
      <c r="L65" s="4"/>
      <c r="M65" s="4"/>
      <c r="N65" s="4"/>
      <c r="O65" s="192" t="e">
        <f>IF(O64+1&lt;=MIN('Données projet'!$E$9:$E$18),O64+1,"STOP")</f>
        <v>#VALUE!</v>
      </c>
      <c r="P65" s="183" t="e">
        <f t="shared" ref="P65:P96" si="5">$P$25/(1+$M$4)^O65</f>
        <v>#VALUE!</v>
      </c>
      <c r="Q65" s="233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5">
      <c r="A66" s="178">
        <f>'Données projet'!A74</f>
        <v>130</v>
      </c>
      <c r="B66" s="179">
        <f>'Données projet'!D74</f>
        <v>69</v>
      </c>
      <c r="C66" s="189">
        <v>55</v>
      </c>
      <c r="D66" s="177">
        <f t="shared" si="4"/>
        <v>3795</v>
      </c>
      <c r="E66" s="191"/>
      <c r="F66" s="230"/>
      <c r="G66" s="204"/>
      <c r="H66" s="188"/>
      <c r="I66" s="189"/>
      <c r="J66" s="187"/>
      <c r="K66" s="171"/>
      <c r="L66" s="4"/>
      <c r="M66" s="4"/>
      <c r="N66" s="4"/>
      <c r="O66" s="192" t="e">
        <f>IF(O65+1&lt;=MIN('Données projet'!$E$9:$E$18),O65+1,"STOP")</f>
        <v>#VALUE!</v>
      </c>
      <c r="P66" s="183" t="e">
        <f t="shared" si="5"/>
        <v>#VALUE!</v>
      </c>
      <c r="Q66" s="233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5">
      <c r="A67" s="178">
        <f>'Données projet'!A75</f>
        <v>140</v>
      </c>
      <c r="B67" s="179">
        <f>'Données projet'!D75</f>
        <v>67.930000000000007</v>
      </c>
      <c r="C67" s="189">
        <v>55</v>
      </c>
      <c r="D67" s="177">
        <f t="shared" si="4"/>
        <v>3736.1500000000005</v>
      </c>
      <c r="E67" s="191"/>
      <c r="F67" s="230"/>
      <c r="G67" s="204"/>
      <c r="H67" s="188"/>
      <c r="I67" s="189"/>
      <c r="J67" s="187"/>
      <c r="K67" s="171"/>
      <c r="L67" s="4"/>
      <c r="M67" s="4"/>
      <c r="N67" s="4"/>
      <c r="O67" s="192" t="e">
        <f>IF(O66+1&lt;=MIN('Données projet'!$E$9:$E$18),O66+1,"STOP")</f>
        <v>#VALUE!</v>
      </c>
      <c r="P67" s="183" t="e">
        <f t="shared" si="5"/>
        <v>#VALUE!</v>
      </c>
      <c r="Q67" s="233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5">
      <c r="A68" s="178">
        <f>'Données projet'!A76</f>
        <v>150</v>
      </c>
      <c r="B68" s="179">
        <f>'Données projet'!D76</f>
        <v>234.51</v>
      </c>
      <c r="C68" s="189">
        <v>55</v>
      </c>
      <c r="D68" s="177">
        <f t="shared" si="4"/>
        <v>12898.05</v>
      </c>
      <c r="E68" s="191"/>
      <c r="F68" s="230"/>
      <c r="G68" s="204"/>
      <c r="H68" s="188"/>
      <c r="I68" s="189"/>
      <c r="J68" s="187"/>
      <c r="K68" s="171"/>
      <c r="L68" s="4"/>
      <c r="M68" s="4"/>
      <c r="N68" s="4"/>
      <c r="O68" s="192" t="e">
        <f>IF(O67+1&lt;=MIN('Données projet'!$E$9:$E$18),O67+1,"STOP")</f>
        <v>#VALUE!</v>
      </c>
      <c r="P68" s="183" t="e">
        <f t="shared" si="5"/>
        <v>#VALUE!</v>
      </c>
      <c r="Q68" s="233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5">
      <c r="A69" s="178">
        <f>'Données projet'!A77</f>
        <v>153</v>
      </c>
      <c r="B69" s="179">
        <f>'Données projet'!D77</f>
        <v>141.22</v>
      </c>
      <c r="C69" s="189">
        <v>55</v>
      </c>
      <c r="D69" s="177">
        <f t="shared" si="4"/>
        <v>7767.1</v>
      </c>
      <c r="E69" s="191"/>
      <c r="F69" s="230"/>
      <c r="G69" s="204"/>
      <c r="H69" s="188"/>
      <c r="I69" s="189"/>
      <c r="J69" s="187"/>
      <c r="K69" s="171"/>
      <c r="L69" s="4"/>
      <c r="M69" s="4"/>
      <c r="N69" s="4"/>
      <c r="O69" s="192" t="e">
        <f>IF(O68+1&lt;=MIN('Données projet'!$E$9:$E$18),O68+1,"STOP")</f>
        <v>#VALUE!</v>
      </c>
      <c r="P69" s="183" t="e">
        <f t="shared" si="5"/>
        <v>#VALUE!</v>
      </c>
      <c r="Q69" s="233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5">
      <c r="A70" s="178">
        <f>'Données projet'!A78</f>
        <v>156</v>
      </c>
      <c r="B70" s="179">
        <f>'Données projet'!D78</f>
        <v>87.28</v>
      </c>
      <c r="C70" s="189">
        <v>55</v>
      </c>
      <c r="D70" s="177">
        <f t="shared" si="4"/>
        <v>4800.3999999999996</v>
      </c>
      <c r="E70" s="191"/>
      <c r="F70" s="230"/>
      <c r="G70" s="204"/>
      <c r="H70" s="188"/>
      <c r="I70" s="189"/>
      <c r="J70" s="187"/>
      <c r="K70" s="171"/>
      <c r="L70" s="4"/>
      <c r="M70" s="4"/>
      <c r="N70" s="4"/>
      <c r="O70" s="192" t="e">
        <f>IF(O69+1&lt;=MIN('Données projet'!$E$9:$E$18),O69+1,"STOP")</f>
        <v>#VALUE!</v>
      </c>
      <c r="P70" s="183" t="e">
        <f t="shared" si="5"/>
        <v>#VALUE!</v>
      </c>
      <c r="Q70" s="233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5">
      <c r="A71" s="178">
        <f>'Données projet'!A79</f>
        <v>159</v>
      </c>
      <c r="B71" s="179">
        <f>'Données projet'!D79</f>
        <v>180.6</v>
      </c>
      <c r="C71" s="189">
        <v>55</v>
      </c>
      <c r="D71" s="177">
        <f t="shared" si="4"/>
        <v>9933</v>
      </c>
      <c r="E71" s="191"/>
      <c r="F71" s="230"/>
      <c r="G71" s="204"/>
      <c r="H71" s="188"/>
      <c r="I71" s="189"/>
      <c r="J71" s="187"/>
      <c r="K71" s="171"/>
      <c r="L71" s="4"/>
      <c r="M71" s="4"/>
      <c r="N71" s="4"/>
      <c r="O71" s="192" t="e">
        <f>IF(O70+1&lt;=MIN('Données projet'!$E$9:$E$18),O70+1,"STOP")</f>
        <v>#VALUE!</v>
      </c>
      <c r="P71" s="183" t="e">
        <f t="shared" si="5"/>
        <v>#VALUE!</v>
      </c>
      <c r="Q71" s="233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5">
      <c r="A72" s="178">
        <f>'Données projet'!A80</f>
        <v>0</v>
      </c>
      <c r="B72" s="179">
        <f>'Données projet'!D80</f>
        <v>0</v>
      </c>
      <c r="C72" s="189"/>
      <c r="D72" s="177">
        <f t="shared" si="4"/>
        <v>0</v>
      </c>
      <c r="E72" s="191"/>
      <c r="F72" s="230"/>
      <c r="G72" s="204"/>
      <c r="H72" s="188"/>
      <c r="I72" s="189"/>
      <c r="J72" s="4"/>
      <c r="K72" s="171"/>
      <c r="L72" s="4"/>
      <c r="M72" s="4"/>
      <c r="N72" s="4"/>
      <c r="O72" s="192" t="e">
        <f>IF(O71+1&lt;=MIN('Données projet'!$E$9:$E$18),O71+1,"STOP")</f>
        <v>#VALUE!</v>
      </c>
      <c r="P72" s="183" t="e">
        <f t="shared" si="5"/>
        <v>#VALUE!</v>
      </c>
      <c r="Q72" s="233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5">
      <c r="A73" s="178">
        <f>'Données projet'!A81</f>
        <v>0</v>
      </c>
      <c r="B73" s="179">
        <f>'Données projet'!D81</f>
        <v>0</v>
      </c>
      <c r="C73" s="189"/>
      <c r="D73" s="177">
        <f t="shared" si="4"/>
        <v>0</v>
      </c>
      <c r="E73" s="191"/>
      <c r="F73" s="230"/>
      <c r="G73" s="204"/>
      <c r="H73" s="188"/>
      <c r="I73" s="189"/>
      <c r="J73" s="4"/>
      <c r="K73" s="171"/>
      <c r="L73" s="4"/>
      <c r="M73" s="4"/>
      <c r="N73" s="4"/>
      <c r="O73" s="192" t="e">
        <f>IF(O72+1&lt;=MIN('Données projet'!$E$9:$E$18),O72+1,"STOP")</f>
        <v>#VALUE!</v>
      </c>
      <c r="P73" s="183" t="e">
        <f t="shared" si="5"/>
        <v>#VALUE!</v>
      </c>
      <c r="Q73" s="233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5">
      <c r="A74" s="4"/>
      <c r="B74" s="4"/>
      <c r="C74" s="4"/>
      <c r="D74" s="4"/>
      <c r="E74" s="4"/>
      <c r="F74" s="228"/>
      <c r="G74" s="204"/>
      <c r="H74" s="188"/>
      <c r="I74" s="189"/>
      <c r="J74" s="4"/>
      <c r="K74" s="171"/>
      <c r="L74" s="4"/>
      <c r="M74" s="4"/>
      <c r="N74" s="4"/>
      <c r="O74" s="192" t="e">
        <f>IF(O73+1&lt;=MIN('Données projet'!$E$9:$E$18),O73+1,"STOP")</f>
        <v>#VALUE!</v>
      </c>
      <c r="P74" s="183" t="e">
        <f t="shared" si="5"/>
        <v>#VALUE!</v>
      </c>
      <c r="Q74" s="233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5">
      <c r="A75" s="4"/>
      <c r="B75" s="4"/>
      <c r="C75" s="4"/>
      <c r="D75" s="4"/>
      <c r="E75" s="4"/>
      <c r="F75" s="228"/>
      <c r="G75" s="204"/>
      <c r="H75" s="188"/>
      <c r="I75" s="189"/>
      <c r="J75" s="4"/>
      <c r="K75" s="171"/>
      <c r="L75" s="4"/>
      <c r="M75" s="4"/>
      <c r="N75" s="4"/>
      <c r="O75" s="192" t="e">
        <f>IF(O74+1&lt;=MIN('Données projet'!$E$9:$E$18),O74+1,"STOP")</f>
        <v>#VALUE!</v>
      </c>
      <c r="P75" s="183" t="e">
        <f t="shared" si="5"/>
        <v>#VALUE!</v>
      </c>
      <c r="Q75" s="233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5">
      <c r="A76" s="46" t="s">
        <v>167</v>
      </c>
      <c r="B76" s="172" t="str">
        <f>IF('Données projet'!B11="","",'Données projet'!B11)</f>
        <v>Pin maritime</v>
      </c>
      <c r="C76" s="4"/>
      <c r="D76" s="4"/>
      <c r="E76" s="4"/>
      <c r="F76" s="228"/>
      <c r="G76" s="204"/>
      <c r="H76" s="188"/>
      <c r="I76" s="189"/>
      <c r="J76" s="4"/>
      <c r="K76" s="171"/>
      <c r="L76" s="4"/>
      <c r="M76" s="4"/>
      <c r="N76" s="4"/>
      <c r="O76" s="192" t="e">
        <f>IF(O75+1&lt;=MIN('Données projet'!$E$9:$E$18),O75+1,"STOP")</f>
        <v>#VALUE!</v>
      </c>
      <c r="P76" s="183" t="e">
        <f t="shared" si="5"/>
        <v>#VALUE!</v>
      </c>
      <c r="Q76" s="233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5">
      <c r="A77" s="4"/>
      <c r="B77" s="4"/>
      <c r="C77" s="4"/>
      <c r="D77" s="4"/>
      <c r="E77" s="4"/>
      <c r="F77" s="228"/>
      <c r="G77" s="204"/>
      <c r="H77" s="188"/>
      <c r="I77" s="189"/>
      <c r="J77" s="4"/>
      <c r="K77" s="171"/>
      <c r="L77" s="4"/>
      <c r="M77" s="4"/>
      <c r="N77" s="4"/>
      <c r="O77" s="192" t="e">
        <f>IF(O76+1&lt;=MIN('Données projet'!$E$9:$E$18),O76+1,"STOP")</f>
        <v>#VALUE!</v>
      </c>
      <c r="P77" s="183" t="e">
        <f t="shared" si="5"/>
        <v>#VALUE!</v>
      </c>
      <c r="Q77" s="233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5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29"/>
      <c r="G78" s="204"/>
      <c r="H78" s="188"/>
      <c r="I78" s="189"/>
      <c r="J78" s="4"/>
      <c r="K78" s="171"/>
      <c r="L78" s="4"/>
      <c r="M78" s="4"/>
      <c r="N78" s="4"/>
      <c r="O78" s="192" t="e">
        <f>IF(O77+1&lt;=MIN('Données projet'!$E$9:$E$18),O77+1,"STOP")</f>
        <v>#VALUE!</v>
      </c>
      <c r="P78" s="183" t="e">
        <f t="shared" si="5"/>
        <v>#VALUE!</v>
      </c>
      <c r="Q78" s="233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5">
      <c r="A79" s="49">
        <v>0</v>
      </c>
      <c r="B79" s="197" t="s">
        <v>132</v>
      </c>
      <c r="C79" s="196" t="s">
        <v>132</v>
      </c>
      <c r="D79" s="195" t="s">
        <v>132</v>
      </c>
      <c r="E79" s="191">
        <v>1548.51</v>
      </c>
      <c r="F79" s="229"/>
      <c r="G79" s="204"/>
      <c r="H79" s="188"/>
      <c r="I79" s="189"/>
      <c r="J79" s="4"/>
      <c r="K79" s="171"/>
      <c r="L79" s="4"/>
      <c r="M79" s="4"/>
      <c r="N79" s="4"/>
      <c r="O79" s="192" t="e">
        <f>IF(O78+1&lt;=MIN('Données projet'!$E$9:$E$18),O78+1,"STOP")</f>
        <v>#VALUE!</v>
      </c>
      <c r="P79" s="183" t="e">
        <f t="shared" si="5"/>
        <v>#VALUE!</v>
      </c>
      <c r="Q79" s="233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5">
      <c r="A80" s="49">
        <v>1</v>
      </c>
      <c r="B80" s="197" t="s">
        <v>132</v>
      </c>
      <c r="C80" s="196" t="s">
        <v>132</v>
      </c>
      <c r="D80" s="195" t="s">
        <v>132</v>
      </c>
      <c r="E80" s="191"/>
      <c r="F80" s="229"/>
      <c r="G80" s="23"/>
      <c r="H80" s="188"/>
      <c r="I80" s="189"/>
      <c r="J80" s="4"/>
      <c r="K80" s="171"/>
      <c r="L80" s="4"/>
      <c r="M80" s="4"/>
      <c r="N80" s="4"/>
      <c r="O80" s="192" t="e">
        <f>IF(O79+1&lt;=MIN('Données projet'!$E$9:$E$18),O79+1,"STOP")</f>
        <v>#VALUE!</v>
      </c>
      <c r="P80" s="183" t="e">
        <f t="shared" si="5"/>
        <v>#VALUE!</v>
      </c>
      <c r="Q80" s="233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5">
      <c r="A81" s="49">
        <v>2</v>
      </c>
      <c r="B81" s="197" t="s">
        <v>132</v>
      </c>
      <c r="C81" s="196" t="s">
        <v>132</v>
      </c>
      <c r="D81" s="195" t="s">
        <v>132</v>
      </c>
      <c r="E81" s="191"/>
      <c r="F81" s="229"/>
      <c r="G81" s="23"/>
      <c r="H81" s="188"/>
      <c r="I81" s="189"/>
      <c r="J81" s="4"/>
      <c r="K81" s="171"/>
      <c r="L81" s="4"/>
      <c r="M81" s="4"/>
      <c r="N81" s="4"/>
      <c r="O81" s="192" t="e">
        <f>IF(O80+1&lt;=MIN('Données projet'!$E$9:$E$18),O80+1,"STOP")</f>
        <v>#VALUE!</v>
      </c>
      <c r="P81" s="183" t="e">
        <f t="shared" si="5"/>
        <v>#VALUE!</v>
      </c>
      <c r="Q81" s="233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5">
      <c r="A82" s="49">
        <v>3</v>
      </c>
      <c r="B82" s="197" t="s">
        <v>132</v>
      </c>
      <c r="C82" s="196" t="s">
        <v>132</v>
      </c>
      <c r="D82" s="195" t="s">
        <v>132</v>
      </c>
      <c r="E82" s="191"/>
      <c r="F82" s="229"/>
      <c r="G82" s="23"/>
      <c r="H82" s="188"/>
      <c r="I82" s="189"/>
      <c r="J82" s="4"/>
      <c r="K82" s="171"/>
      <c r="L82" s="4"/>
      <c r="M82" s="4"/>
      <c r="N82" s="4"/>
      <c r="O82" s="192" t="e">
        <f>IF(O81+1&lt;=MIN('Données projet'!$E$9:$E$18),O81+1,"STOP")</f>
        <v>#VALUE!</v>
      </c>
      <c r="P82" s="183" t="e">
        <f t="shared" si="5"/>
        <v>#VALUE!</v>
      </c>
      <c r="Q82" s="233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5">
      <c r="A83" s="49">
        <v>4</v>
      </c>
      <c r="B83" s="197" t="s">
        <v>132</v>
      </c>
      <c r="C83" s="196" t="s">
        <v>132</v>
      </c>
      <c r="D83" s="195" t="s">
        <v>132</v>
      </c>
      <c r="E83" s="191"/>
      <c r="F83" s="229"/>
      <c r="G83" s="23"/>
      <c r="H83" s="188"/>
      <c r="I83" s="189"/>
      <c r="J83" s="4"/>
      <c r="K83" s="171"/>
      <c r="L83" s="4"/>
      <c r="M83" s="4"/>
      <c r="N83" s="4"/>
      <c r="O83" s="192" t="e">
        <f>IF(O82+1&lt;=MIN('Données projet'!$E$9:$E$18),O82+1,"STOP")</f>
        <v>#VALUE!</v>
      </c>
      <c r="P83" s="183" t="e">
        <f t="shared" si="5"/>
        <v>#VALUE!</v>
      </c>
      <c r="Q83" s="233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5">
      <c r="A84" s="49">
        <v>5</v>
      </c>
      <c r="B84" s="197" t="s">
        <v>132</v>
      </c>
      <c r="C84" s="196" t="s">
        <v>132</v>
      </c>
      <c r="D84" s="195" t="s">
        <v>132</v>
      </c>
      <c r="E84" s="191"/>
      <c r="F84" s="229"/>
      <c r="G84" s="203"/>
      <c r="H84" s="188"/>
      <c r="I84" s="189"/>
      <c r="J84" s="4"/>
      <c r="K84" s="171"/>
      <c r="L84" s="4"/>
      <c r="M84" s="4"/>
      <c r="N84" s="4"/>
      <c r="O84" s="192" t="e">
        <f>IF(O83+1&lt;=MIN('Données projet'!$E$9:$E$18),O83+1,"STOP")</f>
        <v>#VALUE!</v>
      </c>
      <c r="P84" s="183" t="e">
        <f t="shared" si="5"/>
        <v>#VALUE!</v>
      </c>
      <c r="Q84" s="233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5">
      <c r="A85" s="178">
        <f>'Données projet'!A88</f>
        <v>11</v>
      </c>
      <c r="B85" s="179">
        <f>'Données projet'!D88</f>
        <v>0</v>
      </c>
      <c r="C85" s="189"/>
      <c r="D85" s="177">
        <f>B85*C85</f>
        <v>0</v>
      </c>
      <c r="E85" s="191"/>
      <c r="F85" s="230"/>
      <c r="G85" s="203"/>
      <c r="H85" s="188"/>
      <c r="I85" s="189"/>
      <c r="J85" s="4"/>
      <c r="K85" s="171"/>
      <c r="L85" s="4"/>
      <c r="M85" s="4"/>
      <c r="N85" s="4"/>
      <c r="O85" s="192" t="e">
        <f>IF(O84+1&lt;=MIN('Données projet'!$E$9:$E$18),O84+1,"STOP")</f>
        <v>#VALUE!</v>
      </c>
      <c r="P85" s="183" t="e">
        <f t="shared" si="5"/>
        <v>#VALUE!</v>
      </c>
      <c r="Q85" s="233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5">
      <c r="A86" s="178">
        <f>'Données projet'!A89</f>
        <v>12</v>
      </c>
      <c r="B86" s="179">
        <f>'Données projet'!D89</f>
        <v>34</v>
      </c>
      <c r="C86" s="189">
        <v>20</v>
      </c>
      <c r="D86" s="177">
        <f t="shared" ref="D86:D104" si="6">B86*C86</f>
        <v>680</v>
      </c>
      <c r="E86" s="191"/>
      <c r="F86" s="230"/>
      <c r="G86" s="203"/>
      <c r="H86" s="188"/>
      <c r="I86" s="189"/>
      <c r="J86" s="4"/>
      <c r="K86" s="171"/>
      <c r="L86" s="4"/>
      <c r="M86" s="4"/>
      <c r="N86" s="4"/>
      <c r="O86" s="192" t="e">
        <f>IF(O85+1&lt;=MIN('Données projet'!$E$9:$E$18),O85+1,"STOP")</f>
        <v>#VALUE!</v>
      </c>
      <c r="P86" s="183" t="e">
        <f t="shared" si="5"/>
        <v>#VALUE!</v>
      </c>
      <c r="Q86" s="233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5">
      <c r="A87" s="178">
        <f>'Données projet'!A90</f>
        <v>13</v>
      </c>
      <c r="B87" s="179">
        <f>'Données projet'!D90</f>
        <v>0</v>
      </c>
      <c r="C87" s="189"/>
      <c r="D87" s="177">
        <f t="shared" si="6"/>
        <v>0</v>
      </c>
      <c r="E87" s="191"/>
      <c r="F87" s="230"/>
      <c r="G87" s="203"/>
      <c r="H87" s="188"/>
      <c r="I87" s="189"/>
      <c r="J87" s="4"/>
      <c r="K87" s="171"/>
      <c r="L87" s="4"/>
      <c r="M87" s="4"/>
      <c r="N87" s="4"/>
      <c r="O87" s="192" t="e">
        <f>IF(O86+1&lt;=MIN('Données projet'!$E$9:$E$18),O86+1,"STOP")</f>
        <v>#VALUE!</v>
      </c>
      <c r="P87" s="183" t="e">
        <f t="shared" si="5"/>
        <v>#VALUE!</v>
      </c>
      <c r="Q87" s="233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5">
      <c r="A88" s="178">
        <f>'Données projet'!A91</f>
        <v>14</v>
      </c>
      <c r="B88" s="179">
        <f>'Données projet'!D91</f>
        <v>0</v>
      </c>
      <c r="C88" s="189"/>
      <c r="D88" s="177">
        <f t="shared" si="6"/>
        <v>0</v>
      </c>
      <c r="E88" s="191"/>
      <c r="F88" s="230"/>
      <c r="G88" s="203"/>
      <c r="H88" s="188"/>
      <c r="I88" s="189"/>
      <c r="J88" s="4"/>
      <c r="K88" s="171"/>
      <c r="L88" s="4"/>
      <c r="M88" s="4"/>
      <c r="N88" s="4"/>
      <c r="O88" s="192" t="e">
        <f>IF(O87+1&lt;=MIN('Données projet'!$E$9:$E$18),O87+1,"STOP")</f>
        <v>#VALUE!</v>
      </c>
      <c r="P88" s="183" t="e">
        <f t="shared" si="5"/>
        <v>#VALUE!</v>
      </c>
      <c r="Q88" s="233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5">
      <c r="A89" s="178">
        <f>'Données projet'!A92</f>
        <v>15</v>
      </c>
      <c r="B89" s="179">
        <f>'Données projet'!D92</f>
        <v>0</v>
      </c>
      <c r="C89" s="189"/>
      <c r="D89" s="177">
        <f t="shared" si="6"/>
        <v>0</v>
      </c>
      <c r="E89" s="191"/>
      <c r="F89" s="230"/>
      <c r="G89" s="203"/>
      <c r="H89" s="188"/>
      <c r="I89" s="189"/>
      <c r="J89" s="4"/>
      <c r="K89" s="171"/>
      <c r="L89" s="4"/>
      <c r="M89" s="4"/>
      <c r="N89" s="4"/>
      <c r="O89" s="192" t="e">
        <f>IF(O88+1&lt;=MIN('Données projet'!$E$9:$E$18),O88+1,"STOP")</f>
        <v>#VALUE!</v>
      </c>
      <c r="P89" s="183" t="e">
        <f t="shared" si="5"/>
        <v>#VALUE!</v>
      </c>
      <c r="Q89" s="233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5">
      <c r="A90" s="178">
        <f>'Données projet'!A93</f>
        <v>16</v>
      </c>
      <c r="B90" s="179">
        <f>'Données projet'!D93</f>
        <v>0</v>
      </c>
      <c r="C90" s="189"/>
      <c r="D90" s="177">
        <f t="shared" si="6"/>
        <v>0</v>
      </c>
      <c r="E90" s="191"/>
      <c r="F90" s="230"/>
      <c r="G90" s="203"/>
      <c r="H90" s="188"/>
      <c r="I90" s="189"/>
      <c r="J90" s="4"/>
      <c r="K90" s="171"/>
      <c r="L90" s="4"/>
      <c r="M90" s="4"/>
      <c r="N90" s="4"/>
      <c r="O90" s="192" t="e">
        <f>IF(O89+1&lt;=MIN('Données projet'!$E$9:$E$18),O89+1,"STOP")</f>
        <v>#VALUE!</v>
      </c>
      <c r="P90" s="183" t="e">
        <f t="shared" si="5"/>
        <v>#VALUE!</v>
      </c>
      <c r="Q90" s="233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5">
      <c r="A91" s="178">
        <f>'Données projet'!A94</f>
        <v>17</v>
      </c>
      <c r="B91" s="179">
        <f>'Données projet'!D94</f>
        <v>43</v>
      </c>
      <c r="C91" s="189">
        <v>28</v>
      </c>
      <c r="D91" s="177">
        <f t="shared" si="6"/>
        <v>1204</v>
      </c>
      <c r="E91" s="191"/>
      <c r="F91" s="230"/>
      <c r="G91" s="204"/>
      <c r="H91" s="188"/>
      <c r="I91" s="189"/>
      <c r="J91" s="4"/>
      <c r="K91" s="171"/>
      <c r="L91" s="4"/>
      <c r="M91" s="4"/>
      <c r="N91" s="4"/>
      <c r="O91" s="192" t="e">
        <f>IF(O90+1&lt;=MIN('Données projet'!$E$9:$E$18),O90+1,"STOP")</f>
        <v>#VALUE!</v>
      </c>
      <c r="P91" s="183" t="e">
        <f t="shared" si="5"/>
        <v>#VALUE!</v>
      </c>
      <c r="Q91" s="233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5">
      <c r="A92" s="178">
        <f>'Données projet'!A95</f>
        <v>18</v>
      </c>
      <c r="B92" s="179">
        <f>'Données projet'!D95</f>
        <v>0</v>
      </c>
      <c r="C92" s="189"/>
      <c r="D92" s="177">
        <f t="shared" si="6"/>
        <v>0</v>
      </c>
      <c r="E92" s="191"/>
      <c r="F92" s="230"/>
      <c r="G92" s="204"/>
      <c r="H92" s="188"/>
      <c r="I92" s="189"/>
      <c r="J92" s="4"/>
      <c r="K92" s="171"/>
      <c r="L92" s="4"/>
      <c r="M92" s="4"/>
      <c r="N92" s="4"/>
      <c r="O92" s="192" t="e">
        <f>IF(O91+1&lt;=MIN('Données projet'!$E$9:$E$18),O91+1,"STOP")</f>
        <v>#VALUE!</v>
      </c>
      <c r="P92" s="183" t="e">
        <f t="shared" si="5"/>
        <v>#VALUE!</v>
      </c>
      <c r="Q92" s="233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5">
      <c r="A93" s="178">
        <f>'Données projet'!A96</f>
        <v>19</v>
      </c>
      <c r="B93" s="179">
        <f>'Données projet'!D96</f>
        <v>0</v>
      </c>
      <c r="C93" s="189"/>
      <c r="D93" s="177">
        <f t="shared" si="6"/>
        <v>0</v>
      </c>
      <c r="E93" s="191"/>
      <c r="F93" s="230"/>
      <c r="G93" s="204"/>
      <c r="H93" s="188"/>
      <c r="I93" s="189"/>
      <c r="J93" s="4"/>
      <c r="K93" s="171"/>
      <c r="L93" s="4"/>
      <c r="M93" s="4"/>
      <c r="N93" s="4"/>
      <c r="O93" s="192" t="e">
        <f>IF(O92+1&lt;=MIN('Données projet'!$E$9:$E$18),O92+1,"STOP")</f>
        <v>#VALUE!</v>
      </c>
      <c r="P93" s="183" t="e">
        <f t="shared" si="5"/>
        <v>#VALUE!</v>
      </c>
      <c r="Q93" s="233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5">
      <c r="A94" s="178">
        <f>'Données projet'!A97</f>
        <v>20</v>
      </c>
      <c r="B94" s="179">
        <f>'Données projet'!D97</f>
        <v>0</v>
      </c>
      <c r="C94" s="189"/>
      <c r="D94" s="177">
        <f t="shared" si="6"/>
        <v>0</v>
      </c>
      <c r="E94" s="191"/>
      <c r="F94" s="230"/>
      <c r="G94" s="204"/>
      <c r="H94" s="188"/>
      <c r="I94" s="189"/>
      <c r="J94" s="4"/>
      <c r="K94" s="171"/>
      <c r="L94" s="4"/>
      <c r="M94" s="4"/>
      <c r="N94" s="4"/>
      <c r="O94" s="192" t="e">
        <f>IF(O93+1&lt;=MIN('Données projet'!$E$9:$E$18),O93+1,"STOP")</f>
        <v>#VALUE!</v>
      </c>
      <c r="P94" s="183" t="e">
        <f t="shared" si="5"/>
        <v>#VALUE!</v>
      </c>
      <c r="Q94" s="233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5">
      <c r="A95" s="178">
        <f>'Données projet'!A98</f>
        <v>21</v>
      </c>
      <c r="B95" s="179">
        <f>'Données projet'!D98</f>
        <v>0</v>
      </c>
      <c r="C95" s="189"/>
      <c r="D95" s="177">
        <f t="shared" si="6"/>
        <v>0</v>
      </c>
      <c r="E95" s="191"/>
      <c r="F95" s="230"/>
      <c r="G95" s="204"/>
      <c r="H95" s="188"/>
      <c r="I95" s="189"/>
      <c r="J95" s="4"/>
      <c r="K95" s="171"/>
      <c r="L95" s="4"/>
      <c r="M95" s="4"/>
      <c r="N95" s="4"/>
      <c r="O95" s="192" t="e">
        <f>IF(O94+1&lt;=MIN('Données projet'!$E$9:$E$18),O94+1,"STOP")</f>
        <v>#VALUE!</v>
      </c>
      <c r="P95" s="183" t="e">
        <f t="shared" si="5"/>
        <v>#VALUE!</v>
      </c>
      <c r="Q95" s="233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5">
      <c r="A96" s="178">
        <f>'Données projet'!A99</f>
        <v>22</v>
      </c>
      <c r="B96" s="179">
        <f>'Données projet'!D99</f>
        <v>56</v>
      </c>
      <c r="C96" s="189">
        <v>39</v>
      </c>
      <c r="D96" s="177">
        <f t="shared" si="6"/>
        <v>2184</v>
      </c>
      <c r="E96" s="191"/>
      <c r="F96" s="230"/>
      <c r="G96" s="204"/>
      <c r="H96" s="188"/>
      <c r="I96" s="189"/>
      <c r="J96" s="4"/>
      <c r="K96" s="171"/>
      <c r="L96" s="4"/>
      <c r="M96" s="4"/>
      <c r="N96" s="4"/>
      <c r="O96" s="192" t="e">
        <f>IF(O95+1&lt;=MIN('Données projet'!$E$9:$E$18),O95+1,"STOP")</f>
        <v>#VALUE!</v>
      </c>
      <c r="P96" s="183" t="e">
        <f t="shared" si="5"/>
        <v>#VALUE!</v>
      </c>
      <c r="Q96" s="233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5">
      <c r="A97" s="178">
        <f>'Données projet'!A100</f>
        <v>23</v>
      </c>
      <c r="B97" s="179">
        <f>'Données projet'!D100</f>
        <v>0</v>
      </c>
      <c r="C97" s="189"/>
      <c r="D97" s="177">
        <f t="shared" si="6"/>
        <v>0</v>
      </c>
      <c r="E97" s="191"/>
      <c r="F97" s="230"/>
      <c r="G97" s="204"/>
      <c r="H97" s="188"/>
      <c r="I97" s="189"/>
      <c r="J97" s="4"/>
      <c r="K97" s="171"/>
      <c r="L97" s="4"/>
      <c r="M97" s="4"/>
      <c r="N97" s="4"/>
      <c r="O97" s="192" t="e">
        <f>IF(O96+1&lt;=MIN('Données projet'!$E$9:$E$18),O96+1,"STOP")</f>
        <v>#VALUE!</v>
      </c>
      <c r="P97" s="183" t="e">
        <f t="shared" ref="P97:P128" si="7">$P$25/(1+$M$4)^O97</f>
        <v>#VALUE!</v>
      </c>
      <c r="Q97" s="233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5">
      <c r="A98" s="178">
        <f>'Données projet'!A101</f>
        <v>24</v>
      </c>
      <c r="B98" s="179">
        <f>'Données projet'!D101</f>
        <v>0</v>
      </c>
      <c r="C98" s="189"/>
      <c r="D98" s="177">
        <f t="shared" si="6"/>
        <v>0</v>
      </c>
      <c r="E98" s="191"/>
      <c r="F98" s="230"/>
      <c r="G98" s="204"/>
      <c r="H98" s="188"/>
      <c r="I98" s="189"/>
      <c r="J98" s="4"/>
      <c r="K98" s="171"/>
      <c r="L98" s="4"/>
      <c r="M98" s="4"/>
      <c r="N98" s="4"/>
      <c r="O98" s="192" t="e">
        <f>IF(O97+1&lt;=MIN('Données projet'!$E$9:$E$18),O97+1,"STOP")</f>
        <v>#VALUE!</v>
      </c>
      <c r="P98" s="183" t="e">
        <f t="shared" si="7"/>
        <v>#VALUE!</v>
      </c>
      <c r="Q98" s="233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5">
      <c r="A99" s="178">
        <f>'Données projet'!A102</f>
        <v>25</v>
      </c>
      <c r="B99" s="179">
        <f>'Données projet'!D102</f>
        <v>0</v>
      </c>
      <c r="C99" s="189"/>
      <c r="D99" s="177">
        <f t="shared" si="6"/>
        <v>0</v>
      </c>
      <c r="E99" s="191"/>
      <c r="F99" s="230"/>
      <c r="G99" s="204"/>
      <c r="H99" s="188"/>
      <c r="I99" s="189"/>
      <c r="J99" s="4"/>
      <c r="K99" s="171"/>
      <c r="L99" s="4"/>
      <c r="M99" s="4"/>
      <c r="N99" s="4"/>
      <c r="O99" s="192" t="e">
        <f>IF(O98+1&lt;=MIN('Données projet'!$E$9:$E$18),O98+1,"STOP")</f>
        <v>#VALUE!</v>
      </c>
      <c r="P99" s="183" t="e">
        <f t="shared" si="7"/>
        <v>#VALUE!</v>
      </c>
      <c r="Q99" s="233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5">
      <c r="A100" s="178">
        <f>'Données projet'!A103</f>
        <v>26</v>
      </c>
      <c r="B100" s="179">
        <f>'Données projet'!D103</f>
        <v>0</v>
      </c>
      <c r="C100" s="189"/>
      <c r="D100" s="177">
        <f t="shared" si="6"/>
        <v>0</v>
      </c>
      <c r="E100" s="191"/>
      <c r="F100" s="230"/>
      <c r="G100" s="204"/>
      <c r="H100" s="188"/>
      <c r="I100" s="189"/>
      <c r="J100" s="4"/>
      <c r="K100" s="171"/>
      <c r="L100" s="4"/>
      <c r="M100" s="4"/>
      <c r="N100" s="4"/>
      <c r="O100" s="192" t="e">
        <f>IF(O99+1&lt;=MIN('Données projet'!$E$9:$E$18),O99+1,"STOP")</f>
        <v>#VALUE!</v>
      </c>
      <c r="P100" s="183" t="e">
        <f t="shared" si="7"/>
        <v>#VALUE!</v>
      </c>
      <c r="Q100" s="233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5">
      <c r="A101" s="178">
        <f>'Données projet'!A104</f>
        <v>27</v>
      </c>
      <c r="B101" s="179">
        <f>'Données projet'!D104</f>
        <v>0</v>
      </c>
      <c r="C101" s="189"/>
      <c r="D101" s="177">
        <f t="shared" si="6"/>
        <v>0</v>
      </c>
      <c r="E101" s="191"/>
      <c r="F101" s="230"/>
      <c r="G101" s="204"/>
      <c r="H101" s="188"/>
      <c r="I101" s="189"/>
      <c r="J101" s="4"/>
      <c r="K101" s="171"/>
      <c r="L101" s="4"/>
      <c r="M101" s="4"/>
      <c r="N101" s="4"/>
      <c r="O101" s="192" t="e">
        <f>IF(O100+1&lt;=MIN('Données projet'!$E$9:$E$18),O100+1,"STOP")</f>
        <v>#VALUE!</v>
      </c>
      <c r="P101" s="183" t="e">
        <f t="shared" si="7"/>
        <v>#VALUE!</v>
      </c>
      <c r="Q101" s="233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5">
      <c r="A102" s="178">
        <f>'Données projet'!A105</f>
        <v>28</v>
      </c>
      <c r="B102" s="179">
        <f>'Données projet'!D105</f>
        <v>0</v>
      </c>
      <c r="C102" s="189"/>
      <c r="D102" s="177">
        <f t="shared" si="6"/>
        <v>0</v>
      </c>
      <c r="E102" s="191"/>
      <c r="F102" s="230"/>
      <c r="G102" s="204"/>
      <c r="H102" s="188"/>
      <c r="I102" s="189"/>
      <c r="J102" s="4"/>
      <c r="K102" s="171"/>
      <c r="L102" s="4"/>
      <c r="M102" s="4"/>
      <c r="N102" s="4"/>
      <c r="O102" s="192" t="e">
        <f>IF(O101+1&lt;=MIN('Données projet'!$E$9:$E$18),O101+1,"STOP")</f>
        <v>#VALUE!</v>
      </c>
      <c r="P102" s="183" t="e">
        <f t="shared" si="7"/>
        <v>#VALUE!</v>
      </c>
      <c r="Q102" s="233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5">
      <c r="A103" s="178">
        <f>'Données projet'!A106</f>
        <v>29</v>
      </c>
      <c r="B103" s="179">
        <f>'Données projet'!D106</f>
        <v>0</v>
      </c>
      <c r="C103" s="189"/>
      <c r="D103" s="177">
        <f t="shared" si="6"/>
        <v>0</v>
      </c>
      <c r="E103" s="191"/>
      <c r="F103" s="230"/>
      <c r="G103" s="204"/>
      <c r="H103" s="188"/>
      <c r="I103" s="189"/>
      <c r="J103" s="4"/>
      <c r="K103" s="171"/>
      <c r="L103" s="4"/>
      <c r="M103" s="4"/>
      <c r="N103" s="4"/>
      <c r="O103" s="192" t="e">
        <f>IF(O102+1&lt;=MIN('Données projet'!$E$9:$E$18),O102+1,"STOP")</f>
        <v>#VALUE!</v>
      </c>
      <c r="P103" s="183" t="e">
        <f t="shared" si="7"/>
        <v>#VALUE!</v>
      </c>
      <c r="Q103" s="233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5">
      <c r="A104" s="178">
        <f>'Données projet'!A107</f>
        <v>30</v>
      </c>
      <c r="B104" s="179">
        <f>'Données projet'!D107</f>
        <v>309</v>
      </c>
      <c r="C104" s="189">
        <v>51</v>
      </c>
      <c r="D104" s="177">
        <f t="shared" si="6"/>
        <v>15759</v>
      </c>
      <c r="E104" s="191"/>
      <c r="F104" s="230"/>
      <c r="G104" s="204"/>
      <c r="H104" s="188"/>
      <c r="I104" s="189"/>
      <c r="J104" s="4"/>
      <c r="K104" s="171"/>
      <c r="L104" s="4"/>
      <c r="M104" s="4"/>
      <c r="N104" s="4"/>
      <c r="O104" s="192" t="e">
        <f>IF(O103+1&lt;=MIN('Données projet'!$E$9:$E$18),O103+1,"STOP")</f>
        <v>#VALUE!</v>
      </c>
      <c r="P104" s="183" t="e">
        <f t="shared" si="7"/>
        <v>#VALUE!</v>
      </c>
      <c r="Q104" s="233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5">
      <c r="A105" s="4"/>
      <c r="B105" s="4"/>
      <c r="C105" s="4"/>
      <c r="D105" s="4"/>
      <c r="E105" s="4"/>
      <c r="F105" s="228"/>
      <c r="G105" s="204"/>
      <c r="H105" s="188"/>
      <c r="I105" s="189"/>
      <c r="J105" s="4"/>
      <c r="K105" s="171"/>
      <c r="L105" s="4"/>
      <c r="M105" s="4"/>
      <c r="N105" s="4"/>
      <c r="O105" s="192" t="e">
        <f>IF(O104+1&lt;=MIN('Données projet'!$E$9:$E$18),O104+1,"STOP")</f>
        <v>#VALUE!</v>
      </c>
      <c r="P105" s="183" t="e">
        <f t="shared" si="7"/>
        <v>#VALUE!</v>
      </c>
      <c r="Q105" s="233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5">
      <c r="A106" s="4"/>
      <c r="B106" s="4"/>
      <c r="C106" s="4"/>
      <c r="D106" s="4"/>
      <c r="E106" s="4"/>
      <c r="F106" s="228"/>
      <c r="G106" s="204"/>
      <c r="H106" s="188"/>
      <c r="I106" s="189"/>
      <c r="J106" s="4"/>
      <c r="K106" s="171"/>
      <c r="L106" s="4"/>
      <c r="M106" s="4"/>
      <c r="N106" s="4"/>
      <c r="O106" s="192" t="e">
        <f>IF(O105+1&lt;=MIN('Données projet'!$E$9:$E$18),O105+1,"STOP")</f>
        <v>#VALUE!</v>
      </c>
      <c r="P106" s="183" t="e">
        <f t="shared" si="7"/>
        <v>#VALUE!</v>
      </c>
      <c r="Q106" s="233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5">
      <c r="A107" s="46" t="s">
        <v>168</v>
      </c>
      <c r="B107" s="172" t="str">
        <f>IF('Données projet'!B12="","",'Données projet'!B12)</f>
        <v/>
      </c>
      <c r="C107" s="4"/>
      <c r="D107" s="4"/>
      <c r="E107" s="4"/>
      <c r="F107" s="228"/>
      <c r="G107" s="204"/>
      <c r="H107" s="188"/>
      <c r="I107" s="189"/>
      <c r="J107" s="4"/>
      <c r="K107" s="171"/>
      <c r="L107" s="4"/>
      <c r="M107" s="4"/>
      <c r="N107" s="4"/>
      <c r="O107" s="192" t="e">
        <f>IF(O106+1&lt;=MIN('Données projet'!$E$9:$E$18),O106+1,"STOP")</f>
        <v>#VALUE!</v>
      </c>
      <c r="P107" s="183" t="e">
        <f t="shared" si="7"/>
        <v>#VALUE!</v>
      </c>
      <c r="Q107" s="233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5">
      <c r="A108" s="4"/>
      <c r="B108" s="4"/>
      <c r="C108" s="4"/>
      <c r="D108" s="4"/>
      <c r="E108" s="4"/>
      <c r="F108" s="228"/>
      <c r="G108" s="204"/>
      <c r="H108" s="188"/>
      <c r="I108" s="189"/>
      <c r="J108" s="4"/>
      <c r="K108" s="171"/>
      <c r="L108" s="4"/>
      <c r="M108" s="4"/>
      <c r="N108" s="4"/>
      <c r="O108" s="192" t="e">
        <f>IF(O107+1&lt;=MIN('Données projet'!$E$9:$E$18),O107+1,"STOP")</f>
        <v>#VALUE!</v>
      </c>
      <c r="P108" s="183" t="e">
        <f t="shared" si="7"/>
        <v>#VALUE!</v>
      </c>
      <c r="Q108" s="233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5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29"/>
      <c r="G109" s="204"/>
      <c r="H109" s="188"/>
      <c r="I109" s="189"/>
      <c r="J109" s="4"/>
      <c r="K109" s="171"/>
      <c r="L109" s="4"/>
      <c r="M109" s="4"/>
      <c r="N109" s="4"/>
      <c r="O109" s="192" t="e">
        <f>IF(O108+1&lt;=MIN('Données projet'!$E$9:$E$18),O108+1,"STOP")</f>
        <v>#VALUE!</v>
      </c>
      <c r="P109" s="183" t="e">
        <f t="shared" si="7"/>
        <v>#VALUE!</v>
      </c>
      <c r="Q109" s="233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5">
      <c r="A110" s="49">
        <v>0</v>
      </c>
      <c r="B110" s="197" t="s">
        <v>132</v>
      </c>
      <c r="C110" s="196" t="s">
        <v>132</v>
      </c>
      <c r="D110" s="195" t="s">
        <v>132</v>
      </c>
      <c r="E110" s="191"/>
      <c r="F110" s="229"/>
      <c r="G110" s="204"/>
      <c r="H110" s="188"/>
      <c r="I110" s="189"/>
      <c r="J110" s="4"/>
      <c r="K110" s="171"/>
      <c r="L110" s="4"/>
      <c r="M110" s="4"/>
      <c r="N110" s="4"/>
      <c r="O110" s="192" t="e">
        <f>IF(O109+1&lt;=MIN('Données projet'!$E$9:$E$18),O109+1,"STOP")</f>
        <v>#VALUE!</v>
      </c>
      <c r="P110" s="183" t="e">
        <f t="shared" si="7"/>
        <v>#VALUE!</v>
      </c>
      <c r="Q110" s="233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5">
      <c r="A111" s="49">
        <v>1</v>
      </c>
      <c r="B111" s="197" t="s">
        <v>132</v>
      </c>
      <c r="C111" s="196" t="s">
        <v>132</v>
      </c>
      <c r="D111" s="195" t="s">
        <v>132</v>
      </c>
      <c r="E111" s="191"/>
      <c r="F111" s="229"/>
      <c r="G111" s="23"/>
      <c r="H111" s="188"/>
      <c r="I111" s="189"/>
      <c r="J111" s="4"/>
      <c r="K111" s="171"/>
      <c r="L111" s="4"/>
      <c r="M111" s="4"/>
      <c r="N111" s="4"/>
      <c r="O111" s="192" t="e">
        <f>IF(O110+1&lt;=MIN('Données projet'!$E$9:$E$18),O110+1,"STOP")</f>
        <v>#VALUE!</v>
      </c>
      <c r="P111" s="183" t="e">
        <f t="shared" si="7"/>
        <v>#VALUE!</v>
      </c>
      <c r="Q111" s="233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5">
      <c r="A112" s="49">
        <v>2</v>
      </c>
      <c r="B112" s="197" t="s">
        <v>132</v>
      </c>
      <c r="C112" s="196" t="s">
        <v>132</v>
      </c>
      <c r="D112" s="195" t="s">
        <v>132</v>
      </c>
      <c r="E112" s="191"/>
      <c r="F112" s="229"/>
      <c r="G112" s="23"/>
      <c r="H112" s="188"/>
      <c r="I112" s="189"/>
      <c r="J112" s="4"/>
      <c r="K112" s="171"/>
      <c r="L112" s="4"/>
      <c r="M112" s="4"/>
      <c r="N112" s="4"/>
      <c r="O112" s="192" t="e">
        <f>IF(O111+1&lt;=MIN('Données projet'!$E$9:$E$18),O111+1,"STOP")</f>
        <v>#VALUE!</v>
      </c>
      <c r="P112" s="183" t="e">
        <f t="shared" si="7"/>
        <v>#VALUE!</v>
      </c>
      <c r="Q112" s="233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5">
      <c r="A113" s="49">
        <v>3</v>
      </c>
      <c r="B113" s="197" t="s">
        <v>132</v>
      </c>
      <c r="C113" s="196" t="s">
        <v>132</v>
      </c>
      <c r="D113" s="195" t="s">
        <v>132</v>
      </c>
      <c r="E113" s="191"/>
      <c r="F113" s="229"/>
      <c r="G113" s="23"/>
      <c r="H113" s="188"/>
      <c r="I113" s="189"/>
      <c r="J113" s="4"/>
      <c r="K113" s="171"/>
      <c r="L113" s="4"/>
      <c r="M113" s="4"/>
      <c r="N113" s="4"/>
      <c r="O113" s="192" t="e">
        <f>IF(O112+1&lt;=MIN('Données projet'!$E$9:$E$18),O112+1,"STOP")</f>
        <v>#VALUE!</v>
      </c>
      <c r="P113" s="183" t="e">
        <f t="shared" si="7"/>
        <v>#VALUE!</v>
      </c>
      <c r="Q113" s="233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5">
      <c r="A114" s="49">
        <v>4</v>
      </c>
      <c r="B114" s="197" t="s">
        <v>132</v>
      </c>
      <c r="C114" s="196" t="s">
        <v>132</v>
      </c>
      <c r="D114" s="195" t="s">
        <v>132</v>
      </c>
      <c r="E114" s="191"/>
      <c r="F114" s="229"/>
      <c r="G114" s="23"/>
      <c r="H114" s="188"/>
      <c r="I114" s="189"/>
      <c r="J114" s="4"/>
      <c r="K114" s="171"/>
      <c r="L114" s="4"/>
      <c r="M114" s="4"/>
      <c r="N114" s="4"/>
      <c r="O114" s="192" t="e">
        <f>IF(O113+1&lt;=MIN('Données projet'!$E$9:$E$18),O113+1,"STOP")</f>
        <v>#VALUE!</v>
      </c>
      <c r="P114" s="183" t="e">
        <f t="shared" si="7"/>
        <v>#VALUE!</v>
      </c>
      <c r="Q114" s="233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5">
      <c r="A115" s="49">
        <v>5</v>
      </c>
      <c r="B115" s="197" t="s">
        <v>132</v>
      </c>
      <c r="C115" s="196" t="s">
        <v>132</v>
      </c>
      <c r="D115" s="195" t="s">
        <v>132</v>
      </c>
      <c r="E115" s="191"/>
      <c r="F115" s="229"/>
      <c r="G115" s="203"/>
      <c r="H115" s="188"/>
      <c r="I115" s="189"/>
      <c r="J115" s="4"/>
      <c r="K115" s="171"/>
      <c r="L115" s="4"/>
      <c r="M115" s="4"/>
      <c r="N115" s="4"/>
      <c r="O115" s="192" t="e">
        <f>IF(O114+1&lt;=MIN('Données projet'!$E$9:$E$18),O114+1,"STOP")</f>
        <v>#VALUE!</v>
      </c>
      <c r="P115" s="183" t="e">
        <f t="shared" si="7"/>
        <v>#VALUE!</v>
      </c>
      <c r="Q115" s="233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5">
      <c r="A116" s="178">
        <f>'Données projet'!A114</f>
        <v>0</v>
      </c>
      <c r="B116" s="179">
        <f>'Données projet'!D114</f>
        <v>0</v>
      </c>
      <c r="C116" s="189"/>
      <c r="D116" s="177">
        <f>B116*C116</f>
        <v>0</v>
      </c>
      <c r="E116" s="191"/>
      <c r="F116" s="230"/>
      <c r="G116" s="203"/>
      <c r="H116" s="188"/>
      <c r="I116" s="189"/>
      <c r="J116" s="4"/>
      <c r="K116" s="171"/>
      <c r="L116" s="4"/>
      <c r="M116" s="4"/>
      <c r="N116" s="4"/>
      <c r="O116" s="192" t="e">
        <f>IF(O115+1&lt;=MIN('Données projet'!$E$9:$E$18),O115+1,"STOP")</f>
        <v>#VALUE!</v>
      </c>
      <c r="P116" s="183" t="e">
        <f t="shared" si="7"/>
        <v>#VALUE!</v>
      </c>
      <c r="Q116" s="233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5">
      <c r="A117" s="178">
        <f>'Données projet'!A115</f>
        <v>0</v>
      </c>
      <c r="B117" s="179">
        <f>'Données projet'!D115</f>
        <v>0</v>
      </c>
      <c r="C117" s="189"/>
      <c r="D117" s="177">
        <f t="shared" ref="D117:D135" si="8">B117*C117</f>
        <v>0</v>
      </c>
      <c r="E117" s="191"/>
      <c r="F117" s="230"/>
      <c r="G117" s="203"/>
      <c r="H117" s="188"/>
      <c r="I117" s="189"/>
      <c r="J117" s="4"/>
      <c r="K117" s="171"/>
      <c r="L117" s="4"/>
      <c r="M117" s="4"/>
      <c r="N117" s="4"/>
      <c r="O117" s="192" t="e">
        <f>IF(O116+1&lt;=MIN('Données projet'!$E$9:$E$18),O116+1,"STOP")</f>
        <v>#VALUE!</v>
      </c>
      <c r="P117" s="183" t="e">
        <f t="shared" si="7"/>
        <v>#VALUE!</v>
      </c>
      <c r="Q117" s="233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5">
      <c r="A118" s="178">
        <f>'Données projet'!A116</f>
        <v>0</v>
      </c>
      <c r="B118" s="179">
        <f>'Données projet'!D116</f>
        <v>0</v>
      </c>
      <c r="C118" s="189"/>
      <c r="D118" s="177">
        <f t="shared" si="8"/>
        <v>0</v>
      </c>
      <c r="E118" s="191"/>
      <c r="F118" s="230"/>
      <c r="G118" s="203"/>
      <c r="H118" s="188"/>
      <c r="I118" s="189"/>
      <c r="J118" s="4"/>
      <c r="K118" s="171"/>
      <c r="L118" s="4"/>
      <c r="M118" s="4"/>
      <c r="N118" s="4"/>
      <c r="O118" s="192" t="e">
        <f>IF(O117+1&lt;=MIN('Données projet'!$E$9:$E$18),O117+1,"STOP")</f>
        <v>#VALUE!</v>
      </c>
      <c r="P118" s="183" t="e">
        <f t="shared" si="7"/>
        <v>#VALUE!</v>
      </c>
      <c r="Q118" s="233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5">
      <c r="A119" s="178">
        <f>'Données projet'!A117</f>
        <v>0</v>
      </c>
      <c r="B119" s="179">
        <f>'Données projet'!D117</f>
        <v>0</v>
      </c>
      <c r="C119" s="189"/>
      <c r="D119" s="177">
        <f t="shared" si="8"/>
        <v>0</v>
      </c>
      <c r="E119" s="191"/>
      <c r="F119" s="230"/>
      <c r="G119" s="203"/>
      <c r="H119" s="188"/>
      <c r="I119" s="189"/>
      <c r="J119" s="4"/>
      <c r="K119" s="171"/>
      <c r="L119" s="4"/>
      <c r="M119" s="4"/>
      <c r="N119" s="4"/>
      <c r="O119" s="192" t="e">
        <f>IF(O118+1&lt;=MIN('Données projet'!$E$9:$E$18),O118+1,"STOP")</f>
        <v>#VALUE!</v>
      </c>
      <c r="P119" s="183" t="e">
        <f t="shared" si="7"/>
        <v>#VALUE!</v>
      </c>
      <c r="Q119" s="233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5">
      <c r="A120" s="178">
        <f>'Données projet'!A118</f>
        <v>0</v>
      </c>
      <c r="B120" s="179">
        <f>'Données projet'!D118</f>
        <v>0</v>
      </c>
      <c r="C120" s="189"/>
      <c r="D120" s="177">
        <f t="shared" si="8"/>
        <v>0</v>
      </c>
      <c r="E120" s="191"/>
      <c r="F120" s="230"/>
      <c r="G120" s="203"/>
      <c r="H120" s="188"/>
      <c r="I120" s="189"/>
      <c r="J120" s="4"/>
      <c r="K120" s="171"/>
      <c r="L120" s="4"/>
      <c r="M120" s="4"/>
      <c r="N120" s="4"/>
      <c r="O120" s="192" t="e">
        <f>IF(O119+1&lt;=MIN('Données projet'!$E$9:$E$18),O119+1,"STOP")</f>
        <v>#VALUE!</v>
      </c>
      <c r="P120" s="183" t="e">
        <f t="shared" si="7"/>
        <v>#VALUE!</v>
      </c>
      <c r="Q120" s="233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5">
      <c r="A121" s="178">
        <f>'Données projet'!A119</f>
        <v>0</v>
      </c>
      <c r="B121" s="179">
        <f>'Données projet'!D119</f>
        <v>0</v>
      </c>
      <c r="C121" s="189"/>
      <c r="D121" s="177">
        <f t="shared" si="8"/>
        <v>0</v>
      </c>
      <c r="E121" s="191"/>
      <c r="F121" s="230"/>
      <c r="G121" s="203"/>
      <c r="H121" s="188"/>
      <c r="I121" s="189"/>
      <c r="J121" s="4"/>
      <c r="K121" s="171"/>
      <c r="L121" s="4"/>
      <c r="M121" s="4"/>
      <c r="N121" s="4"/>
      <c r="O121" s="192" t="e">
        <f>IF(O120+1&lt;=MIN('Données projet'!$E$9:$E$18),O120+1,"STOP")</f>
        <v>#VALUE!</v>
      </c>
      <c r="P121" s="183" t="e">
        <f t="shared" si="7"/>
        <v>#VALUE!</v>
      </c>
      <c r="Q121" s="233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5">
      <c r="A122" s="178">
        <f>'Données projet'!A120</f>
        <v>0</v>
      </c>
      <c r="B122" s="179">
        <f>'Données projet'!D120</f>
        <v>0</v>
      </c>
      <c r="C122" s="189"/>
      <c r="D122" s="177">
        <f t="shared" si="8"/>
        <v>0</v>
      </c>
      <c r="E122" s="191"/>
      <c r="F122" s="230"/>
      <c r="G122" s="204"/>
      <c r="H122" s="188"/>
      <c r="I122" s="189"/>
      <c r="J122" s="4"/>
      <c r="K122" s="171"/>
      <c r="L122" s="4"/>
      <c r="M122" s="4"/>
      <c r="N122" s="4"/>
      <c r="O122" s="192" t="e">
        <f>IF(O121+1&lt;=MIN('Données projet'!$E$9:$E$18),O121+1,"STOP")</f>
        <v>#VALUE!</v>
      </c>
      <c r="P122" s="183" t="e">
        <f t="shared" si="7"/>
        <v>#VALUE!</v>
      </c>
      <c r="Q122" s="233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5">
      <c r="A123" s="178">
        <f>'Données projet'!A121</f>
        <v>0</v>
      </c>
      <c r="B123" s="179">
        <f>'Données projet'!D121</f>
        <v>0</v>
      </c>
      <c r="C123" s="189"/>
      <c r="D123" s="177">
        <f t="shared" si="8"/>
        <v>0</v>
      </c>
      <c r="E123" s="191"/>
      <c r="F123" s="230"/>
      <c r="G123" s="204"/>
      <c r="H123" s="188"/>
      <c r="I123" s="189"/>
      <c r="J123" s="4"/>
      <c r="K123" s="171"/>
      <c r="L123" s="4"/>
      <c r="M123" s="4"/>
      <c r="N123" s="4"/>
      <c r="O123" s="192" t="e">
        <f>IF(O122+1&lt;=MIN('Données projet'!$E$9:$E$18),O122+1,"STOP")</f>
        <v>#VALUE!</v>
      </c>
      <c r="P123" s="183" t="e">
        <f t="shared" si="7"/>
        <v>#VALUE!</v>
      </c>
      <c r="Q123" s="233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5">
      <c r="A124" s="178">
        <f>'Données projet'!A122</f>
        <v>0</v>
      </c>
      <c r="B124" s="179">
        <f>'Données projet'!D122</f>
        <v>0</v>
      </c>
      <c r="C124" s="189"/>
      <c r="D124" s="177">
        <f t="shared" si="8"/>
        <v>0</v>
      </c>
      <c r="E124" s="191"/>
      <c r="F124" s="230"/>
      <c r="G124" s="204"/>
      <c r="H124" s="188"/>
      <c r="I124" s="189"/>
      <c r="J124" s="4"/>
      <c r="K124" s="171"/>
      <c r="L124" s="4"/>
      <c r="M124" s="4"/>
      <c r="N124" s="4"/>
      <c r="O124" s="192" t="e">
        <f>IF(O123+1&lt;=MIN('Données projet'!$E$9:$E$18),O123+1,"STOP")</f>
        <v>#VALUE!</v>
      </c>
      <c r="P124" s="183" t="e">
        <f t="shared" si="7"/>
        <v>#VALUE!</v>
      </c>
      <c r="Q124" s="233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5">
      <c r="A125" s="178">
        <f>'Données projet'!A123</f>
        <v>0</v>
      </c>
      <c r="B125" s="179">
        <f>'Données projet'!D123</f>
        <v>0</v>
      </c>
      <c r="C125" s="189"/>
      <c r="D125" s="177">
        <f t="shared" si="8"/>
        <v>0</v>
      </c>
      <c r="E125" s="191"/>
      <c r="F125" s="230"/>
      <c r="G125" s="204"/>
      <c r="H125" s="188"/>
      <c r="I125" s="189"/>
      <c r="J125" s="4"/>
      <c r="K125" s="171"/>
      <c r="L125" s="4"/>
      <c r="M125" s="4"/>
      <c r="N125" s="4"/>
      <c r="O125" s="192" t="e">
        <f>IF(O124+1&lt;=MIN('Données projet'!$E$9:$E$18),O124+1,"STOP")</f>
        <v>#VALUE!</v>
      </c>
      <c r="P125" s="183" t="e">
        <f t="shared" si="7"/>
        <v>#VALUE!</v>
      </c>
      <c r="Q125" s="233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5">
      <c r="A126" s="178">
        <f>'Données projet'!A124</f>
        <v>0</v>
      </c>
      <c r="B126" s="179">
        <f>'Données projet'!D124</f>
        <v>0</v>
      </c>
      <c r="C126" s="189"/>
      <c r="D126" s="177">
        <f t="shared" si="8"/>
        <v>0</v>
      </c>
      <c r="E126" s="191"/>
      <c r="F126" s="230"/>
      <c r="G126" s="204"/>
      <c r="H126" s="188"/>
      <c r="I126" s="189"/>
      <c r="J126" s="4"/>
      <c r="K126" s="171"/>
      <c r="L126" s="4"/>
      <c r="M126" s="4"/>
      <c r="N126" s="4"/>
      <c r="O126" s="192" t="e">
        <f>IF(O125+1&lt;=MIN('Données projet'!$E$9:$E$18),O125+1,"STOP")</f>
        <v>#VALUE!</v>
      </c>
      <c r="P126" s="183" t="e">
        <f t="shared" si="7"/>
        <v>#VALUE!</v>
      </c>
      <c r="Q126" s="233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5">
      <c r="A127" s="178">
        <f>'Données projet'!A125</f>
        <v>0</v>
      </c>
      <c r="B127" s="179">
        <f>'Données projet'!D125</f>
        <v>0</v>
      </c>
      <c r="C127" s="189"/>
      <c r="D127" s="177">
        <f t="shared" si="8"/>
        <v>0</v>
      </c>
      <c r="E127" s="191"/>
      <c r="F127" s="230"/>
      <c r="G127" s="204"/>
      <c r="H127" s="188"/>
      <c r="I127" s="189"/>
      <c r="J127" s="4"/>
      <c r="K127" s="171"/>
      <c r="L127" s="4"/>
      <c r="M127" s="4"/>
      <c r="N127" s="4"/>
      <c r="O127" s="192" t="e">
        <f>IF(O126+1&lt;=MIN('Données projet'!$E$9:$E$18),O126+1,"STOP")</f>
        <v>#VALUE!</v>
      </c>
      <c r="P127" s="183" t="e">
        <f t="shared" si="7"/>
        <v>#VALUE!</v>
      </c>
      <c r="Q127" s="233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5">
      <c r="A128" s="178">
        <f>'Données projet'!A126</f>
        <v>0</v>
      </c>
      <c r="B128" s="179">
        <f>'Données projet'!D126</f>
        <v>0</v>
      </c>
      <c r="C128" s="189"/>
      <c r="D128" s="177">
        <f t="shared" si="8"/>
        <v>0</v>
      </c>
      <c r="E128" s="191"/>
      <c r="F128" s="230"/>
      <c r="G128" s="204"/>
      <c r="H128" s="188"/>
      <c r="I128" s="189"/>
      <c r="J128" s="4"/>
      <c r="K128" s="171"/>
      <c r="L128" s="4"/>
      <c r="M128" s="4"/>
      <c r="N128" s="4"/>
      <c r="O128" s="192" t="e">
        <f>IF(O127+1&lt;=MIN('Données projet'!$E$9:$E$18),O127+1,"STOP")</f>
        <v>#VALUE!</v>
      </c>
      <c r="P128" s="183" t="e">
        <f t="shared" si="7"/>
        <v>#VALUE!</v>
      </c>
      <c r="Q128" s="233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5">
      <c r="A129" s="178">
        <f>'Données projet'!A127</f>
        <v>0</v>
      </c>
      <c r="B129" s="179">
        <f>'Données projet'!D127</f>
        <v>0</v>
      </c>
      <c r="C129" s="189"/>
      <c r="D129" s="177">
        <f t="shared" si="8"/>
        <v>0</v>
      </c>
      <c r="E129" s="191"/>
      <c r="F129" s="230"/>
      <c r="G129" s="204"/>
      <c r="H129" s="188"/>
      <c r="I129" s="189"/>
      <c r="J129" s="4"/>
      <c r="K129" s="171"/>
      <c r="L129" s="4"/>
      <c r="M129" s="4"/>
      <c r="N129" s="4"/>
      <c r="O129" s="192" t="e">
        <f>IF(O128+1&lt;=MIN('Données projet'!$E$9:$E$18),O128+1,"STOP")</f>
        <v>#VALUE!</v>
      </c>
      <c r="P129" s="183" t="e">
        <f t="shared" ref="P129:P132" si="9">$P$25/(1+$M$4)^O129</f>
        <v>#VALUE!</v>
      </c>
      <c r="Q129" s="233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5">
      <c r="A130" s="178">
        <f>'Données projet'!A128</f>
        <v>0</v>
      </c>
      <c r="B130" s="179">
        <f>'Données projet'!D128</f>
        <v>0</v>
      </c>
      <c r="C130" s="189"/>
      <c r="D130" s="177">
        <f t="shared" si="8"/>
        <v>0</v>
      </c>
      <c r="E130" s="191"/>
      <c r="F130" s="230"/>
      <c r="G130" s="204"/>
      <c r="H130" s="188"/>
      <c r="I130" s="189"/>
      <c r="J130" s="4"/>
      <c r="K130" s="171"/>
      <c r="L130" s="4"/>
      <c r="M130" s="4"/>
      <c r="N130" s="4"/>
      <c r="O130" s="192" t="e">
        <f>IF(O129+1&lt;=MIN('Données projet'!$E$9:$E$18),O129+1,"STOP")</f>
        <v>#VALUE!</v>
      </c>
      <c r="P130" s="183" t="e">
        <f t="shared" si="9"/>
        <v>#VALUE!</v>
      </c>
      <c r="Q130" s="233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5">
      <c r="A131" s="178">
        <f>'Données projet'!A129</f>
        <v>0</v>
      </c>
      <c r="B131" s="179">
        <f>'Données projet'!D129</f>
        <v>0</v>
      </c>
      <c r="C131" s="189"/>
      <c r="D131" s="177">
        <f t="shared" si="8"/>
        <v>0</v>
      </c>
      <c r="E131" s="191"/>
      <c r="F131" s="230"/>
      <c r="G131" s="204"/>
      <c r="H131" s="188"/>
      <c r="I131" s="189"/>
      <c r="J131" s="4"/>
      <c r="K131" s="171"/>
      <c r="L131" s="4"/>
      <c r="M131" s="4"/>
      <c r="N131" s="4"/>
      <c r="O131" s="192" t="e">
        <f>IF(O130+1&lt;=MIN('Données projet'!$E$9:$E$18),O130+1,"STOP")</f>
        <v>#VALUE!</v>
      </c>
      <c r="P131" s="183" t="e">
        <f t="shared" si="9"/>
        <v>#VALUE!</v>
      </c>
      <c r="Q131" s="233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5">
      <c r="A132" s="178">
        <f>'Données projet'!A130</f>
        <v>0</v>
      </c>
      <c r="B132" s="179">
        <f>'Données projet'!D130</f>
        <v>0</v>
      </c>
      <c r="C132" s="189"/>
      <c r="D132" s="177">
        <f t="shared" si="8"/>
        <v>0</v>
      </c>
      <c r="E132" s="191"/>
      <c r="F132" s="230"/>
      <c r="G132" s="204"/>
      <c r="H132" s="188"/>
      <c r="I132" s="189"/>
      <c r="J132" s="4"/>
      <c r="K132" s="171"/>
      <c r="L132" s="4"/>
      <c r="M132" s="4"/>
      <c r="N132" s="4"/>
      <c r="O132" s="192" t="e">
        <f>IF(O131+1&lt;=MIN('Données projet'!$E$9:$E$18),O131+1,"STOP")</f>
        <v>#VALUE!</v>
      </c>
      <c r="P132" s="183" t="e">
        <f t="shared" si="9"/>
        <v>#VALUE!</v>
      </c>
      <c r="Q132" s="233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5">
      <c r="A133" s="178">
        <f>'Données projet'!A131</f>
        <v>0</v>
      </c>
      <c r="B133" s="179">
        <f>'Données projet'!D131</f>
        <v>0</v>
      </c>
      <c r="C133" s="189"/>
      <c r="D133" s="177">
        <f t="shared" si="8"/>
        <v>0</v>
      </c>
      <c r="E133" s="191"/>
      <c r="F133" s="230"/>
      <c r="G133" s="204"/>
      <c r="H133" s="188"/>
      <c r="I133" s="189"/>
      <c r="J133" s="4"/>
      <c r="K133" s="171"/>
      <c r="Q133" s="233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5">
      <c r="A134" s="178">
        <f>'Données projet'!A132</f>
        <v>0</v>
      </c>
      <c r="B134" s="179">
        <f>'Données projet'!D132</f>
        <v>0</v>
      </c>
      <c r="C134" s="189"/>
      <c r="D134" s="177">
        <f t="shared" si="8"/>
        <v>0</v>
      </c>
      <c r="E134" s="191"/>
      <c r="F134" s="230"/>
      <c r="G134" s="204"/>
      <c r="H134" s="188"/>
      <c r="I134" s="189"/>
      <c r="J134" s="4"/>
      <c r="K134" s="171"/>
      <c r="Q134" s="233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5">
      <c r="A135" s="178">
        <f>'Données projet'!A133</f>
        <v>0</v>
      </c>
      <c r="B135" s="179">
        <f>'Données projet'!D133</f>
        <v>0</v>
      </c>
      <c r="C135" s="189"/>
      <c r="D135" s="177">
        <f t="shared" si="8"/>
        <v>0</v>
      </c>
      <c r="E135" s="191"/>
      <c r="F135" s="230"/>
      <c r="G135" s="204"/>
      <c r="H135" s="188"/>
      <c r="I135" s="189"/>
      <c r="J135" s="4"/>
      <c r="K135" s="171"/>
      <c r="Q135" s="233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5">
      <c r="A136" s="4"/>
      <c r="B136" s="4"/>
      <c r="C136" s="4"/>
      <c r="D136" s="4"/>
      <c r="E136" s="4"/>
      <c r="F136" s="228"/>
      <c r="G136" s="204"/>
      <c r="H136" s="188"/>
      <c r="I136" s="189"/>
      <c r="J136" s="4"/>
      <c r="K136" s="171"/>
      <c r="L136" s="4"/>
      <c r="M136" s="4"/>
      <c r="N136" s="4"/>
      <c r="Q136" s="233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5">
      <c r="A137" s="4"/>
      <c r="B137" s="4"/>
      <c r="C137" s="4"/>
      <c r="D137" s="4"/>
      <c r="E137" s="4"/>
      <c r="F137" s="228"/>
      <c r="G137" s="204"/>
      <c r="H137" s="188"/>
      <c r="I137" s="189"/>
      <c r="J137" s="4"/>
      <c r="K137" s="171"/>
      <c r="L137" s="4"/>
      <c r="M137" s="4"/>
      <c r="N137" s="4"/>
      <c r="Q137" s="233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5">
      <c r="A138" s="46" t="s">
        <v>169</v>
      </c>
      <c r="B138" s="172" t="str">
        <f>IF('Données projet'!B13="","",'Données projet'!B13)</f>
        <v/>
      </c>
      <c r="C138" s="4"/>
      <c r="D138" s="4"/>
      <c r="E138" s="4"/>
      <c r="F138" s="228"/>
      <c r="G138" s="204"/>
      <c r="H138" s="188"/>
      <c r="I138" s="189"/>
      <c r="J138" s="4"/>
      <c r="K138" s="171"/>
      <c r="L138" s="4"/>
      <c r="M138" s="4"/>
      <c r="N138" s="4"/>
      <c r="Q138" s="233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5">
      <c r="A139" s="4"/>
      <c r="B139" s="4"/>
      <c r="C139" s="4"/>
      <c r="D139" s="4"/>
      <c r="E139" s="4"/>
      <c r="F139" s="228"/>
      <c r="G139" s="204"/>
      <c r="H139" s="188"/>
      <c r="I139" s="189"/>
      <c r="J139" s="4"/>
      <c r="K139" s="171"/>
      <c r="L139" s="4"/>
      <c r="M139" s="4"/>
      <c r="N139" s="4"/>
      <c r="Q139" s="233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5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29"/>
      <c r="G140" s="204"/>
      <c r="H140" s="188"/>
      <c r="I140" s="189"/>
      <c r="J140" s="4"/>
      <c r="K140" s="171"/>
      <c r="L140" s="4"/>
      <c r="M140" s="4"/>
      <c r="N140" s="4"/>
      <c r="Q140" s="233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5">
      <c r="A141" s="49">
        <v>0</v>
      </c>
      <c r="B141" s="197" t="s">
        <v>132</v>
      </c>
      <c r="C141" s="196" t="s">
        <v>132</v>
      </c>
      <c r="D141" s="195" t="s">
        <v>132</v>
      </c>
      <c r="E141" s="191"/>
      <c r="F141" s="229"/>
      <c r="G141" s="204"/>
      <c r="H141" s="188"/>
      <c r="I141" s="189"/>
      <c r="J141" s="4"/>
      <c r="K141" s="171"/>
      <c r="L141" s="4"/>
      <c r="M141" s="4"/>
      <c r="N141" s="4"/>
      <c r="Q141" s="233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5">
      <c r="A142" s="49">
        <v>1</v>
      </c>
      <c r="B142" s="197" t="s">
        <v>132</v>
      </c>
      <c r="C142" s="196" t="s">
        <v>132</v>
      </c>
      <c r="D142" s="195" t="s">
        <v>132</v>
      </c>
      <c r="E142" s="191"/>
      <c r="F142" s="229"/>
      <c r="G142" s="23"/>
      <c r="H142" s="188"/>
      <c r="I142" s="189"/>
      <c r="J142" s="4"/>
      <c r="K142" s="171"/>
      <c r="L142" s="4"/>
      <c r="M142" s="4"/>
      <c r="N142" s="4"/>
      <c r="Q142" s="233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5">
      <c r="A143" s="49">
        <v>2</v>
      </c>
      <c r="B143" s="197" t="s">
        <v>132</v>
      </c>
      <c r="C143" s="196" t="s">
        <v>132</v>
      </c>
      <c r="D143" s="195" t="s">
        <v>132</v>
      </c>
      <c r="E143" s="191"/>
      <c r="F143" s="229"/>
      <c r="G143" s="23"/>
      <c r="H143" s="188"/>
      <c r="I143" s="189"/>
      <c r="J143" s="4"/>
      <c r="K143" s="171"/>
      <c r="L143" s="4"/>
      <c r="M143" s="4"/>
      <c r="N143" s="4"/>
      <c r="Q143" s="233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5">
      <c r="A144" s="49">
        <v>3</v>
      </c>
      <c r="B144" s="197" t="s">
        <v>132</v>
      </c>
      <c r="C144" s="196" t="s">
        <v>132</v>
      </c>
      <c r="D144" s="195" t="s">
        <v>132</v>
      </c>
      <c r="E144" s="191"/>
      <c r="F144" s="229"/>
      <c r="G144" s="23"/>
      <c r="H144" s="188"/>
      <c r="I144" s="189"/>
      <c r="J144" s="4"/>
      <c r="K144" s="171"/>
      <c r="L144" s="4"/>
      <c r="M144" s="4"/>
      <c r="N144" s="4"/>
      <c r="Q144" s="233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5">
      <c r="A145" s="49">
        <v>4</v>
      </c>
      <c r="B145" s="197" t="s">
        <v>132</v>
      </c>
      <c r="C145" s="196" t="s">
        <v>132</v>
      </c>
      <c r="D145" s="195" t="s">
        <v>132</v>
      </c>
      <c r="E145" s="191"/>
      <c r="F145" s="229"/>
      <c r="G145" s="23"/>
      <c r="H145" s="188"/>
      <c r="I145" s="189"/>
      <c r="J145" s="4"/>
      <c r="K145" s="171"/>
      <c r="L145" s="4"/>
      <c r="M145" s="4"/>
      <c r="N145" s="4"/>
      <c r="Q145" s="233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5">
      <c r="A146" s="49">
        <v>5</v>
      </c>
      <c r="B146" s="197" t="s">
        <v>132</v>
      </c>
      <c r="C146" s="196" t="s">
        <v>132</v>
      </c>
      <c r="D146" s="195" t="s">
        <v>132</v>
      </c>
      <c r="E146" s="191"/>
      <c r="F146" s="229"/>
      <c r="G146" s="203"/>
      <c r="H146" s="188"/>
      <c r="I146" s="189"/>
      <c r="J146" s="4"/>
      <c r="K146" s="171"/>
      <c r="L146" s="4"/>
      <c r="M146" s="4"/>
      <c r="N146" s="4"/>
      <c r="Q146" s="233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5">
      <c r="A147" s="42">
        <f>'Données projet'!A140</f>
        <v>0</v>
      </c>
      <c r="B147" s="173">
        <f>'Données projet'!D140</f>
        <v>0</v>
      </c>
      <c r="C147" s="189"/>
      <c r="D147" s="180">
        <f>B147*C147</f>
        <v>0</v>
      </c>
      <c r="E147" s="191"/>
      <c r="F147" s="231"/>
      <c r="G147" s="203"/>
      <c r="H147" s="188"/>
      <c r="I147" s="189"/>
      <c r="J147" s="4"/>
      <c r="K147" s="171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5">
      <c r="A148" s="42">
        <f>'Données projet'!A141</f>
        <v>0</v>
      </c>
      <c r="B148" s="173">
        <f>'Données projet'!D141</f>
        <v>0</v>
      </c>
      <c r="C148" s="189"/>
      <c r="D148" s="180">
        <f t="shared" ref="D148:D166" si="10">B148*C148</f>
        <v>0</v>
      </c>
      <c r="E148" s="191"/>
      <c r="F148" s="231"/>
      <c r="G148" s="203"/>
      <c r="H148" s="188"/>
      <c r="I148" s="189"/>
      <c r="J148" s="4"/>
      <c r="K148" s="171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5">
      <c r="A149" s="42">
        <f>'Données projet'!A142</f>
        <v>0</v>
      </c>
      <c r="B149" s="173">
        <f>'Données projet'!D142</f>
        <v>0</v>
      </c>
      <c r="C149" s="189"/>
      <c r="D149" s="180">
        <f t="shared" si="10"/>
        <v>0</v>
      </c>
      <c r="E149" s="191"/>
      <c r="F149" s="231"/>
      <c r="G149" s="203"/>
      <c r="H149" s="188"/>
      <c r="I149" s="189"/>
      <c r="J149" s="4"/>
      <c r="K149" s="171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5">
      <c r="A150" s="42">
        <f>'Données projet'!A143</f>
        <v>0</v>
      </c>
      <c r="B150" s="173">
        <f>'Données projet'!D143</f>
        <v>0</v>
      </c>
      <c r="C150" s="189"/>
      <c r="D150" s="180">
        <f t="shared" si="10"/>
        <v>0</v>
      </c>
      <c r="E150" s="191"/>
      <c r="F150" s="231"/>
      <c r="G150" s="203"/>
      <c r="H150" s="188"/>
      <c r="I150" s="189"/>
      <c r="J150" s="4"/>
      <c r="K150" s="171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5">
      <c r="A151" s="42">
        <f>'Données projet'!A144</f>
        <v>0</v>
      </c>
      <c r="B151" s="173">
        <f>'Données projet'!D144</f>
        <v>0</v>
      </c>
      <c r="C151" s="189"/>
      <c r="D151" s="180">
        <f t="shared" si="10"/>
        <v>0</v>
      </c>
      <c r="E151" s="191"/>
      <c r="F151" s="231"/>
      <c r="G151" s="203"/>
      <c r="H151" s="188"/>
      <c r="I151" s="189"/>
      <c r="J151" s="4"/>
      <c r="K151" s="171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5">
      <c r="A152" s="42">
        <f>'Données projet'!A145</f>
        <v>0</v>
      </c>
      <c r="B152" s="173">
        <f>'Données projet'!D145</f>
        <v>0</v>
      </c>
      <c r="C152" s="189"/>
      <c r="D152" s="180">
        <f t="shared" si="10"/>
        <v>0</v>
      </c>
      <c r="E152" s="191"/>
      <c r="F152" s="231"/>
      <c r="G152" s="203"/>
      <c r="H152" s="188"/>
      <c r="I152" s="189"/>
      <c r="J152" s="4"/>
      <c r="K152" s="171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5">
      <c r="A153" s="42">
        <f>'Données projet'!A146</f>
        <v>0</v>
      </c>
      <c r="B153" s="173">
        <f>'Données projet'!D146</f>
        <v>0</v>
      </c>
      <c r="C153" s="189"/>
      <c r="D153" s="180">
        <f t="shared" si="10"/>
        <v>0</v>
      </c>
      <c r="E153" s="191"/>
      <c r="F153" s="231"/>
      <c r="G153" s="201"/>
      <c r="H153" s="188"/>
      <c r="I153" s="189"/>
      <c r="J153" s="4"/>
      <c r="K153" s="171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5">
      <c r="A154" s="42">
        <f>'Données projet'!A147</f>
        <v>0</v>
      </c>
      <c r="B154" s="173">
        <f>'Données projet'!D147</f>
        <v>0</v>
      </c>
      <c r="C154" s="189"/>
      <c r="D154" s="180">
        <f t="shared" si="10"/>
        <v>0</v>
      </c>
      <c r="E154" s="191"/>
      <c r="F154" s="231"/>
      <c r="G154" s="201"/>
      <c r="H154" s="188"/>
      <c r="I154" s="189"/>
      <c r="J154" s="4"/>
      <c r="K154" s="171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5">
      <c r="A155" s="42">
        <f>'Données projet'!A148</f>
        <v>0</v>
      </c>
      <c r="B155" s="173">
        <f>'Données projet'!D148</f>
        <v>0</v>
      </c>
      <c r="C155" s="189"/>
      <c r="D155" s="180">
        <f t="shared" si="10"/>
        <v>0</v>
      </c>
      <c r="E155" s="191"/>
      <c r="F155" s="231"/>
      <c r="G155" s="201"/>
      <c r="H155" s="188"/>
      <c r="I155" s="189"/>
      <c r="J155" s="4"/>
      <c r="K155" s="171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5">
      <c r="A156" s="42">
        <f>'Données projet'!A149</f>
        <v>0</v>
      </c>
      <c r="B156" s="173">
        <f>'Données projet'!D149</f>
        <v>0</v>
      </c>
      <c r="C156" s="189"/>
      <c r="D156" s="180">
        <f t="shared" si="10"/>
        <v>0</v>
      </c>
      <c r="E156" s="191"/>
      <c r="F156" s="231"/>
      <c r="G156" s="201"/>
      <c r="H156" s="188"/>
      <c r="I156" s="189"/>
      <c r="J156" s="4"/>
      <c r="K156" s="171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5">
      <c r="A157" s="42">
        <f>'Données projet'!A150</f>
        <v>0</v>
      </c>
      <c r="B157" s="173">
        <f>'Données projet'!D150</f>
        <v>0</v>
      </c>
      <c r="C157" s="189"/>
      <c r="D157" s="180">
        <f t="shared" si="10"/>
        <v>0</v>
      </c>
      <c r="E157" s="191"/>
      <c r="F157" s="231"/>
      <c r="G157" s="201"/>
      <c r="H157" s="188"/>
      <c r="I157" s="189"/>
      <c r="J157" s="4"/>
      <c r="K157" s="171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5">
      <c r="A158" s="42">
        <f>'Données projet'!A151</f>
        <v>0</v>
      </c>
      <c r="B158" s="173">
        <f>'Données projet'!D151</f>
        <v>0</v>
      </c>
      <c r="C158" s="189"/>
      <c r="D158" s="180">
        <f t="shared" si="10"/>
        <v>0</v>
      </c>
      <c r="E158" s="191"/>
      <c r="F158" s="231"/>
      <c r="G158" s="201"/>
      <c r="H158" s="188"/>
      <c r="I158" s="189"/>
      <c r="J158" s="4"/>
      <c r="K158" s="171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5">
      <c r="A159" s="42">
        <f>'Données projet'!A152</f>
        <v>0</v>
      </c>
      <c r="B159" s="173">
        <f>'Données projet'!D152</f>
        <v>0</v>
      </c>
      <c r="C159" s="189"/>
      <c r="D159" s="180">
        <f t="shared" si="10"/>
        <v>0</v>
      </c>
      <c r="E159" s="191"/>
      <c r="F159" s="231"/>
      <c r="G159" s="201"/>
      <c r="H159" s="188"/>
      <c r="I159" s="189"/>
      <c r="J159" s="4"/>
      <c r="K159" s="171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5">
      <c r="A160" s="42">
        <f>'Données projet'!A153</f>
        <v>0</v>
      </c>
      <c r="B160" s="173">
        <f>'Données projet'!D153</f>
        <v>0</v>
      </c>
      <c r="C160" s="189"/>
      <c r="D160" s="180">
        <f t="shared" si="10"/>
        <v>0</v>
      </c>
      <c r="E160" s="191"/>
      <c r="F160" s="231"/>
      <c r="G160" s="201"/>
      <c r="H160" s="188"/>
      <c r="I160" s="189"/>
      <c r="J160" s="4"/>
      <c r="K160" s="171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5">
      <c r="A161" s="42">
        <f>'Données projet'!A154</f>
        <v>0</v>
      </c>
      <c r="B161" s="173">
        <f>'Données projet'!D154</f>
        <v>0</v>
      </c>
      <c r="C161" s="189"/>
      <c r="D161" s="180">
        <f t="shared" si="10"/>
        <v>0</v>
      </c>
      <c r="E161" s="191"/>
      <c r="F161" s="231"/>
      <c r="G161" s="201"/>
      <c r="H161" s="188"/>
      <c r="I161" s="189"/>
      <c r="J161" s="4"/>
      <c r="K161" s="171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5">
      <c r="A162" s="42">
        <f>'Données projet'!A155</f>
        <v>0</v>
      </c>
      <c r="B162" s="173">
        <f>'Données projet'!D155</f>
        <v>0</v>
      </c>
      <c r="C162" s="189"/>
      <c r="D162" s="180">
        <f t="shared" si="10"/>
        <v>0</v>
      </c>
      <c r="E162" s="191"/>
      <c r="F162" s="231"/>
      <c r="G162" s="201"/>
      <c r="H162" s="188"/>
      <c r="I162" s="189"/>
      <c r="J162" s="4"/>
      <c r="K162" s="171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5">
      <c r="A163" s="42">
        <f>'Données projet'!A156</f>
        <v>0</v>
      </c>
      <c r="B163" s="173">
        <f>'Données projet'!D156</f>
        <v>0</v>
      </c>
      <c r="C163" s="189"/>
      <c r="D163" s="180">
        <f t="shared" si="10"/>
        <v>0</v>
      </c>
      <c r="E163" s="191"/>
      <c r="F163" s="231"/>
      <c r="G163" s="201"/>
      <c r="H163" s="188"/>
      <c r="I163" s="189"/>
      <c r="J163" s="4"/>
      <c r="K163" s="171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5">
      <c r="A164" s="42">
        <f>'Données projet'!A157</f>
        <v>0</v>
      </c>
      <c r="B164" s="173">
        <f>'Données projet'!D157</f>
        <v>0</v>
      </c>
      <c r="C164" s="189"/>
      <c r="D164" s="180">
        <f t="shared" si="10"/>
        <v>0</v>
      </c>
      <c r="E164" s="191"/>
      <c r="F164" s="231"/>
      <c r="G164" s="201"/>
      <c r="H164" s="188"/>
      <c r="I164" s="189"/>
      <c r="J164" s="4"/>
      <c r="K164" s="171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5">
      <c r="A165" s="42">
        <f>'Données projet'!A158</f>
        <v>0</v>
      </c>
      <c r="B165" s="173">
        <f>'Données projet'!D158</f>
        <v>0</v>
      </c>
      <c r="C165" s="189"/>
      <c r="D165" s="180">
        <f t="shared" si="10"/>
        <v>0</v>
      </c>
      <c r="E165" s="191"/>
      <c r="F165" s="231"/>
      <c r="G165" s="201"/>
      <c r="H165" s="188"/>
      <c r="I165" s="189"/>
      <c r="J165" s="4"/>
      <c r="K165" s="171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5">
      <c r="A166" s="42">
        <f>'Données projet'!A159</f>
        <v>0</v>
      </c>
      <c r="B166" s="173">
        <f>'Données projet'!D159</f>
        <v>0</v>
      </c>
      <c r="C166" s="189"/>
      <c r="D166" s="180">
        <f t="shared" si="10"/>
        <v>0</v>
      </c>
      <c r="E166" s="191"/>
      <c r="F166" s="231"/>
      <c r="G166" s="201"/>
      <c r="H166" s="188"/>
      <c r="I166" s="189"/>
      <c r="J166" s="4"/>
      <c r="K166" s="171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5">
      <c r="A167" s="4"/>
      <c r="B167" s="4"/>
      <c r="C167" s="4"/>
      <c r="D167" s="4"/>
      <c r="E167" s="4"/>
      <c r="F167" s="228"/>
      <c r="G167" s="201"/>
      <c r="H167" s="188"/>
      <c r="I167" s="189"/>
      <c r="J167" s="4"/>
      <c r="K167" s="171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5">
      <c r="A168" s="4"/>
      <c r="B168" s="4"/>
      <c r="C168" s="4"/>
      <c r="D168" s="4"/>
      <c r="E168" s="4"/>
      <c r="F168" s="228"/>
      <c r="G168" s="201"/>
      <c r="H168" s="188"/>
      <c r="I168" s="189"/>
      <c r="J168" s="4"/>
      <c r="K168" s="171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5">
      <c r="A169" s="46" t="s">
        <v>170</v>
      </c>
      <c r="B169" s="172" t="str">
        <f>IF('Données projet'!B14="","",'Données projet'!B14)</f>
        <v/>
      </c>
      <c r="C169" s="4"/>
      <c r="D169" s="4"/>
      <c r="E169" s="4"/>
      <c r="F169" s="228"/>
      <c r="G169" s="201"/>
      <c r="H169" s="188"/>
      <c r="I169" s="189"/>
      <c r="J169" s="4"/>
      <c r="K169" s="171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5">
      <c r="A170" s="4"/>
      <c r="B170" s="4"/>
      <c r="C170" s="4"/>
      <c r="D170" s="4"/>
      <c r="E170" s="4"/>
      <c r="F170" s="228"/>
      <c r="G170" s="201"/>
      <c r="H170" s="188"/>
      <c r="I170" s="189"/>
      <c r="J170" s="4"/>
      <c r="K170" s="171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5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29"/>
      <c r="G171" s="201"/>
      <c r="H171" s="188"/>
      <c r="I171" s="189"/>
      <c r="J171" s="4"/>
      <c r="K171" s="171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5">
      <c r="A172" s="49">
        <v>0</v>
      </c>
      <c r="B172" s="197" t="s">
        <v>132</v>
      </c>
      <c r="C172" s="196" t="s">
        <v>132</v>
      </c>
      <c r="D172" s="195" t="s">
        <v>132</v>
      </c>
      <c r="E172" s="191"/>
      <c r="F172" s="229"/>
      <c r="G172" s="201"/>
      <c r="H172" s="188"/>
      <c r="I172" s="189"/>
      <c r="J172" s="4"/>
      <c r="K172" s="171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5">
      <c r="A173" s="49">
        <v>1</v>
      </c>
      <c r="B173" s="197" t="s">
        <v>132</v>
      </c>
      <c r="C173" s="196" t="s">
        <v>132</v>
      </c>
      <c r="D173" s="195" t="s">
        <v>132</v>
      </c>
      <c r="E173" s="191"/>
      <c r="F173" s="229"/>
      <c r="G173" s="23"/>
      <c r="H173" s="188"/>
      <c r="I173" s="189"/>
      <c r="J173" s="4"/>
      <c r="K173" s="171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5">
      <c r="A174" s="49">
        <v>2</v>
      </c>
      <c r="B174" s="197" t="s">
        <v>132</v>
      </c>
      <c r="C174" s="196" t="s">
        <v>132</v>
      </c>
      <c r="D174" s="195" t="s">
        <v>132</v>
      </c>
      <c r="E174" s="191"/>
      <c r="F174" s="229"/>
      <c r="G174" s="23"/>
      <c r="H174" s="188"/>
      <c r="I174" s="189"/>
      <c r="J174" s="4"/>
      <c r="K174" s="171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5">
      <c r="A175" s="49">
        <v>3</v>
      </c>
      <c r="B175" s="197" t="s">
        <v>132</v>
      </c>
      <c r="C175" s="196" t="s">
        <v>132</v>
      </c>
      <c r="D175" s="195" t="s">
        <v>132</v>
      </c>
      <c r="E175" s="191"/>
      <c r="F175" s="229"/>
      <c r="G175" s="23"/>
      <c r="H175" s="188"/>
      <c r="I175" s="189"/>
      <c r="J175" s="4"/>
      <c r="K175" s="171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5">
      <c r="A176" s="49">
        <v>4</v>
      </c>
      <c r="B176" s="197" t="s">
        <v>132</v>
      </c>
      <c r="C176" s="196" t="s">
        <v>132</v>
      </c>
      <c r="D176" s="195" t="s">
        <v>132</v>
      </c>
      <c r="E176" s="191"/>
      <c r="F176" s="229"/>
      <c r="G176" s="23"/>
      <c r="H176" s="188"/>
      <c r="I176" s="189"/>
      <c r="J176" s="4"/>
      <c r="K176" s="171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5">
      <c r="A177" s="49">
        <v>5</v>
      </c>
      <c r="B177" s="197" t="s">
        <v>132</v>
      </c>
      <c r="C177" s="196" t="s">
        <v>132</v>
      </c>
      <c r="D177" s="195" t="s">
        <v>132</v>
      </c>
      <c r="E177" s="191"/>
      <c r="F177" s="229"/>
      <c r="G177" s="203"/>
      <c r="H177" s="188"/>
      <c r="I177" s="189"/>
      <c r="J177" s="4"/>
      <c r="K177" s="171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5">
      <c r="A178" s="178">
        <f>'Données projet'!A166</f>
        <v>0</v>
      </c>
      <c r="B178" s="179">
        <f>'Données projet'!D166</f>
        <v>0</v>
      </c>
      <c r="C178" s="191"/>
      <c r="D178" s="177">
        <f>B178*C178</f>
        <v>0</v>
      </c>
      <c r="E178" s="191"/>
      <c r="F178" s="230"/>
      <c r="G178" s="203"/>
      <c r="H178" s="188"/>
      <c r="I178" s="189"/>
      <c r="J178" s="4"/>
      <c r="K178" s="171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5">
      <c r="A179" s="178">
        <f>'Données projet'!A167</f>
        <v>0</v>
      </c>
      <c r="B179" s="179">
        <f>'Données projet'!D167</f>
        <v>0</v>
      </c>
      <c r="C179" s="191"/>
      <c r="D179" s="177">
        <f t="shared" ref="D179:D197" si="11">B179*C179</f>
        <v>0</v>
      </c>
      <c r="E179" s="191"/>
      <c r="F179" s="230"/>
      <c r="G179" s="203"/>
      <c r="H179" s="188"/>
      <c r="I179" s="189"/>
      <c r="J179" s="4"/>
      <c r="K179" s="171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5">
      <c r="A180" s="178">
        <f>'Données projet'!A168</f>
        <v>0</v>
      </c>
      <c r="B180" s="179">
        <f>'Données projet'!D168</f>
        <v>0</v>
      </c>
      <c r="C180" s="191"/>
      <c r="D180" s="177">
        <f t="shared" si="11"/>
        <v>0</v>
      </c>
      <c r="E180" s="191"/>
      <c r="F180" s="230"/>
      <c r="G180" s="203"/>
      <c r="H180" s="188"/>
      <c r="I180" s="189"/>
      <c r="J180" s="4"/>
      <c r="K180" s="171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5">
      <c r="A181" s="178">
        <f>'Données projet'!A169</f>
        <v>0</v>
      </c>
      <c r="B181" s="179">
        <f>'Données projet'!D169</f>
        <v>0</v>
      </c>
      <c r="C181" s="191"/>
      <c r="D181" s="177">
        <f t="shared" si="11"/>
        <v>0</v>
      </c>
      <c r="E181" s="191"/>
      <c r="F181" s="230"/>
      <c r="G181" s="203"/>
      <c r="H181" s="188"/>
      <c r="I181" s="189"/>
      <c r="J181" s="4"/>
      <c r="K181" s="171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5">
      <c r="A182" s="178">
        <f>'Données projet'!A170</f>
        <v>0</v>
      </c>
      <c r="B182" s="179">
        <f>'Données projet'!D170</f>
        <v>0</v>
      </c>
      <c r="C182" s="191"/>
      <c r="D182" s="177">
        <f t="shared" si="11"/>
        <v>0</v>
      </c>
      <c r="E182" s="191"/>
      <c r="F182" s="230"/>
      <c r="G182" s="203"/>
      <c r="H182" s="188"/>
      <c r="I182" s="189"/>
      <c r="J182" s="4"/>
      <c r="K182" s="171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5">
      <c r="A183" s="178">
        <f>'Données projet'!A171</f>
        <v>0</v>
      </c>
      <c r="B183" s="179">
        <f>'Données projet'!D171</f>
        <v>0</v>
      </c>
      <c r="C183" s="191"/>
      <c r="D183" s="177">
        <f t="shared" si="11"/>
        <v>0</v>
      </c>
      <c r="E183" s="191"/>
      <c r="F183" s="230"/>
      <c r="G183" s="203"/>
      <c r="H183" s="188"/>
      <c r="I183" s="189"/>
      <c r="J183" s="4"/>
      <c r="K183" s="171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5">
      <c r="A184" s="178">
        <f>'Données projet'!A172</f>
        <v>0</v>
      </c>
      <c r="B184" s="179">
        <f>'Données projet'!D172</f>
        <v>0</v>
      </c>
      <c r="C184" s="191"/>
      <c r="D184" s="177">
        <f t="shared" si="11"/>
        <v>0</v>
      </c>
      <c r="E184" s="191"/>
      <c r="F184" s="230"/>
      <c r="G184" s="204"/>
      <c r="H184" s="188"/>
      <c r="I184" s="189"/>
      <c r="J184" s="4"/>
      <c r="K184" s="171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5">
      <c r="A185" s="178">
        <f>'Données projet'!A173</f>
        <v>0</v>
      </c>
      <c r="B185" s="179">
        <f>'Données projet'!D173</f>
        <v>0</v>
      </c>
      <c r="C185" s="191"/>
      <c r="D185" s="177">
        <f t="shared" si="11"/>
        <v>0</v>
      </c>
      <c r="E185" s="191"/>
      <c r="F185" s="230"/>
      <c r="G185" s="204"/>
      <c r="H185" s="188"/>
      <c r="I185" s="189"/>
      <c r="J185" s="4"/>
      <c r="K185" s="171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5">
      <c r="A186" s="178">
        <f>'Données projet'!A174</f>
        <v>0</v>
      </c>
      <c r="B186" s="179">
        <f>'Données projet'!D174</f>
        <v>0</v>
      </c>
      <c r="C186" s="191"/>
      <c r="D186" s="177">
        <f t="shared" si="11"/>
        <v>0</v>
      </c>
      <c r="E186" s="191"/>
      <c r="F186" s="230"/>
      <c r="G186" s="204"/>
      <c r="H186" s="188"/>
      <c r="I186" s="189"/>
      <c r="J186" s="4"/>
      <c r="K186" s="171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5">
      <c r="A187" s="178">
        <f>'Données projet'!A175</f>
        <v>0</v>
      </c>
      <c r="B187" s="179">
        <f>'Données projet'!D175</f>
        <v>0</v>
      </c>
      <c r="C187" s="191"/>
      <c r="D187" s="177">
        <f t="shared" si="11"/>
        <v>0</v>
      </c>
      <c r="E187" s="191"/>
      <c r="F187" s="230"/>
      <c r="G187" s="204"/>
      <c r="H187" s="188"/>
      <c r="I187" s="189"/>
      <c r="J187" s="4"/>
      <c r="K187" s="171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5">
      <c r="A188" s="178">
        <f>'Données projet'!A176</f>
        <v>0</v>
      </c>
      <c r="B188" s="179">
        <f>'Données projet'!D176</f>
        <v>0</v>
      </c>
      <c r="C188" s="191"/>
      <c r="D188" s="177">
        <f t="shared" si="11"/>
        <v>0</v>
      </c>
      <c r="E188" s="191"/>
      <c r="F188" s="230"/>
      <c r="G188" s="204"/>
      <c r="H188" s="188"/>
      <c r="I188" s="189"/>
      <c r="J188" s="4"/>
      <c r="K188" s="171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5">
      <c r="A189" s="178">
        <f>'Données projet'!A177</f>
        <v>0</v>
      </c>
      <c r="B189" s="179">
        <f>'Données projet'!D177</f>
        <v>0</v>
      </c>
      <c r="C189" s="191"/>
      <c r="D189" s="177">
        <f t="shared" si="11"/>
        <v>0</v>
      </c>
      <c r="E189" s="191"/>
      <c r="F189" s="230"/>
      <c r="G189" s="204"/>
      <c r="H189" s="188"/>
      <c r="I189" s="189"/>
      <c r="J189" s="4"/>
      <c r="K189" s="171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5">
      <c r="A190" s="178">
        <f>'Données projet'!A178</f>
        <v>0</v>
      </c>
      <c r="B190" s="179">
        <f>'Données projet'!D178</f>
        <v>0</v>
      </c>
      <c r="C190" s="191"/>
      <c r="D190" s="177">
        <f t="shared" si="11"/>
        <v>0</v>
      </c>
      <c r="E190" s="191"/>
      <c r="F190" s="230"/>
      <c r="G190" s="204"/>
      <c r="H190" s="188"/>
      <c r="I190" s="189"/>
      <c r="J190" s="4"/>
      <c r="K190" s="171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5">
      <c r="A191" s="178">
        <f>'Données projet'!A179</f>
        <v>0</v>
      </c>
      <c r="B191" s="179">
        <f>'Données projet'!D179</f>
        <v>0</v>
      </c>
      <c r="C191" s="191"/>
      <c r="D191" s="177">
        <f t="shared" si="11"/>
        <v>0</v>
      </c>
      <c r="E191" s="191"/>
      <c r="F191" s="230"/>
      <c r="G191" s="204"/>
      <c r="H191" s="188"/>
      <c r="I191" s="189"/>
      <c r="J191" s="4"/>
      <c r="K191" s="171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5">
      <c r="A192" s="178">
        <f>'Données projet'!A180</f>
        <v>0</v>
      </c>
      <c r="B192" s="179">
        <f>'Données projet'!D180</f>
        <v>0</v>
      </c>
      <c r="C192" s="191"/>
      <c r="D192" s="177">
        <f t="shared" si="11"/>
        <v>0</v>
      </c>
      <c r="E192" s="191"/>
      <c r="F192" s="230"/>
      <c r="G192" s="204"/>
      <c r="H192" s="188"/>
      <c r="I192" s="189"/>
      <c r="J192" s="4"/>
      <c r="K192" s="171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5">
      <c r="A193" s="178">
        <f>'Données projet'!A181</f>
        <v>0</v>
      </c>
      <c r="B193" s="179">
        <f>'Données projet'!D181</f>
        <v>0</v>
      </c>
      <c r="C193" s="191"/>
      <c r="D193" s="177">
        <f t="shared" si="11"/>
        <v>0</v>
      </c>
      <c r="E193" s="191"/>
      <c r="F193" s="230"/>
      <c r="G193" s="204"/>
      <c r="H193" s="188"/>
      <c r="I193" s="189"/>
      <c r="J193" s="4"/>
      <c r="K193" s="171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5">
      <c r="A194" s="178">
        <f>'Données projet'!A182</f>
        <v>0</v>
      </c>
      <c r="B194" s="179">
        <f>'Données projet'!D182</f>
        <v>0</v>
      </c>
      <c r="C194" s="191"/>
      <c r="D194" s="177">
        <f t="shared" si="11"/>
        <v>0</v>
      </c>
      <c r="E194" s="191"/>
      <c r="F194" s="230"/>
      <c r="G194" s="204"/>
      <c r="H194" s="188"/>
      <c r="I194" s="189"/>
      <c r="J194" s="4"/>
      <c r="K194" s="171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5">
      <c r="A195" s="178">
        <f>'Données projet'!A183</f>
        <v>0</v>
      </c>
      <c r="B195" s="179">
        <f>'Données projet'!D183</f>
        <v>0</v>
      </c>
      <c r="C195" s="191"/>
      <c r="D195" s="177">
        <f t="shared" si="11"/>
        <v>0</v>
      </c>
      <c r="E195" s="191"/>
      <c r="F195" s="230"/>
      <c r="G195" s="204"/>
      <c r="H195" s="188"/>
      <c r="I195" s="189"/>
      <c r="J195" s="4"/>
      <c r="K195" s="171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5">
      <c r="A196" s="178">
        <f>'Données projet'!A184</f>
        <v>0</v>
      </c>
      <c r="B196" s="179">
        <f>'Données projet'!D184</f>
        <v>0</v>
      </c>
      <c r="C196" s="191"/>
      <c r="D196" s="177">
        <f t="shared" si="11"/>
        <v>0</v>
      </c>
      <c r="E196" s="191"/>
      <c r="F196" s="230"/>
      <c r="G196" s="204"/>
      <c r="H196" s="188"/>
      <c r="I196" s="189"/>
      <c r="J196" s="4"/>
      <c r="K196" s="171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5">
      <c r="A197" s="178">
        <f>'Données projet'!A185</f>
        <v>0</v>
      </c>
      <c r="B197" s="179">
        <f>'Données projet'!D185</f>
        <v>0</v>
      </c>
      <c r="C197" s="191"/>
      <c r="D197" s="177">
        <f t="shared" si="11"/>
        <v>0</v>
      </c>
      <c r="E197" s="191"/>
      <c r="F197" s="230"/>
      <c r="G197" s="204"/>
      <c r="H197" s="188"/>
      <c r="I197" s="189"/>
      <c r="J197" s="4"/>
      <c r="K197" s="171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5">
      <c r="A198" s="4"/>
      <c r="B198" s="4"/>
      <c r="C198" s="4"/>
      <c r="D198" s="4"/>
      <c r="E198" s="4"/>
      <c r="F198" s="228"/>
      <c r="G198" s="204"/>
      <c r="H198" s="188"/>
      <c r="I198" s="189"/>
      <c r="J198" s="4"/>
      <c r="K198" s="171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5">
      <c r="A199" s="4"/>
      <c r="B199" s="4"/>
      <c r="C199" s="4"/>
      <c r="D199" s="4"/>
      <c r="E199" s="4"/>
      <c r="F199" s="228"/>
      <c r="G199" s="204"/>
      <c r="H199" s="188"/>
      <c r="I199" s="189"/>
      <c r="J199" s="4"/>
      <c r="K199" s="171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5">
      <c r="A200" s="46" t="s">
        <v>171</v>
      </c>
      <c r="B200" s="172" t="str">
        <f>IF('Données projet'!$B$15="","",'Données projet'!$B$15)</f>
        <v/>
      </c>
      <c r="C200" s="4"/>
      <c r="D200" s="4"/>
      <c r="E200" s="4"/>
      <c r="F200" s="228"/>
      <c r="G200" s="204"/>
      <c r="H200" s="188"/>
      <c r="I200" s="189"/>
      <c r="J200" s="4"/>
      <c r="K200" s="171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5">
      <c r="A201" s="46"/>
      <c r="B201" s="4"/>
      <c r="C201" s="4"/>
      <c r="D201" s="4"/>
      <c r="E201" s="4"/>
      <c r="F201" s="228"/>
      <c r="G201" s="204"/>
      <c r="H201" s="188"/>
      <c r="I201" s="189"/>
      <c r="J201" s="4"/>
      <c r="K201" s="171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5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29"/>
      <c r="G202" s="204"/>
      <c r="H202" s="188"/>
      <c r="I202" s="189"/>
      <c r="J202" s="4"/>
      <c r="K202" s="171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5">
      <c r="A203" s="49">
        <v>0</v>
      </c>
      <c r="B203" s="197" t="s">
        <v>132</v>
      </c>
      <c r="C203" s="196" t="s">
        <v>132</v>
      </c>
      <c r="D203" s="195" t="s">
        <v>132</v>
      </c>
      <c r="E203" s="191"/>
      <c r="F203" s="229"/>
      <c r="G203" s="204"/>
      <c r="H203" s="188"/>
      <c r="I203" s="189"/>
      <c r="J203" s="4"/>
      <c r="K203" s="171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5">
      <c r="A204" s="49">
        <v>1</v>
      </c>
      <c r="B204" s="197" t="s">
        <v>132</v>
      </c>
      <c r="C204" s="196" t="s">
        <v>132</v>
      </c>
      <c r="D204" s="195" t="s">
        <v>132</v>
      </c>
      <c r="E204" s="191"/>
      <c r="F204" s="229"/>
      <c r="G204" s="23"/>
      <c r="H204" s="188"/>
      <c r="I204" s="189"/>
      <c r="J204" s="4"/>
      <c r="K204" s="171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5">
      <c r="A205" s="49">
        <v>2</v>
      </c>
      <c r="B205" s="197" t="s">
        <v>132</v>
      </c>
      <c r="C205" s="196" t="s">
        <v>132</v>
      </c>
      <c r="D205" s="195" t="s">
        <v>132</v>
      </c>
      <c r="E205" s="191"/>
      <c r="F205" s="229"/>
      <c r="G205" s="23"/>
      <c r="H205" s="188"/>
      <c r="I205" s="189"/>
      <c r="J205" s="4"/>
      <c r="K205" s="171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5">
      <c r="A206" s="49">
        <v>3</v>
      </c>
      <c r="B206" s="197" t="s">
        <v>132</v>
      </c>
      <c r="C206" s="196" t="s">
        <v>132</v>
      </c>
      <c r="D206" s="195" t="s">
        <v>132</v>
      </c>
      <c r="E206" s="191"/>
      <c r="F206" s="229"/>
      <c r="G206" s="23"/>
      <c r="H206" s="188"/>
      <c r="I206" s="189"/>
      <c r="J206" s="4"/>
      <c r="K206" s="171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5">
      <c r="A207" s="49">
        <v>4</v>
      </c>
      <c r="B207" s="197" t="s">
        <v>132</v>
      </c>
      <c r="C207" s="196" t="s">
        <v>132</v>
      </c>
      <c r="D207" s="195" t="s">
        <v>132</v>
      </c>
      <c r="E207" s="191"/>
      <c r="F207" s="229"/>
      <c r="G207" s="23"/>
      <c r="H207" s="188"/>
      <c r="I207" s="189"/>
      <c r="J207" s="4"/>
      <c r="K207" s="171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5">
      <c r="A208" s="49">
        <v>5</v>
      </c>
      <c r="B208" s="197" t="s">
        <v>132</v>
      </c>
      <c r="C208" s="196" t="s">
        <v>132</v>
      </c>
      <c r="D208" s="195" t="s">
        <v>132</v>
      </c>
      <c r="E208" s="191"/>
      <c r="F208" s="229"/>
      <c r="G208" s="203"/>
      <c r="H208" s="188"/>
      <c r="I208" s="189"/>
      <c r="J208" s="4"/>
      <c r="K208" s="171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5">
      <c r="A209" s="178">
        <f>'Données projet'!A192</f>
        <v>0</v>
      </c>
      <c r="B209" s="179">
        <f>'Données projet'!D192</f>
        <v>0</v>
      </c>
      <c r="C209" s="191"/>
      <c r="D209" s="177">
        <f>B209*C209</f>
        <v>0</v>
      </c>
      <c r="E209" s="191"/>
      <c r="F209" s="230"/>
      <c r="G209" s="203"/>
      <c r="H209" s="188"/>
      <c r="I209" s="189"/>
      <c r="J209" s="4"/>
      <c r="K209" s="171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5">
      <c r="A210" s="178">
        <f>'Données projet'!A193</f>
        <v>0</v>
      </c>
      <c r="B210" s="179">
        <f>'Données projet'!D193</f>
        <v>0</v>
      </c>
      <c r="C210" s="191"/>
      <c r="D210" s="177">
        <f t="shared" ref="D210:D228" si="12">B210*C210</f>
        <v>0</v>
      </c>
      <c r="E210" s="191"/>
      <c r="F210" s="230"/>
      <c r="G210" s="203"/>
      <c r="H210" s="188"/>
      <c r="I210" s="189"/>
      <c r="J210" s="4"/>
      <c r="K210" s="171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5">
      <c r="A211" s="178">
        <f>'Données projet'!A194</f>
        <v>0</v>
      </c>
      <c r="B211" s="179">
        <f>'Données projet'!D194</f>
        <v>0</v>
      </c>
      <c r="C211" s="191"/>
      <c r="D211" s="177">
        <f t="shared" si="12"/>
        <v>0</v>
      </c>
      <c r="E211" s="191"/>
      <c r="F211" s="230"/>
      <c r="G211" s="203"/>
      <c r="H211" s="188"/>
      <c r="I211" s="189"/>
      <c r="J211" s="4"/>
      <c r="K211" s="171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5">
      <c r="A212" s="178">
        <f>'Données projet'!A195</f>
        <v>0</v>
      </c>
      <c r="B212" s="179">
        <f>'Données projet'!D195</f>
        <v>0</v>
      </c>
      <c r="C212" s="191"/>
      <c r="D212" s="177">
        <f t="shared" si="12"/>
        <v>0</v>
      </c>
      <c r="E212" s="191"/>
      <c r="F212" s="230"/>
      <c r="G212" s="203"/>
      <c r="H212" s="188"/>
      <c r="I212" s="189"/>
      <c r="J212" s="4"/>
      <c r="K212" s="171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5">
      <c r="A213" s="178">
        <f>'Données projet'!A196</f>
        <v>0</v>
      </c>
      <c r="B213" s="179">
        <f>'Données projet'!D196</f>
        <v>0</v>
      </c>
      <c r="C213" s="191"/>
      <c r="D213" s="177">
        <f t="shared" si="12"/>
        <v>0</v>
      </c>
      <c r="E213" s="191"/>
      <c r="F213" s="230"/>
      <c r="G213" s="203"/>
      <c r="H213" s="188"/>
      <c r="I213" s="189"/>
      <c r="J213" s="4"/>
      <c r="K213" s="171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5">
      <c r="A214" s="178">
        <f>'Données projet'!A197</f>
        <v>0</v>
      </c>
      <c r="B214" s="179">
        <f>'Données projet'!D197</f>
        <v>0</v>
      </c>
      <c r="C214" s="191"/>
      <c r="D214" s="177">
        <f t="shared" si="12"/>
        <v>0</v>
      </c>
      <c r="E214" s="191"/>
      <c r="F214" s="230"/>
      <c r="G214" s="203"/>
      <c r="H214" s="188"/>
      <c r="I214" s="189"/>
      <c r="J214" s="4"/>
      <c r="K214" s="171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5">
      <c r="A215" s="178">
        <f>'Données projet'!A198</f>
        <v>0</v>
      </c>
      <c r="B215" s="179">
        <f>'Données projet'!D198</f>
        <v>0</v>
      </c>
      <c r="C215" s="191"/>
      <c r="D215" s="177">
        <f t="shared" si="12"/>
        <v>0</v>
      </c>
      <c r="E215" s="191"/>
      <c r="F215" s="230"/>
      <c r="G215" s="204"/>
      <c r="H215" s="188"/>
      <c r="I215" s="189"/>
      <c r="J215" s="4"/>
      <c r="K215" s="171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5">
      <c r="A216" s="178">
        <f>'Données projet'!A199</f>
        <v>0</v>
      </c>
      <c r="B216" s="179">
        <f>'Données projet'!D199</f>
        <v>0</v>
      </c>
      <c r="C216" s="191"/>
      <c r="D216" s="177">
        <f t="shared" si="12"/>
        <v>0</v>
      </c>
      <c r="E216" s="191"/>
      <c r="F216" s="230"/>
      <c r="G216" s="204"/>
      <c r="H216" s="188"/>
      <c r="I216" s="189"/>
      <c r="J216" s="4"/>
      <c r="K216" s="171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5">
      <c r="A217" s="178">
        <f>'Données projet'!A200</f>
        <v>0</v>
      </c>
      <c r="B217" s="179">
        <f>'Données projet'!D200</f>
        <v>0</v>
      </c>
      <c r="C217" s="191"/>
      <c r="D217" s="177">
        <f t="shared" si="12"/>
        <v>0</v>
      </c>
      <c r="E217" s="191"/>
      <c r="F217" s="230"/>
      <c r="G217" s="204"/>
      <c r="H217" s="188"/>
      <c r="I217" s="189"/>
      <c r="J217" s="4"/>
      <c r="K217" s="171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5">
      <c r="A218" s="178">
        <f>'Données projet'!A201</f>
        <v>0</v>
      </c>
      <c r="B218" s="179">
        <f>'Données projet'!D201</f>
        <v>0</v>
      </c>
      <c r="C218" s="191"/>
      <c r="D218" s="177">
        <f t="shared" si="12"/>
        <v>0</v>
      </c>
      <c r="E218" s="191"/>
      <c r="F218" s="230"/>
      <c r="G218" s="204"/>
      <c r="H218" s="188"/>
      <c r="I218" s="189"/>
      <c r="J218" s="4"/>
      <c r="K218" s="171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5">
      <c r="A219" s="178">
        <f>'Données projet'!A202</f>
        <v>0</v>
      </c>
      <c r="B219" s="179">
        <f>'Données projet'!D202</f>
        <v>0</v>
      </c>
      <c r="C219" s="191"/>
      <c r="D219" s="177">
        <f t="shared" si="12"/>
        <v>0</v>
      </c>
      <c r="E219" s="191"/>
      <c r="F219" s="230"/>
      <c r="G219" s="204"/>
      <c r="H219" s="188"/>
      <c r="I219" s="189"/>
      <c r="J219" s="4"/>
      <c r="K219" s="171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5">
      <c r="A220" s="178">
        <f>'Données projet'!A203</f>
        <v>0</v>
      </c>
      <c r="B220" s="179">
        <f>'Données projet'!D203</f>
        <v>0</v>
      </c>
      <c r="C220" s="191"/>
      <c r="D220" s="177">
        <f t="shared" si="12"/>
        <v>0</v>
      </c>
      <c r="E220" s="191"/>
      <c r="F220" s="230"/>
      <c r="G220" s="204"/>
      <c r="H220" s="4"/>
      <c r="I220" s="4"/>
      <c r="J220" s="4"/>
      <c r="K220" s="171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5">
      <c r="A221" s="178">
        <f>'Données projet'!A204</f>
        <v>0</v>
      </c>
      <c r="B221" s="179">
        <f>'Données projet'!D204</f>
        <v>0</v>
      </c>
      <c r="C221" s="191"/>
      <c r="D221" s="177">
        <f t="shared" si="12"/>
        <v>0</v>
      </c>
      <c r="E221" s="191"/>
      <c r="F221" s="230"/>
      <c r="G221" s="204"/>
      <c r="H221" s="4"/>
      <c r="I221" s="4"/>
      <c r="J221" s="4"/>
      <c r="K221" s="171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5">
      <c r="A222" s="178">
        <f>'Données projet'!A205</f>
        <v>0</v>
      </c>
      <c r="B222" s="179">
        <f>'Données projet'!D205</f>
        <v>0</v>
      </c>
      <c r="C222" s="191"/>
      <c r="D222" s="177">
        <f t="shared" si="12"/>
        <v>0</v>
      </c>
      <c r="E222" s="191"/>
      <c r="F222" s="230"/>
      <c r="G222" s="204"/>
      <c r="H222" s="4"/>
      <c r="I222" s="4"/>
      <c r="J222" s="4"/>
      <c r="K222" s="171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5">
      <c r="A223" s="178">
        <f>'Données projet'!A206</f>
        <v>0</v>
      </c>
      <c r="B223" s="179">
        <f>'Données projet'!D206</f>
        <v>0</v>
      </c>
      <c r="C223" s="191"/>
      <c r="D223" s="177">
        <f t="shared" si="12"/>
        <v>0</v>
      </c>
      <c r="E223" s="191"/>
      <c r="F223" s="230"/>
      <c r="G223" s="204"/>
      <c r="H223" s="4"/>
      <c r="I223" s="4"/>
      <c r="J223" s="4"/>
      <c r="K223" s="171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5">
      <c r="A224" s="178">
        <f>'Données projet'!A207</f>
        <v>0</v>
      </c>
      <c r="B224" s="179">
        <f>'Données projet'!D207</f>
        <v>0</v>
      </c>
      <c r="C224" s="191"/>
      <c r="D224" s="177">
        <f t="shared" si="12"/>
        <v>0</v>
      </c>
      <c r="E224" s="191"/>
      <c r="F224" s="230"/>
      <c r="G224" s="204"/>
      <c r="H224" s="4"/>
      <c r="I224" s="4"/>
      <c r="J224" s="4"/>
      <c r="K224" s="171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5">
      <c r="A225" s="178">
        <f>'Données projet'!A208</f>
        <v>0</v>
      </c>
      <c r="B225" s="179">
        <f>'Données projet'!D208</f>
        <v>0</v>
      </c>
      <c r="C225" s="191"/>
      <c r="D225" s="177">
        <f t="shared" si="12"/>
        <v>0</v>
      </c>
      <c r="E225" s="191"/>
      <c r="F225" s="230"/>
      <c r="G225" s="204"/>
      <c r="H225" s="4"/>
      <c r="I225" s="4"/>
      <c r="J225" s="4"/>
      <c r="K225" s="171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5">
      <c r="A226" s="178">
        <f>'Données projet'!A209</f>
        <v>0</v>
      </c>
      <c r="B226" s="179">
        <f>'Données projet'!D209</f>
        <v>0</v>
      </c>
      <c r="C226" s="191"/>
      <c r="D226" s="177">
        <f t="shared" si="12"/>
        <v>0</v>
      </c>
      <c r="E226" s="191"/>
      <c r="F226" s="230"/>
      <c r="G226" s="204"/>
      <c r="H226" s="4"/>
      <c r="I226" s="4"/>
      <c r="J226" s="4"/>
      <c r="K226" s="171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5">
      <c r="A227" s="178">
        <f>'Données projet'!A210</f>
        <v>0</v>
      </c>
      <c r="B227" s="179">
        <f>'Données projet'!D210</f>
        <v>0</v>
      </c>
      <c r="C227" s="191"/>
      <c r="D227" s="177">
        <f t="shared" si="12"/>
        <v>0</v>
      </c>
      <c r="E227" s="191"/>
      <c r="F227" s="230"/>
      <c r="G227" s="204"/>
      <c r="H227" s="4"/>
      <c r="I227" s="4"/>
      <c r="J227" s="4"/>
      <c r="K227" s="171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5">
      <c r="A228" s="178">
        <f>'Données projet'!A211</f>
        <v>0</v>
      </c>
      <c r="B228" s="179">
        <f>'Données projet'!D211</f>
        <v>0</v>
      </c>
      <c r="C228" s="191"/>
      <c r="D228" s="177">
        <f t="shared" si="12"/>
        <v>0</v>
      </c>
      <c r="E228" s="191"/>
      <c r="F228" s="230"/>
      <c r="G228" s="204"/>
      <c r="H228" s="4"/>
      <c r="I228" s="4"/>
      <c r="J228" s="4"/>
      <c r="K228" s="171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5">
      <c r="A229" s="4"/>
      <c r="B229" s="4"/>
      <c r="C229" s="4"/>
      <c r="D229" s="4"/>
      <c r="E229" s="4"/>
      <c r="F229" s="228"/>
      <c r="G229" s="204"/>
      <c r="H229" s="4"/>
      <c r="I229" s="4"/>
      <c r="J229" s="4"/>
      <c r="K229" s="171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5">
      <c r="A230" s="4"/>
      <c r="B230" s="4"/>
      <c r="C230" s="4"/>
      <c r="D230" s="4"/>
      <c r="E230" s="4"/>
      <c r="F230" s="228"/>
      <c r="G230" s="204"/>
      <c r="H230" s="4"/>
      <c r="I230" s="4"/>
      <c r="J230" s="4"/>
      <c r="K230" s="171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5">
      <c r="A231" s="46" t="s">
        <v>172</v>
      </c>
      <c r="B231" s="172" t="str">
        <f>IF('Données projet'!$B$16="","",'Données projet'!$B$16)</f>
        <v/>
      </c>
      <c r="C231" s="4"/>
      <c r="D231" s="4"/>
      <c r="E231" s="4"/>
      <c r="F231" s="228"/>
      <c r="G231" s="204"/>
      <c r="H231" s="4"/>
      <c r="I231" s="4"/>
      <c r="J231" s="4"/>
      <c r="K231" s="171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5">
      <c r="A232" s="46"/>
      <c r="B232" s="4"/>
      <c r="C232" s="4"/>
      <c r="D232" s="4"/>
      <c r="E232" s="4"/>
      <c r="F232" s="228"/>
      <c r="G232" s="204"/>
      <c r="H232" s="4"/>
      <c r="I232" s="4"/>
      <c r="J232" s="4"/>
      <c r="K232" s="171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5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29"/>
      <c r="G233" s="204"/>
      <c r="H233" s="4"/>
      <c r="I233" s="4"/>
      <c r="J233" s="4"/>
      <c r="K233" s="171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5">
      <c r="A234" s="49">
        <v>0</v>
      </c>
      <c r="B234" s="197" t="s">
        <v>132</v>
      </c>
      <c r="C234" s="196" t="s">
        <v>132</v>
      </c>
      <c r="D234" s="195" t="s">
        <v>132</v>
      </c>
      <c r="E234" s="191"/>
      <c r="F234" s="229"/>
      <c r="G234" s="204"/>
      <c r="H234" s="4"/>
      <c r="I234" s="4"/>
      <c r="J234" s="4"/>
      <c r="K234" s="171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5">
      <c r="A235" s="49">
        <v>1</v>
      </c>
      <c r="B235" s="197" t="s">
        <v>132</v>
      </c>
      <c r="C235" s="196" t="s">
        <v>132</v>
      </c>
      <c r="D235" s="195" t="s">
        <v>132</v>
      </c>
      <c r="E235" s="191"/>
      <c r="F235" s="229"/>
      <c r="G235" s="23"/>
      <c r="H235" s="4"/>
      <c r="I235" s="4"/>
      <c r="J235" s="4"/>
      <c r="K235" s="171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5">
      <c r="A236" s="49">
        <v>2</v>
      </c>
      <c r="B236" s="197" t="s">
        <v>132</v>
      </c>
      <c r="C236" s="196" t="s">
        <v>132</v>
      </c>
      <c r="D236" s="195" t="s">
        <v>132</v>
      </c>
      <c r="E236" s="191"/>
      <c r="F236" s="229"/>
      <c r="G236" s="23"/>
      <c r="H236" s="4"/>
      <c r="I236" s="4"/>
      <c r="J236" s="4"/>
      <c r="K236" s="171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5">
      <c r="A237" s="49">
        <v>3</v>
      </c>
      <c r="B237" s="197" t="s">
        <v>132</v>
      </c>
      <c r="C237" s="196" t="s">
        <v>132</v>
      </c>
      <c r="D237" s="195" t="s">
        <v>132</v>
      </c>
      <c r="E237" s="191"/>
      <c r="F237" s="229"/>
      <c r="G237" s="23"/>
      <c r="H237" s="4"/>
      <c r="I237" s="4"/>
      <c r="J237" s="4"/>
      <c r="K237" s="171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5">
      <c r="A238" s="49">
        <v>4</v>
      </c>
      <c r="B238" s="197" t="s">
        <v>132</v>
      </c>
      <c r="C238" s="196" t="s">
        <v>132</v>
      </c>
      <c r="D238" s="195" t="s">
        <v>132</v>
      </c>
      <c r="E238" s="191"/>
      <c r="F238" s="229"/>
      <c r="G238" s="23"/>
      <c r="H238" s="4"/>
      <c r="I238" s="4"/>
      <c r="J238" s="4"/>
      <c r="K238" s="171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5">
      <c r="A239" s="49">
        <v>5</v>
      </c>
      <c r="B239" s="197" t="s">
        <v>132</v>
      </c>
      <c r="C239" s="196" t="s">
        <v>132</v>
      </c>
      <c r="D239" s="195" t="s">
        <v>132</v>
      </c>
      <c r="E239" s="191"/>
      <c r="F239" s="229"/>
      <c r="G239" s="203"/>
      <c r="H239" s="4"/>
      <c r="I239" s="4"/>
      <c r="J239" s="4"/>
      <c r="K239" s="171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5">
      <c r="A240" s="178">
        <f>'Données projet'!A218</f>
        <v>0</v>
      </c>
      <c r="B240" s="179">
        <f>'Données projet'!D218</f>
        <v>0</v>
      </c>
      <c r="C240" s="191"/>
      <c r="D240" s="177">
        <f>B240*C240</f>
        <v>0</v>
      </c>
      <c r="E240" s="191"/>
      <c r="F240" s="230"/>
      <c r="G240" s="203"/>
      <c r="H240" s="4"/>
      <c r="I240" s="4"/>
      <c r="J240" s="4"/>
      <c r="K240" s="171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5">
      <c r="A241" s="178">
        <f>'Données projet'!A219</f>
        <v>0</v>
      </c>
      <c r="B241" s="179">
        <f>'Données projet'!D219</f>
        <v>0</v>
      </c>
      <c r="C241" s="191"/>
      <c r="D241" s="177">
        <f t="shared" ref="D241:D259" si="13">B241*C241</f>
        <v>0</v>
      </c>
      <c r="E241" s="191"/>
      <c r="F241" s="230"/>
      <c r="G241" s="203"/>
      <c r="H241" s="4"/>
      <c r="I241" s="4"/>
      <c r="J241" s="4"/>
      <c r="K241" s="171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5">
      <c r="A242" s="178">
        <f>'Données projet'!A220</f>
        <v>0</v>
      </c>
      <c r="B242" s="179">
        <f>'Données projet'!D220</f>
        <v>0</v>
      </c>
      <c r="C242" s="191"/>
      <c r="D242" s="177">
        <f t="shared" si="13"/>
        <v>0</v>
      </c>
      <c r="E242" s="191"/>
      <c r="F242" s="230"/>
      <c r="G242" s="203"/>
      <c r="H242" s="4"/>
      <c r="I242" s="4"/>
      <c r="J242" s="4"/>
      <c r="K242" s="171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5">
      <c r="A243" s="178">
        <f>'Données projet'!A221</f>
        <v>0</v>
      </c>
      <c r="B243" s="179">
        <f>'Données projet'!D221</f>
        <v>0</v>
      </c>
      <c r="C243" s="191"/>
      <c r="D243" s="177">
        <f t="shared" si="13"/>
        <v>0</v>
      </c>
      <c r="E243" s="191"/>
      <c r="F243" s="230"/>
      <c r="G243" s="203"/>
      <c r="H243" s="4"/>
      <c r="I243" s="4"/>
      <c r="J243" s="4"/>
      <c r="K243" s="171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5">
      <c r="A244" s="178">
        <f>'Données projet'!A222</f>
        <v>0</v>
      </c>
      <c r="B244" s="179">
        <f>'Données projet'!D222</f>
        <v>0</v>
      </c>
      <c r="C244" s="191"/>
      <c r="D244" s="177">
        <f t="shared" si="13"/>
        <v>0</v>
      </c>
      <c r="E244" s="191"/>
      <c r="F244" s="230"/>
      <c r="G244" s="203"/>
      <c r="H244" s="4"/>
      <c r="I244" s="4"/>
      <c r="J244" s="4"/>
      <c r="K244" s="171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5">
      <c r="A245" s="178">
        <f>'Données projet'!A223</f>
        <v>0</v>
      </c>
      <c r="B245" s="179">
        <f>'Données projet'!D223</f>
        <v>0</v>
      </c>
      <c r="C245" s="191"/>
      <c r="D245" s="177">
        <f t="shared" si="13"/>
        <v>0</v>
      </c>
      <c r="E245" s="191"/>
      <c r="F245" s="230"/>
      <c r="G245" s="203"/>
      <c r="H245" s="4"/>
      <c r="I245" s="4"/>
      <c r="J245" s="4"/>
      <c r="K245" s="171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5">
      <c r="A246" s="178">
        <f>'Données projet'!A224</f>
        <v>0</v>
      </c>
      <c r="B246" s="179">
        <f>'Données projet'!D224</f>
        <v>0</v>
      </c>
      <c r="C246" s="191"/>
      <c r="D246" s="177">
        <f t="shared" si="13"/>
        <v>0</v>
      </c>
      <c r="E246" s="191"/>
      <c r="F246" s="230"/>
      <c r="G246" s="204"/>
      <c r="H246" s="4"/>
      <c r="I246" s="4"/>
      <c r="J246" s="4"/>
      <c r="K246" s="171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5">
      <c r="A247" s="178">
        <f>'Données projet'!A225</f>
        <v>0</v>
      </c>
      <c r="B247" s="179">
        <f>'Données projet'!D225</f>
        <v>0</v>
      </c>
      <c r="C247" s="191"/>
      <c r="D247" s="177">
        <f t="shared" si="13"/>
        <v>0</v>
      </c>
      <c r="E247" s="191"/>
      <c r="F247" s="230"/>
      <c r="G247" s="204"/>
      <c r="H247" s="4"/>
      <c r="I247" s="4"/>
      <c r="J247" s="4"/>
      <c r="K247" s="171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5">
      <c r="A248" s="178">
        <f>'Données projet'!A226</f>
        <v>0</v>
      </c>
      <c r="B248" s="179">
        <f>'Données projet'!D226</f>
        <v>0</v>
      </c>
      <c r="C248" s="191"/>
      <c r="D248" s="177">
        <f t="shared" si="13"/>
        <v>0</v>
      </c>
      <c r="E248" s="191"/>
      <c r="F248" s="230"/>
      <c r="G248" s="204"/>
      <c r="H248" s="4"/>
      <c r="I248" s="4"/>
      <c r="J248" s="4"/>
      <c r="K248" s="171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5">
      <c r="A249" s="178">
        <f>'Données projet'!A227</f>
        <v>0</v>
      </c>
      <c r="B249" s="179">
        <f>'Données projet'!D227</f>
        <v>0</v>
      </c>
      <c r="C249" s="191"/>
      <c r="D249" s="177">
        <f t="shared" si="13"/>
        <v>0</v>
      </c>
      <c r="E249" s="191"/>
      <c r="F249" s="230"/>
      <c r="G249" s="204"/>
      <c r="H249" s="4"/>
      <c r="I249" s="4"/>
      <c r="J249" s="4"/>
      <c r="K249" s="171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5">
      <c r="A250" s="178">
        <f>'Données projet'!A228</f>
        <v>0</v>
      </c>
      <c r="B250" s="179">
        <f>'Données projet'!D228</f>
        <v>0</v>
      </c>
      <c r="C250" s="191"/>
      <c r="D250" s="177">
        <f t="shared" si="13"/>
        <v>0</v>
      </c>
      <c r="E250" s="191"/>
      <c r="F250" s="230"/>
      <c r="G250" s="204"/>
      <c r="H250" s="4"/>
      <c r="I250" s="4"/>
      <c r="J250" s="4"/>
      <c r="K250" s="171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5">
      <c r="A251" s="178">
        <f>'Données projet'!A229</f>
        <v>0</v>
      </c>
      <c r="B251" s="179">
        <f>'Données projet'!D229</f>
        <v>0</v>
      </c>
      <c r="C251" s="191"/>
      <c r="D251" s="177">
        <f t="shared" si="13"/>
        <v>0</v>
      </c>
      <c r="E251" s="191"/>
      <c r="F251" s="230"/>
      <c r="G251" s="204"/>
      <c r="H251" s="4"/>
      <c r="I251" s="4"/>
      <c r="J251" s="4"/>
      <c r="K251" s="171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5">
      <c r="A252" s="178">
        <f>'Données projet'!A230</f>
        <v>0</v>
      </c>
      <c r="B252" s="179">
        <f>'Données projet'!D230</f>
        <v>0</v>
      </c>
      <c r="C252" s="191"/>
      <c r="D252" s="177">
        <f t="shared" si="13"/>
        <v>0</v>
      </c>
      <c r="E252" s="191"/>
      <c r="F252" s="230"/>
      <c r="G252" s="204"/>
      <c r="H252" s="4"/>
      <c r="I252" s="4"/>
      <c r="J252" s="4"/>
      <c r="K252" s="171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5">
      <c r="A253" s="178">
        <f>'Données projet'!A231</f>
        <v>0</v>
      </c>
      <c r="B253" s="179">
        <f>'Données projet'!D231</f>
        <v>0</v>
      </c>
      <c r="C253" s="191"/>
      <c r="D253" s="177">
        <f t="shared" si="13"/>
        <v>0</v>
      </c>
      <c r="E253" s="191"/>
      <c r="F253" s="230"/>
      <c r="G253" s="204"/>
      <c r="H253" s="4"/>
      <c r="I253" s="4"/>
      <c r="J253" s="4"/>
      <c r="K253" s="171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5">
      <c r="A254" s="178">
        <f>'Données projet'!A232</f>
        <v>0</v>
      </c>
      <c r="B254" s="179">
        <f>'Données projet'!D232</f>
        <v>0</v>
      </c>
      <c r="C254" s="191"/>
      <c r="D254" s="177">
        <f t="shared" si="13"/>
        <v>0</v>
      </c>
      <c r="E254" s="191"/>
      <c r="F254" s="230"/>
      <c r="G254" s="204"/>
      <c r="H254" s="4"/>
      <c r="I254" s="4"/>
      <c r="J254" s="4"/>
      <c r="K254" s="171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5">
      <c r="A255" s="178">
        <f>'Données projet'!A233</f>
        <v>0</v>
      </c>
      <c r="B255" s="179">
        <f>'Données projet'!D233</f>
        <v>0</v>
      </c>
      <c r="C255" s="191"/>
      <c r="D255" s="177">
        <f t="shared" si="13"/>
        <v>0</v>
      </c>
      <c r="E255" s="191"/>
      <c r="F255" s="230"/>
      <c r="G255" s="204"/>
      <c r="H255" s="4"/>
      <c r="I255" s="4"/>
      <c r="J255" s="4"/>
      <c r="K255" s="171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5">
      <c r="A256" s="178">
        <f>'Données projet'!A234</f>
        <v>0</v>
      </c>
      <c r="B256" s="179">
        <f>'Données projet'!D234</f>
        <v>0</v>
      </c>
      <c r="C256" s="191"/>
      <c r="D256" s="177">
        <f t="shared" si="13"/>
        <v>0</v>
      </c>
      <c r="E256" s="191"/>
      <c r="F256" s="230"/>
      <c r="G256" s="204"/>
      <c r="H256" s="4"/>
      <c r="I256" s="4"/>
      <c r="J256" s="4"/>
      <c r="K256" s="171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5">
      <c r="A257" s="178">
        <f>'Données projet'!A235</f>
        <v>0</v>
      </c>
      <c r="B257" s="179">
        <f>'Données projet'!D235</f>
        <v>0</v>
      </c>
      <c r="C257" s="191"/>
      <c r="D257" s="177">
        <f t="shared" si="13"/>
        <v>0</v>
      </c>
      <c r="E257" s="191"/>
      <c r="F257" s="230"/>
      <c r="G257" s="204"/>
      <c r="H257" s="4"/>
      <c r="I257" s="4"/>
      <c r="J257" s="4"/>
      <c r="K257" s="171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5">
      <c r="A258" s="178">
        <f>'Données projet'!A236</f>
        <v>0</v>
      </c>
      <c r="B258" s="179">
        <f>'Données projet'!D236</f>
        <v>0</v>
      </c>
      <c r="C258" s="191"/>
      <c r="D258" s="177">
        <f t="shared" si="13"/>
        <v>0</v>
      </c>
      <c r="E258" s="191"/>
      <c r="F258" s="230"/>
      <c r="G258" s="204"/>
      <c r="H258" s="4"/>
      <c r="I258" s="4"/>
      <c r="J258" s="4"/>
      <c r="K258" s="171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5">
      <c r="A259" s="178">
        <f>'Données projet'!A237</f>
        <v>0</v>
      </c>
      <c r="B259" s="179">
        <f>'Données projet'!D237</f>
        <v>0</v>
      </c>
      <c r="C259" s="191"/>
      <c r="D259" s="177">
        <f t="shared" si="13"/>
        <v>0</v>
      </c>
      <c r="E259" s="191"/>
      <c r="F259" s="230"/>
      <c r="G259" s="204"/>
      <c r="H259" s="4"/>
      <c r="I259" s="4"/>
      <c r="J259" s="4"/>
      <c r="K259" s="171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5">
      <c r="A260" s="4"/>
      <c r="B260" s="4"/>
      <c r="C260" s="4"/>
      <c r="D260" s="4"/>
      <c r="E260" s="4"/>
      <c r="F260" s="228"/>
      <c r="G260" s="204"/>
      <c r="H260" s="4"/>
      <c r="I260" s="4"/>
      <c r="J260" s="4"/>
      <c r="K260" s="171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5">
      <c r="A261" s="4"/>
      <c r="B261" s="4"/>
      <c r="C261" s="4"/>
      <c r="D261" s="4"/>
      <c r="E261" s="4"/>
      <c r="F261" s="228"/>
      <c r="G261" s="204"/>
      <c r="H261" s="4"/>
      <c r="I261" s="4"/>
      <c r="J261" s="4"/>
      <c r="K261" s="171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5">
      <c r="A262" s="46" t="s">
        <v>173</v>
      </c>
      <c r="B262" s="172" t="str">
        <f>IF('Données projet'!$B$17="","",'Données projet'!$B$17)</f>
        <v/>
      </c>
      <c r="C262" s="4"/>
      <c r="D262" s="4"/>
      <c r="E262" s="4"/>
      <c r="F262" s="228"/>
      <c r="G262" s="204"/>
      <c r="H262" s="4"/>
      <c r="I262" s="4"/>
      <c r="J262" s="4"/>
      <c r="K262" s="171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5">
      <c r="A263" s="46"/>
      <c r="B263" s="4"/>
      <c r="C263" s="4"/>
      <c r="D263" s="4"/>
      <c r="E263" s="4"/>
      <c r="F263" s="228"/>
      <c r="G263" s="204"/>
      <c r="H263" s="4"/>
      <c r="I263" s="4"/>
      <c r="J263" s="4"/>
      <c r="K263" s="171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5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29"/>
      <c r="G264" s="204"/>
      <c r="H264" s="4"/>
      <c r="I264" s="4"/>
      <c r="J264" s="4"/>
      <c r="K264" s="171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5">
      <c r="A265" s="49">
        <v>0</v>
      </c>
      <c r="B265" s="197" t="s">
        <v>132</v>
      </c>
      <c r="C265" s="196" t="s">
        <v>132</v>
      </c>
      <c r="D265" s="195" t="s">
        <v>132</v>
      </c>
      <c r="E265" s="191"/>
      <c r="F265" s="229"/>
      <c r="G265" s="204"/>
      <c r="H265" s="4"/>
      <c r="I265" s="4"/>
      <c r="J265" s="4"/>
      <c r="K265" s="171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5">
      <c r="A266" s="49">
        <v>1</v>
      </c>
      <c r="B266" s="197" t="s">
        <v>132</v>
      </c>
      <c r="C266" s="196" t="s">
        <v>132</v>
      </c>
      <c r="D266" s="195" t="s">
        <v>132</v>
      </c>
      <c r="E266" s="191"/>
      <c r="F266" s="229"/>
      <c r="G266" s="23"/>
      <c r="H266" s="4"/>
      <c r="I266" s="4"/>
      <c r="J266" s="4"/>
      <c r="K266" s="171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5">
      <c r="A267" s="49">
        <v>2</v>
      </c>
      <c r="B267" s="197" t="s">
        <v>132</v>
      </c>
      <c r="C267" s="196" t="s">
        <v>132</v>
      </c>
      <c r="D267" s="195" t="s">
        <v>132</v>
      </c>
      <c r="E267" s="191"/>
      <c r="F267" s="229"/>
      <c r="G267" s="23"/>
      <c r="H267" s="4"/>
      <c r="I267" s="4"/>
      <c r="J267" s="4"/>
      <c r="K267" s="171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5">
      <c r="A268" s="49">
        <v>3</v>
      </c>
      <c r="B268" s="197" t="s">
        <v>132</v>
      </c>
      <c r="C268" s="196" t="s">
        <v>132</v>
      </c>
      <c r="D268" s="195" t="s">
        <v>132</v>
      </c>
      <c r="E268" s="191"/>
      <c r="F268" s="229"/>
      <c r="G268" s="23"/>
      <c r="H268" s="4"/>
      <c r="I268" s="4"/>
      <c r="J268" s="4"/>
      <c r="K268" s="171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5">
      <c r="A269" s="49">
        <v>4</v>
      </c>
      <c r="B269" s="197" t="s">
        <v>132</v>
      </c>
      <c r="C269" s="196" t="s">
        <v>132</v>
      </c>
      <c r="D269" s="195" t="s">
        <v>132</v>
      </c>
      <c r="E269" s="191"/>
      <c r="F269" s="229"/>
      <c r="G269" s="23"/>
      <c r="H269" s="4"/>
      <c r="I269" s="4"/>
      <c r="J269" s="4"/>
      <c r="K269" s="171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5">
      <c r="A270" s="49">
        <v>5</v>
      </c>
      <c r="B270" s="197" t="s">
        <v>132</v>
      </c>
      <c r="C270" s="196" t="s">
        <v>132</v>
      </c>
      <c r="D270" s="195" t="s">
        <v>132</v>
      </c>
      <c r="E270" s="191"/>
      <c r="F270" s="229"/>
      <c r="G270" s="203"/>
      <c r="H270" s="4"/>
      <c r="I270" s="4"/>
      <c r="J270" s="4"/>
      <c r="K270" s="171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5">
      <c r="A271" s="178">
        <f>'Données projet'!A244</f>
        <v>0</v>
      </c>
      <c r="B271" s="179">
        <f>'Données projet'!D244</f>
        <v>0</v>
      </c>
      <c r="C271" s="191"/>
      <c r="D271" s="177">
        <f>B271*C271</f>
        <v>0</v>
      </c>
      <c r="E271" s="191"/>
      <c r="F271" s="230"/>
      <c r="G271" s="203"/>
      <c r="H271" s="4"/>
      <c r="I271" s="4"/>
      <c r="J271" s="4"/>
      <c r="K271" s="171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5">
      <c r="A272" s="178">
        <f>'Données projet'!A245</f>
        <v>0</v>
      </c>
      <c r="B272" s="179">
        <f>'Données projet'!D245</f>
        <v>0</v>
      </c>
      <c r="C272" s="191"/>
      <c r="D272" s="177">
        <f t="shared" ref="D272:D290" si="14">B272*C272</f>
        <v>0</v>
      </c>
      <c r="E272" s="191"/>
      <c r="F272" s="230"/>
      <c r="G272" s="203"/>
      <c r="H272" s="4"/>
      <c r="I272" s="4"/>
      <c r="J272" s="4"/>
      <c r="K272" s="171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5">
      <c r="A273" s="178">
        <f>'Données projet'!A246</f>
        <v>0</v>
      </c>
      <c r="B273" s="179">
        <f>'Données projet'!D246</f>
        <v>0</v>
      </c>
      <c r="C273" s="191"/>
      <c r="D273" s="177">
        <f t="shared" si="14"/>
        <v>0</v>
      </c>
      <c r="E273" s="191"/>
      <c r="F273" s="230"/>
      <c r="G273" s="203"/>
      <c r="H273" s="4"/>
      <c r="I273" s="4"/>
      <c r="J273" s="4"/>
      <c r="K273" s="171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5">
      <c r="A274" s="178">
        <f>'Données projet'!A247</f>
        <v>0</v>
      </c>
      <c r="B274" s="179">
        <f>'Données projet'!D247</f>
        <v>0</v>
      </c>
      <c r="C274" s="191"/>
      <c r="D274" s="177">
        <f t="shared" si="14"/>
        <v>0</v>
      </c>
      <c r="E274" s="191"/>
      <c r="F274" s="230"/>
      <c r="G274" s="203"/>
      <c r="H274" s="4"/>
      <c r="I274" s="4"/>
      <c r="J274" s="4"/>
      <c r="K274" s="171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5">
      <c r="A275" s="178">
        <f>'Données projet'!A248</f>
        <v>0</v>
      </c>
      <c r="B275" s="179">
        <f>'Données projet'!D248</f>
        <v>0</v>
      </c>
      <c r="C275" s="191"/>
      <c r="D275" s="177">
        <f t="shared" si="14"/>
        <v>0</v>
      </c>
      <c r="E275" s="191"/>
      <c r="F275" s="230"/>
      <c r="G275" s="203"/>
      <c r="H275" s="4"/>
      <c r="I275" s="4"/>
      <c r="J275" s="4"/>
      <c r="K275" s="171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5">
      <c r="A276" s="178">
        <f>'Données projet'!A249</f>
        <v>0</v>
      </c>
      <c r="B276" s="179">
        <f>'Données projet'!D249</f>
        <v>0</v>
      </c>
      <c r="C276" s="191"/>
      <c r="D276" s="177">
        <f t="shared" si="14"/>
        <v>0</v>
      </c>
      <c r="E276" s="191"/>
      <c r="F276" s="230"/>
      <c r="G276" s="203"/>
      <c r="H276" s="4"/>
      <c r="I276" s="4"/>
      <c r="J276" s="4"/>
      <c r="K276" s="171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5">
      <c r="A277" s="178">
        <f>'Données projet'!A250</f>
        <v>0</v>
      </c>
      <c r="B277" s="179">
        <f>'Données projet'!D250</f>
        <v>0</v>
      </c>
      <c r="C277" s="191"/>
      <c r="D277" s="177">
        <f t="shared" si="14"/>
        <v>0</v>
      </c>
      <c r="E277" s="191"/>
      <c r="F277" s="230"/>
      <c r="G277" s="204"/>
      <c r="H277" s="4"/>
      <c r="I277" s="4"/>
      <c r="J277" s="4"/>
      <c r="K277" s="171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5">
      <c r="A278" s="178">
        <f>'Données projet'!A251</f>
        <v>0</v>
      </c>
      <c r="B278" s="179">
        <f>'Données projet'!D251</f>
        <v>0</v>
      </c>
      <c r="C278" s="191"/>
      <c r="D278" s="177">
        <f t="shared" si="14"/>
        <v>0</v>
      </c>
      <c r="E278" s="191"/>
      <c r="F278" s="230"/>
      <c r="G278" s="204"/>
      <c r="H278" s="4"/>
      <c r="I278" s="4"/>
      <c r="J278" s="4"/>
      <c r="K278" s="171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5">
      <c r="A279" s="178">
        <f>'Données projet'!A252</f>
        <v>0</v>
      </c>
      <c r="B279" s="179">
        <f>'Données projet'!D252</f>
        <v>0</v>
      </c>
      <c r="C279" s="191"/>
      <c r="D279" s="177">
        <f t="shared" si="14"/>
        <v>0</v>
      </c>
      <c r="E279" s="191"/>
      <c r="F279" s="230"/>
      <c r="G279" s="204"/>
      <c r="H279" s="4"/>
      <c r="I279" s="4"/>
      <c r="J279" s="4"/>
      <c r="K279" s="171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5">
      <c r="A280" s="178">
        <f>'Données projet'!A253</f>
        <v>0</v>
      </c>
      <c r="B280" s="179">
        <f>'Données projet'!D253</f>
        <v>0</v>
      </c>
      <c r="C280" s="191"/>
      <c r="D280" s="177">
        <f t="shared" si="14"/>
        <v>0</v>
      </c>
      <c r="E280" s="191"/>
      <c r="F280" s="230"/>
      <c r="G280" s="204"/>
      <c r="H280" s="4"/>
      <c r="I280" s="4"/>
      <c r="J280" s="4"/>
      <c r="K280" s="171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5">
      <c r="A281" s="178">
        <f>'Données projet'!A254</f>
        <v>0</v>
      </c>
      <c r="B281" s="179">
        <f>'Données projet'!D254</f>
        <v>0</v>
      </c>
      <c r="C281" s="191"/>
      <c r="D281" s="177">
        <f t="shared" si="14"/>
        <v>0</v>
      </c>
      <c r="E281" s="191"/>
      <c r="F281" s="230"/>
      <c r="G281" s="204"/>
      <c r="H281" s="4"/>
      <c r="I281" s="4"/>
      <c r="J281" s="4"/>
      <c r="K281" s="171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5">
      <c r="A282" s="178">
        <f>'Données projet'!A255</f>
        <v>0</v>
      </c>
      <c r="B282" s="179">
        <f>'Données projet'!D255</f>
        <v>0</v>
      </c>
      <c r="C282" s="191"/>
      <c r="D282" s="177">
        <f t="shared" si="14"/>
        <v>0</v>
      </c>
      <c r="E282" s="191"/>
      <c r="F282" s="230"/>
      <c r="G282" s="204"/>
      <c r="H282" s="4"/>
      <c r="I282" s="4"/>
      <c r="J282" s="4"/>
      <c r="K282" s="171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5">
      <c r="A283" s="178">
        <f>'Données projet'!A256</f>
        <v>0</v>
      </c>
      <c r="B283" s="179">
        <f>'Données projet'!D256</f>
        <v>0</v>
      </c>
      <c r="C283" s="191"/>
      <c r="D283" s="177">
        <f t="shared" si="14"/>
        <v>0</v>
      </c>
      <c r="E283" s="191"/>
      <c r="F283" s="230"/>
      <c r="G283" s="204"/>
      <c r="H283" s="4"/>
      <c r="I283" s="4"/>
      <c r="J283" s="4"/>
      <c r="K283" s="171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5">
      <c r="A284" s="178">
        <f>'Données projet'!A257</f>
        <v>0</v>
      </c>
      <c r="B284" s="179">
        <f>'Données projet'!D257</f>
        <v>0</v>
      </c>
      <c r="C284" s="191"/>
      <c r="D284" s="177">
        <f t="shared" si="14"/>
        <v>0</v>
      </c>
      <c r="E284" s="191"/>
      <c r="F284" s="230"/>
      <c r="G284" s="204"/>
      <c r="H284" s="4"/>
      <c r="I284" s="4"/>
      <c r="J284" s="4"/>
      <c r="K284" s="171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5">
      <c r="A285" s="178">
        <f>'Données projet'!A258</f>
        <v>0</v>
      </c>
      <c r="B285" s="179">
        <f>'Données projet'!D258</f>
        <v>0</v>
      </c>
      <c r="C285" s="191"/>
      <c r="D285" s="177">
        <f t="shared" si="14"/>
        <v>0</v>
      </c>
      <c r="E285" s="191"/>
      <c r="F285" s="230"/>
      <c r="G285" s="204"/>
      <c r="H285" s="4"/>
      <c r="I285" s="4"/>
      <c r="J285" s="4"/>
      <c r="K285" s="171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5">
      <c r="A286" s="178">
        <f>'Données projet'!A259</f>
        <v>0</v>
      </c>
      <c r="B286" s="179">
        <f>'Données projet'!D259</f>
        <v>0</v>
      </c>
      <c r="C286" s="191"/>
      <c r="D286" s="177">
        <f t="shared" si="14"/>
        <v>0</v>
      </c>
      <c r="E286" s="191"/>
      <c r="F286" s="230"/>
      <c r="G286" s="204"/>
      <c r="H286" s="4"/>
      <c r="I286" s="4"/>
      <c r="J286" s="4"/>
      <c r="K286" s="171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5">
      <c r="A287" s="178">
        <f>'Données projet'!A260</f>
        <v>0</v>
      </c>
      <c r="B287" s="179">
        <f>'Données projet'!D260</f>
        <v>0</v>
      </c>
      <c r="C287" s="191"/>
      <c r="D287" s="177">
        <f t="shared" si="14"/>
        <v>0</v>
      </c>
      <c r="E287" s="191"/>
      <c r="F287" s="230"/>
      <c r="G287" s="204"/>
      <c r="H287" s="4"/>
      <c r="I287" s="4"/>
      <c r="J287" s="4"/>
      <c r="K287" s="171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5">
      <c r="A288" s="178">
        <f>'Données projet'!A261</f>
        <v>0</v>
      </c>
      <c r="B288" s="179">
        <f>'Données projet'!D261</f>
        <v>0</v>
      </c>
      <c r="C288" s="191"/>
      <c r="D288" s="177">
        <f t="shared" si="14"/>
        <v>0</v>
      </c>
      <c r="E288" s="191"/>
      <c r="F288" s="230"/>
      <c r="G288" s="204"/>
      <c r="H288" s="4"/>
      <c r="I288" s="4"/>
      <c r="J288" s="4"/>
      <c r="K288" s="171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5">
      <c r="A289" s="178">
        <f>'Données projet'!A262</f>
        <v>0</v>
      </c>
      <c r="B289" s="179">
        <f>'Données projet'!D262</f>
        <v>0</v>
      </c>
      <c r="C289" s="191"/>
      <c r="D289" s="177">
        <f t="shared" si="14"/>
        <v>0</v>
      </c>
      <c r="E289" s="191"/>
      <c r="F289" s="230"/>
      <c r="G289" s="204"/>
      <c r="H289" s="4"/>
      <c r="I289" s="4"/>
      <c r="J289" s="4"/>
      <c r="K289" s="171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5">
      <c r="A290" s="178">
        <f>'Données projet'!A263</f>
        <v>0</v>
      </c>
      <c r="B290" s="179">
        <f>'Données projet'!D263</f>
        <v>0</v>
      </c>
      <c r="C290" s="191"/>
      <c r="D290" s="177">
        <f t="shared" si="14"/>
        <v>0</v>
      </c>
      <c r="E290" s="191"/>
      <c r="F290" s="230"/>
      <c r="G290" s="204"/>
      <c r="H290" s="4"/>
      <c r="I290" s="4"/>
      <c r="J290" s="4"/>
      <c r="K290" s="171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5">
      <c r="A291" s="4"/>
      <c r="B291" s="4"/>
      <c r="C291" s="4"/>
      <c r="D291" s="4"/>
      <c r="E291" s="4"/>
      <c r="F291" s="228"/>
      <c r="G291" s="204"/>
      <c r="H291" s="4"/>
      <c r="I291" s="4"/>
      <c r="J291" s="4"/>
      <c r="K291" s="171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5">
      <c r="A292" s="4"/>
      <c r="B292" s="4"/>
      <c r="C292" s="4"/>
      <c r="D292" s="4"/>
      <c r="E292" s="4"/>
      <c r="F292" s="228"/>
      <c r="G292" s="204"/>
      <c r="H292" s="4"/>
      <c r="I292" s="4"/>
      <c r="J292" s="4"/>
      <c r="K292" s="171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5">
      <c r="A293" s="46" t="s">
        <v>174</v>
      </c>
      <c r="B293" s="172" t="str">
        <f>IF('Données projet'!$B$18="","",'Données projet'!$B$18)</f>
        <v/>
      </c>
      <c r="C293" s="4"/>
      <c r="D293" s="4"/>
      <c r="E293" s="4"/>
      <c r="F293" s="228"/>
      <c r="G293" s="204"/>
      <c r="H293" s="4"/>
      <c r="I293" s="4"/>
      <c r="J293" s="4"/>
      <c r="K293" s="171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5">
      <c r="A294" s="46"/>
      <c r="B294" s="4"/>
      <c r="C294" s="4"/>
      <c r="D294" s="4"/>
      <c r="E294" s="4"/>
      <c r="F294" s="228"/>
      <c r="G294" s="204"/>
      <c r="H294" s="4"/>
      <c r="I294" s="4"/>
      <c r="J294" s="4"/>
      <c r="K294" s="171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5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29"/>
      <c r="G295" s="204"/>
      <c r="H295" s="4"/>
      <c r="I295" s="4"/>
      <c r="J295" s="4"/>
      <c r="K295" s="171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5">
      <c r="A296" s="49">
        <v>0</v>
      </c>
      <c r="B296" s="197" t="s">
        <v>132</v>
      </c>
      <c r="C296" s="196" t="s">
        <v>132</v>
      </c>
      <c r="D296" s="195" t="s">
        <v>132</v>
      </c>
      <c r="E296" s="191"/>
      <c r="F296" s="229"/>
      <c r="G296" s="204"/>
      <c r="H296" s="4"/>
      <c r="I296" s="4"/>
      <c r="J296" s="4"/>
      <c r="K296" s="171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5">
      <c r="A297" s="49">
        <v>1</v>
      </c>
      <c r="B297" s="197" t="s">
        <v>132</v>
      </c>
      <c r="C297" s="196" t="s">
        <v>132</v>
      </c>
      <c r="D297" s="195" t="s">
        <v>132</v>
      </c>
      <c r="E297" s="191"/>
      <c r="F297" s="229"/>
      <c r="G297" s="23"/>
      <c r="H297" s="4"/>
      <c r="I297" s="4"/>
      <c r="J297" s="4"/>
      <c r="K297" s="171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5">
      <c r="A298" s="49">
        <v>2</v>
      </c>
      <c r="B298" s="197" t="s">
        <v>132</v>
      </c>
      <c r="C298" s="196" t="s">
        <v>132</v>
      </c>
      <c r="D298" s="195" t="s">
        <v>132</v>
      </c>
      <c r="E298" s="191"/>
      <c r="F298" s="229"/>
      <c r="G298" s="23"/>
      <c r="H298" s="4"/>
      <c r="I298" s="4"/>
      <c r="J298" s="4"/>
      <c r="K298" s="171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5">
      <c r="A299" s="49">
        <v>3</v>
      </c>
      <c r="B299" s="197" t="s">
        <v>132</v>
      </c>
      <c r="C299" s="196" t="s">
        <v>132</v>
      </c>
      <c r="D299" s="195" t="s">
        <v>132</v>
      </c>
      <c r="E299" s="191"/>
      <c r="F299" s="229"/>
      <c r="G299" s="23"/>
      <c r="H299" s="4"/>
      <c r="I299" s="4"/>
      <c r="J299" s="4"/>
      <c r="K299" s="171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5">
      <c r="A300" s="49">
        <v>4</v>
      </c>
      <c r="B300" s="197" t="s">
        <v>132</v>
      </c>
      <c r="C300" s="196" t="s">
        <v>132</v>
      </c>
      <c r="D300" s="195" t="s">
        <v>132</v>
      </c>
      <c r="E300" s="191"/>
      <c r="F300" s="229"/>
      <c r="G300" s="23"/>
      <c r="H300" s="4"/>
      <c r="I300" s="4"/>
      <c r="J300" s="4"/>
      <c r="K300" s="171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5">
      <c r="A301" s="49">
        <v>5</v>
      </c>
      <c r="B301" s="197" t="s">
        <v>132</v>
      </c>
      <c r="C301" s="196" t="s">
        <v>132</v>
      </c>
      <c r="D301" s="195" t="s">
        <v>132</v>
      </c>
      <c r="E301" s="191"/>
      <c r="F301" s="229"/>
      <c r="G301" s="203"/>
      <c r="H301" s="4"/>
      <c r="I301" s="4"/>
      <c r="J301" s="4"/>
      <c r="K301" s="171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5">
      <c r="A302" s="178">
        <f>'Données projet'!A270</f>
        <v>0</v>
      </c>
      <c r="B302" s="179">
        <f>'Données projet'!D270</f>
        <v>0</v>
      </c>
      <c r="C302" s="189"/>
      <c r="D302" s="180">
        <f>B302*C302</f>
        <v>0</v>
      </c>
      <c r="E302" s="191"/>
      <c r="F302" s="231"/>
      <c r="G302" s="203"/>
      <c r="H302" s="4"/>
      <c r="I302" s="4"/>
      <c r="J302" s="4"/>
      <c r="K302" s="171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5">
      <c r="A303" s="178">
        <f>'Données projet'!A271</f>
        <v>0</v>
      </c>
      <c r="B303" s="179">
        <f>'Données projet'!D271</f>
        <v>0</v>
      </c>
      <c r="C303" s="189"/>
      <c r="D303" s="180">
        <f t="shared" ref="D303:D321" si="15">B303*C303</f>
        <v>0</v>
      </c>
      <c r="E303" s="191"/>
      <c r="F303" s="231"/>
      <c r="G303" s="203"/>
      <c r="H303" s="4"/>
      <c r="I303" s="4"/>
      <c r="J303" s="4"/>
      <c r="K303" s="171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5">
      <c r="A304" s="178">
        <f>'Données projet'!A272</f>
        <v>0</v>
      </c>
      <c r="B304" s="179">
        <f>'Données projet'!D272</f>
        <v>0</v>
      </c>
      <c r="C304" s="189"/>
      <c r="D304" s="180">
        <f t="shared" si="15"/>
        <v>0</v>
      </c>
      <c r="E304" s="191"/>
      <c r="F304" s="231"/>
      <c r="G304" s="203"/>
      <c r="H304" s="4"/>
      <c r="I304" s="4"/>
      <c r="J304" s="4"/>
      <c r="K304" s="171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5">
      <c r="A305" s="178">
        <f>'Données projet'!A273</f>
        <v>0</v>
      </c>
      <c r="B305" s="179">
        <f>'Données projet'!D273</f>
        <v>0</v>
      </c>
      <c r="C305" s="189"/>
      <c r="D305" s="180">
        <f t="shared" si="15"/>
        <v>0</v>
      </c>
      <c r="E305" s="191"/>
      <c r="F305" s="231"/>
      <c r="G305" s="203"/>
      <c r="H305" s="4"/>
      <c r="I305" s="4"/>
      <c r="J305" s="4"/>
      <c r="K305" s="171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5">
      <c r="A306" s="178">
        <f>'Données projet'!A274</f>
        <v>0</v>
      </c>
      <c r="B306" s="179">
        <f>'Données projet'!D274</f>
        <v>0</v>
      </c>
      <c r="C306" s="189"/>
      <c r="D306" s="180">
        <f t="shared" si="15"/>
        <v>0</v>
      </c>
      <c r="E306" s="191"/>
      <c r="F306" s="231"/>
      <c r="G306" s="203"/>
      <c r="H306" s="4"/>
      <c r="I306" s="4"/>
      <c r="J306" s="4"/>
      <c r="K306" s="171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5">
      <c r="A307" s="178">
        <f>'Données projet'!A275</f>
        <v>0</v>
      </c>
      <c r="B307" s="179">
        <f>'Données projet'!D275</f>
        <v>0</v>
      </c>
      <c r="C307" s="189"/>
      <c r="D307" s="180">
        <f t="shared" si="15"/>
        <v>0</v>
      </c>
      <c r="E307" s="191"/>
      <c r="F307" s="231"/>
      <c r="G307" s="203"/>
      <c r="H307" s="4"/>
      <c r="I307" s="4"/>
      <c r="J307" s="4"/>
      <c r="K307" s="171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5">
      <c r="A308" s="178">
        <f>'Données projet'!A276</f>
        <v>0</v>
      </c>
      <c r="B308" s="179">
        <f>'Données projet'!D276</f>
        <v>0</v>
      </c>
      <c r="C308" s="189"/>
      <c r="D308" s="180">
        <f t="shared" si="15"/>
        <v>0</v>
      </c>
      <c r="E308" s="191"/>
      <c r="F308" s="231"/>
      <c r="G308" s="201"/>
      <c r="H308" s="4"/>
      <c r="I308" s="4"/>
      <c r="J308" s="4"/>
      <c r="K308" s="171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5">
      <c r="A309" s="178">
        <f>'Données projet'!A277</f>
        <v>0</v>
      </c>
      <c r="B309" s="179">
        <f>'Données projet'!D277</f>
        <v>0</v>
      </c>
      <c r="C309" s="189"/>
      <c r="D309" s="180">
        <f t="shared" si="15"/>
        <v>0</v>
      </c>
      <c r="E309" s="191"/>
      <c r="F309" s="231"/>
      <c r="G309" s="201"/>
      <c r="H309" s="4"/>
      <c r="I309" s="4"/>
      <c r="J309" s="4"/>
      <c r="K309" s="171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5">
      <c r="A310" s="178">
        <f>'Données projet'!A278</f>
        <v>0</v>
      </c>
      <c r="B310" s="179">
        <f>'Données projet'!D278</f>
        <v>0</v>
      </c>
      <c r="C310" s="189"/>
      <c r="D310" s="180">
        <f t="shared" si="15"/>
        <v>0</v>
      </c>
      <c r="E310" s="191"/>
      <c r="F310" s="231"/>
      <c r="G310" s="201"/>
      <c r="H310" s="4"/>
      <c r="I310" s="4"/>
      <c r="J310" s="4"/>
      <c r="K310" s="171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5">
      <c r="A311" s="178">
        <f>'Données projet'!A279</f>
        <v>0</v>
      </c>
      <c r="B311" s="179">
        <f>'Données projet'!D279</f>
        <v>0</v>
      </c>
      <c r="C311" s="189"/>
      <c r="D311" s="180">
        <f t="shared" si="15"/>
        <v>0</v>
      </c>
      <c r="E311" s="191"/>
      <c r="F311" s="231"/>
      <c r="G311" s="201"/>
      <c r="H311" s="4"/>
      <c r="I311" s="4"/>
      <c r="J311" s="4"/>
      <c r="K311" s="171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5">
      <c r="A312" s="178">
        <f>'Données projet'!A280</f>
        <v>0</v>
      </c>
      <c r="B312" s="179">
        <f>'Données projet'!D280</f>
        <v>0</v>
      </c>
      <c r="C312" s="189"/>
      <c r="D312" s="180">
        <f t="shared" si="15"/>
        <v>0</v>
      </c>
      <c r="E312" s="191"/>
      <c r="F312" s="231"/>
      <c r="G312" s="201"/>
      <c r="H312" s="4"/>
      <c r="I312" s="4"/>
      <c r="J312" s="4"/>
      <c r="K312" s="171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5">
      <c r="A313" s="178">
        <f>'Données projet'!A281</f>
        <v>0</v>
      </c>
      <c r="B313" s="179">
        <f>'Données projet'!D281</f>
        <v>0</v>
      </c>
      <c r="C313" s="189"/>
      <c r="D313" s="180">
        <f t="shared" si="15"/>
        <v>0</v>
      </c>
      <c r="E313" s="191"/>
      <c r="F313" s="231"/>
      <c r="G313" s="201"/>
      <c r="H313" s="4"/>
      <c r="I313" s="4"/>
      <c r="J313" s="4"/>
      <c r="K313" s="171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5">
      <c r="A314" s="178">
        <f>'Données projet'!A282</f>
        <v>0</v>
      </c>
      <c r="B314" s="179">
        <f>'Données projet'!D282</f>
        <v>0</v>
      </c>
      <c r="C314" s="189"/>
      <c r="D314" s="180">
        <f t="shared" si="15"/>
        <v>0</v>
      </c>
      <c r="E314" s="191"/>
      <c r="F314" s="231"/>
      <c r="G314" s="201"/>
      <c r="H314" s="4"/>
      <c r="I314" s="4"/>
      <c r="J314" s="4"/>
      <c r="K314" s="171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5">
      <c r="A315" s="178">
        <f>'Données projet'!A283</f>
        <v>0</v>
      </c>
      <c r="B315" s="179">
        <f>'Données projet'!D283</f>
        <v>0</v>
      </c>
      <c r="C315" s="189"/>
      <c r="D315" s="180">
        <f t="shared" si="15"/>
        <v>0</v>
      </c>
      <c r="E315" s="191"/>
      <c r="F315" s="231"/>
      <c r="G315" s="201"/>
      <c r="H315" s="4"/>
      <c r="I315" s="4"/>
      <c r="J315" s="4"/>
      <c r="K315" s="171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5">
      <c r="A316" s="178">
        <f>'Données projet'!A284</f>
        <v>0</v>
      </c>
      <c r="B316" s="179">
        <f>'Données projet'!D284</f>
        <v>0</v>
      </c>
      <c r="C316" s="189"/>
      <c r="D316" s="180">
        <f t="shared" si="15"/>
        <v>0</v>
      </c>
      <c r="E316" s="191"/>
      <c r="F316" s="231"/>
      <c r="G316" s="201"/>
      <c r="H316" s="4"/>
      <c r="I316" s="4"/>
      <c r="J316" s="4"/>
      <c r="K316" s="171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5">
      <c r="A317" s="178">
        <f>'Données projet'!A285</f>
        <v>0</v>
      </c>
      <c r="B317" s="179">
        <f>'Données projet'!D285</f>
        <v>0</v>
      </c>
      <c r="C317" s="189"/>
      <c r="D317" s="180">
        <f t="shared" si="15"/>
        <v>0</v>
      </c>
      <c r="E317" s="191"/>
      <c r="F317" s="231"/>
      <c r="G317" s="201"/>
      <c r="H317" s="4"/>
      <c r="I317" s="4"/>
      <c r="J317" s="4"/>
      <c r="K317" s="171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5">
      <c r="A318" s="178">
        <f>'Données projet'!A286</f>
        <v>0</v>
      </c>
      <c r="B318" s="179">
        <f>'Données projet'!D286</f>
        <v>0</v>
      </c>
      <c r="C318" s="189"/>
      <c r="D318" s="180">
        <f t="shared" si="15"/>
        <v>0</v>
      </c>
      <c r="E318" s="191"/>
      <c r="F318" s="231"/>
      <c r="G318" s="201"/>
      <c r="H318" s="4"/>
      <c r="I318" s="4"/>
      <c r="J318" s="4"/>
      <c r="K318" s="171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5">
      <c r="A319" s="178">
        <f>'Données projet'!A287</f>
        <v>0</v>
      </c>
      <c r="B319" s="179">
        <f>'Données projet'!D287</f>
        <v>0</v>
      </c>
      <c r="C319" s="189"/>
      <c r="D319" s="180">
        <f t="shared" si="15"/>
        <v>0</v>
      </c>
      <c r="E319" s="191"/>
      <c r="F319" s="231"/>
      <c r="G319" s="201"/>
      <c r="H319" s="4"/>
      <c r="I319" s="4"/>
      <c r="J319" s="4"/>
      <c r="K319" s="171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5">
      <c r="A320" s="178">
        <f>'Données projet'!A288</f>
        <v>0</v>
      </c>
      <c r="B320" s="179">
        <f>'Données projet'!D288</f>
        <v>0</v>
      </c>
      <c r="C320" s="189"/>
      <c r="D320" s="180">
        <f t="shared" si="15"/>
        <v>0</v>
      </c>
      <c r="E320" s="191"/>
      <c r="F320" s="231"/>
      <c r="G320" s="201"/>
      <c r="H320" s="4"/>
      <c r="I320" s="4"/>
      <c r="J320" s="4"/>
      <c r="K320" s="171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5">
      <c r="A321" s="178">
        <f>'Données projet'!A289</f>
        <v>0</v>
      </c>
      <c r="B321" s="179">
        <f>'Données projet'!D289</f>
        <v>0</v>
      </c>
      <c r="C321" s="194"/>
      <c r="D321" s="180">
        <f t="shared" si="15"/>
        <v>0</v>
      </c>
      <c r="E321" s="191"/>
      <c r="F321" s="231"/>
      <c r="G321" s="201"/>
      <c r="H321" s="4"/>
      <c r="I321" s="4"/>
      <c r="J321" s="4"/>
      <c r="K321" s="171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5">
      <c r="G322" s="201"/>
      <c r="H322" s="4"/>
      <c r="I322" s="4"/>
      <c r="J322" s="4"/>
      <c r="K322" s="171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5">
      <c r="G323" s="201"/>
      <c r="H323" s="4"/>
      <c r="I323" s="4"/>
      <c r="J323" s="4"/>
      <c r="K323" s="171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5">
      <c r="G324" s="201"/>
      <c r="H324" s="4"/>
      <c r="I324" s="4"/>
      <c r="J324" s="4"/>
      <c r="K324" s="171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5">
      <c r="G325" s="201"/>
      <c r="H325" s="4"/>
      <c r="I325" s="4"/>
      <c r="J325" s="4"/>
      <c r="K325" s="171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5">
      <c r="G326" s="201"/>
      <c r="H326" s="4"/>
      <c r="I326" s="4"/>
      <c r="J326" s="4"/>
      <c r="K326" s="171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5">
      <c r="G327" s="201"/>
      <c r="H327" s="4"/>
      <c r="I327" s="4"/>
      <c r="J327" s="4"/>
      <c r="K327" s="171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5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5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5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5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5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5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5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5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5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5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5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5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5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5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5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5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5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5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5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5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5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5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5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5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5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5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5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5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5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5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5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5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5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5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5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5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5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5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5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5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5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5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5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5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5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5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5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5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5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5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5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5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5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5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5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5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5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5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5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5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5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5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5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5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5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5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5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5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5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5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5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5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5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5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5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5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5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5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5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5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5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5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5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5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5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5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5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5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5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5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5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5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5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5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5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5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5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5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5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5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5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5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5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5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5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5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5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5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5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5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5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5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5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5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5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5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5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5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5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5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5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5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5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5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5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5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5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5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5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5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5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5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5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5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5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5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5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5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5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5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5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5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5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5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5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5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5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5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5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5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5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5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5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5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5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5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5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5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5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5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5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5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5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5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5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5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5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5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5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5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5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5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5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5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5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5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5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5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5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Goulven Kersante</cp:lastModifiedBy>
  <dcterms:created xsi:type="dcterms:W3CDTF">2021-02-01T08:22:39Z</dcterms:created>
  <dcterms:modified xsi:type="dcterms:W3CDTF">2025-02-04T12:47:39Z</dcterms:modified>
</cp:coreProperties>
</file>